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D7E704-936A-4E71-8153-D5502974F8A4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ORTAK_EKSTR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  <sheet name="KAR" sheetId="15" r:id="rId15"/>
  </sheets>
  <definedNames>
    <definedName name="_xlnm._FilterDatabase" localSheetId="11" hidden="1">AY_SONU!$B$6:$T$42</definedName>
    <definedName name="_xlnm._FilterDatabase" localSheetId="5" hidden="1">GELIR_GIDER!$B$6:$P$3001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7" hidden="1">ORTAK_EKSTRE!$B$37:$I$37</definedName>
    <definedName name="_xlnm._FilterDatabase" localSheetId="4" hidden="1">TAHSILAT!$B$6:$N$2503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SISTEM!$F$23:$F$91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GELIR_GIDER!$A$1:$P$103</definedName>
    <definedName name="_xlnm.Print_Area" localSheetId="10">HESAPLAR!$A$1:$K$18</definedName>
    <definedName name="_xlnm.Print_Area" localSheetId="14">KAR!$A$1:$J$48</definedName>
    <definedName name="_xlnm.Print_Area" localSheetId="9">MUSTERI_360!$A$1:$W$106</definedName>
    <definedName name="_xlnm.Print_Area" localSheetId="2">MUSTERILER!$A$1:$P$106</definedName>
    <definedName name="_xlnm.Print_Area" localSheetId="7">ORTAK_EKSTRE!$A$1:$Q$953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14">KAR!$1:$7</definedName>
    <definedName name="_xlnm.Print_Titles" localSheetId="9">MUSTERI_360!$6:$6</definedName>
    <definedName name="_xlnm.Print_Titles" localSheetId="2">MUSTERILER!$6:$6</definedName>
    <definedName name="_xlnm.Print_Titles" localSheetId="7">ORTAK_EKSTRE!$35:$37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<sst xmlns="http://schemas.openxmlformats.org/spreadsheetml/2006/main" count="5132" uniqueCount="1323">
  <si>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</si>
  <si>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</si>
  <si>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</si>
  <si>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</si>
  <si>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</si>
  <si>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</si>
  <si>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</si>
  <si>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</si>
  <si>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</si>
  <si>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</si>
  <si>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ORTAKLARA KALAN BORÇ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</si>
  <si>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</si>
  <si>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</si>
  <si>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</si>
  <si>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</si>
  <si>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</si>
  <si>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</si>
  <si>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</si>
  <si>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Ortaklara toplam kalan alacak</t>
  </si>
  <si>
    <t>Müşteri No</t>
  </si>
  <si>
    <t>Ödenen toplam kâr payı</t>
  </si>
  <si>
    <t>Borç Durumu</t>
  </si>
  <si>
    <t>Birikimli kâr payı hak edişi</t>
  </si>
  <si>
    <t>Haftalık Ücret</t>
  </si>
  <si>
    <t>Ortakların elindeki ofis kasası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</si>
  <si>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</si>
  <si>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</si>
  <si>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</si>
  <si>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</si>
  <si>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</si>
  <si>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</si>
  <si>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</si>
  <si>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</si>
  <si>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</si>
  <si>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</si>
  <si>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</si>
  <si>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</si>
  <si>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</si>
  <si>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</si>
  <si>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</si>
  <si>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</si>
  <si>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</si>
  <si>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</si>
  <si>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</si>
  <si>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</si>
  <si>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</si>
  <si>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</si>
  <si>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</si>
  <si>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</si>
  <si>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</si>
  <si>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</si>
  <si>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</si>
  <si>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</si>
  <si>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</si>
  <si>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</si>
  <si>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</si>
  <si>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</si>
  <si>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</si>
  <si>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</si>
  <si>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</si>
  <si>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</si>
  <si>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</si>
  <si>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55 otomatik kontrol çalıştırır. Hata oluşursa SİSTEM ekranındaki “Nerede?” sütunu sayfa + satır/hücre adresini ve ilk hatalı kaydı gösterir. KRİTİK bir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</si>
  <si>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</si>
  <si>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</si>
  <si>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</si>
  <si>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Kâr ve ortak hakedişi yalnız TAHSİL EDİLMİŞ nakit sonuçtan oluşur. Tahsil edilmemiş alacak kâr sayılmaz. Ortak hakedişinden fazla para çekerse işlem engellenmez; fark AVANS olarak eksi/kırmızı izlenir.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</si>
  <si>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</si>
  <si>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</si>
  <si>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</si>
  <si>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</si>
  <si>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</si>
  <si>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</si>
  <si>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</si>
  <si>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</si>
  <si>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</si>
  <si>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</si>
  <si>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</si>
  <si>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</si>
  <si>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</si>
  <si>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</si>
  <si>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</si>
  <si>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</si>
  <si>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</si>
  <si>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</si>
  <si>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</si>
  <si>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</si>
  <si>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</si>
  <si>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</si>
  <si>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</si>
  <si>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</si>
  <si>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</si>
  <si>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</si>
  <si>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</si>
  <si>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</si>
  <si>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</si>
  <si>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</si>
  <si>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</si>
  <si>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</si>
  <si>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</si>
  <si>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</si>
  <si>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</si>
  <si>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</si>
  <si>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</si>
  <si>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</si>
  <si>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</si>
  <si>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</si>
  <si>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</si>
  <si>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</si>
  <si>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</si>
  <si>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</si>
  <si>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</si>
  <si>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</si>
  <si>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</si>
  <si>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</si>
  <si>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</si>
  <si>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</si>
  <si>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</si>
  <si>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</si>
  <si>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</si>
  <si>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</si>
  <si>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</si>
  <si>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</si>
  <si>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</si>
  <si>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Ortak seçin; müşteriden alınan tahsilat, virman, ofise ödeme ve kâr payı tahakkukundan oluşan ortak carisini tarih sırasıyla izleyin.</t>
  </si>
  <si>
    <t>⚠  BURAYA HAREKET GİRMEYİN. Salt okunurdur; yanlış rakam varsa TAHSILAT, VIRMAN, ORTAKLAR veya AY_SONU kaynaklarını düzeltin.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</si>
  <si>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</si>
  <si>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</si>
  <si>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</si>
  <si>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</si>
  <si>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</si>
  <si>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</si>
  <si>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“Dönem Kapandı mı?” sütunu girilir; diğer tüm sütunlar otomatiktir. Ortak çekişleri bu ekrana yazılmaz; VIRMAN’dan girilir.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</si>
  <si>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</si>
  <si>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</si>
  <si>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</si>
  <si>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</si>
  <si>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</si>
  <si>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Muhasebedeki T cetveli gibi tüm gelir kalemlerini solda, tüm gider kalemlerini sağda birikimli dip toplamlarıyla izleyin.</t>
  </si>
  <si>
    <t>⚠  BURAYA VERİ GİRMEYİN. Kategoriler SISTEM, tutarlar GELIR_GIDER defterinden gelir; fark varsa SİSTEM kontrolü adres gösterir.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</si>
  <si>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</si>
  <si>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</si>
  <si>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</si>
  <si>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</si>
  <si>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</si>
  <si>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</si>
  <si>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</si>
  <si>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</si>
  <si>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</si>
  <si>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</si>
  <si>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</si>
  <si>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</si>
  <si>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</si>
  <si>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</si>
  <si>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</si>
  <si>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</si>
  <si>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</si>
  <si>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ORTAK EKSTRE · CARİ EKSTRE · MÜŞTERİ 360 · KÂR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</si>
  <si>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</si>
  <si>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</si>
  <si>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</si>
  <si>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</si>
  <si>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</si>
  <si>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</si>
  <si>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</si>
  <si>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</si>
  <si>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</si>
  <si>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</si>
  <si>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</si>
  <si>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</si>
  <si>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</si>
  <si>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</si>
  <si>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</si>
  <si>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</si>
  <si>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</si>
  <si>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</si>
  <si>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</si>
  <si>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</si>
  <si>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</si>
  <si>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</si>
  <si>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</si>
  <si>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</si>
  <si>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</si>
  <si>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</si>
  <si>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</si>
  <si>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</si>
  <si>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</si>
  <si>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</si>
  <si>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</si>
  <si>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</si>
  <si>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</si>
  <si>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</si>
  <si>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</si>
  <si>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</si>
  <si>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Ortak carisini izle</t>
  </si>
  <si>
    <t>Ortağı seçin; veri girişi yapılmaz</t>
  </si>
  <si>
    <t>Borç/alacak hareketlerini ve net ortak carisini tarih sırasıyla gösterir</t>
  </si>
  <si>
    <t>SİSTEM ortak ekstre mutabakatı = GEÇTİ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</si>
  <si>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</si>
  <si>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</si>
  <si>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</si>
  <si>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</si>
  <si>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</si>
  <si>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</si>
  <si>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</si>
  <si>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</si>
  <si>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</si>
  <si>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</si>
  <si>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</si>
  <si>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</si>
  <si>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Ortak çekiş / avans</t>
  </si>
  <si>
    <t>Nakit kâr ve ortak payları</t>
  </si>
  <si>
    <t>Dönem Durumu = KAPANABİLİR</t>
  </si>
  <si>
    <t>11</t>
  </si>
  <si>
    <t>Ortak payı öde</t>
  </si>
  <si>
    <t>VIRMAN: kasa/banka → ortak hesabı</t>
  </si>
  <si>
    <t>Ortak carisine işlenir, kasadan düşer</t>
  </si>
  <si>
    <t>Ortak Kontrol = UYGUN</t>
  </si>
  <si>
    <t>12</t>
  </si>
  <si>
    <t>Sistemi denetle</t>
  </si>
  <si>
    <t>Parametre ve kalem listeleri</t>
  </si>
  <si>
    <t>55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</si>
  <si>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</si>
  <si>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</si>
  <si>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</si>
  <si>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</si>
  <si>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</si>
  <si>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</si>
  <si>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</si>
  <si>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</si>
  <si>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</si>
  <si>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</si>
  <si>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</si>
  <si>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</si>
  <si>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</si>
  <si>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</si>
  <si>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</si>
  <si>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</si>
  <si>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</si>
  <si>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</si>
  <si>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</si>
  <si>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</si>
  <si>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</si>
  <si>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</si>
  <si>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</si>
  <si>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</si>
  <si>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</si>
  <si>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Ortağa para verildiğinde GELİR/GİDER’e gider yazmayın. VIRMAN ekranında Para Çıkan Hesap = kasa/banka, Para Giren Hesap = ortak; açıklama “KÂR PAYI / AVANS ÇEKİŞİ” olmalıdır. Hakedişi aşan tutar AVANS olur.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</si>
  <si>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</si>
  <si>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</si>
  <si>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</si>
  <si>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</si>
  <si>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</si>
  <si>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</si>
  <si>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</si>
  <si>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</si>
  <si>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</si>
  <si>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</si>
  <si>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</si>
  <si>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</si>
  <si>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</si>
  <si>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</si>
  <si>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</si>
  <si>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</si>
  <si>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</si>
  <si>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</si>
  <si>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</si>
  <si>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</si>
  <si>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</si>
  <si>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</si>
  <si>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</si>
  <si>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</si>
  <si>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</si>
  <si>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</si>
  <si>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</si>
  <si>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</si>
  <si>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</si>
  <si>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</si>
  <si>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</si>
  <si>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</si>
  <si>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</si>
  <si>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</si>
  <si>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</si>
  <si>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</si>
  <si>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</si>
  <si>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</si>
  <si>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</si>
  <si>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</si>
  <si>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</si>
  <si>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</si>
  <si>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</si>
  <si>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</si>
  <si>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</si>
  <si>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</si>
  <si>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</si>
  <si>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Ortak carisini kontrol edeceğim</t>
  </si>
  <si>
    <t>ORTAK_EKSTRE</t>
  </si>
  <si>
    <t>Ortağı açılır kutudan seçin. Müşteri tahsilatı, virman, ofise ödeme, tahsilat esaslı kâr payı hakedişi ve avans bakiyesi otomatik gelir.</t>
  </si>
  <si>
    <t>SİSTEM’de “Seçili ortak ekstre mutabakatı” = GEÇTİ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</si>
  <si>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</si>
  <si>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</si>
  <si>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</si>
  <si>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</si>
  <si>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</si>
  <si>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</si>
  <si>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SİSTEM’de KALDI yazan gerçek veri/formül hatalarını “Nerede?” adresinden düzeltin. 2) AY SONU kârı tahsilat esaslıdır. 3) Ortak fazla çekmişse sistem kapanışı engellemez; Kâr Payı Bakiye/Avans eksi kırmızı görünür.</t>
  </si>
  <si>
    <t>KAPATILAMAZ diyorsa kapatmayın</t>
  </si>
  <si>
    <t>Ortağa kâr payı / avans ödemesi yapacağım</t>
  </si>
  <si>
    <t>GELİR/GİDER kullanmayın. VIRMAN’da kasa/bankadan ortak hesabına para çıkışı girin ve açıklamayı “KÂR PAYI / AVANS ÇEKİŞİ” ile başlatın. Sistem hakedişi aşan kısmı AVANS olarak gösterir.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</si>
  <si>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</si>
  <si>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</si>
  <si>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</si>
  <si>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</si>
  <si>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</si>
  <si>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</si>
  <si>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</si>
  <si>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</si>
  <si>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</si>
  <si>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</si>
  <si>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</si>
  <si>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</si>
  <si>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</si>
  <si>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</si>
  <si>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</si>
  <si>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</si>
  <si>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</si>
  <si>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</si>
  <si>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</si>
  <si>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</si>
  <si>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</si>
  <si>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</si>
  <si>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</si>
  <si>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</si>
  <si>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</si>
  <si>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</si>
  <si>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</si>
  <si>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</si>
  <si>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</si>
  <si>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</si>
  <si>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</si>
  <si>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</si>
  <si>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</si>
  <si>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</si>
  <si>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</si>
  <si>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</si>
  <si>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</si>
  <si>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</si>
  <si>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</si>
  <si>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</si>
  <si>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</si>
  <si>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</si>
  <si>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</si>
  <si>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Ortak Ekstre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</si>
  <si>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</si>
  <si>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</si>
  <si>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</si>
  <si>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</si>
  <si>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</si>
  <si>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</si>
  <si>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</si>
  <si>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</si>
  <si>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</si>
  <si>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</si>
  <si>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</si>
  <si>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</si>
  <si>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</si>
  <si>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</si>
  <si>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</si>
  <si>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</si>
  <si>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</si>
  <si>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</si>
  <si>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</si>
  <si>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</si>
  <si>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</si>
  <si>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</si>
  <si>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</si>
  <si>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</si>
  <si>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</si>
  <si>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</si>
  <si>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</si>
  <si>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</si>
  <si>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</si>
  <si>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</si>
  <si>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</si>
  <si>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</si>
  <si>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</si>
  <si>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</si>
  <si>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</si>
  <si>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</si>
  <si>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</si>
  <si>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</si>
  <si>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</si>
  <si>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</si>
  <si>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</si>
  <si>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</si>
  <si>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</si>
  <si>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</si>
  <si>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</si>
  <si>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</si>
  <si>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</si>
  <si>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</si>
  <si>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</si>
  <si>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</si>
  <si>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</si>
  <si>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</si>
  <si>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</si>
  <si>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</si>
  <si>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</si>
  <si>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</si>
  <si>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Eski kâr payı gider kalemi kullanılmıyor.</t>
  </si>
  <si>
    <t>Her ortak için ayrı kalem seçin.</t>
  </si>
  <si>
    <t>GECİKMİŞ / BUGÜN / 7 GÜN İÇİNDE</t>
  </si>
  <si>
    <t>Ortak Ekstre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</si>
  <si>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</si>
  <si>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</si>
  <si>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</si>
  <si>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</si>
  <si>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</si>
  <si>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</si>
  <si>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</si>
  <si>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</si>
  <si>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</si>
  <si>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</si>
  <si>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</si>
  <si>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</si>
  <si>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</si>
  <si>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</si>
  <si>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</si>
  <si>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</si>
  <si>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</si>
  <si>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</si>
  <si>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</si>
  <si>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</si>
  <si>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</si>
  <si>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</si>
  <si>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</si>
  <si>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</si>
  <si>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</si>
  <si>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</si>
  <si>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</si>
  <si>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</si>
  <si>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</si>
  <si>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</si>
  <si>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</si>
  <si>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</si>
  <si>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</si>
  <si>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</si>
  <si>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</si>
  <si>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</si>
  <si>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</si>
  <si>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</si>
  <si>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</si>
  <si>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</si>
  <si>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</si>
  <si>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</si>
  <si>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</si>
  <si>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</si>
  <si>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</si>
  <si>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</si>
  <si>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</si>
  <si>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</si>
  <si>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</si>
  <si>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</si>
  <si>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</si>
  <si>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</si>
  <si>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</si>
  <si>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</si>
  <si>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</si>
  <si>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</si>
  <si>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</si>
  <si>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</si>
  <si>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</si>
  <si>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</si>
  <si>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</si>
  <si>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</si>
  <si>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</si>
  <si>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</si>
  <si>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</si>
  <si>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</si>
  <si>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</si>
  <si>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</si>
  <si>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</si>
  <si>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</si>
  <si>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</si>
  <si>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</si>
  <si>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</si>
  <si>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</si>
  <si>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</si>
  <si>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Kâr payı/ortak çekişi gider değildir. Her ödeme VIRMAN ekranından ortak hesabına aktarılır; böylece kasa azalır ama işletme gideri ve kâr bozulmaz.</t>
  </si>
  <si>
    <t>İki ortağın bakiyesi farklı çıkıyor</t>
  </si>
  <si>
    <t>Hak edişler eşitse fark ÖDEMEDEN gelir.</t>
  </si>
  <si>
    <t>ORTAKLAR ekranındaki “Kâr Payı Bakiye / Avans” alanını izleyin. Negatif değer ortağın hakedişinden fazla çektiği AVANS’tır; bilgi amaçlıdır ve kapanışı kilitlemez.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</si>
  <si>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</si>
  <si>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</si>
  <si>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</si>
  <si>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</si>
  <si>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</si>
  <si>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</si>
  <si>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</si>
  <si>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</si>
  <si>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</si>
  <si>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</si>
  <si>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</si>
  <si>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</si>
  <si>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</si>
  <si>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</si>
  <si>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</si>
  <si>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</si>
  <si>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</si>
  <si>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</si>
  <si>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</si>
  <si>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</si>
  <si>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</si>
  <si>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</si>
  <si>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</si>
  <si>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</si>
  <si>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</si>
  <si>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Kâr dağıtımı/hakedişi tahsilat esaslı nakit kârdan hesaplanır. Fiili ortak çekişi VIRMAN’dan kaydedilir; fazla çekiş AVANS olarak devreder.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</si>
  <si>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</si>
  <si>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</si>
  <si>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</si>
  <si>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</si>
  <si>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</si>
  <si>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</si>
  <si>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</si>
  <si>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</si>
  <si>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</si>
  <si>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</si>
  <si>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</si>
  <si>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</si>
  <si>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</si>
  <si>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</si>
  <si>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</si>
  <si>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</si>
  <si>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</si>
  <si>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</si>
  <si>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</si>
  <si>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</si>
  <si>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</si>
  <si>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</si>
  <si>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</si>
  <si>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</si>
  <si>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</si>
  <si>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</si>
  <si>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ortak cari ekstre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</si>
  <si>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</si>
  <si>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</si>
  <si>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</si>
  <si>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</si>
  <si>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</si>
  <si>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</si>
  <si>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</si>
  <si>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</si>
  <si>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</si>
  <si>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</si>
  <si>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</si>
  <si>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</si>
  <si>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</si>
  <si>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</si>
  <si>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</si>
  <si>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</si>
  <si>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</si>
  <si>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</si>
  <si>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</si>
  <si>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</si>
  <si>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</si>
  <si>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</si>
  <si>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Borç Sırası</t>
  </si>
  <si>
    <t>Cari Bakiye (Sıralama)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</si>
  <si>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</si>
  <si>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</si>
  <si>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</si>
  <si>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</si>
  <si>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</si>
  <si>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</si>
  <si>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</si>
  <si>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</si>
  <si>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</si>
  <si>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</si>
  <si>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</si>
  <si>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</si>
  <si>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</si>
  <si>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</si>
  <si>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</si>
  <si>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</si>
  <si>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</si>
  <si>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</si>
  <si>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</si>
  <si>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</si>
  <si>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</si>
  <si>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</si>
  <si>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</si>
  <si>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</si>
  <si>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</si>
  <si>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</si>
  <si>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</si>
  <si>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</si>
  <si>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</si>
  <si>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</si>
  <si>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</si>
  <si>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</si>
  <si>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</si>
  <si>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</si>
  <si>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</si>
  <si>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</si>
  <si>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</si>
  <si>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</si>
  <si>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</si>
  <si>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</si>
  <si>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</si>
  <si>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</si>
  <si>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</si>
  <si>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</si>
  <si>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</si>
  <si>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</si>
  <si>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</si>
  <si>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</si>
  <si>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</si>
  <si>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</si>
  <si>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</si>
  <si>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</si>
  <si>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</si>
  <si>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</si>
  <si>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</si>
  <si>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</si>
  <si>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</si>
  <si>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</si>
  <si>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</si>
  <si>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</si>
  <si>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</si>
  <si>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</si>
  <si>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</si>
  <si>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</si>
  <si>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</si>
  <si>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</si>
  <si>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</si>
  <si>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</si>
  <si>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</si>
  <si>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</si>
  <si>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</si>
  <si>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</si>
  <si>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</si>
  <si>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</si>
  <si>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</si>
  <si>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</si>
  <si>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</si>
  <si>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</si>
  <si>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</si>
  <si>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</si>
  <si>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</si>
  <si>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</si>
  <si>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</si>
  <si>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</si>
  <si>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</si>
  <si>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</si>
  <si>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</si>
  <si>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</si>
  <si>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</si>
  <si>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</si>
  <si>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</si>
  <si>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</si>
  <si>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</si>
  <si>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</si>
  <si>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</si>
  <si>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</si>
  <si>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</si>
  <si>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</si>
  <si>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</si>
  <si>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</si>
  <si>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</si>
  <si>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</si>
  <si>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</si>
  <si>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</si>
  <si>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</si>
  <si>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</si>
  <si>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</si>
  <si>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</si>
  <si>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</si>
  <si>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</si>
  <si>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</si>
  <si>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</si>
  <si>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</si>
  <si>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</si>
  <si>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</si>
  <si>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</si>
  <si>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</si>
  <si>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</si>
  <si>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</si>
  <si>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</si>
  <si>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</si>
  <si>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</si>
  <si>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</si>
  <si>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</si>
  <si>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</si>
  <si>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</si>
  <si>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</si>
  <si>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</si>
  <si>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</si>
  <si>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</si>
  <si>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</si>
  <si>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</si>
  <si>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</si>
  <si>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</si>
  <si>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</si>
  <si>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</si>
  <si>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</si>
  <si>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</si>
  <si>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</si>
  <si>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</si>
  <si>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</si>
  <si>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</si>
  <si>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</si>
  <si>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</si>
  <si>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</si>
  <si>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</si>
  <si>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</si>
  <si>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</si>
  <si>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</si>
  <si>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</si>
  <si>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Çayıralan Ltd.Şti.</t>
  </si>
  <si>
    <t>NAKİT ÖDENEN</t>
  </si>
  <si>
    <t>İldeş Ltd.Şti.</t>
  </si>
  <si>
    <t>Zümrüt Grup Ltd.Şti.</t>
  </si>
  <si>
    <t>ÖMER KARTAL</t>
  </si>
  <si>
    <t>ÖMER KARTALA ÖDENEN</t>
  </si>
  <si>
    <t xml:space="preserve">ALTINEL LTD.ŞTİ. </t>
  </si>
  <si>
    <t>ONUR BAKİYESİNE MAHSUP</t>
  </si>
  <si>
    <t>NAKİT ÖDENEN M.ALİ KARTAL</t>
  </si>
  <si>
    <t>2026/5 HAFTA VE 2 HAFTALIK FARK</t>
  </si>
  <si>
    <t>Ankara Havana Ltd.Şti.</t>
  </si>
  <si>
    <t>Eğlengör Ltd.Şti.</t>
  </si>
  <si>
    <t>Final Siyah Beyaz Ltd.Şti.</t>
  </si>
  <si>
    <t>İbrahim Maldan</t>
  </si>
  <si>
    <t>Monamour Ltd.Şti.</t>
  </si>
  <si>
    <t>Naz 1 Gıda Ltd.Şti.</t>
  </si>
  <si>
    <t>Pakyıldız Ltd.Şti.</t>
  </si>
  <si>
    <t>Rix Şow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</si>
  <si>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</si>
  <si>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</si>
  <si>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</si>
  <si>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</si>
  <si>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</si>
  <si>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</si>
  <si>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</si>
  <si>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</si>
  <si>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</si>
  <si>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Asım Açıkgöz</t>
  </si>
  <si>
    <t>Kristal Ltd.Şti.</t>
  </si>
  <si>
    <t>ASM Eğlence Ltd.Şti.</t>
  </si>
  <si>
    <t>Star Şow Ltd.Şti.</t>
  </si>
  <si>
    <t>Çınarhan Ltd.Şti.</t>
  </si>
  <si>
    <t>Palaoğulları Ltd.Şti.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</si>
  <si>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</si>
  <si>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</si>
  <si>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</si>
  <si>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</si>
  <si>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</si>
  <si>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</si>
  <si>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</si>
  <si>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</si>
  <si>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</si>
  <si>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</si>
  <si>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</si>
  <si>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</si>
  <si>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</si>
  <si>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</si>
  <si>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</si>
  <si>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</si>
  <si>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</si>
  <si>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</si>
  <si>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</si>
  <si>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</si>
  <si>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</si>
  <si>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</si>
  <si>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Çayıralan Ltd.Şti. Cari Hesap Bakiye Tashihi</t>
  </si>
  <si>
    <t>Asım Açıkgöz Cari Hesap Bakiye Tashihi</t>
  </si>
  <si>
    <t>ASM Eğlence Ltd.Şti. Cari Hesap Bakiye Tashihi</t>
  </si>
  <si>
    <t>Çınarhan Ltd.Şti. Cari Hesap Bakiye Tashihi</t>
  </si>
  <si>
    <t>Zümrüt Grup Ltd.Şti. Cari Hesap Bakiye Tashihi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</si>
  <si>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</si>
  <si>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</si>
  <si>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</si>
  <si>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</si>
  <si>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</si>
  <si>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</si>
  <si>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</si>
  <si>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</si>
  <si>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</si>
  <si>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</si>
  <si>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</si>
  <si>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</si>
  <si>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</si>
  <si>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</si>
  <si>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</si>
  <si>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</si>
  <si>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Gelir</t>
  </si>
  <si>
    <t>Diğer Gelirler</t>
  </si>
  <si>
    <t>YEDİYİRMİDÖRT LTD.ŞTİ. GEÇMİŞ KAYIT DÜZELTMELERİ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</si>
  <si>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</si>
  <si>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</si>
  <si>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</si>
  <si>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</si>
  <si>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</si>
  <si>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</si>
  <si>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</si>
  <si>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</si>
  <si>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</si>
  <si>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Ofis Vergi Ödemeleri</t>
  </si>
  <si>
    <t>Ocak Ayı Ofis Aidatı Ödemesi</t>
  </si>
  <si>
    <t>İsmail Harçlık</t>
  </si>
  <si>
    <t>Şubat Ayı Ofis Kira Ödemesi</t>
  </si>
  <si>
    <t>Şubat Ayı Ofis Aidatı Ödemesi</t>
  </si>
  <si>
    <t>Geçici Vergi Damga</t>
  </si>
  <si>
    <t>RİX LTD.ŞTİ. 2025 / 04  DÖNEM GEÇİCİ DAMGA</t>
  </si>
  <si>
    <t>İLDEŞ LTD.ŞTİ. 2025 / 04  DÖNEM GEÇİCİ DAMGA</t>
  </si>
  <si>
    <t>KRİSTAL LTD.ŞTİ. 2025 / 04  DÖNEM GEÇİCİ DAMGA</t>
  </si>
  <si>
    <t>FİNAL LTD.ŞTİ. 2025 / 04  DÖNEM GEÇİCİ DAMGA</t>
  </si>
  <si>
    <t>ZÜMRÜT GRUP LTD.ŞTİ. 2025 / 04  DÖNEM GEÇİCİ DAMGA</t>
  </si>
  <si>
    <t>ANKARA HAVANA LTD.ŞTİ. 2025 / 04  DÖNEM GEÇİCİ DAMGA</t>
  </si>
  <si>
    <t>ASM LTD.ŞTİ. 2025 / 04  DÖNEM GEÇİCİ DAMGA</t>
  </si>
  <si>
    <t>MONAMOUR LTD.ŞTİ. 2025 / 04  DÖNEM GEÇİCİ DAMGA</t>
  </si>
  <si>
    <t>NAZ 1 LTD.ŞTİ. 2025 / 04  DÖNEM GEÇİCİ DAMGA</t>
  </si>
  <si>
    <t>ÇINARHAN LTD.ŞTİ. 2025 / 04  DÖNEM GEÇİCİ DAMGA</t>
  </si>
  <si>
    <t>YALKENT LTD.ŞTİ. 2025 / 4 GEÇİCİ DAMGA</t>
  </si>
  <si>
    <t>Ofis Temizlik Alışverişi</t>
  </si>
  <si>
    <t>Kuruluş Ücreti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</si>
  <si>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</si>
  <si>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</si>
  <si>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</si>
  <si>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</si>
  <si>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</si>
  <si>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</si>
  <si>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GOLD LTD.ŞTİ. VE YSM LTD.ŞTİ. TAHSİLAT</t>
  </si>
  <si>
    <t>Zeynep Hanım Ramazan Primi</t>
  </si>
  <si>
    <t>Aralık KDV Ödemesi</t>
  </si>
  <si>
    <t>Geçici Vergi Damga Ödeme</t>
  </si>
  <si>
    <t>Müjgan Yavuz Asar Tahsilat Ocak - Şubat Muhasebe</t>
  </si>
  <si>
    <t>Şubat Bağkur Ödemesi</t>
  </si>
  <si>
    <t>Zeynep Hanım Maaş Mahsuben</t>
  </si>
  <si>
    <t>Mutfak Gereci</t>
  </si>
  <si>
    <t xml:space="preserve">Gıda Alışverişi </t>
  </si>
  <si>
    <t>Çay</t>
  </si>
  <si>
    <t>Ofis İnternet</t>
  </si>
  <si>
    <t>Defter Tasdik Geliri</t>
  </si>
  <si>
    <t xml:space="preserve">ARON LTD.ŞTİ. 2026 YILI DEFTER TASDİK 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</si>
  <si>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</si>
  <si>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</si>
  <si>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</si>
  <si>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</si>
  <si>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</si>
  <si>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</si>
  <si>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</si>
  <si>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EĞLENGÖR LTD.ŞTİ. SGK DANIŞMANLIK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</si>
  <si>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</si>
  <si>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</si>
  <si>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</si>
  <si>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</si>
  <si>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</si>
  <si>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</si>
  <si>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</si>
  <si>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</si>
  <si>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</si>
  <si>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</si>
  <si>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</si>
  <si>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ZÜMRÜT GRUP LTD.ŞTİ. SGK DANIŞMANLIK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</si>
  <si>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</si>
  <si>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</si>
  <si>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</si>
  <si>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</si>
  <si>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</si>
  <si>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</si>
  <si>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Kurumlar Vergisi Damga</t>
  </si>
  <si>
    <t>FİNAL LTD.ŞTİ. 2025 KURUMLAR DAMGA</t>
  </si>
  <si>
    <t>İLDEŞ LTD.ŞTİ. 2025 KURUMLAR DAMGA</t>
  </si>
  <si>
    <t>ASM EĞLENCE LTD.ŞTİ. 2025 KURUMLAR DAMGA</t>
  </si>
  <si>
    <t>RİX LTD.ŞTİ. 2025 KURUMLAR DAMGA</t>
  </si>
  <si>
    <t>ÇAYIRALAN LTD.ŞTİ. 2025 KURUMLAR DAMGA</t>
  </si>
  <si>
    <t>İBRAHİM MALDAN 2025 KURUMLAR DAMGA</t>
  </si>
  <si>
    <t>ASIM AÇIKGÖZ 2025 KURUMLAR DAMGA</t>
  </si>
  <si>
    <t>KRİSTAL LTD.ŞTİ. 2025 KURUMLAR DAMGA</t>
  </si>
  <si>
    <t>PALAOĞULLARI LTD.ŞTİ. 2025 KURUMLAR DAMGA</t>
  </si>
  <si>
    <t>ÇINARHAN LTD.ŞTİ. 2025 KURUMLAR DAMGA</t>
  </si>
  <si>
    <t>İSA DEMİRCİ 2025 KURUMLAR DAMGA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</si>
  <si>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</si>
  <si>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</si>
  <si>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</si>
  <si>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</si>
  <si>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</si>
  <si>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</si>
  <si>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</si>
  <si>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</si>
  <si>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</si>
  <si>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</si>
  <si>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</si>
  <si>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ALI KILIC 2025 YILI GELİR VERGİSİ İADE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</si>
  <si>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</si>
  <si>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</si>
  <si>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</si>
  <si>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</si>
  <si>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</si>
  <si>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</si>
  <si>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>KRİSTAL LTD.ŞTİ. 2026 / 1 GEÇİCİ DAMGA</t>
  </si>
  <si>
    <t>ÇAYIRALAN LTD.ŞTİ. 2026 / 1 GEÇİCİ DAMGA</t>
  </si>
  <si>
    <t>RİX LTD.ŞTİ.  2026 / 1 GEÇİCİ DAMGA</t>
  </si>
  <si>
    <t>ASM EĞLENCE LTD.ŞTİ.  2026 / 1 GEÇİCİ DAMGA</t>
  </si>
  <si>
    <t>FİNAL LTD.ŞTİ. 2026 / 1 GEÇİCİ DAMGA</t>
  </si>
  <si>
    <t>ZÜMRÜT GRUP LTD.ŞTİ. 2026 / 1 GEÇİCİ DAMGA</t>
  </si>
  <si>
    <t>PAKYILDIZ LTD.ŞTİ. 2026 / 1 GEÇİCİ DAMGA</t>
  </si>
  <si>
    <t>ÇINARHAN LTD.ŞTİ. 2026 / 1 GEÇİCİ DAMGA</t>
  </si>
  <si>
    <t xml:space="preserve">Mail Depolama </t>
  </si>
  <si>
    <t>Zeynep Nisan Maaşı Ödemesi</t>
  </si>
  <si>
    <t>Luca Kontör</t>
  </si>
  <si>
    <t>E-DEFTER KONTÖR</t>
  </si>
  <si>
    <t>2025 KURUMLAR DAMGA</t>
  </si>
  <si>
    <t>ASIM AÇIKGÖZ LUCA KONTÖR</t>
  </si>
  <si>
    <t>ELVAN ALTIPARMAK 10 GÜNLÜK SİGORTA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</si>
  <si>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</si>
  <si>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</si>
  <si>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</si>
  <si>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</si>
  <si>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</si>
  <si>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ESERLİ LTD.ŞTİ. LUCA KONTÖR</t>
  </si>
  <si>
    <t>RİX LTD.ŞTİ. LUCA KONTÖR</t>
  </si>
  <si>
    <t>EĞLENGÖR LTD.ŞTİ. LUCA KONTÖR</t>
  </si>
  <si>
    <t>ASM EĞLENCE LTD.ŞTİ. LUCA KONTÖR</t>
  </si>
  <si>
    <t>Ofis Whatsapp Hattı Temmuz</t>
  </si>
  <si>
    <t>MESUT KÖKLÜ KURULUŞ ÜCRETİ</t>
  </si>
  <si>
    <t>Zeynep Hanım Haziran Maaş Bakiye Ödemesi</t>
  </si>
  <si>
    <t>Araç Yakıt</t>
  </si>
  <si>
    <t>Irmak Maaş Ödemesi</t>
  </si>
  <si>
    <t>VANOLYA LTD.ŞTİ. KURULUŞ ÜCRETİ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</si>
  <si>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</si>
  <si>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</si>
  <si>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</si>
  <si>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</si>
  <si>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</si>
  <si>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KRİSTAL LTD.ŞTİ. 2026 / 2 GEÇİCİ DAMGA</t>
  </si>
  <si>
    <t>ASIM AÇIKGÖZ 2026 / 2 GEÇİCİ DAMGA</t>
  </si>
  <si>
    <t>RİX LTD.ŞTİ. 2026 / 2 GEÇİCİ DAMGA</t>
  </si>
  <si>
    <t>ASM EĞLENCE LTD.ŞTİ. 2026 / 2 GEÇİCİ DAMGA</t>
  </si>
  <si>
    <t>PAKYILDIZ LTD.ŞTİ.  2026 / 2 GEÇİCİ DAMGA</t>
  </si>
  <si>
    <t>FİNAL LTD.ŞTİ.  2026 / 2 GEÇİCİ DAMGA</t>
  </si>
  <si>
    <t>ZÜMRÜT GRUP LTD.ŞTİ. 2026 / 2 GEÇİCİ DAMGA</t>
  </si>
  <si>
    <t>ÇINARHAN LTD.ŞTİ. 2026 / 2 GEÇİCİ DAMGA</t>
  </si>
  <si>
    <t>YALKENT LTD.ŞTİ. 2026 / 2 GEÇİCİ DAMGA</t>
  </si>
  <si>
    <t>PALAOĞULLARI LTD.ŞTİ. 2026 / 2 GEÇİCİ DAMGA</t>
  </si>
  <si>
    <t>PINAR HANIM SİGORTA HAZİRAN</t>
  </si>
  <si>
    <t>PINAR HANIM SİGORTA TEMMUZ VE AĞUSTOS</t>
  </si>
  <si>
    <t>Temmuz Ağustos Eylül İşyeri Aidatı Ödemesi</t>
  </si>
  <si>
    <t>Ofis Whatsapp Hattı Ağustos</t>
  </si>
  <si>
    <t>Arman Dik Vergi Telafisi</t>
  </si>
  <si>
    <t>Temmuz Maaş Ödemesi</t>
  </si>
  <si>
    <t>KILIÇ MUHASEBE   │   KASA / BANKA ARASI VİRMAN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</si>
  <si>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</si>
  <si>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</si>
  <si>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</si>
  <si>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</si>
  <si>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</si>
  <si>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AVANS_KEY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</si>
  <si>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</si>
  <si>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</si>
  <si>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</si>
  <si>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</si>
  <si>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</si>
  <si>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</si>
  <si>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</si>
  <si>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</si>
  <si>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</si>
  <si>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</si>
  <si>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</si>
  <si>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ÖMER KARTAL CARİ HESAP KASAYA ÖDEDİĞİ</t>
  </si>
  <si>
    <t>KÂR PAYI / AVANS ÇEKİŞİ — Ocak Ayı Kâr Payı Ödemesi — eski GELIR_GIDER satır 26</t>
  </si>
  <si>
    <t>ALİ KILIÇ</t>
  </si>
  <si>
    <t>KÂR PAYI / AVANS ÇEKİŞİ — Ocak Ayı Kâr Payı Ödemesi — eski GELIR_GIDER satır 27</t>
  </si>
  <si>
    <t>KÂR PAYI / AVANS ÇEKİŞİ — Şubat Ayı Kâr Payı Ödemesi — eski GELIR_GIDER satır 66</t>
  </si>
  <si>
    <t>KÂR PAYI / AVANS ÇEKİŞİ — Şubat Ayı Kâr Payı Ödemesi — eski GELIR_GIDER satır 67</t>
  </si>
  <si>
    <t>KÂR PAYI / AVANS ÇEKİŞİ — Mart Ayı Kâr Payı Ödemesi — eski GELIR_GIDER satır 94</t>
  </si>
  <si>
    <t>KÂR PAYI / AVANS ÇEKİŞİ — Mart Ayı Kâr Payı Ödemesi — eski GELIR_GIDER satır 95</t>
  </si>
  <si>
    <t>KÂR PAYI / AVANS ÇEKİŞİ — Nisan Ayı Kâr Payı Ödemesi — eski GELIR_GIDER satır 134</t>
  </si>
  <si>
    <t>KÂR PAYI / AVANS ÇEKİŞİ — Nisan Ayı Kâr Payı Ödemesi — eski GELIR_GIDER satır 135</t>
  </si>
  <si>
    <t>KÂR PAYI / AVANS ÇEKİŞİ — Mayıs Ayı Kâr Payı Ödemesi — eski GELIR_GIDER satır 167</t>
  </si>
  <si>
    <t>KÂR PAYI / AVANS ÇEKİŞİ — Mayıs Ayı Kâr Payı Ödemesi — eski GELIR_GIDER satır 168</t>
  </si>
  <si>
    <t>KÂR PAYI / AVANS ÇEKİŞİ — Haziran Ayı Kâr Payı Ödemesi — eski GELIR_GIDER satır 184</t>
  </si>
  <si>
    <t>KÂR PAYI / AVANS ÇEKİŞİ — Haziran Ayı Kâr Payı Ödemesi — eski GELIR_GIDER satır 185</t>
  </si>
  <si>
    <t>KÂR PAYI / AVANS ÇEKİŞİ — Temmuz Ayı Kâr Payı Ödemesi — eski GELIR_GIDER satır 196</t>
  </si>
  <si>
    <t>KÂR PAYI / AVANS ÇEKİŞİ — Temmuz Ayı Kâr Payı Ödemesi — eski GELIR_GIDER satır 197</t>
  </si>
  <si>
    <t>KILIÇ MUHASEBE   │   ORTAK CARİ HESAP EKSTRESİ</t>
  </si>
  <si>
    <t>BU EKRANA KAYIT GİRİLMEZ   │   Ortak seçin; müşteriden aldığı tahsilatlar, virmanlar, kâr payı hakedişi ve çekiş/avans hareketleri tarih sırasıyla otomatik listelenir</t>
  </si>
  <si>
    <t>⚠  ORTAK CARİ: BORÇ = müşteriden aldığı + hesabına gelen virman. ALACAK = kasaya/ofise ödediği + kâr payı hakedişi. Ortak çekiş/avans yalnız VIRMAN’dan izlenir; hakediş üstü çekiş AVANS olarak kalır ve sistemi kilitlemez.</t>
  </si>
  <si>
    <t>1.  ORTAK TANIMLARI VE CARİ ÖZETİ       ✎  SARI SÜTUNLAR GİRİLEBİLİR</t>
  </si>
  <si>
    <t>Ortak Adı</t>
  </si>
  <si>
    <t>Kasa Hesabı</t>
  </si>
  <si>
    <t>Müşteriden Alınan (BORÇ)</t>
  </si>
  <si>
    <t>Virmanla Gelen (BORÇ)</t>
  </si>
  <si>
    <t>Kasaya/Ofise Ödenen (ALACAK)</t>
  </si>
  <si>
    <t>Kâr Payı Tahakkuku (ALACAK)</t>
  </si>
  <si>
    <t>NET CARİ</t>
  </si>
  <si>
    <t>Ortak Çekiş / Avans  (BİLGİ — Virmanla Gelen içindeki alt kırılım)</t>
  </si>
  <si>
    <t>Cari Durumu</t>
  </si>
  <si>
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</si>
  <si>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</si>
  <si>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</si>
  <si>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</si>
  <si>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</si>
  <si>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</si>
  <si>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</si>
  <si>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ORTAK CARİ EKSTRESİ       ◈  SALT OKUNUR — yalnız ortak seçin   │   BORÇ = müşteriden aldığı + ortağa gelen virman   │   ALACAK = ofise ödediği + kâr payı tahakkuku</t>
  </si>
  <si>
    <t>ORTAK SEÇ</t>
  </si>
  <si>
    <t>Sıra</t>
  </si>
  <si>
    <t>Hareket Türü</t>
  </si>
  <si>
    <t>BORÇ</t>
  </si>
  <si>
    <t>ALACAK</t>
  </si>
  <si>
    <t>NET BAKİYE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</si>
  <si>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</si>
  <si>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</si>
  <si>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</si>
  <si>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</si>
  <si>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</si>
  <si>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</si>
  <si>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</si>
  <si>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</si>
  <si>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</si>
  <si>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</si>
  <si>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</si>
  <si>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</si>
  <si>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</si>
  <si>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</si>
  <si>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</si>
  <si>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</si>
  <si>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Liste CARİ BAKİYEYE göre büyükten küçüğe otomatik sıralanır; rakam yanlışsa kaynak ekranı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</si>
  <si>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</si>
  <si>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</si>
  <si>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</si>
  <si>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</si>
  <si>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</si>
  <si>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</si>
  <si>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</si>
  <si>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</si>
  <si>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</si>
  <si>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EKSİ BAKİYE = çıkışlar, açılış + nakit girişlerinden fazla. Sistem rakamı gizlemez; KASA AÇIĞI sütunundan eksik tutarı görün ve açılış/eksik giriş kaydını kontrol edin.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</si>
  <si>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</si>
  <si>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</si>
  <si>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</si>
  <si>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</si>
  <si>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</si>
  <si>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</si>
  <si>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</si>
  <si>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</si>
  <si>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</si>
  <si>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 Açığı</t>
  </si>
  <si>
    <t>Kasa</t>
  </si>
  <si>
    <t>GARANTİBANK</t>
  </si>
  <si>
    <t>Banka</t>
  </si>
  <si>
    <t>ZİRAATBANK</t>
  </si>
  <si>
    <t>⚙  KARMA EKRAN — YALNIZ SARI ALANLARA YAZIN</t>
  </si>
  <si>
    <t>KILIÇ MUHASEBE   │   AY SONU KAPANIŞI VE ORTAK PAY DAĞITIMI</t>
  </si>
  <si>
    <t>YALNIZ SARI ALANLAR GİRİLEBİLİR   │   KÂR TAHSİLAT ESASLIDIR │ Ortak çekişleri gider değildir; hakedişi aşan tutar AVANS olarak eksi bakiye gösterilir ve dönemi KİLİTLEMEZ</t>
  </si>
  <si>
    <t>36 AYLIK TOPLAM</t>
  </si>
  <si>
    <t>Tahakkuk Bilgisi (KÂR DIŞI)</t>
  </si>
  <si>
    <t>Müşteri Tahsilatı (GELİR)</t>
  </si>
  <si>
    <t>Diğer Gerçekleşen Gelir</t>
  </si>
  <si>
    <t>Toplam Gerçekleşen Gelir</t>
  </si>
  <si>
    <t>Gerçekleşen Gider</t>
  </si>
  <si>
    <t>Tahakkuk Sonucu (BİLGİ)</t>
  </si>
  <si>
    <t>NAKİT KÂR (TAHSİLAT ESASLI)</t>
  </si>
  <si>
    <t>Tahsilat / Tahakkuk Oranı (BİLGİ)</t>
  </si>
  <si>
    <t>Kasa Tamponu</t>
  </si>
  <si>
    <t>Dağıtılabilir Nakit Kâr (Birikimli)</t>
  </si>
  <si>
    <t>Ortak 1 Kâr Payı Hakedişi</t>
  </si>
  <si>
    <t>Ortak 2 Kâr Payı Hakedişi</t>
  </si>
  <si>
    <t>Dönem Kapandı mı?</t>
  </si>
  <si>
    <t>Ortak 1 Çekiş / Avans</t>
  </si>
  <si>
    <t>Ortak 2 Çekiş / Avans</t>
  </si>
  <si>
    <t>Toplam Kâr Payı Bakiye / Avans</t>
  </si>
  <si>
    <t>Kontrol / Kapatılamama Nedeni</t>
  </si>
  <si>
    <t>Hayır</t>
  </si>
  <si>
    <t>KILIÇ MUHASEBE   │   ORTAKLAR  │  PAY ORANLARI VE CARİ HESAP</t>
  </si>
  <si>
    <t>YALNIZ SARI ALANLAR GİRİLEBİLİR   │   Kâr payı hakedişi TAHSİLAT ESASLI nakit kârdan oluşur │ Ortak çekişleri VIRMAN’dan kaydedilir; hakedişi aşan çekiş AVANS olur</t>
  </si>
  <si>
    <t>⚠  ORTAK CARİ: BORÇ = müşteriden aldığı + hesabına gelen virman. ALACAK = kasaya/ofise ödediği + tahsilat esaslı kâr payı hakedişi. Kâr payını aşan çekiş ayrıca AVANS olarak eksi/kırmızı gösterilir; sistem kilitlenmez.</t>
  </si>
  <si>
    <t>Kâr Payı Hakedişi (ALACAK)</t>
  </si>
  <si>
    <t>Kâr Payı Bakiye / Avans  (eksi = AVANS)</t>
  </si>
  <si>
    <t>Cari / Avans Durumu</t>
  </si>
  <si>
    <t>▪  NET CARİ = (müşteriden alınan + ortağa gelen virman) – (ortağın ofise ödediği + kâr payı hakedişi).   ▪  Kâr payı çekişi GELİR/GİDER değildir; VIRMAN ile partner hesabına geçer.   ▪  Kâr Payı Bakiye / Avans = hakediş − çekiş. Negatif değer AVANS’tır, kırmızı görünür ve dönemi kilitlemez.</t>
  </si>
  <si>
    <t>3.  KÂR PAYI / AVANS EKSTRESİ       ◈  SALT OKUNUR — yalnız ortak seçin   │   hakediş = alacak, çekiş/avans = borç</t>
  </si>
  <si>
    <t>HAK EDİŞ (Alacak)</t>
  </si>
  <si>
    <t>ÇEKİŞ / AVANS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</si>
  <si>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</si>
  <si>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</si>
  <si>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</si>
  <si>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</si>
  <si>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</si>
  <si>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</si>
  <si>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</si>
  <si>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</si>
  <si>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</si>
  <si>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</si>
  <si>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</si>
  <si>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</si>
  <si>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</si>
  <si>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</si>
  <si>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</si>
  <si>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</si>
  <si>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Ortak 1 Payı</t>
  </si>
  <si>
    <t>DÖNEMSEL ORAN ORTAKLAR SAYFASINDAN YÖNETİLİR</t>
  </si>
  <si>
    <t>Bilgi amaçlı</t>
  </si>
  <si>
    <t>Ortak 2 Payı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</si>
  <si>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</si>
  <si>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</si>
  <si>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</si>
  <si>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</si>
  <si>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</si>
  <si>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</si>
  <si>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</si>
  <si>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</si>
  <si>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</si>
  <si>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</si>
  <si>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</si>
  <si>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</si>
  <si>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</si>
  <si>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</si>
  <si>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</si>
  <si>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</si>
  <si>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</si>
  <si>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</si>
  <si>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</si>
  <si>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</si>
  <si>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</si>
  <si>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</si>
  <si>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</si>
  <si>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</si>
  <si>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</si>
  <si>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</si>
  <si>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</si>
  <si>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</si>
  <si>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</si>
  <si>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</si>
  <si>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</si>
  <si>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</si>
  <si>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</si>
  <si>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</si>
  <si>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</si>
  <si>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</si>
  <si>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</si>
  <si>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</si>
  <si>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</si>
  <si>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</si>
  <si>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</si>
  <si>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</si>
  <si>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</si>
  <si>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</si>
  <si>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</si>
  <si>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</si>
  <si>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</si>
  <si>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</si>
  <si>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</si>
  <si>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</si>
  <si>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</si>
  <si>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</si>
  <si>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</si>
  <si>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</si>
  <si>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</si>
  <si>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</si>
  <si>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</si>
  <si>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</si>
  <si>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</si>
  <si>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</si>
  <si>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</si>
  <si>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</si>
  <si>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</si>
  <si>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</si>
  <si>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</si>
  <si>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</si>
  <si>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Negatif hesap bakiyesi</t>
  </si>
  <si>
    <t>BİLGİ</t>
  </si>
  <si>
    <t>İzle</t>
  </si>
  <si>
    <t>Ortak pay dağıtım hatası</t>
  </si>
  <si>
    <t>Dağıtılan pay toplamı tutmalı</t>
  </si>
  <si>
    <t>Ortak gider kalemi çakışması</t>
  </si>
  <si>
    <t>VIRMAN kullanılır</t>
  </si>
  <si>
    <t>Kâr payı/ortak çekişi gider kalemi değildir. Para çıkışı VIRMAN ekranında kasa/bankadan ortak hesabına kaydedilir; fazla çekiş AVANS olur.</t>
  </si>
  <si>
    <t>—</t>
  </si>
  <si>
    <t>Ortak gider kalemi eksik</t>
  </si>
  <si>
    <t>Ortak oran tanım hatası</t>
  </si>
  <si>
    <t>Ortak pay oranı dönem satırlarında hata olmamalı</t>
  </si>
  <si>
    <t>Muhasebe Hizmet Geliri (sözleşme dışı)</t>
  </si>
  <si>
    <t>Ortakların ofise net borcu</t>
  </si>
  <si>
    <t>Net carisi pozitif olan ortakların ofise toplam borcu</t>
  </si>
  <si>
    <t>Beyanname / Bildirim Ücreti</t>
  </si>
  <si>
    <t>Ofisin ortaklara net borcu</t>
  </si>
  <si>
    <t>Net carisi negatif olan ortaklara ofisin toplam borcu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</si>
  <si>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</si>
  <si>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</si>
  <si>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</si>
  <si>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</si>
  <si>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</si>
  <si>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</si>
  <si>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</si>
  <si>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</si>
  <si>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AÇIKLAMA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</si>
  <si>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</si>
  <si>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</si>
  <si>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</si>
  <si>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</si>
  <si>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</si>
  <si>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</si>
  <si>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</si>
  <si>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</si>
  <si>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</si>
  <si>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</si>
  <si>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</si>
  <si>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</si>
  <si>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</si>
  <si>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</si>
  <si>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Ortak pay dönemi hatası</t>
  </si>
  <si>
    <t>Başlangıç/oran/tarih eksik veya hatalı pay dönemi</t>
  </si>
  <si>
    <t>Ortak net cari toplamı</t>
  </si>
  <si>
    <t>Pozitif = ortaklar ofise borçlu; negatif = ofis ortaklara borçlu</t>
  </si>
  <si>
    <t>Ofisten alacaklı ortak</t>
  </si>
  <si>
    <t>Net cari bakiyesi negatif olan ortak sayısı — hata değildir; ofisin ortağa borcunu gösterir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</si>
  <si>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</si>
  <si>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</si>
  <si>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</si>
  <si>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</si>
  <si>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</si>
  <si>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</si>
  <si>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</si>
  <si>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</si>
  <si>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</si>
  <si>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</si>
  <si>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</si>
  <si>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</si>
  <si>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</si>
  <si>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</si>
  <si>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</si>
  <si>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</si>
  <si>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</si>
  <si>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</si>
  <si>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</si>
  <si>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</si>
  <si>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Aktif ortak parametre eşleşmesi</t>
  </si>
  <si>
    <t>Aktif ortak SISTEM C9/C10 ortak parametrelerinden birine bağlı olmalı</t>
  </si>
  <si>
    <t>Ortak tahsilat anahtar kapsaması</t>
  </si>
  <si>
    <t>Ortak hesabına gelen müşteri tahsilatının ORTAK_EKSTRE anahtarı boş kalmamalı</t>
  </si>
  <si>
    <t>Ortak cari matematik değişmezi</t>
  </si>
  <si>
    <t>Net ortak cari = müşteriden alınan + virmanla gelen − ofise ödenen − kâr payı tahakkuku</t>
  </si>
  <si>
    <t>Seçili ortak ekstre mutabakatı</t>
  </si>
  <si>
    <t>ORTAK_EKSTRE son bakiyesi seçili ortağın ORTAKLAR net carisine eşit olmalı</t>
  </si>
  <si>
    <t>Kâr sayfası kategori + toplam mutabakatı</t>
  </si>
  <si>
    <t>KÂR T cetveli tahsilat esaslı olmalı: gelir = TAHSILAT F toplamı + GELIR_GIDER Tür=Gelir toplamı; gider = GELIR_GIDER Tür=Gider toplamı.</t>
  </si>
  <si>
    <t>Kâr gelir payları toplamı</t>
  </si>
  <si>
    <t>Gelir varsa gelir kalemi paylarının toplamı %100 olmalı</t>
  </si>
  <si>
    <t>Kâr gider payları toplamı</t>
  </si>
  <si>
    <t>Gider varsa gider kalemi paylarının toplamı %100 olmalı</t>
  </si>
  <si>
    <t>Kâr faaliyet kârı kimliği</t>
  </si>
  <si>
    <t>İşletme/nakit kârı = gerçekleşen toplam gelir − gerçekleşen işletme giderleri; ortak çekiş/avans kâr dışıdır</t>
  </si>
  <si>
    <t>Kâr tahsilat gelir bağı</t>
  </si>
  <si>
    <t>KÂR müşteri tahsilatı TAHSILAT sayfası F Tutar sütunu ile birebir eşit olmalı</t>
  </si>
  <si>
    <t>Kâr gider dip toplam bağı</t>
  </si>
  <si>
    <t>KÂR gider dip toplamı gider defterinin tamamına eşit olmalı</t>
  </si>
  <si>
    <t>Ortak çekiş / avans bilgi bağı</t>
  </si>
  <si>
    <t>KÂR sayfasındaki ortak çekiş/avans bilgi toplamı VIRMAN kaynak kayıtlarıyla eşit olmalı; tutarın yüksek olması hata değildir</t>
  </si>
  <si>
    <t>Kâr ekranı iç mutabakat rozeti</t>
  </si>
  <si>
    <t>GEÇTİ</t>
  </si>
  <si>
    <t>KÂR ekranındaki kategori/toplam mutabakatı GEÇTİ olmalı</t>
  </si>
  <si>
    <t>Ortak çekişi yanlışlıkla gider defterinde</t>
  </si>
  <si>
    <t>Ortak çekiş/avans GELIR_GIDER gideri olamaz; yalnız VIRMAN üzerinden ortak hesabına kaydedilir.</t>
  </si>
  <si>
    <t>Gider listesinde eski kâr payı kategorisi</t>
  </si>
  <si>
    <t>Gider açılır listesinde Kâr Payı kategorisi bulunmamalı; ortak çekişleri gider değildir.</t>
  </si>
  <si>
    <t>Ortak kâr payı bakiye / avans mutabakatı</t>
  </si>
  <si>
    <t>Kâr Payı Bakiye/Avans = hakediş − VIRMAN çekiş/avans. Negatif bakiye AVANS olabilir ve tek başına hata değildir.</t>
  </si>
  <si>
    <t>KILIÇ MUHASEBE   │   KÂR / T CETVELİ   │   TAHSİLAT ESASLI GELİR - GİDER</t>
  </si>
  <si>
    <t>Bu ekran TAHSİLAT ESASLI kârı gösterir. Gelir = gerçekleşen müşteri tahsilatları + gerçekleşen diğer gelirler. Gider = gerçekleşen işletme giderleri. Ortak çekişleri/kâr dağıtımları GİDER DEĞİLDİR; VIRMAN üzerinden ortak carisine/avansa gider ve kârı azaltmaz.</t>
  </si>
  <si>
    <t>GELİRLER  │  BİRİKİMLİ DİP TOPLAM</t>
  </si>
  <si>
    <t>│</t>
  </si>
  <si>
    <t>GİDERLER  │  BİRİKİMLİ DİP TOPLAM</t>
  </si>
  <si>
    <t>Gelir Kalemi</t>
  </si>
  <si>
    <t>Birikimli Tutar</t>
  </si>
  <si>
    <t>Pay %</t>
  </si>
  <si>
    <t>Gider Kalemi</t>
  </si>
  <si>
    <t>Müşteri Tahsilatları (Gerçekleşen)</t>
  </si>
  <si>
    <t>DİP TOPLAM GELİR</t>
  </si>
  <si>
    <t>DİP TOPLAM GİDER</t>
  </si>
  <si>
    <t>T CETVELİ NET FARK  (Gelir − Tüm Gider)</t>
  </si>
  <si>
    <t>Diğer Gelir Kayıt Sayısı</t>
  </si>
  <si>
    <t>İŞLETME / NAKİT KÂRI  (ORTAK ÇEKİŞLERİ KÂR DIŞI)</t>
  </si>
  <si>
    <t>Tahsilat Kayıt Sayısı</t>
  </si>
  <si>
    <t>ORTAK ÇEKİŞ / AVANS  (KÂR DIŞI — BİLGİ)</t>
  </si>
  <si>
    <t>Gider Kayıt Sayısı</t>
  </si>
  <si>
    <t>FAALİYET KÂR MARJI</t>
  </si>
  <si>
    <t>Kategori / Toplam Mutabakatı</t>
  </si>
  <si>
    <t>PAY MUTABAKATI</t>
  </si>
  <si>
    <t>GİDER PAYLARI TOPLAMI</t>
  </si>
  <si>
    <t>YÖNETİM ÖZETİ  │  KÂR KALİTESİ VE NAKİT DÖNÜŞÜMÜ</t>
  </si>
  <si>
    <t>Müşteri Tahsilatları</t>
  </si>
  <si>
    <t>Diğer Gerçekleşen Gelirler</t>
  </si>
  <si>
    <t>Gider / Gelir Oranı</t>
  </si>
  <si>
    <t>Net Nakit Kâr</t>
  </si>
  <si>
    <t>Net Kâr Marjı</t>
  </si>
  <si>
    <t>Faaliyet Kârı (Dağıtım Hariç)</t>
  </si>
  <si>
    <t>ORTAK ÇEKİŞ / AVANS</t>
  </si>
  <si>
    <t>KONTROL DURUMU</t>
  </si>
  <si>
    <t>KÂR SAYFASI VERİ KAYNAĞI</t>
  </si>
  <si>
    <t>TAHSILAT gerçekleşen tahsilatlar + GELIR_GIDER gerçekleşen gelir/gider kayıtları</t>
  </si>
  <si>
    <t>NOT</t>
  </si>
  <si>
    <t>KÂR hesabı tahsilat esaslıdır: gerçekleşen müşteri tahsilatları + gerçekleşen diğer gelirler − gerçekleşen işletme giderleri. Tahakkuklar ve ortak çekiş/avansları KÂR hesabına dahil edilmez; çekişler VIRMAN üzerinden ortak carisinde izlenir.</t>
  </si>
  <si>
    <t>M.ALİ KARTAL VİRMAN KAYDI</t>
  </si>
  <si>
    <t>CEREN DEMİRCİ SGK</t>
  </si>
  <si>
    <t xml:space="preserve">OCAK ŞUBAT MART SGK </t>
  </si>
  <si>
    <t>Ağustos Bakiye Maaş Ödemesi</t>
  </si>
  <si>
    <t>SARI HÜCRELERE YAZIN   │   Kasa↔Banka virmanı toplam likiditeyi değiştirmez; Kasa/Banka→Ortak çekiş/avans PANO KASA+BANKA’yı azaltır.</t>
  </si>
  <si>
    <t>⚠  KÂR PAYI / AVANS: Para Çıkan = Kasa/Banka, Para Giren = Ortak, Açıklama “KÂR PAYI / AVANS”. GELİR_GİDER’e yazmayın.</t>
  </si>
  <si>
    <t>Ortak Cari</t>
  </si>
  <si>
    <t>KASA + BANKA POZİSYONU  (ORTAK CARİ HARİÇ)</t>
  </si>
  <si>
    <t>⚠  AY SONU KULLANIMI: 1) S sütununda KAPANABİLİR gör. 2) M/N hakedişi kontrol et. 3) Ödeme yapacaksan VIRMAN’da Kasa/Banka → Ortak ve açıklama “KÂR PAYI / AVANS” gir. 4) P/Q otomatik dolar ve PANO KASA+BANKA azalır. 5) Kontroller temizse O sütununu Evet yap. Kâr payını GELİR_GİDER’e yazma.</t>
  </si>
  <si>
    <t>Kâr payı/avans kaydı: VIRMAN → Kasa/Banka’dan Ortak’a. Hakedişi aşan çekiş AVANS olur; kırmızı eksi gösterilir, tek başına kapanışı engellemez.</t>
  </si>
  <si>
    <t>Kasa/Banka satırları toplamı = genel likit nakit toplamı; Ortak Cari hesapları fiziksel nakde dahil değildir.</t>
  </si>
  <si>
    <t>Bakiyesi eksiye düşen gerçek Kasa/Banka hesabı incelenmeli; Ortak Cari bu kontrolde nakit hesabı sayılmaz.</t>
  </si>
  <si>
    <t>Kâr gider payında sessiz sıfır — yalnız dolu kategori</t>
  </si>
  <si>
    <t>Yalnız dolu gider kategorilerinde pozitif tutarın Pay % hücresi sıfır olamaz; boş kategori satırları kontrol dışıdır.</t>
  </si>
  <si>
    <t>Kâr gelir payında sessiz sıfır — yalnız dolu kategori</t>
  </si>
  <si>
    <t>Yalnız dolu gelir kategorilerinde pozitif tutarın Pay % hücresi sıfır olamaz; boş kategori satırları kontrol dışıdır.</t>
  </si>
  <si>
    <t>PANO Kasa+Banka ortak cari hariç</t>
  </si>
  <si>
    <t>PANO KASA+BANKA yalnız gerçek Kasa/Banka hesaplarını içerir. Ortak Cari hariçtir; Kasa/Banka→Ortak kâr payı/avans VIRMAN’ı PANO likiditesini azaltmalıdır.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</si>
</sst>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\ [$₺-41F];[Red]\-#,##0.00\ [$₺-41F];\–"/>
  </numFmts>
  <fonts count="85" x14ac:knownFonts="1">
    <font>
      <sz val="10"/>
      <color rgb="FF0F172A"/>
      <name val="Segoe UI"/>
      <charset val="1"/>
    </font>
    <font>
      <b/>
      <sz val="10.5"/>
      <color rgb="FF2B333F"/>
      <name val="Segoe UI"/>
      <family val="2"/>
      <charset val="162"/>
    </font>
    <font>
      <b/>
      <sz val="14"/>
      <color rgb="FFFFFFFF"/>
      <name val="Segoe UI"/>
      <family val="2"/>
      <charset val="162"/>
    </font>
    <font>
      <sz val="11"/>
      <color theme="1"/>
      <name val="Segoe UI"/>
      <family val="2"/>
      <charset val="162"/>
    </font>
    <font>
      <sz val="10.5"/>
      <color rgb="FFCBD5E1"/>
      <name val="Segoe UI"/>
      <family val="2"/>
      <charset val="162"/>
    </font>
    <font>
      <sz val="10.5"/>
      <color rgb="FF64748B"/>
      <name val="Segoe UI"/>
      <family val="2"/>
      <charset val="162"/>
    </font>
    <font>
      <b/>
      <sz val="9.5"/>
      <color rgb="FFC6A15B"/>
      <name val="Segoe UI"/>
      <family val="2"/>
      <charset val="162"/>
    </font>
    <font>
      <b/>
      <sz val="10.5"/>
      <color rgb="FF64748B"/>
      <name val="Segoe UI"/>
      <family val="2"/>
      <charset val="162"/>
    </font>
    <font>
      <b/>
      <sz val="11.5"/>
      <color rgb="FFFFFFFF"/>
      <name val="Segoe UI"/>
      <family val="2"/>
      <charset val="162"/>
    </font>
    <font>
      <b/>
      <sz val="16"/>
      <color rgb="FF0F172A"/>
      <name val="Segoe UI"/>
      <family val="2"/>
      <charset val="162"/>
    </font>
    <font>
      <sz val="11.5"/>
      <color rgb="FFC3D6EA"/>
      <name val="Segoe UI"/>
      <family val="2"/>
      <charset val="162"/>
    </font>
    <font>
      <b/>
      <sz val="11.5"/>
      <color rgb="FF17324D"/>
      <name val="Segoe UI"/>
      <family val="2"/>
      <charset val="162"/>
    </font>
    <font>
      <b/>
      <sz val="12.5"/>
      <color rgb="FF1D4ED8"/>
      <name val="Segoe UI"/>
      <family val="2"/>
      <charset val="162"/>
    </font>
    <font>
      <sz val="11"/>
      <color rgb="FF0F172A"/>
      <name val="Segoe UI"/>
      <family val="2"/>
      <charset val="162"/>
    </font>
    <font>
      <b/>
      <sz val="13"/>
      <color rgb="FFA32D2D"/>
      <name val="Segoe UI"/>
      <family val="2"/>
      <charset val="162"/>
    </font>
    <font>
      <sz val="11"/>
      <color rgb="FF64748B"/>
      <name val="Segoe UI"/>
      <family val="2"/>
      <charset val="162"/>
    </font>
    <font>
      <sz val="11.5"/>
      <color rgb="FF0F172A"/>
      <name val="Segoe UI"/>
      <family val="2"/>
      <charset val="162"/>
    </font>
    <font>
      <b/>
      <sz val="13"/>
      <color rgb="FF854F0B"/>
      <name val="Segoe UI"/>
      <family val="2"/>
      <charset val="162"/>
    </font>
    <font>
      <b/>
      <sz val="13"/>
      <color rgb="FF185FA5"/>
      <name val="Segoe UI"/>
      <family val="2"/>
      <charset val="162"/>
    </font>
    <font>
      <b/>
      <sz val="11.5"/>
      <color rgb="FF0F172A"/>
      <name val="Segoe UI"/>
      <family val="2"/>
      <charset val="162"/>
    </font>
    <font>
      <b/>
      <sz val="12"/>
      <color rgb="FF1D3B58"/>
      <name val="Segoe UI"/>
      <family val="2"/>
      <charset val="162"/>
    </font>
    <font>
      <b/>
      <sz val="10.5"/>
      <color rgb="FFFFFFFF"/>
      <name val="Segoe UI"/>
      <family val="2"/>
      <charset val="162"/>
    </font>
    <font>
      <b/>
      <sz val="18"/>
      <color rgb="FF17324D"/>
      <name val="Segoe UI"/>
      <family val="2"/>
      <charset val="162"/>
    </font>
    <font>
      <i/>
      <sz val="11"/>
      <color rgb="FF64748B"/>
      <name val="Segoe UI"/>
      <family val="2"/>
      <charset val="162"/>
    </font>
    <font>
      <b/>
      <sz val="12"/>
      <color rgb="FF17324D"/>
      <name val="Segoe UI"/>
      <family val="2"/>
      <charset val="162"/>
    </font>
    <font>
      <b/>
      <sz val="11"/>
      <color rgb="FF2563EB"/>
      <name val="Segoe UI"/>
      <family val="2"/>
      <charset val="162"/>
    </font>
    <font>
      <b/>
      <sz val="11"/>
      <color rgb="FF17324D"/>
      <name val="Segoe UI"/>
      <family val="2"/>
      <charset val="162"/>
    </font>
    <font>
      <b/>
      <sz val="14"/>
      <color rgb="FF1D4ED8"/>
      <name val="Segoe UI"/>
      <family val="2"/>
      <charset val="162"/>
    </font>
    <font>
      <b/>
      <sz val="11"/>
      <color rgb="FF1D4ED8"/>
      <name val="Segoe UI"/>
      <family val="2"/>
      <charset val="162"/>
    </font>
    <font>
      <b/>
      <sz val="14"/>
      <color rgb="FF0F172A"/>
      <name val="Segoe UI"/>
      <family val="2"/>
      <charset val="162"/>
    </font>
    <font>
      <b/>
      <sz val="11"/>
      <color rgb="FF0F172A"/>
      <name val="Segoe UI"/>
      <family val="2"/>
      <charset val="162"/>
    </font>
    <font>
      <b/>
      <sz val="14"/>
      <color rgb="FF854F0B"/>
      <name val="Segoe UI"/>
      <family val="2"/>
      <charset val="162"/>
    </font>
    <font>
      <b/>
      <sz val="11"/>
      <color rgb="FF854F0B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14"/>
      <color rgb="FF64748B"/>
      <name val="Segoe UI"/>
      <family val="2"/>
      <charset val="162"/>
    </font>
    <font>
      <b/>
      <sz val="11"/>
      <color rgb="FF64748B"/>
      <name val="Segoe UI"/>
      <family val="2"/>
      <charset val="162"/>
    </font>
    <font>
      <b/>
      <sz val="14"/>
      <color rgb="FF17324D"/>
      <name val="Segoe UI"/>
      <family val="2"/>
      <charset val="162"/>
    </font>
    <font>
      <b/>
      <sz val="14"/>
      <color rgb="FF0F6E56"/>
      <name val="Segoe UI"/>
      <family val="2"/>
      <charset val="162"/>
    </font>
    <font>
      <b/>
      <sz val="11"/>
      <color rgb="FF0F6E56"/>
      <name val="Segoe UI"/>
      <family val="2"/>
      <charset val="162"/>
    </font>
    <font>
      <b/>
      <sz val="14"/>
      <color rgb="FFA32D2D"/>
      <name val="Segoe UI"/>
      <family val="2"/>
      <charset val="162"/>
    </font>
    <font>
      <b/>
      <sz val="11"/>
      <color rgb="FFA32D2D"/>
      <name val="Segoe UI"/>
      <family val="2"/>
      <charset val="162"/>
    </font>
    <font>
      <b/>
      <sz val="10.5"/>
      <color rgb="FFA32D2D"/>
      <name val="Segoe UI"/>
      <family val="2"/>
      <charset val="162"/>
    </font>
    <font>
      <b/>
      <sz val="14"/>
      <color rgb="FF0F766E"/>
      <name val="Segoe UI"/>
      <family val="2"/>
      <charset val="162"/>
    </font>
    <font>
      <b/>
      <sz val="14"/>
      <color rgb="FF6A4C93"/>
      <name val="Segoe UI"/>
      <family val="2"/>
      <charset val="162"/>
    </font>
    <font>
      <b/>
      <sz val="14"/>
      <color rgb="FF1565C0"/>
      <name val="Segoe UI"/>
      <family val="2"/>
      <charset val="162"/>
    </font>
    <font>
      <b/>
      <sz val="14"/>
      <color rgb="FFD97706"/>
      <name val="Segoe UI"/>
      <family val="2"/>
      <charset val="162"/>
    </font>
    <font>
      <b/>
      <sz val="14"/>
      <color rgb="FF0E7490"/>
      <name val="Segoe UI"/>
      <family val="2"/>
      <charset val="162"/>
    </font>
    <font>
      <b/>
      <sz val="14"/>
      <color rgb="FF0369A1"/>
      <name val="Segoe UI"/>
      <family val="2"/>
      <charset val="162"/>
    </font>
    <font>
      <b/>
      <sz val="14"/>
      <color rgb="FF15803D"/>
      <name val="Segoe UI"/>
      <family val="2"/>
      <charset val="162"/>
    </font>
    <font>
      <b/>
      <sz val="14"/>
      <color rgb="FF7E22CE"/>
      <name val="Segoe UI"/>
      <family val="2"/>
      <charset val="162"/>
    </font>
    <font>
      <b/>
      <sz val="14"/>
      <color rgb="FF991B1B"/>
      <name val="Segoe UI"/>
      <family val="2"/>
      <charset val="162"/>
    </font>
    <font>
      <b/>
      <sz val="14"/>
      <color rgb="FF2B333F"/>
      <name val="Segoe UI"/>
      <family val="2"/>
      <charset val="162"/>
    </font>
    <font>
      <b/>
      <sz val="11"/>
      <color rgb="FF2B333F"/>
      <name val="Segoe UI"/>
      <family val="2"/>
      <charset val="162"/>
    </font>
    <font>
      <b/>
      <sz val="13"/>
      <color rgb="FFC6A15B"/>
      <name val="Segoe UI"/>
      <family val="2"/>
      <charset val="162"/>
    </font>
    <font>
      <sz val="11"/>
      <color rgb="FF2563EB"/>
      <name val="Segoe UI"/>
      <family val="2"/>
      <charset val="162"/>
    </font>
    <font>
      <b/>
      <sz val="10.5"/>
      <color rgb="FF854F0B"/>
      <name val="Segoe UI"/>
      <family val="2"/>
      <charset val="162"/>
    </font>
    <font>
      <b/>
      <sz val="11"/>
      <color rgb="FF185FA5"/>
      <name val="Segoe UI"/>
      <family val="2"/>
      <charset val="162"/>
    </font>
    <font>
      <b/>
      <sz val="10.5"/>
      <color rgb="FF0F6E56"/>
      <name val="Segoe UI"/>
      <family val="2"/>
      <charset val="162"/>
    </font>
    <font>
      <sz val="11"/>
      <color rgb="FFA32D2D"/>
      <name val="Segoe UI"/>
      <family val="2"/>
      <charset val="162"/>
    </font>
    <font>
      <b/>
      <sz val="12"/>
      <color rgb="FFC6A15B"/>
      <name val="Segoe UI"/>
      <family val="2"/>
      <charset val="162"/>
    </font>
    <font>
      <b/>
      <sz val="10.5"/>
      <color rgb="FF1D4ED8"/>
      <name val="Segoe UI"/>
      <family val="2"/>
      <charset val="162"/>
    </font>
    <font>
      <sz val="10.5"/>
      <color rgb="FFC3D6EA"/>
      <name val="Segoe UI"/>
      <family val="2"/>
      <charset val="162"/>
    </font>
    <font>
      <i/>
      <sz val="10.5"/>
      <color rgb="FF64748B"/>
      <name val="Segoe UI"/>
      <family val="2"/>
      <charset val="162"/>
    </font>
    <font>
      <sz val="11"/>
      <color rgb="FF1D4ED8"/>
      <name val="Segoe UI"/>
      <family val="2"/>
      <charset val="162"/>
    </font>
    <font>
      <sz val="10.5"/>
      <color rgb="FF2563EB"/>
      <name val="Segoe UI"/>
      <family val="2"/>
      <charset val="162"/>
    </font>
    <font>
      <b/>
      <sz val="10.5"/>
      <color rgb="FF2563EB"/>
      <name val="Segoe UI"/>
      <family val="2"/>
      <charset val="162"/>
    </font>
    <font>
      <b/>
      <sz val="10"/>
      <color rgb="FF0F172A"/>
      <name val="Segoe UI"/>
      <family val="2"/>
      <charset val="162"/>
    </font>
    <font>
      <b/>
      <sz val="12"/>
      <color rgb="FF1D4ED8"/>
      <name val="Segoe UI"/>
      <family val="2"/>
      <charset val="162"/>
    </font>
    <font>
      <b/>
      <sz val="13"/>
      <color rgb="FF17324D"/>
      <name val="Segoe UI"/>
      <family val="2"/>
      <charset val="162"/>
    </font>
    <font>
      <b/>
      <sz val="17"/>
      <color rgb="FF17324D"/>
      <name val="Segoe UI"/>
      <family val="2"/>
      <charset val="162"/>
    </font>
    <font>
      <b/>
      <sz val="10"/>
      <color rgb="FF64748B"/>
      <name val="Segoe UI"/>
      <family val="2"/>
      <charset val="162"/>
    </font>
    <font>
      <b/>
      <sz val="15"/>
      <color rgb="FF17324D"/>
      <name val="Segoe UI"/>
      <family val="2"/>
      <charset val="162"/>
    </font>
    <font>
      <b/>
      <sz val="15"/>
      <color rgb="FF0F6E56"/>
      <name val="Segoe UI"/>
      <family val="2"/>
      <charset val="162"/>
    </font>
    <font>
      <b/>
      <sz val="15"/>
      <color rgb="FFA32D2D"/>
      <name val="Segoe UI"/>
      <family val="2"/>
      <charset val="162"/>
    </font>
    <font>
      <i/>
      <sz val="10"/>
      <color rgb="FF64748B"/>
      <name val="Segoe UI"/>
      <family val="2"/>
      <charset val="162"/>
    </font>
    <font>
      <sz val="10"/>
      <color rgb="FF64748B"/>
      <name val="Segoe UI"/>
      <family val="2"/>
      <charset val="162"/>
    </font>
    <font>
      <sz val="10"/>
      <color rgb="FF203040"/>
      <name val="Segoe UI"/>
    </font>
    <font>
      <b/>
      <sz val="13"/>
      <color rgb="FFFFFFFF"/>
      <name val="Segoe UI"/>
    </font>
    <font>
      <b/>
      <sz val="10"/>
      <color rgb="FFC0392B"/>
      <name val="Segoe UI"/>
    </font>
    <font>
      <i/>
      <sz val="9"/>
      <color rgb="FF5B6574"/>
      <name val="Segoe UI"/>
    </font>
    <font>
      <b/>
      <sz val="10"/>
      <color rgb="FF17324D"/>
      <name val="Segoe UI"/>
    </font>
    <font>
      <b/>
      <sz val="10"/>
      <color rgb="FFFFFFFF"/>
      <name val="Segoe UI"/>
    </font>
    <font>
      <b/>
      <sz val="11"/>
      <color rgb="FF947300"/>
      <name val="Segoe UI"/>
    </font>
    <font>
      <b/>
      <u/>
      <sz val="10"/>
      <color rgb="FFFFFFFF"/>
      <name val="Segoe UI"/>
    </font>
    <font>
      <b/>
      <u/>
      <sz val="10"/>
      <color rgb="FF17324D"/>
      <name val="Segoe UI"/>
    </font>
  </fonts>
  <fills count="53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FF17324D"/>
      </patternFill>
    </fill>
    <fill>
      <patternFill patternType="solid">
        <fgColor rgb="FF244769"/>
      </patternFill>
    </fill>
    <fill>
      <patternFill patternType="solid">
        <fgColor rgb="FFF4F7FB"/>
      </patternFill>
    </fill>
    <fill>
      <patternFill patternType="solid">
        <fgColor rgb="FFEAF3FF"/>
      </patternFill>
    </fill>
    <fill>
      <patternFill patternType="solid">
        <fgColor rgb="FF1F7A5B"/>
      </patternFill>
    </fill>
    <fill>
      <patternFill patternType="solid">
        <fgColor rgb="FFC86B00"/>
      </patternFill>
    </fill>
    <fill>
      <patternFill patternType="solid">
        <fgColor rgb="FF2F8C6B"/>
      </patternFill>
    </fill>
    <fill>
      <patternFill patternType="solid">
        <fgColor rgb="FFD7831F"/>
      </patternFill>
    </fill>
    <fill>
      <patternFill patternType="solid">
        <fgColor rgb="FFE7F4EE"/>
      </patternFill>
    </fill>
    <fill>
      <patternFill patternType="solid">
        <fgColor rgb="FFF7FCF9"/>
      </patternFill>
    </fill>
    <fill>
      <patternFill patternType="solid">
        <fgColor rgb="FFFFF1E3"/>
      </patternFill>
    </fill>
    <fill>
      <patternFill patternType="solid">
        <fgColor rgb="FFFFF9F2"/>
      </patternFill>
    </fill>
    <fill>
      <patternFill patternType="solid">
        <fgColor rgb="FFFAF4CD"/>
      </patternFill>
    </fill>
    <fill>
      <patternFill patternType="solid">
        <fgColor rgb="FFFFF7DA"/>
      </patternFill>
    </fill>
    <fill>
      <patternFill patternType="solid">
        <fgColor rgb="FFE8F7F6"/>
      </patternFill>
    </fill>
    <fill>
      <patternFill patternType="solid">
        <fgColor rgb="FFFDECEC"/>
      </patternFill>
    </fill>
    <fill>
      <patternFill patternType="solid">
        <fgColor rgb="FFFFF2B2"/>
      </patternFill>
    </fill>
    <fill>
      <patternFill patternType="solid">
        <fgColor rgb="FFE5EFFA"/>
      </patternFill>
    </fill>
    <fill>
      <patternFill patternType="solid">
        <fgColor rgb="FFE9F7EF"/>
      </patternFill>
    </fill>
    <fill>
      <patternFill patternType="solid">
        <fgColor rgb="FF1E3E5C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BFCFE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rgb="FF8FA1B6"/>
      </left>
      <right style="medium">
        <color rgb="FF8FA1B6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5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3" fillId="0" borderId="0" xfId="0" applyNumberFormat="1" applyFont="1"/>
    <xf numFmtId="0" fontId="66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166" fontId="68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82" fillId="42" borderId="44" xfId="0" applyFont="1" applyFill="1" applyBorder="1" applyAlignment="1">
      <alignment horizontal="center" vertical="center"/>
    </xf>
    <xf numFmtId="0" fontId="81" fillId="36" borderId="41" xfId="0" applyFont="1" applyFill="1" applyBorder="1" applyAlignment="1">
      <alignment horizontal="center" vertical="center"/>
    </xf>
    <xf numFmtId="0" fontId="81" fillId="37" borderId="41" xfId="0" applyFont="1" applyFill="1" applyBorder="1" applyAlignment="1">
      <alignment horizontal="center" vertical="center"/>
    </xf>
    <xf numFmtId="0" fontId="76" fillId="38" borderId="41" xfId="0" applyFont="1" applyFill="1" applyBorder="1" applyAlignment="1">
      <alignment horizontal="left" vertical="center"/>
    </xf>
    <xf numFmtId="172" fontId="76" fillId="39" borderId="41" xfId="0" applyNumberFormat="1" applyFont="1" applyFill="1" applyBorder="1" applyAlignment="1">
      <alignment horizontal="right" vertical="center"/>
    </xf>
    <xf numFmtId="167" fontId="76" fillId="33" borderId="41" xfId="0" applyNumberFormat="1" applyFont="1" applyFill="1" applyBorder="1" applyAlignment="1">
      <alignment horizontal="right" vertical="center"/>
    </xf>
    <xf numFmtId="0" fontId="76" fillId="40" borderId="41" xfId="0" applyFont="1" applyFill="1" applyBorder="1" applyAlignment="1">
      <alignment horizontal="left" vertical="center"/>
    </xf>
    <xf numFmtId="172" fontId="76" fillId="41" borderId="41" xfId="0" applyNumberFormat="1" applyFont="1" applyFill="1" applyBorder="1" applyAlignment="1">
      <alignment horizontal="right" vertical="center"/>
    </xf>
    <xf numFmtId="0" fontId="21" fillId="6" borderId="41" xfId="0" applyFont="1" applyFill="1" applyBorder="1" applyAlignment="1">
      <alignment horizontal="left" vertical="center"/>
    </xf>
    <xf numFmtId="167" fontId="13" fillId="2" borderId="41" xfId="0" applyNumberFormat="1" applyFont="1" applyFill="1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80" fillId="43" borderId="41" xfId="0" applyFont="1" applyFill="1" applyBorder="1" applyAlignment="1">
      <alignment horizontal="left" vertical="center"/>
    </xf>
    <xf numFmtId="172" fontId="80" fillId="46" borderId="41" xfId="0" applyNumberFormat="1" applyFont="1" applyFill="1" applyBorder="1" applyAlignment="1">
      <alignment horizontal="right" vertical="center"/>
    </xf>
    <xf numFmtId="0" fontId="80" fillId="43" borderId="41" xfId="0" applyFont="1" applyFill="1" applyBorder="1" applyAlignment="1">
      <alignment horizontal="right" vertical="center"/>
    </xf>
    <xf numFmtId="0" fontId="80" fillId="44" borderId="41" xfId="0" applyFont="1" applyFill="1" applyBorder="1" applyAlignment="1">
      <alignment horizontal="left" vertical="center"/>
    </xf>
    <xf numFmtId="0" fontId="80" fillId="44" borderId="41" xfId="0" applyFont="1" applyFill="1" applyBorder="1" applyAlignment="1">
      <alignment horizontal="right" vertical="center"/>
    </xf>
    <xf numFmtId="0" fontId="80" fillId="47" borderId="41" xfId="0" applyFont="1" applyFill="1" applyBorder="1" applyAlignment="1">
      <alignment horizontal="left" vertical="center"/>
    </xf>
    <xf numFmtId="172" fontId="80" fillId="47" borderId="41" xfId="0" applyNumberFormat="1" applyFont="1" applyFill="1" applyBorder="1" applyAlignment="1">
      <alignment horizontal="right" vertical="center"/>
    </xf>
    <xf numFmtId="164" fontId="80" fillId="44" borderId="41" xfId="0" applyNumberFormat="1" applyFont="1" applyFill="1" applyBorder="1" applyAlignment="1">
      <alignment horizontal="right" vertical="center"/>
    </xf>
    <xf numFmtId="0" fontId="80" fillId="48" borderId="41" xfId="0" applyFont="1" applyFill="1" applyBorder="1" applyAlignment="1">
      <alignment horizontal="left" vertical="center"/>
    </xf>
    <xf numFmtId="172" fontId="80" fillId="48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left" vertical="center"/>
    </xf>
    <xf numFmtId="172" fontId="80" fillId="45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right" vertical="center"/>
    </xf>
    <xf numFmtId="167" fontId="80" fillId="48" borderId="41" xfId="0" applyNumberFormat="1" applyFont="1" applyFill="1" applyBorder="1" applyAlignment="1">
      <alignment horizontal="right" vertical="center"/>
    </xf>
    <xf numFmtId="0" fontId="80" fillId="33" borderId="41" xfId="0" applyFont="1" applyFill="1" applyBorder="1" applyAlignment="1">
      <alignment horizontal="left" vertical="center"/>
    </xf>
    <xf numFmtId="0" fontId="80" fillId="33" borderId="4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82" fillId="42" borderId="0" xfId="0" applyFont="1" applyFill="1" applyAlignment="1">
      <alignment horizontal="center" vertical="center"/>
    </xf>
    <xf numFmtId="0" fontId="80" fillId="50" borderId="41" xfId="0" applyFont="1" applyFill="1" applyBorder="1" applyAlignment="1">
      <alignment horizontal="left" vertical="center"/>
    </xf>
    <xf numFmtId="172" fontId="76" fillId="51" borderId="41" xfId="0" applyNumberFormat="1" applyFont="1" applyFill="1" applyBorder="1" applyAlignment="1">
      <alignment horizontal="right" vertical="center"/>
    </xf>
    <xf numFmtId="0" fontId="82" fillId="51" borderId="41" xfId="0" applyFont="1" applyFill="1" applyBorder="1" applyAlignment="1">
      <alignment horizontal="center" vertical="center"/>
    </xf>
    <xf numFmtId="167" fontId="80" fillId="51" borderId="41" xfId="0" applyNumberFormat="1" applyFont="1" applyFill="1" applyBorder="1" applyAlignment="1">
      <alignment horizontal="right" vertical="center"/>
    </xf>
    <xf numFmtId="172" fontId="80" fillId="51" borderId="41" xfId="0" applyNumberFormat="1" applyFont="1" applyFill="1" applyBorder="1" applyAlignment="1">
      <alignment horizontal="right" vertical="center"/>
    </xf>
    <xf numFmtId="0" fontId="76" fillId="48" borderId="41" xfId="0" applyFont="1" applyFill="1" applyBorder="1" applyAlignment="1">
      <alignment horizontal="right" vertical="center"/>
    </xf>
    <xf numFmtId="0" fontId="76" fillId="43" borderId="41" xfId="0" applyFont="1" applyFill="1" applyBorder="1" applyAlignment="1">
      <alignment horizontal="right" vertical="center"/>
    </xf>
    <xf numFmtId="0" fontId="80" fillId="52" borderId="4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 indent="1"/>
    </xf>
    <xf numFmtId="0" fontId="0" fillId="0" borderId="0" xfId="0"/>
    <xf numFmtId="0" fontId="5" fillId="2" borderId="9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16" xfId="0" applyBorder="1"/>
    <xf numFmtId="167" fontId="16" fillId="2" borderId="0" xfId="0" applyNumberFormat="1" applyFont="1" applyFill="1" applyAlignment="1">
      <alignment horizontal="righ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0" fillId="0" borderId="35" xfId="0" applyBorder="1"/>
    <xf numFmtId="0" fontId="0" fillId="0" borderId="36" xfId="0" applyBorder="1"/>
    <xf numFmtId="166" fontId="16" fillId="2" borderId="0" xfId="0" applyNumberFormat="1" applyFont="1" applyFill="1" applyAlignment="1">
      <alignment horizontal="right" vertical="center" indent="1"/>
    </xf>
    <xf numFmtId="0" fontId="7" fillId="2" borderId="4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7" fillId="2" borderId="5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164" fontId="9" fillId="2" borderId="7" xfId="0" applyNumberFormat="1" applyFont="1" applyFill="1" applyBorder="1" applyAlignment="1">
      <alignment horizontal="left" vertical="center" indent="1"/>
    </xf>
    <xf numFmtId="0" fontId="0" fillId="0" borderId="34" xfId="0" applyBorder="1"/>
    <xf numFmtId="0" fontId="0" fillId="2" borderId="0" xfId="0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0" fillId="0" borderId="37" xfId="0" applyBorder="1" applyProtection="1">
      <protection locked="0"/>
    </xf>
    <xf numFmtId="0" fontId="0" fillId="0" borderId="12" xfId="0" applyBorder="1" applyProtection="1">
      <protection locked="0"/>
    </xf>
    <xf numFmtId="166" fontId="19" fillId="2" borderId="0" xfId="0" applyNumberFormat="1" applyFont="1" applyFill="1" applyAlignment="1">
      <alignment horizontal="right" vertical="center" indent="1"/>
    </xf>
    <xf numFmtId="165" fontId="9" fillId="2" borderId="7" xfId="0" applyNumberFormat="1" applyFont="1" applyFill="1" applyBorder="1" applyAlignment="1">
      <alignment horizontal="left" vertical="center" indent="1"/>
    </xf>
    <xf numFmtId="0" fontId="13" fillId="2" borderId="13" xfId="0" applyFont="1" applyFill="1" applyBorder="1" applyAlignment="1">
      <alignment horizontal="left" vertical="center" indent="1"/>
    </xf>
    <xf numFmtId="0" fontId="0" fillId="0" borderId="38" xfId="0" applyBorder="1"/>
    <xf numFmtId="0" fontId="16" fillId="2" borderId="0" xfId="0" applyFont="1" applyFill="1" applyAlignment="1">
      <alignment horizontal="lef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11" fillId="2" borderId="11" xfId="0" applyFont="1" applyFill="1" applyBorder="1" applyAlignment="1">
      <alignment horizontal="left" vertical="center" indent="1"/>
    </xf>
    <xf numFmtId="0" fontId="0" fillId="0" borderId="37" xfId="0" applyBorder="1"/>
    <xf numFmtId="0" fontId="25" fillId="2" borderId="19" xfId="0" applyFont="1" applyFill="1" applyBorder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wrapText="1" indent="1"/>
    </xf>
    <xf numFmtId="0" fontId="40" fillId="2" borderId="15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41" fillId="2" borderId="16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indent="1"/>
    </xf>
    <xf numFmtId="0" fontId="15" fillId="2" borderId="19" xfId="0" applyFont="1" applyFill="1" applyBorder="1" applyAlignment="1">
      <alignment horizontal="left" vertical="center" wrapText="1" indent="1"/>
    </xf>
    <xf numFmtId="0" fontId="21" fillId="6" borderId="0" xfId="0" applyFont="1" applyFill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28" fillId="2" borderId="19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indent="1"/>
    </xf>
    <xf numFmtId="0" fontId="40" fillId="2" borderId="19" xfId="0" applyFont="1" applyFill="1" applyBorder="1" applyAlignment="1">
      <alignment horizontal="left" vertical="center" wrapText="1" indent="1"/>
    </xf>
    <xf numFmtId="0" fontId="26" fillId="2" borderId="19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left" vertical="center" indent="1"/>
    </xf>
    <xf numFmtId="0" fontId="60" fillId="8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62" fillId="5" borderId="0" xfId="0" applyFont="1" applyFill="1" applyAlignment="1">
      <alignment horizontal="left" vertical="center" wrapText="1" indent="1"/>
    </xf>
    <xf numFmtId="0" fontId="67" fillId="8" borderId="21" xfId="0" applyFont="1" applyFill="1" applyBorder="1" applyAlignment="1" applyProtection="1">
      <alignment horizontal="left" vertical="center" indent="1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68" fillId="5" borderId="0" xfId="0" applyFont="1" applyFill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70" fillId="2" borderId="5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70" fillId="2" borderId="4" xfId="0" applyFont="1" applyFill="1" applyBorder="1" applyAlignment="1">
      <alignment horizontal="left" vertical="center" indent="1"/>
    </xf>
    <xf numFmtId="0" fontId="70" fillId="5" borderId="25" xfId="0" applyFont="1" applyFill="1" applyBorder="1" applyAlignment="1">
      <alignment horizontal="center"/>
    </xf>
    <xf numFmtId="0" fontId="0" fillId="0" borderId="25" xfId="0" applyBorder="1"/>
    <xf numFmtId="0" fontId="74" fillId="5" borderId="24" xfId="0" applyFont="1" applyFill="1" applyBorder="1" applyAlignment="1">
      <alignment horizontal="left" vertical="center" wrapText="1" indent="1"/>
    </xf>
    <xf numFmtId="0" fontId="0" fillId="0" borderId="24" xfId="0" applyBorder="1"/>
    <xf numFmtId="0" fontId="21" fillId="9" borderId="23" xfId="0" applyFont="1" applyFill="1" applyBorder="1" applyAlignment="1">
      <alignment horizontal="left" vertical="center" indent="2"/>
    </xf>
    <xf numFmtId="0" fontId="0" fillId="0" borderId="23" xfId="0" applyBorder="1"/>
    <xf numFmtId="166" fontId="73" fillId="2" borderId="9" xfId="0" applyNumberFormat="1" applyFont="1" applyFill="1" applyBorder="1" applyAlignment="1">
      <alignment horizontal="left" vertical="center" indent="1"/>
    </xf>
    <xf numFmtId="0" fontId="70" fillId="2" borderId="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0" fillId="0" borderId="22" xfId="0" applyBorder="1"/>
    <xf numFmtId="0" fontId="69" fillId="2" borderId="22" xfId="0" applyFont="1" applyFill="1" applyBorder="1" applyAlignment="1">
      <alignment horizontal="left" vertical="center" indent="1"/>
    </xf>
    <xf numFmtId="166" fontId="71" fillId="2" borderId="9" xfId="0" applyNumberFormat="1" applyFont="1" applyFill="1" applyBorder="1" applyAlignment="1">
      <alignment horizontal="left" vertical="center" indent="1"/>
    </xf>
    <xf numFmtId="166" fontId="72" fillId="2" borderId="9" xfId="0" applyNumberFormat="1" applyFont="1" applyFill="1" applyBorder="1" applyAlignment="1">
      <alignment horizontal="left" vertical="center" indent="1"/>
    </xf>
    <xf numFmtId="0" fontId="21" fillId="19" borderId="23" xfId="0" applyFont="1" applyFill="1" applyBorder="1" applyAlignment="1">
      <alignment horizontal="left" vertical="center" indent="2"/>
    </xf>
    <xf numFmtId="0" fontId="81" fillId="49" borderId="0" xfId="0" applyFont="1" applyFill="1" applyAlignment="1">
      <alignment horizontal="center" vertical="center"/>
    </xf>
    <xf numFmtId="0" fontId="0" fillId="51" borderId="41" xfId="0" applyFill="1" applyBorder="1"/>
    <xf numFmtId="0" fontId="79" fillId="52" borderId="41" xfId="0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81" fillId="34" borderId="41" xfId="0" applyFont="1" applyFill="1" applyBorder="1" applyAlignment="1">
      <alignment horizontal="center" vertical="center"/>
    </xf>
    <xf numFmtId="0" fontId="84" fillId="33" borderId="41" xfId="0" applyFont="1" applyFill="1" applyBorder="1" applyAlignment="1">
      <alignment horizontal="center" vertical="center"/>
    </xf>
    <xf numFmtId="0" fontId="81" fillId="35" borderId="41" xfId="0" applyFont="1" applyFill="1" applyBorder="1" applyAlignment="1">
      <alignment horizontal="center" vertical="center"/>
    </xf>
    <xf numFmtId="0" fontId="7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0" fontId="78" fillId="31" borderId="0" xfId="0" applyFont="1" applyFill="1" applyAlignment="1">
      <alignment horizontal="left" vertical="center"/>
    </xf>
    <xf numFmtId="0" fontId="0" fillId="31" borderId="0" xfId="0" applyFill="1"/>
    <xf numFmtId="0" fontId="79" fillId="32" borderId="19" xfId="0" applyFont="1" applyFill="1" applyBorder="1" applyAlignment="1">
      <alignment horizontal="left" vertical="center" wrapText="1"/>
    </xf>
    <xf numFmtId="0" fontId="0" fillId="32" borderId="19" xfId="0" applyFill="1" applyBorder="1"/>
    <xf numFmtId="0" fontId="83" fillId="30" borderId="1" xfId="0" applyFont="1" applyFill="1" applyBorder="1" applyAlignment="1">
      <alignment horizontal="left" vertical="center"/>
    </xf>
  </cellXfs>
  <cellStyles count="1">
    <cellStyle name="Normal" xfId="0" builtinId="0"/>
  </cellStyles>
  <dxfs count="93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NAKİT KÂR (TAHSİLAT ESASLI)</c:v>
                </c:pt>
              </c:strCache>
            </c:strRef>
          </c:tx>
          <c:spPr>
            <a:ln w="21960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255566.18</c:v>
                </c:pt>
                <c:pt idx="1">
                  <c:v>20621.809999999939</c:v>
                </c:pt>
                <c:pt idx="2">
                  <c:v>154842.03</c:v>
                </c:pt>
                <c:pt idx="3">
                  <c:v>274706</c:v>
                </c:pt>
                <c:pt idx="4">
                  <c:v>219546</c:v>
                </c:pt>
                <c:pt idx="5">
                  <c:v>227440</c:v>
                </c:pt>
                <c:pt idx="6">
                  <c:v>116740</c:v>
                </c:pt>
                <c:pt idx="7">
                  <c:v>277600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E-40D7-87C2-0420AE28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142148"/>
        <c:axId val="40535942"/>
      </c:lineChart>
      <c:dateAx>
        <c:axId val="7514214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40535942"/>
        <c:crosses val="autoZero"/>
        <c:auto val="1"/>
        <c:lblOffset val="100"/>
        <c:baseTimeUnit val="months"/>
      </c:dateAx>
      <c:valAx>
        <c:axId val="405359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751421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Bilgisi (KÂR DIŞI)</c:v>
                </c:pt>
              </c:strCache>
            </c:strRef>
          </c:tx>
          <c:spPr>
            <a:solidFill>
              <a:srgbClr val="9FB8D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447251</c:v>
                </c:pt>
                <c:pt idx="1">
                  <c:v>383501</c:v>
                </c:pt>
                <c:pt idx="2">
                  <c:v>393501</c:v>
                </c:pt>
                <c:pt idx="3">
                  <c:v>413501</c:v>
                </c:pt>
                <c:pt idx="4">
                  <c:v>494251</c:v>
                </c:pt>
                <c:pt idx="5">
                  <c:v>428001</c:v>
                </c:pt>
                <c:pt idx="6">
                  <c:v>422001</c:v>
                </c:pt>
                <c:pt idx="7">
                  <c:v>516751</c:v>
                </c:pt>
                <c:pt idx="8">
                  <c:v>450001</c:v>
                </c:pt>
                <c:pt idx="9">
                  <c:v>529751</c:v>
                </c:pt>
                <c:pt idx="10">
                  <c:v>450001</c:v>
                </c:pt>
                <c:pt idx="11">
                  <c:v>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BC3-B675-EF154F365A7E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(GELİR)</c:v>
                </c:pt>
              </c:strCache>
            </c:strRef>
          </c:tx>
          <c:spPr>
            <a:solidFill>
              <a:srgbClr val="2563E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364900</c:v>
                </c:pt>
                <c:pt idx="1">
                  <c:v>205500</c:v>
                </c:pt>
                <c:pt idx="2">
                  <c:v>263250</c:v>
                </c:pt>
                <c:pt idx="3">
                  <c:v>283700</c:v>
                </c:pt>
                <c:pt idx="4">
                  <c:v>350150</c:v>
                </c:pt>
                <c:pt idx="5">
                  <c:v>290850</c:v>
                </c:pt>
                <c:pt idx="6">
                  <c:v>206750</c:v>
                </c:pt>
                <c:pt idx="7">
                  <c:v>334400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D-4BC3-B675-EF154F36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4084"/>
        <c:axId val="26424841"/>
      </c:barChart>
      <c:dateAx>
        <c:axId val="11524084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26424841"/>
        <c:crosses val="autoZero"/>
        <c:auto val="1"/>
        <c:lblOffset val="100"/>
        <c:baseTimeUnit val="months"/>
      </c:dateAx>
      <c:valAx>
        <c:axId val="264248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1152408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33500</c:v>
                </c:pt>
                <c:pt idx="1">
                  <c:v>33500</c:v>
                </c:pt>
                <c:pt idx="2">
                  <c:v>160001</c:v>
                </c:pt>
                <c:pt idx="3">
                  <c:v>878506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282-9246-D99F930F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80822"/>
        <c:axId val="92613952"/>
      </c:barChart>
      <c:catAx>
        <c:axId val="39680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92613952"/>
        <c:crosses val="autoZero"/>
        <c:auto val="1"/>
        <c:lblAlgn val="ctr"/>
        <c:lblOffset val="100"/>
        <c:noMultiLvlLbl val="0"/>
      </c:catAx>
      <c:valAx>
        <c:axId val="9261395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396808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340560</xdr:colOff>
      <xdr:row>20</xdr:row>
      <xdr:rowOff>225360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340560</xdr:colOff>
      <xdr:row>20</xdr:row>
      <xdr:rowOff>225360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340920</xdr:colOff>
      <xdr:row>20</xdr:row>
      <xdr:rowOff>225360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activeCell="M6" sqref="M6:O6"/>
    </sheetView>
  </sheetViews>
  <sheetFormatPr defaultColWidth="8" defaultRowHeight="14.25" customHeight="1" x14ac:dyDescent="0.25"/>
  <cols>
    <col min="1" max="1" width="2.28515625" customWidth="1"/>
    <col min="2" max="2" width="19.42578125" customWidth="1"/>
    <col min="3" max="3" width="1.28515625" customWidth="1"/>
    <col min="4" max="14" width="8.85546875" customWidth="1"/>
    <col min="15" max="15" width="12.7109375" bestFit="1" customWidth="1"/>
  </cols>
  <sheetData>
    <row r="1" spans="1:17" ht="37.5" customHeight="1" x14ac:dyDescent="0.3">
      <c r="A1" s="170" t="s">
        <v>0</v>
      </c>
      <c r="B1" s="171"/>
      <c r="C1" s="171"/>
      <c r="D1" s="171"/>
      <c r="E1" s="171"/>
      <c r="F1" s="173" t="s">
        <v>1</v>
      </c>
      <c r="G1" s="171"/>
      <c r="H1" s="171"/>
      <c r="I1" s="171"/>
      <c r="J1" s="171"/>
      <c r="K1" s="171"/>
      <c r="L1" s="171"/>
      <c r="M1" s="171"/>
      <c r="N1" s="171"/>
      <c r="O1" s="171"/>
      <c r="P1" s="1"/>
      <c r="Q1" s="1"/>
    </row>
    <row r="2" spans="1:17" ht="21.75" customHeight="1" x14ac:dyDescent="0.3">
      <c r="A2" s="172" t="str">
        <f ca="1">"BU EKRANA KAYIT GİRİLMEZ   │   SİSTEM DURUMU:  "&amp;IF(COUNTIFS(SISTEM!$C$23:$C$91,"KRİTİK",SISTEM!$F$23:$F$91,"KALDI")&gt;0,"KRİTİK HATA – AY KAPATILAMAZ",IF(COUNTIF(SISTEM!$F$23:$F$91,"KALDI")=0,"KULLANIMA UYGUN","UYARI VAR – İNCELEYİN"))&amp;"   │   "&amp;COUNTIF(SISTEM!$F$23:$F$91,"GEÇTİ")&amp;" / "&amp;COUNTIF(SISTEM!$F$23:$F$91,"&lt;&gt;BİLGİ")&amp;" kontrol geçti"</f>
        <v>BU EKRANA KAYIT GİRİLMEZ   │   SİSTEM DURUMU:  KULLANIMA UYGUN   │   52 / 52 kontrol geçti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"/>
      <c r="Q2" s="1"/>
    </row>
    <row r="3" spans="1:17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3">
      <c r="A4" s="2"/>
      <c r="B4" s="3" t="str">
        <f ca="1">RIGHT("0"&amp;DAY(TODAY()),2)&amp;"."&amp;RIGHT("0"&amp;MONTH(TODAY()),2)&amp;"."&amp;YEAR(TODAY())&amp;"   │   "&amp;SISTEM!$C$7</f>
        <v>26.08.2026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3">
      <c r="A5" s="2"/>
      <c r="B5" s="4" t="s">
        <v>2</v>
      </c>
      <c r="C5" s="2"/>
      <c r="D5" s="158" t="s">
        <v>3</v>
      </c>
      <c r="E5" s="159"/>
      <c r="F5" s="160"/>
      <c r="G5" s="174" t="s">
        <v>4</v>
      </c>
      <c r="H5" s="175"/>
      <c r="I5" s="176"/>
      <c r="J5" s="149" t="s">
        <v>5</v>
      </c>
      <c r="K5" s="150"/>
      <c r="L5" s="151"/>
      <c r="M5" s="152" t="inlineStr">
        <is>
          <t>KASA + BANKA  (GERÇEK NAKİT)</t>
        </is>
      </c>
      <c r="N5" s="153"/>
      <c r="O5" s="154"/>
      <c r="P5" s="2"/>
      <c r="Q5" s="2"/>
    </row>
    <row r="6" spans="1:17" ht="21.75" customHeight="1" x14ac:dyDescent="0.3">
      <c r="A6" s="2"/>
      <c r="B6" s="5" t="str">
        <f>HYPERLINK("#PANO!A1","    PANO")</f>
        <v xml:space="preserve">    PANO</v>
      </c>
      <c r="C6" s="2"/>
      <c r="D6" s="155">
        <f>COUNTIF(MUSTERILER!$D$7:$D$156,"Aktif")</f>
        <v>52</v>
      </c>
      <c r="E6" s="139"/>
      <c r="F6" s="156"/>
      <c r="G6" s="165">
        <f ca="1">SUM(MUSTERI_360!$J$7:$J$156)</f>
        <v>1105507</v>
      </c>
      <c r="H6" s="139"/>
      <c r="I6" s="156"/>
      <c r="J6" s="165">
        <f ca="1">SUM(MUSTERI_360!$N$7:$N$156)</f>
        <v>878506</v>
      </c>
      <c r="K6" s="139"/>
      <c r="L6" s="156"/>
      <c r="M6" s="165">
        <f>HESAPLAR!$K$18</f>
        <v>-419100.02</v>
      </c>
      <c r="N6" s="139"/>
      <c r="O6" s="156"/>
      <c r="P6" s="2"/>
      <c r="Q6" s="2"/>
    </row>
    <row r="7" spans="1:17" ht="21.75" customHeight="1" x14ac:dyDescent="0.3">
      <c r="A7" s="2"/>
      <c r="B7" s="6" t="str">
        <f>HYPERLINK("#MUSTERILER!A1","    Müşteriler")</f>
        <v xml:space="preserve">    Müşteriler</v>
      </c>
      <c r="C7" s="2"/>
      <c r="D7" s="140" t="str">
        <f>COUNTA(MUSTERILER!$C$7:$C$156)&amp;" kayıtlı müşteri"</f>
        <v>55 kayıtlı müşteri</v>
      </c>
      <c r="E7" s="141"/>
      <c r="F7" s="142"/>
      <c r="G7" s="140" t="str">
        <f ca="1">COUNTIF(MUSTERI_360!$J$7:$J$156,"&gt;0")&amp;" müşteride açık bakiye"</f>
        <v>31 müşteride açık bakiye</v>
      </c>
      <c r="H7" s="141"/>
      <c r="I7" s="142"/>
      <c r="J7" s="140" t="str">
        <f ca="1">ROUND(IFERROR(SUM(MUSTERI_360!$N$7:$N$156)/SUM(MUSTERI_360!$J$7:$J$156),0)*100,1)&amp;"% toplam alacağın payı"</f>
        <v>79,5% toplam alacağın payı</v>
      </c>
      <c r="K7" s="141"/>
      <c r="L7" s="142"/>
      <c r="M7" s="140" t="inlineStr">
        <is>
          <t>Yalnız gerçek kasa/banka • nakitsiz tahakkuk hariç</t>
        </is>
      </c>
      <c r="N7" s="141"/>
      <c r="O7" s="142"/>
      <c r="P7" s="2"/>
      <c r="Q7" s="2"/>
    </row>
    <row r="8" spans="1:17" ht="21.75" customHeight="1" x14ac:dyDescent="0.3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3">
      <c r="A9" s="2"/>
      <c r="B9" s="6" t="str">
        <f>HYPERLINK("#TAHSILAT!A1","    Tahsilat")</f>
        <v xml:space="preserve">    Tahsilat</v>
      </c>
      <c r="C9" s="2"/>
      <c r="D9" s="152" t="s">
        <v>7</v>
      </c>
      <c r="E9" s="153"/>
      <c r="F9" s="154"/>
      <c r="G9" s="158" t="s">
        <v>8</v>
      </c>
      <c r="H9" s="159"/>
      <c r="I9" s="160"/>
      <c r="J9" s="145" t="s">
        <v>9</v>
      </c>
      <c r="K9" s="146"/>
      <c r="L9" s="147"/>
      <c r="M9" s="149" t="s">
        <v>10</v>
      </c>
      <c r="N9" s="150"/>
      <c r="O9" s="151"/>
      <c r="P9" s="2"/>
      <c r="Q9" s="2"/>
    </row>
    <row r="10" spans="1:17" ht="21.75" customHeight="1" x14ac:dyDescent="0.3">
      <c r="A10" s="2"/>
      <c r="B10" s="6" t="str">
        <f>HYPERLINK("#GELIR_GIDER!A1","    Gelir / Gider")</f>
        <v xml:space="preserve">    Gelir / Gider</v>
      </c>
      <c r="C10" s="2"/>
      <c r="D10" s="165">
        <f ca="1">SUMIFS(AY_SONU!$I$7:$I$42,AY_SONU!$B$7:$B$42,"&gt;="&amp;EOMONTH(TODAY(),-1)+1,AY_SONU!$B$7:$B$42,"&lt;="&amp;EOMONTH(TODAY(),0))</f>
        <v>277600</v>
      </c>
      <c r="E10" s="139"/>
      <c r="F10" s="156"/>
      <c r="G10" s="165">
        <f ca="1">SUMIFS(AY_SONU!$D$7:$D$42,AY_SONU!$B$7:$B$42,"&gt;="&amp;EOMONTH(TODAY(),-1)+1,AY_SONU!$B$7:$B$42,"&lt;="&amp;EOMONTH(TODAY(),0))</f>
        <v>334400</v>
      </c>
      <c r="H10" s="139"/>
      <c r="I10" s="156"/>
      <c r="J10" s="165">
        <f>SUMIFS(UCRETLER!$G$7:$G$606,UCRETLER!$H$7:$H$606,"Aktif",UCRETLER!$F$7:$F$606,"Haftalık")</f>
        <v>79750</v>
      </c>
      <c r="K10" s="139"/>
      <c r="L10" s="156"/>
      <c r="M10" s="155">
        <f>SUM(ORTAKLAR!$I$7:$I$10)</f>
        <v>457050.02</v>
      </c>
      <c r="N10" s="139"/>
      <c r="O10" s="156"/>
      <c r="P10" s="2"/>
      <c r="Q10" s="2"/>
    </row>
    <row r="11" spans="1:17" ht="21.75" customHeight="1" x14ac:dyDescent="0.3">
      <c r="A11" s="2"/>
      <c r="B11" s="6" t="str">
        <f>HYPERLINK("#VIRMAN!A1","    Virman")</f>
        <v xml:space="preserve">    Virman</v>
      </c>
      <c r="C11" s="2"/>
      <c r="D11" s="140" t="str">
        <f ca="1">CHOOSE(MONTH(TODAY()),"Ocak","Şubat","Mart","Nisan","Mayıs","Haziran","Temmuz","Ağustos","Eylül","Ekim","Kasım","Aralık")&amp;" "&amp;YEAR(TODAY())&amp;" dönemi"</f>
        <v>Ağustos 2026 dönemi</v>
      </c>
      <c r="E11" s="141"/>
      <c r="F11" s="142"/>
      <c r="G11" s="140" t="str">
        <f ca="1">"Ay tahakkuku "&amp;TEXT(SUMIFS(AY_SONU!$C$7:$C$42,AY_SONU!$B$7:$B$42,"&gt;="&amp;EOMONTH(TODAY(),-1)+1,AY_SONU!$B$7:$B$42,"&lt;="&amp;EOMONTH(TODAY(),0)),"#,##0")&amp;" ₺"</f>
        <v>Ay tahakkuku 516751,0 ₺</v>
      </c>
      <c r="H11" s="141"/>
      <c r="I11" s="142"/>
      <c r="J11" s="140" t="str">
        <f>"Aylık: "&amp;TEXT(SUMIFS(UCRETLER!$G$7:$G$606,UCRETLER!$H$7:$H$606,"Aktif",UCRETLER!$F$7:$F$606,"Aylık"),"#,##0")&amp;" ₺  │  "&amp;COUNTIFS(UCRETLER!$H$7:$H$606,"Aktif")&amp;" aktif dönem"</f>
        <v>Aylık: 131001,0 ₺  │  53 aktif dönem</v>
      </c>
      <c r="K11" s="141"/>
      <c r="L11" s="142"/>
      <c r="M11" s="140" t="str">
        <f>COUNTIF(ORTAKLAR!$B$7:$B$10,"&lt;&gt;")&amp;" ortak │ Detay: ORTAK_EKSTRE"</f>
        <v>2 ortak │ Detay: ORTAK_EKSTRE</v>
      </c>
      <c r="N11" s="141"/>
      <c r="O11" s="142"/>
      <c r="P11" s="2"/>
      <c r="Q11" s="2"/>
    </row>
    <row r="12" spans="1:17" ht="21.75" customHeight="1" x14ac:dyDescent="0.3">
      <c r="A12" s="2"/>
      <c r="B12" s="6" t="str">
        <f>HYPERLINK("#ORTAK_EKSTRE!A1","    Ortak Ekstre")</f>
        <v xml:space="preserve">    Ortak Ekstre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3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3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3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3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3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3">
      <c r="A18" s="2"/>
      <c r="B18" s="5" t="str">
        <f>HYPERLINK("#KAR!A1","    Kâr / T Cetveli")</f>
        <v xml:space="preserve">    Kâr / T Cetveli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3">
      <c r="A19" s="2"/>
      <c r="B19" s="5" t="str">
        <f>HYPERLINK("#SISTEM!A1","    Sistem &amp; Kontrol")</f>
        <v xml:space="preserve">    Sistem &amp; Kontrol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3">
      <c r="A20" s="2"/>
      <c r="B20" s="5" t="str">
        <f>HYPERLINK("#BASLANGIC!A1","    Başlangıç")</f>
        <v xml:space="preserve">    Başlangıç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3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3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3">
      <c r="A24" s="2"/>
      <c r="B24" s="8"/>
      <c r="C24" s="2"/>
      <c r="D24" s="177" t="s">
        <v>16</v>
      </c>
      <c r="E24" s="178"/>
      <c r="F24" s="161" t="s">
        <v>17</v>
      </c>
      <c r="G24" s="162"/>
      <c r="H24" s="162"/>
      <c r="I24" s="163"/>
      <c r="J24" s="166" t="s">
        <v>18</v>
      </c>
      <c r="K24" s="167"/>
      <c r="L24" s="167"/>
      <c r="M24" s="167"/>
      <c r="N24" s="167"/>
      <c r="O24" s="9">
        <f>SUM(ORTAKLAR!$I$7:$I$10)</f>
        <v>457050.02</v>
      </c>
      <c r="P24" s="2"/>
      <c r="Q24" s="2"/>
    </row>
    <row r="25" spans="1:17" ht="21.75" customHeight="1" x14ac:dyDescent="0.3">
      <c r="A25" s="2"/>
      <c r="B25" s="8"/>
      <c r="C25" s="2"/>
      <c r="D25" s="138" t="s">
        <v>19</v>
      </c>
      <c r="E25" s="139"/>
      <c r="F25" s="168" t="str">
        <f ca="1">IF($F$24="","",IFERROR(INDEX(MUSTERI_360!$B$7:$B$156,MATCH($F$24,MUSTERI_360!$C$7:$C$156,0)),""))</f>
        <v>M001</v>
      </c>
      <c r="G25" s="139"/>
      <c r="H25" s="139"/>
      <c r="I25" s="139"/>
      <c r="J25" s="144" t="s">
        <v>20</v>
      </c>
      <c r="K25" s="141"/>
      <c r="L25" s="141"/>
      <c r="M25" s="141"/>
      <c r="N25" s="141"/>
      <c r="O25" s="10">
        <f>SUM(ORTAKLAR!$H$7:$H$10)</f>
        <v>1547062.02</v>
      </c>
      <c r="P25" s="2"/>
      <c r="Q25" s="2"/>
    </row>
    <row r="26" spans="1:17" ht="21.75" customHeight="1" x14ac:dyDescent="0.3">
      <c r="A26" s="2"/>
      <c r="B26" s="8"/>
      <c r="C26" s="2"/>
      <c r="D26" s="138" t="s">
        <v>21</v>
      </c>
      <c r="E26" s="139"/>
      <c r="F26" s="168" t="str">
        <f ca="1">IF($F$24="","",IFERROR(INDEX(MUSTERI_360!$Q$7:$Q$156,MATCH($F$24,MUSTERI_360!$C$7:$C$156,0)),""))</f>
        <v>KRİTİK</v>
      </c>
      <c r="G26" s="139"/>
      <c r="H26" s="139"/>
      <c r="I26" s="139"/>
      <c r="J26" s="144" t="s">
        <v>22</v>
      </c>
      <c r="K26" s="141"/>
      <c r="L26" s="141"/>
      <c r="M26" s="141"/>
      <c r="N26" s="141"/>
      <c r="O26" s="11">
        <f>SUM(ORTAKLAR!$G$7:$G$10)</f>
        <v>47000</v>
      </c>
      <c r="P26" s="2"/>
      <c r="Q26" s="2"/>
    </row>
    <row r="27" spans="1:17" ht="21.75" customHeight="1" x14ac:dyDescent="0.3">
      <c r="A27" s="2"/>
      <c r="B27" s="8"/>
      <c r="C27" s="2"/>
      <c r="D27" s="138" t="s">
        <v>23</v>
      </c>
      <c r="E27" s="139"/>
      <c r="F27" s="148">
        <f ca="1">IF($F$24="","",IFERROR(INDEX(MUSTERI_360!$D$7:$D$156,MATCH($F$24,MUSTERI_360!$C$7:$C$156,0)),""))</f>
        <v>4000</v>
      </c>
      <c r="G27" s="139"/>
      <c r="H27" s="139"/>
      <c r="I27" s="139"/>
      <c r="J27" s="144" t="s">
        <v>24</v>
      </c>
      <c r="K27" s="141"/>
      <c r="L27" s="141"/>
      <c r="M27" s="141"/>
      <c r="N27" s="141"/>
      <c r="O27" s="12">
        <f>SUM(ORTAKLAR!$E$7:$E$10)</f>
        <v>536650</v>
      </c>
      <c r="P27" s="2"/>
      <c r="Q27" s="2"/>
    </row>
    <row r="28" spans="1:17" ht="21.75" customHeight="1" x14ac:dyDescent="0.3">
      <c r="A28" s="2"/>
      <c r="B28" s="8"/>
      <c r="C28" s="2"/>
      <c r="D28" s="138" t="s">
        <v>25</v>
      </c>
      <c r="E28" s="139"/>
      <c r="F28" s="148">
        <f ca="1">IF($F$24="","",IFERROR(INDEX(MUSTERI_360!$E$7:$E$156,MATCH($F$24,MUSTERI_360!$C$7:$C$156,0)),""))</f>
        <v>0</v>
      </c>
      <c r="G28" s="139"/>
      <c r="H28" s="139"/>
      <c r="I28" s="139"/>
      <c r="J28" s="144" t="s">
        <v>26</v>
      </c>
      <c r="K28" s="141"/>
      <c r="L28" s="141"/>
      <c r="M28" s="141"/>
      <c r="N28" s="141"/>
      <c r="O28" s="12">
        <f ca="1">COUNTIF(MUSTERI_360!$Q$7:$Q$156,"KRİTİK")</f>
        <v>27</v>
      </c>
      <c r="P28" s="2"/>
      <c r="Q28" s="2"/>
    </row>
    <row r="29" spans="1:17" ht="21.75" customHeight="1" x14ac:dyDescent="0.3">
      <c r="A29" s="2"/>
      <c r="B29" s="8"/>
      <c r="C29" s="2"/>
      <c r="D29" s="138" t="s">
        <v>27</v>
      </c>
      <c r="E29" s="139"/>
      <c r="F29" s="148">
        <f ca="1">IF($F$24="","",IFERROR(INDEX(MUSTERI_360!$F$7:$F$156,MATCH($F$24,MUSTERI_360!$C$7:$C$156,0)),""))</f>
        <v>0</v>
      </c>
      <c r="G29" s="139"/>
      <c r="H29" s="139"/>
      <c r="I29" s="139"/>
      <c r="J29" s="144" t="s">
        <v>28</v>
      </c>
      <c r="K29" s="141"/>
      <c r="L29" s="141"/>
      <c r="M29" s="141"/>
      <c r="N29" s="141"/>
      <c r="O29" s="10">
        <f>COUNTIF(MUSTERILER!$P$7:$P$156,"EKSİK")</f>
        <v>0</v>
      </c>
      <c r="P29" s="2"/>
      <c r="Q29" s="2"/>
    </row>
    <row r="30" spans="1:17" ht="21.75" customHeight="1" x14ac:dyDescent="0.3">
      <c r="A30" s="2"/>
      <c r="B30" s="8"/>
      <c r="C30" s="2"/>
      <c r="D30" s="138" t="s">
        <v>29</v>
      </c>
      <c r="E30" s="139"/>
      <c r="F30" s="148">
        <f ca="1">IF($F$24="","",IFERROR(INDEX(MUSTERI_360!$G$7:$G$156,MATCH($F$24,MUSTERI_360!$C$7:$C$156,0)),""))</f>
        <v>136000</v>
      </c>
      <c r="G30" s="139"/>
      <c r="H30" s="139"/>
      <c r="I30" s="139"/>
      <c r="J30" s="144" t="s">
        <v>30</v>
      </c>
      <c r="K30" s="141"/>
      <c r="L30" s="141"/>
      <c r="M30" s="141"/>
      <c r="N30" s="141"/>
      <c r="O30" s="10">
        <f>COUNTIFS(MUSTERILER!$D$7:$D$156,"Aktif",MUSTERILER!$O$7:$O$156,"HAYIR")</f>
        <v>0</v>
      </c>
      <c r="P30" s="2"/>
      <c r="Q30" s="2"/>
    </row>
    <row r="31" spans="1:17" ht="21.75" customHeight="1" x14ac:dyDescent="0.3">
      <c r="A31" s="2"/>
      <c r="B31" s="8"/>
      <c r="C31" s="2"/>
      <c r="D31" s="138" t="s">
        <v>31</v>
      </c>
      <c r="E31" s="139"/>
      <c r="F31" s="148">
        <f ca="1">IF($F$24="","",IFERROR(INDEX(MUSTERI_360!$H$7:$H$156,MATCH($F$24,MUSTERI_360!$C$7:$C$156,0)),""))</f>
        <v>136000</v>
      </c>
      <c r="G31" s="139"/>
      <c r="H31" s="139"/>
      <c r="I31" s="139"/>
      <c r="J31" s="144" t="s">
        <v>32</v>
      </c>
      <c r="K31" s="141"/>
      <c r="L31" s="141"/>
      <c r="M31" s="141"/>
      <c r="N31" s="141"/>
      <c r="O31" s="10">
        <f ca="1">COUNTIF(TAHSILAT!$M$7:$M$2503,"EKSİK")</f>
        <v>0</v>
      </c>
      <c r="P31" s="2"/>
      <c r="Q31" s="2"/>
    </row>
    <row r="32" spans="1:17" ht="21.75" customHeight="1" x14ac:dyDescent="0.3">
      <c r="A32" s="2"/>
      <c r="B32" s="8"/>
      <c r="C32" s="2"/>
      <c r="D32" s="138" t="s">
        <v>33</v>
      </c>
      <c r="E32" s="139"/>
      <c r="F32" s="148">
        <f ca="1">IF($F$24="","",IFERROR(INDEX(MUSTERI_360!$I$7:$I$156,MATCH($F$24,MUSTERI_360!$C$7:$C$156,0)),""))</f>
        <v>116000</v>
      </c>
      <c r="G32" s="139"/>
      <c r="H32" s="139"/>
      <c r="I32" s="139"/>
      <c r="J32" s="144" t="s">
        <v>34</v>
      </c>
      <c r="K32" s="141"/>
      <c r="L32" s="141"/>
      <c r="M32" s="141"/>
      <c r="N32" s="141"/>
      <c r="O32" s="10">
        <f ca="1">COUNTIF(GELIR_GIDER!$P$7:$P$3001,"EKSİK")</f>
        <v>0</v>
      </c>
      <c r="P32" s="2"/>
      <c r="Q32" s="2"/>
    </row>
    <row r="33" spans="1:17" ht="21.75" customHeight="1" x14ac:dyDescent="0.3">
      <c r="A33" s="2"/>
      <c r="B33" s="8"/>
      <c r="C33" s="2"/>
      <c r="D33" s="138" t="s">
        <v>35</v>
      </c>
      <c r="E33" s="139"/>
      <c r="F33" s="164">
        <f ca="1">IF($F$24="","",IFERROR(INDEX(MUSTERI_360!$J$7:$J$156,MATCH($F$24,MUSTERI_360!$C$7:$C$156,0)),""))</f>
        <v>20000</v>
      </c>
      <c r="G33" s="139"/>
      <c r="H33" s="139"/>
      <c r="I33" s="139"/>
      <c r="J33" s="144" t="s">
        <v>36</v>
      </c>
      <c r="K33" s="141"/>
      <c r="L33" s="141"/>
      <c r="M33" s="141"/>
      <c r="N33" s="141"/>
      <c r="O33" s="11">
        <f ca="1">COUNTIF(MUSTERI_360!$V$7:$V$156,"&gt;0")</f>
        <v>4</v>
      </c>
      <c r="P33" s="2"/>
      <c r="Q33" s="2"/>
    </row>
    <row r="34" spans="1:17" ht="21.75" customHeight="1" x14ac:dyDescent="0.3">
      <c r="A34" s="2"/>
      <c r="B34" s="8"/>
      <c r="C34" s="2"/>
      <c r="D34" s="138" t="s">
        <v>37</v>
      </c>
      <c r="E34" s="139"/>
      <c r="F34" s="148">
        <f ca="1">IF($F$24="","",IFERROR(INDEX(MUSTERI_360!$K$7:$K$156,MATCH($F$24,MUSTERI_360!$C$7:$C$156,0)),""))</f>
        <v>4000</v>
      </c>
      <c r="G34" s="139"/>
      <c r="H34" s="139"/>
      <c r="I34" s="139"/>
      <c r="J34" s="144" t="s">
        <v>38</v>
      </c>
      <c r="K34" s="141"/>
      <c r="L34" s="141"/>
      <c r="M34" s="141"/>
      <c r="N34" s="141"/>
      <c r="O34" s="12">
        <f ca="1">COUNTIF(TAHSILAT!$M$7:$M$2503,"MÜKERRER?")+COUNTIF(GELIR_GIDER!$P$7:$P$3001,"MÜKERRER?")</f>
        <v>0</v>
      </c>
      <c r="P34" s="2"/>
      <c r="Q34" s="2"/>
    </row>
    <row r="35" spans="1:17" ht="21.75" customHeight="1" x14ac:dyDescent="0.3">
      <c r="A35" s="2"/>
      <c r="B35" s="8"/>
      <c r="C35" s="2"/>
      <c r="D35" s="138" t="s">
        <v>39</v>
      </c>
      <c r="E35" s="139"/>
      <c r="F35" s="148">
        <f ca="1">IF($F$24="","",IFERROR(INDEX(MUSTERI_360!$L$7:$L$156,MATCH($F$24,MUSTERI_360!$C$7:$C$156,0)),""))</f>
        <v>4000</v>
      </c>
      <c r="G35" s="139"/>
      <c r="H35" s="139"/>
      <c r="I35" s="139"/>
      <c r="J35" s="144" t="s">
        <v>40</v>
      </c>
      <c r="K35" s="141"/>
      <c r="L35" s="141"/>
      <c r="M35" s="141"/>
      <c r="N35" s="141"/>
      <c r="O35" s="10">
        <f ca="1">COUNTIF(GELIR_GIDER!$P$7:$P$3001,"ÖDENECEK")</f>
        <v>0</v>
      </c>
      <c r="P35" s="2"/>
      <c r="Q35" s="2"/>
    </row>
    <row r="36" spans="1:17" ht="21.75" customHeight="1" x14ac:dyDescent="0.3">
      <c r="A36" s="2"/>
      <c r="B36" s="8"/>
      <c r="C36" s="2"/>
      <c r="D36" s="138" t="s">
        <v>41</v>
      </c>
      <c r="E36" s="139"/>
      <c r="F36" s="148">
        <f ca="1">IF($F$24="","",IFERROR(INDEX(MUSTERI_360!$M$7:$M$156,MATCH($F$24,MUSTERI_360!$C$7:$C$156,0)),""))</f>
        <v>8000</v>
      </c>
      <c r="G36" s="139"/>
      <c r="H36" s="139"/>
      <c r="I36" s="139"/>
      <c r="J36" s="144" t="s">
        <v>42</v>
      </c>
      <c r="K36" s="141"/>
      <c r="L36" s="141"/>
      <c r="M36" s="141"/>
      <c r="N36" s="141"/>
      <c r="O36" s="12">
        <f ca="1">COUNTIF(SISTEM!$F$23:$F$91,"KALDI")</f>
        <v>0</v>
      </c>
      <c r="P36" s="2"/>
      <c r="Q36" s="2"/>
    </row>
    <row r="37" spans="1:17" ht="21.75" customHeight="1" x14ac:dyDescent="0.3">
      <c r="A37" s="2"/>
      <c r="B37" s="8"/>
      <c r="C37" s="2"/>
      <c r="D37" s="138" t="s">
        <v>43</v>
      </c>
      <c r="E37" s="139"/>
      <c r="F37" s="164">
        <f ca="1">IF($F$24="","",IFERROR(INDEX(MUSTERI_360!$N$7:$N$156,MATCH($F$24,MUSTERI_360!$C$7:$C$156,0)),""))</f>
        <v>4000</v>
      </c>
      <c r="G37" s="139"/>
      <c r="H37" s="139"/>
      <c r="I37" s="139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3">
      <c r="A38" s="2"/>
      <c r="B38" s="8"/>
      <c r="C38" s="2"/>
      <c r="D38" s="138" t="s">
        <v>44</v>
      </c>
      <c r="E38" s="139"/>
      <c r="F38" s="143">
        <f ca="1">IF($F$24="","",IFERROR(INDEX(MUSTERI_360!$O$7:$O$156,MATCH($F$24,MUSTERI_360!$C$7:$C$156,0)),""))</f>
        <v>0.8529411764705882</v>
      </c>
      <c r="G38" s="139"/>
      <c r="H38" s="139"/>
      <c r="I38" s="139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3">
      <c r="A39" s="2"/>
      <c r="B39" s="8"/>
      <c r="C39" s="2"/>
      <c r="D39" s="138" t="s">
        <v>45</v>
      </c>
      <c r="E39" s="139"/>
      <c r="F39" s="169">
        <f ca="1">IF($F$24="","",IFERROR(INDEX(MUSTERI_360!$P$7:$P$156,MATCH($F$24,MUSTERI_360!$C$7:$C$156,0)),""))</f>
        <v>46256</v>
      </c>
      <c r="G39" s="139"/>
      <c r="H39" s="139"/>
      <c r="I39" s="139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3">
      <c r="A40" s="2"/>
      <c r="B40" s="8"/>
      <c r="C40" s="2"/>
      <c r="D40" s="138" t="s">
        <v>46</v>
      </c>
      <c r="E40" s="139"/>
      <c r="F40" s="157" t="str">
        <f ca="1">IF($F$24="","",IFERROR(INDEX(MUSTERI_360!$R$7:$R$156,MATCH($F$24,MUSTERI_360!$C$7:$C$156,0)),""))</f>
        <v>Acil tahsilat görüşmesi ve cari mutabakat</v>
      </c>
      <c r="G40" s="139"/>
      <c r="H40" s="139"/>
      <c r="I40" s="139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3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3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A1:E1"/>
    <mergeCell ref="M7:O7"/>
    <mergeCell ref="J28:N28"/>
    <mergeCell ref="F37:I37"/>
    <mergeCell ref="A2:O2"/>
    <mergeCell ref="F1:O1"/>
    <mergeCell ref="G5:I5"/>
    <mergeCell ref="J27:N27"/>
    <mergeCell ref="F34:I34"/>
    <mergeCell ref="J35:N35"/>
    <mergeCell ref="J26:N26"/>
    <mergeCell ref="F32:I32"/>
    <mergeCell ref="F26:I26"/>
    <mergeCell ref="F36:I36"/>
    <mergeCell ref="M11:O11"/>
    <mergeCell ref="J6:L6"/>
    <mergeCell ref="M6:O6"/>
    <mergeCell ref="D36:E36"/>
    <mergeCell ref="J11:L11"/>
    <mergeCell ref="J7:L7"/>
    <mergeCell ref="J34:N34"/>
    <mergeCell ref="J30:N30"/>
    <mergeCell ref="D27:E27"/>
    <mergeCell ref="J24:N24"/>
    <mergeCell ref="D9:F9"/>
    <mergeCell ref="F29:I29"/>
    <mergeCell ref="D32:E32"/>
    <mergeCell ref="J36:N36"/>
    <mergeCell ref="F25:I25"/>
    <mergeCell ref="D34:E34"/>
    <mergeCell ref="F31:I31"/>
    <mergeCell ref="D11:F11"/>
    <mergeCell ref="J5:L5"/>
    <mergeCell ref="D25:E25"/>
    <mergeCell ref="D40:E40"/>
    <mergeCell ref="D7:F7"/>
    <mergeCell ref="D31:E31"/>
    <mergeCell ref="F39:I39"/>
    <mergeCell ref="G10:I10"/>
    <mergeCell ref="F27:I27"/>
    <mergeCell ref="G6:I6"/>
    <mergeCell ref="J29:N29"/>
    <mergeCell ref="D24:E24"/>
    <mergeCell ref="J10:L10"/>
    <mergeCell ref="D30:E30"/>
    <mergeCell ref="M5:O5"/>
    <mergeCell ref="D6:F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D38:E38"/>
    <mergeCell ref="G7:I7"/>
    <mergeCell ref="F38:I38"/>
    <mergeCell ref="J33:N33"/>
    <mergeCell ref="J9:L9"/>
    <mergeCell ref="D26:E26"/>
    <mergeCell ref="D35:E35"/>
    <mergeCell ref="F28:I28"/>
    <mergeCell ref="F35:I35"/>
    <mergeCell ref="D33:E33"/>
    <mergeCell ref="M9:O9"/>
    <mergeCell ref="D29:E29"/>
    <mergeCell ref="M10:O10"/>
  </mergeCells>
  <conditionalFormatting sqref="O24">
    <cfRule type="cellIs" dxfId="92" priority="2" operator="greaterThan">
      <formula>0</formula>
    </cfRule>
  </conditionalFormatting>
  <conditionalFormatting sqref="O25">
    <cfRule type="cellIs" dxfId="91" priority="3" operator="greaterThan">
      <formula>0</formula>
    </cfRule>
  </conditionalFormatting>
  <conditionalFormatting sqref="O26">
    <cfRule type="cellIs" dxfId="90" priority="4" operator="greaterThan">
      <formula>0</formula>
    </cfRule>
  </conditionalFormatting>
  <conditionalFormatting sqref="O27:O28">
    <cfRule type="cellIs" dxfId="89" priority="5" operator="greaterThan">
      <formula>0</formula>
    </cfRule>
  </conditionalFormatting>
  <conditionalFormatting sqref="O29:O32">
    <cfRule type="cellIs" dxfId="88" priority="6" operator="greaterThan">
      <formula>0</formula>
    </cfRule>
  </conditionalFormatting>
  <conditionalFormatting sqref="O33">
    <cfRule type="cellIs" dxfId="87" priority="7" operator="greaterThan">
      <formula>0</formula>
    </cfRule>
  </conditionalFormatting>
  <conditionalFormatting sqref="O34">
    <cfRule type="cellIs" dxfId="86" priority="8" operator="greaterThan">
      <formula>0</formula>
    </cfRule>
  </conditionalFormatting>
  <conditionalFormatting sqref="O35">
    <cfRule type="cellIs" dxfId="85" priority="9" operator="greaterThan">
      <formula>0</formula>
    </cfRule>
  </conditionalFormatting>
  <conditionalFormatting sqref="O36">
    <cfRule type="cellIs" dxfId="84" priority="10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E73"/>
    <pageSetUpPr fitToPage="1"/>
  </sheetPr>
  <dimension ref="A1:K193"/>
  <sheetViews>
    <sheetView showGridLines="0" zoomScaleNormal="100" workbookViewId="0">
      <pane ySplit="6" topLeftCell="A47" activePane="bottomLeft" state="frozen"/>
      <selection pane="bottomLeft" activeCell="G55" sqref="G55:I55"/>
    </sheetView>
  </sheetViews>
  <sheetFormatPr defaultColWidth="8" defaultRowHeight="14.25" customHeight="1" x14ac:dyDescent="0.25"/>
  <cols>
    <col min="1" max="1" width="2.28515625" customWidth="1"/>
    <col min="2" max="2" width="9.28515625" customWidth="1"/>
    <col min="3" max="3" width="22.28515625" customWidth="1"/>
    <col min="4" max="5" width="16.7109375" customWidth="1"/>
    <col min="6" max="6" width="27.85546875" customWidth="1"/>
    <col min="7" max="7" width="31.5703125" customWidth="1"/>
    <col min="8" max="8" width="24.140625" customWidth="1"/>
    <col min="9" max="9" width="18.5703125" customWidth="1"/>
    <col min="10" max="11" width="2.28515625" customWidth="1"/>
  </cols>
  <sheetData>
    <row r="1" spans="1:11" ht="37.5" customHeight="1" x14ac:dyDescent="0.3">
      <c r="A1" s="170" t="s">
        <v>0</v>
      </c>
      <c r="B1" s="171"/>
      <c r="C1" s="171"/>
      <c r="D1" s="171"/>
      <c r="E1" s="171"/>
      <c r="F1" s="173" t="s">
        <v>47</v>
      </c>
      <c r="G1" s="171"/>
      <c r="H1" s="171"/>
      <c r="I1" s="171"/>
      <c r="J1" s="13"/>
      <c r="K1" s="13"/>
    </row>
    <row r="2" spans="1:11" ht="21.75" customHeight="1" x14ac:dyDescent="0.3">
      <c r="A2" s="172" t="s">
        <v>48</v>
      </c>
      <c r="B2" s="139"/>
      <c r="C2" s="139"/>
      <c r="D2" s="139"/>
      <c r="E2" s="139"/>
      <c r="F2" s="139"/>
      <c r="G2" s="139"/>
      <c r="H2" s="139"/>
      <c r="I2" s="139"/>
      <c r="J2" s="14"/>
      <c r="K2" s="14"/>
    </row>
    <row r="3" spans="1:11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3">
      <c r="A5" s="2"/>
      <c r="B5" s="206" t="s">
        <v>49</v>
      </c>
      <c r="C5" s="139"/>
      <c r="D5" s="139"/>
      <c r="E5" s="139"/>
      <c r="F5" s="139"/>
      <c r="G5" s="139"/>
      <c r="H5" s="139"/>
      <c r="I5" s="139"/>
      <c r="J5" s="2"/>
      <c r="K5" s="2"/>
    </row>
    <row r="6" spans="1:11" ht="21.75" customHeight="1" x14ac:dyDescent="0.3">
      <c r="A6" s="2"/>
      <c r="B6" s="207" t="s">
        <v>50</v>
      </c>
      <c r="C6" s="139"/>
      <c r="D6" s="139"/>
      <c r="E6" s="139"/>
      <c r="F6" s="139"/>
      <c r="G6" s="139"/>
      <c r="H6" s="139"/>
      <c r="I6" s="139"/>
      <c r="J6" s="2"/>
      <c r="K6" s="2"/>
    </row>
    <row r="7" spans="1:11" ht="1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3">
      <c r="A8" s="2"/>
      <c r="B8" s="182" t="s">
        <v>51</v>
      </c>
      <c r="C8" s="171"/>
      <c r="D8" s="171"/>
      <c r="E8" s="171"/>
      <c r="F8" s="171"/>
      <c r="G8" s="171"/>
      <c r="H8" s="171"/>
      <c r="I8" s="171"/>
      <c r="J8" s="2"/>
      <c r="K8" s="2"/>
    </row>
    <row r="9" spans="1:11" ht="19.5" customHeight="1" x14ac:dyDescent="0.3">
      <c r="A9" s="2"/>
      <c r="B9" s="179" t="str">
        <f>HYPERLINK("#BASLANGIC!B17","▸  1.  BU EXCEL NE İÇİN ÜRETİLDİ?")</f>
        <v>▸  1.  BU EXCEL NE İÇİN ÜRETİLDİ?</v>
      </c>
      <c r="C9" s="141"/>
      <c r="D9" s="141"/>
      <c r="E9" s="141"/>
      <c r="F9" s="179" t="str">
        <f>HYPERLINK("#BASLANGIC!B88","▸  7.  SENARYO KATALOĞU")</f>
        <v>▸  7.  SENARYO KATALOĞU</v>
      </c>
      <c r="G9" s="141"/>
      <c r="H9" s="141"/>
      <c r="I9" s="141"/>
      <c r="J9" s="2"/>
      <c r="K9" s="2"/>
    </row>
    <row r="10" spans="1:11" ht="19.5" customHeight="1" x14ac:dyDescent="0.3">
      <c r="A10" s="2"/>
      <c r="B10" s="179" t="str">
        <f>HYPERLINK("#BASLANGIC!B26","▸  2.  RENK KİLAVUZU")</f>
        <v>▸  2.  RENK KİLAVUZU</v>
      </c>
      <c r="C10" s="141"/>
      <c r="D10" s="141"/>
      <c r="E10" s="141"/>
      <c r="F10" s="179" t="str">
        <f>HYPERLINK("#BASLANGIC!B115","▸  8.  UYARI SÖZLÜĞÜ")</f>
        <v>▸  8.  UYARI SÖZLÜĞÜ</v>
      </c>
      <c r="G10" s="141"/>
      <c r="H10" s="141"/>
      <c r="I10" s="141"/>
      <c r="J10" s="2"/>
      <c r="K10" s="2"/>
    </row>
    <row r="11" spans="1:11" ht="19.5" customHeight="1" x14ac:dyDescent="0.3">
      <c r="A11" s="2"/>
      <c r="B11" s="179" t="str">
        <f>HYPERLINK("#BASLANGIC!B40","▸  3.  SEKME HARİTASI")</f>
        <v>▸  3.  SEKME HARİTASI</v>
      </c>
      <c r="C11" s="141"/>
      <c r="D11" s="141"/>
      <c r="E11" s="141"/>
      <c r="F11" s="179" t="str">
        <f>HYPERLINK("#BASLANGIC!B142","▸  9.  EN SIK YAPILAN HATALAR")</f>
        <v>▸  9.  EN SIK YAPILAN HATALAR</v>
      </c>
      <c r="G11" s="141"/>
      <c r="H11" s="141"/>
      <c r="I11" s="141"/>
      <c r="J11" s="2"/>
      <c r="K11" s="2"/>
    </row>
    <row r="12" spans="1:11" ht="19.5" customHeight="1" x14ac:dyDescent="0.3">
      <c r="A12" s="2"/>
      <c r="B12" s="179" t="str">
        <f>HYPERLINK("#BASLANGIC!B57","▸  4.  EKRAN MODLARI")</f>
        <v>▸  4.  EKRAN MODLARI</v>
      </c>
      <c r="C12" s="141"/>
      <c r="D12" s="141"/>
      <c r="E12" s="141"/>
      <c r="F12" s="179" t="str">
        <f>HYPERLINK("#BASLANGIC!B155","▸  10.  SORUN GİDERME")</f>
        <v>▸  10.  SORUN GİDERME</v>
      </c>
      <c r="G12" s="141"/>
      <c r="H12" s="141"/>
      <c r="I12" s="141"/>
      <c r="J12" s="2"/>
      <c r="K12" s="2"/>
    </row>
    <row r="13" spans="1:11" ht="19.5" customHeight="1" x14ac:dyDescent="0.3">
      <c r="A13" s="2"/>
      <c r="B13" s="179" t="str">
        <f>HYPERLINK("#BASLANGIC!B63","▸  5.  ADIM ADIM KULLANIM")</f>
        <v>▸  5.  ADIM ADIM KULLANIM</v>
      </c>
      <c r="C13" s="141"/>
      <c r="D13" s="141"/>
      <c r="E13" s="141"/>
      <c r="F13" s="179" t="str">
        <f>HYPERLINK("#BASLANGIC!B173","▸  11.  DEĞİŞMEZ KURALLAR")</f>
        <v>▸  11.  DEĞİŞMEZ KURALLAR</v>
      </c>
      <c r="G13" s="141"/>
      <c r="H13" s="141"/>
      <c r="I13" s="141"/>
      <c r="J13" s="2"/>
      <c r="K13" s="2"/>
    </row>
    <row r="14" spans="1:11" ht="19.5" customHeight="1" x14ac:dyDescent="0.3">
      <c r="A14" s="2"/>
      <c r="B14" s="179" t="str">
        <f>HYPERLINK("#BASLANGIC!B78","▸  6.  TAHAKKUK MODELLERİ, ZAM VE PARA GİRİŞİ")</f>
        <v>▸  6.  TAHAKKUK MODELLERİ, ZAM VE PARA GİRİŞİ</v>
      </c>
      <c r="C14" s="141"/>
      <c r="D14" s="141"/>
      <c r="E14" s="141"/>
      <c r="F14" s="179" t="str">
        <f>HYPERLINK("#BASLANGIC!B183","▸  12.  KORUMA, YEDEK VE GÜVENLİK")</f>
        <v>▸  12.  KORUMA, YEDEK VE GÜVENLİK</v>
      </c>
      <c r="G14" s="141"/>
      <c r="H14" s="141"/>
      <c r="I14" s="141"/>
      <c r="J14" s="2"/>
      <c r="K14" s="2"/>
    </row>
    <row r="15" spans="1:11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3">
      <c r="A17" s="2"/>
      <c r="B17" s="182" t="s">
        <v>52</v>
      </c>
      <c r="C17" s="171"/>
      <c r="D17" s="171"/>
      <c r="E17" s="171"/>
      <c r="F17" s="171"/>
      <c r="G17" s="171"/>
      <c r="H17" s="171"/>
      <c r="I17" s="171"/>
      <c r="J17" s="2"/>
      <c r="K17" s="2"/>
    </row>
    <row r="18" spans="1:11" ht="30" customHeight="1" x14ac:dyDescent="0.3">
      <c r="A18" s="2"/>
      <c r="B18" s="189" t="s">
        <v>53</v>
      </c>
      <c r="C18" s="139"/>
      <c r="D18" s="189" t="s">
        <v>54</v>
      </c>
      <c r="E18" s="139"/>
      <c r="F18" s="139"/>
      <c r="G18" s="139"/>
      <c r="H18" s="139"/>
      <c r="I18" s="139"/>
      <c r="J18" s="2"/>
      <c r="K18" s="2"/>
    </row>
    <row r="19" spans="1:11" ht="31.5" customHeight="1" x14ac:dyDescent="0.3">
      <c r="A19" s="2"/>
      <c r="B19" s="190" t="s">
        <v>55</v>
      </c>
      <c r="C19" s="141"/>
      <c r="D19" s="185" t="s">
        <v>56</v>
      </c>
      <c r="E19" s="141"/>
      <c r="F19" s="141"/>
      <c r="G19" s="141"/>
      <c r="H19" s="141"/>
      <c r="I19" s="142"/>
      <c r="J19" s="2"/>
      <c r="K19" s="2"/>
    </row>
    <row r="20" spans="1:11" ht="31.5" customHeight="1" x14ac:dyDescent="0.3">
      <c r="A20" s="2"/>
      <c r="B20" s="190" t="s">
        <v>57</v>
      </c>
      <c r="C20" s="141"/>
      <c r="D20" s="185" t="s">
        <v>58</v>
      </c>
      <c r="E20" s="141"/>
      <c r="F20" s="141"/>
      <c r="G20" s="141"/>
      <c r="H20" s="141"/>
      <c r="I20" s="142"/>
      <c r="J20" s="2"/>
      <c r="K20" s="2"/>
    </row>
    <row r="21" spans="1:11" ht="31.5" customHeight="1" x14ac:dyDescent="0.3">
      <c r="A21" s="2"/>
      <c r="B21" s="190" t="s">
        <v>59</v>
      </c>
      <c r="C21" s="141"/>
      <c r="D21" s="185" t="s">
        <v>60</v>
      </c>
      <c r="E21" s="141"/>
      <c r="F21" s="141"/>
      <c r="G21" s="141"/>
      <c r="H21" s="141"/>
      <c r="I21" s="142"/>
      <c r="J21" s="2"/>
      <c r="K21" s="2"/>
    </row>
    <row r="22" spans="1:11" ht="31.5" customHeight="1" x14ac:dyDescent="0.3">
      <c r="A22" s="2"/>
      <c r="B22" s="190" t="s">
        <v>61</v>
      </c>
      <c r="C22" s="141"/>
      <c r="D22" s="187" t="s">
        <v>62</v>
      </c>
      <c r="E22" s="141"/>
      <c r="F22" s="141"/>
      <c r="G22" s="141"/>
      <c r="H22" s="141"/>
      <c r="I22" s="142"/>
      <c r="J22" s="2"/>
      <c r="K22" s="2"/>
    </row>
    <row r="23" spans="1:11" ht="31.5" customHeight="1" x14ac:dyDescent="0.3">
      <c r="A23" s="2"/>
      <c r="B23" s="190" t="s">
        <v>63</v>
      </c>
      <c r="C23" s="141"/>
      <c r="D23" s="185" t="s">
        <v>64</v>
      </c>
      <c r="E23" s="141"/>
      <c r="F23" s="141"/>
      <c r="G23" s="141"/>
      <c r="H23" s="141"/>
      <c r="I23" s="142"/>
      <c r="J23" s="2"/>
      <c r="K23" s="2"/>
    </row>
    <row r="24" spans="1:11" ht="31.5" customHeight="1" x14ac:dyDescent="0.3">
      <c r="A24" s="2"/>
      <c r="B24" s="190" t="s">
        <v>65</v>
      </c>
      <c r="C24" s="141"/>
      <c r="D24" s="185" t="s">
        <v>66</v>
      </c>
      <c r="E24" s="141"/>
      <c r="F24" s="141"/>
      <c r="G24" s="141"/>
      <c r="H24" s="141"/>
      <c r="I24" s="142"/>
      <c r="J24" s="2"/>
      <c r="K24" s="2"/>
    </row>
    <row r="25" spans="1:11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3">
      <c r="A26" s="2"/>
      <c r="B26" s="182" t="s">
        <v>67</v>
      </c>
      <c r="C26" s="171"/>
      <c r="D26" s="171"/>
      <c r="E26" s="171"/>
      <c r="F26" s="171"/>
      <c r="G26" s="171"/>
      <c r="H26" s="171"/>
      <c r="I26" s="171"/>
      <c r="J26" s="2"/>
      <c r="K26" s="2"/>
    </row>
    <row r="27" spans="1:11" ht="30" customHeight="1" x14ac:dyDescent="0.3">
      <c r="A27" s="2"/>
      <c r="B27" s="18" t="s">
        <v>68</v>
      </c>
      <c r="C27" s="189" t="s">
        <v>69</v>
      </c>
      <c r="D27" s="139"/>
      <c r="E27" s="189" t="s">
        <v>70</v>
      </c>
      <c r="F27" s="139"/>
      <c r="G27" s="189" t="s">
        <v>71</v>
      </c>
      <c r="H27" s="139"/>
      <c r="I27" s="139"/>
      <c r="J27" s="2"/>
      <c r="K27" s="2"/>
    </row>
    <row r="28" spans="1:11" ht="30" customHeight="1" x14ac:dyDescent="0.3">
      <c r="A28" s="2"/>
      <c r="B28" s="20" t="s">
        <v>72</v>
      </c>
      <c r="C28" s="199" t="s">
        <v>73</v>
      </c>
      <c r="D28" s="141"/>
      <c r="E28" s="180" t="s">
        <v>74</v>
      </c>
      <c r="F28" s="141"/>
      <c r="G28" s="185" t="s">
        <v>75</v>
      </c>
      <c r="H28" s="141"/>
      <c r="I28" s="142"/>
      <c r="J28" s="2"/>
      <c r="K28" s="2"/>
    </row>
    <row r="29" spans="1:11" ht="30" customHeight="1" x14ac:dyDescent="0.3">
      <c r="A29" s="2"/>
      <c r="B29" s="22" t="s">
        <v>72</v>
      </c>
      <c r="C29" s="204" t="s">
        <v>76</v>
      </c>
      <c r="D29" s="141"/>
      <c r="E29" s="180" t="s">
        <v>77</v>
      </c>
      <c r="F29" s="141"/>
      <c r="G29" s="185" t="s">
        <v>78</v>
      </c>
      <c r="H29" s="141"/>
      <c r="I29" s="142"/>
      <c r="J29" s="2"/>
      <c r="K29" s="2"/>
    </row>
    <row r="30" spans="1:11" ht="30" customHeight="1" x14ac:dyDescent="0.3">
      <c r="A30" s="2"/>
      <c r="B30" s="23" t="s">
        <v>72</v>
      </c>
      <c r="C30" s="203" t="s">
        <v>79</v>
      </c>
      <c r="D30" s="141"/>
      <c r="E30" s="180" t="s">
        <v>80</v>
      </c>
      <c r="F30" s="141"/>
      <c r="G30" s="185" t="s">
        <v>81</v>
      </c>
      <c r="H30" s="141"/>
      <c r="I30" s="142"/>
      <c r="J30" s="2"/>
      <c r="K30" s="2"/>
    </row>
    <row r="31" spans="1:11" ht="30" customHeight="1" x14ac:dyDescent="0.3">
      <c r="A31" s="2"/>
      <c r="B31" s="24" t="s">
        <v>72</v>
      </c>
      <c r="C31" s="192" t="s">
        <v>82</v>
      </c>
      <c r="D31" s="141"/>
      <c r="E31" s="180" t="s">
        <v>83</v>
      </c>
      <c r="F31" s="141"/>
      <c r="G31" s="185" t="s">
        <v>84</v>
      </c>
      <c r="H31" s="141"/>
      <c r="I31" s="142"/>
      <c r="J31" s="2"/>
      <c r="K31" s="2"/>
    </row>
    <row r="32" spans="1:11" ht="30" customHeight="1" x14ac:dyDescent="0.3">
      <c r="A32" s="2"/>
      <c r="B32" s="25" t="s">
        <v>72</v>
      </c>
      <c r="C32" s="195" t="s">
        <v>85</v>
      </c>
      <c r="D32" s="141"/>
      <c r="E32" s="180" t="s">
        <v>86</v>
      </c>
      <c r="F32" s="141"/>
      <c r="G32" s="185" t="s">
        <v>87</v>
      </c>
      <c r="H32" s="141"/>
      <c r="I32" s="142"/>
      <c r="J32" s="2"/>
      <c r="K32" s="2"/>
    </row>
    <row r="33" spans="1:11" ht="30" customHeight="1" x14ac:dyDescent="0.3">
      <c r="A33" s="2"/>
      <c r="B33" s="26" t="s">
        <v>72</v>
      </c>
      <c r="C33" s="196" t="s">
        <v>88</v>
      </c>
      <c r="D33" s="141"/>
      <c r="E33" s="180" t="s">
        <v>89</v>
      </c>
      <c r="F33" s="141"/>
      <c r="G33" s="185" t="s">
        <v>90</v>
      </c>
      <c r="H33" s="141"/>
      <c r="I33" s="142"/>
      <c r="J33" s="2"/>
      <c r="K33" s="2"/>
    </row>
    <row r="34" spans="1:11" ht="30" customHeight="1" x14ac:dyDescent="0.3">
      <c r="A34" s="2"/>
      <c r="B34" s="27" t="s">
        <v>72</v>
      </c>
      <c r="C34" s="203" t="s">
        <v>91</v>
      </c>
      <c r="D34" s="141"/>
      <c r="E34" s="180" t="s">
        <v>92</v>
      </c>
      <c r="F34" s="141"/>
      <c r="G34" s="185" t="s">
        <v>93</v>
      </c>
      <c r="H34" s="141"/>
      <c r="I34" s="142"/>
      <c r="J34" s="2"/>
      <c r="K34" s="2"/>
    </row>
    <row r="35" spans="1:11" ht="30" customHeight="1" x14ac:dyDescent="0.3">
      <c r="A35" s="2"/>
      <c r="B35" s="28" t="s">
        <v>72</v>
      </c>
      <c r="C35" s="197" t="s">
        <v>94</v>
      </c>
      <c r="D35" s="141"/>
      <c r="E35" s="180" t="s">
        <v>95</v>
      </c>
      <c r="F35" s="141"/>
      <c r="G35" s="185" t="s">
        <v>96</v>
      </c>
      <c r="H35" s="141"/>
      <c r="I35" s="142"/>
      <c r="J35" s="2"/>
      <c r="K35" s="2"/>
    </row>
    <row r="36" spans="1:11" ht="30" customHeight="1" x14ac:dyDescent="0.3">
      <c r="A36" s="2"/>
      <c r="B36" s="29" t="s">
        <v>72</v>
      </c>
      <c r="C36" s="192" t="s">
        <v>97</v>
      </c>
      <c r="D36" s="141"/>
      <c r="E36" s="180" t="s">
        <v>98</v>
      </c>
      <c r="F36" s="141"/>
      <c r="G36" s="185" t="s">
        <v>99</v>
      </c>
      <c r="H36" s="141"/>
      <c r="I36" s="142"/>
      <c r="J36" s="2"/>
      <c r="K36" s="2"/>
    </row>
    <row r="37" spans="1:11" ht="30" customHeight="1" x14ac:dyDescent="0.3">
      <c r="A37" s="2"/>
      <c r="B37" s="30" t="s">
        <v>72</v>
      </c>
      <c r="C37" s="202" t="s">
        <v>100</v>
      </c>
      <c r="D37" s="141"/>
      <c r="E37" s="180" t="s">
        <v>101</v>
      </c>
      <c r="F37" s="141"/>
      <c r="G37" s="185" t="s">
        <v>102</v>
      </c>
      <c r="H37" s="141"/>
      <c r="I37" s="142"/>
      <c r="J37" s="2"/>
      <c r="K37" s="2"/>
    </row>
    <row r="38" spans="1:11" ht="30" customHeight="1" x14ac:dyDescent="0.3">
      <c r="A38" s="2"/>
      <c r="B38" s="31" t="s">
        <v>72</v>
      </c>
      <c r="C38" s="196" t="s">
        <v>103</v>
      </c>
      <c r="D38" s="141"/>
      <c r="E38" s="180" t="s">
        <v>104</v>
      </c>
      <c r="F38" s="141"/>
      <c r="G38" s="185" t="s">
        <v>105</v>
      </c>
      <c r="H38" s="141"/>
      <c r="I38" s="142"/>
      <c r="J38" s="2"/>
      <c r="K38" s="2"/>
    </row>
    <row r="39" spans="1:11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3">
      <c r="A40" s="2"/>
      <c r="B40" s="182" t="s">
        <v>106</v>
      </c>
      <c r="C40" s="171"/>
      <c r="D40" s="171"/>
      <c r="E40" s="171"/>
      <c r="F40" s="171"/>
      <c r="G40" s="171"/>
      <c r="H40" s="171"/>
      <c r="I40" s="171"/>
      <c r="J40" s="2"/>
      <c r="K40" s="2"/>
    </row>
    <row r="41" spans="1:11" ht="30" customHeight="1" x14ac:dyDescent="0.3">
      <c r="A41" s="2"/>
      <c r="B41" s="18" t="s">
        <v>68</v>
      </c>
      <c r="C41" s="18" t="s">
        <v>107</v>
      </c>
      <c r="D41" s="189" t="s">
        <v>108</v>
      </c>
      <c r="E41" s="139"/>
      <c r="F41" s="139"/>
      <c r="G41" s="189" t="s">
        <v>109</v>
      </c>
      <c r="H41" s="139"/>
      <c r="I41" s="139"/>
      <c r="J41" s="2"/>
      <c r="K41" s="2"/>
    </row>
    <row r="42" spans="1:11" ht="43.5" customHeight="1" x14ac:dyDescent="0.3">
      <c r="A42" s="2"/>
      <c r="B42" s="32" t="s">
        <v>72</v>
      </c>
      <c r="C42" s="17" t="str">
        <f>HYPERLINK("#PANO!A1","PANO")</f>
        <v>PANO</v>
      </c>
      <c r="D42" s="180" t="s">
        <v>110</v>
      </c>
      <c r="E42" s="141"/>
      <c r="F42" s="141"/>
      <c r="G42" s="183" t="s">
        <v>111</v>
      </c>
      <c r="H42" s="141"/>
      <c r="I42" s="142"/>
      <c r="J42" s="2"/>
      <c r="K42" s="2"/>
    </row>
    <row r="43" spans="1:11" ht="43.5" customHeight="1" x14ac:dyDescent="0.3">
      <c r="A43" s="2"/>
      <c r="B43" s="33" t="s">
        <v>72</v>
      </c>
      <c r="C43" s="17" t="str">
        <f>HYPERLINK("#BASLANGIC!A1","BASLANGIC")</f>
        <v>BASLANGIC</v>
      </c>
      <c r="D43" s="180" t="s">
        <v>112</v>
      </c>
      <c r="E43" s="141"/>
      <c r="F43" s="141"/>
      <c r="G43" s="183" t="s">
        <v>113</v>
      </c>
      <c r="H43" s="141"/>
      <c r="I43" s="142"/>
      <c r="J43" s="2"/>
      <c r="K43" s="2"/>
    </row>
    <row r="44" spans="1:11" ht="43.5" customHeight="1" x14ac:dyDescent="0.3">
      <c r="A44" s="2"/>
      <c r="B44" s="34" t="s">
        <v>72</v>
      </c>
      <c r="C44" s="17" t="str">
        <f>HYPERLINK("#MUSTERILER!A1","MUSTERILER")</f>
        <v>MUSTERILER</v>
      </c>
      <c r="D44" s="180" t="s">
        <v>114</v>
      </c>
      <c r="E44" s="141"/>
      <c r="F44" s="141"/>
      <c r="G44" s="183" t="s">
        <v>115</v>
      </c>
      <c r="H44" s="141"/>
      <c r="I44" s="142"/>
      <c r="J44" s="2"/>
      <c r="K44" s="2"/>
    </row>
    <row r="45" spans="1:11" ht="43.5" customHeight="1" x14ac:dyDescent="0.3">
      <c r="A45" s="2"/>
      <c r="B45" s="35" t="s">
        <v>72</v>
      </c>
      <c r="C45" s="17" t="str">
        <f>HYPERLINK("#UCRETLER!A1","UCRETLER")</f>
        <v>UCRETLER</v>
      </c>
      <c r="D45" s="180" t="s">
        <v>116</v>
      </c>
      <c r="E45" s="141"/>
      <c r="F45" s="141"/>
      <c r="G45" s="183" t="s">
        <v>117</v>
      </c>
      <c r="H45" s="141"/>
      <c r="I45" s="142"/>
      <c r="J45" s="2"/>
      <c r="K45" s="2"/>
    </row>
    <row r="46" spans="1:11" ht="43.5" customHeight="1" x14ac:dyDescent="0.3">
      <c r="A46" s="2"/>
      <c r="B46" s="36" t="s">
        <v>72</v>
      </c>
      <c r="C46" s="17" t="str">
        <f>HYPERLINK("#TAHSILAT!A1","TAHSILAT")</f>
        <v>TAHSILAT</v>
      </c>
      <c r="D46" s="180" t="s">
        <v>118</v>
      </c>
      <c r="E46" s="141"/>
      <c r="F46" s="141"/>
      <c r="G46" s="183" t="s">
        <v>119</v>
      </c>
      <c r="H46" s="141"/>
      <c r="I46" s="142"/>
      <c r="J46" s="2"/>
      <c r="K46" s="2"/>
    </row>
    <row r="47" spans="1:11" ht="43.5" customHeight="1" x14ac:dyDescent="0.3">
      <c r="A47" s="2"/>
      <c r="B47" s="37" t="s">
        <v>72</v>
      </c>
      <c r="C47" s="17" t="str">
        <f>HYPERLINK("#GELIR_GIDER!A1","GELIR_GIDER")</f>
        <v>GELIR_GIDER</v>
      </c>
      <c r="D47" s="180" t="s">
        <v>120</v>
      </c>
      <c r="E47" s="141"/>
      <c r="F47" s="141"/>
      <c r="G47" s="183" t="s">
        <v>121</v>
      </c>
      <c r="H47" s="141"/>
      <c r="I47" s="142"/>
      <c r="J47" s="2"/>
      <c r="K47" s="2"/>
    </row>
    <row r="48" spans="1:11" ht="43.5" customHeight="1" x14ac:dyDescent="0.3">
      <c r="A48" s="2"/>
      <c r="B48" s="38" t="s">
        <v>72</v>
      </c>
      <c r="C48" s="17" t="str">
        <f>HYPERLINK("#VIRMAN!A1","VIRMAN")</f>
        <v>VIRMAN</v>
      </c>
      <c r="D48" s="180" t="s">
        <v>122</v>
      </c>
      <c r="E48" s="141"/>
      <c r="F48" s="141"/>
      <c r="G48" s="183" t="s">
        <v>123</v>
      </c>
      <c r="H48" s="141"/>
      <c r="I48" s="142"/>
      <c r="J48" s="2"/>
      <c r="K48" s="2"/>
    </row>
    <row r="49" spans="1:11" ht="43.5" customHeight="1" x14ac:dyDescent="0.3">
      <c r="A49" s="2"/>
      <c r="B49" s="39" t="s">
        <v>72</v>
      </c>
      <c r="C49" s="17" t="str">
        <f>HYPERLINK("#ORTAK_EKSTRE!A1","ORTAK_EKSTRE")</f>
        <v>ORTAK_EKSTRE</v>
      </c>
      <c r="D49" s="201" t="s">
        <v>124</v>
      </c>
      <c r="E49" s="141"/>
      <c r="F49" s="141"/>
      <c r="G49" s="187" t="s">
        <v>125</v>
      </c>
      <c r="H49" s="141"/>
      <c r="I49" s="142"/>
      <c r="J49" s="2"/>
      <c r="K49" s="2"/>
    </row>
    <row r="50" spans="1:11" ht="43.5" customHeight="1" x14ac:dyDescent="0.3">
      <c r="A50" s="2"/>
      <c r="B50" s="40" t="s">
        <v>72</v>
      </c>
      <c r="C50" s="17" t="str">
        <f>HYPERLINK("#CARI_EKSTRE!A1","CARI_EKSTRE")</f>
        <v>CARI_EKSTRE</v>
      </c>
      <c r="D50" s="180" t="s">
        <v>126</v>
      </c>
      <c r="E50" s="141"/>
      <c r="F50" s="141"/>
      <c r="G50" s="183" t="s">
        <v>127</v>
      </c>
      <c r="H50" s="141"/>
      <c r="I50" s="142"/>
      <c r="J50" s="2"/>
      <c r="K50" s="2"/>
    </row>
    <row r="51" spans="1:11" ht="43.5" customHeight="1" x14ac:dyDescent="0.3">
      <c r="A51" s="2"/>
      <c r="B51" s="41" t="s">
        <v>72</v>
      </c>
      <c r="C51" s="17" t="str">
        <f>HYPERLINK("#MUSTERI_360!A1","MUSTERI_360")</f>
        <v>MUSTERI_360</v>
      </c>
      <c r="D51" s="180" t="s">
        <v>128</v>
      </c>
      <c r="E51" s="141"/>
      <c r="F51" s="141"/>
      <c r="G51" s="183" t="s">
        <v>129</v>
      </c>
      <c r="H51" s="141"/>
      <c r="I51" s="142"/>
      <c r="J51" s="2"/>
      <c r="K51" s="2"/>
    </row>
    <row r="52" spans="1:11" ht="43.5" customHeight="1" x14ac:dyDescent="0.3">
      <c r="A52" s="2"/>
      <c r="B52" s="42" t="s">
        <v>72</v>
      </c>
      <c r="C52" s="17" t="str">
        <f>HYPERLINK("#HESAPLAR!A1","HESAPLAR")</f>
        <v>HESAPLAR</v>
      </c>
      <c r="D52" s="180" t="s">
        <v>130</v>
      </c>
      <c r="E52" s="141"/>
      <c r="F52" s="141"/>
      <c r="G52" s="183" t="s">
        <v>131</v>
      </c>
      <c r="H52" s="141"/>
      <c r="I52" s="142"/>
      <c r="J52" s="2"/>
      <c r="K52" s="2"/>
    </row>
    <row r="53" spans="1:11" ht="43.5" customHeight="1" x14ac:dyDescent="0.3">
      <c r="A53" s="2"/>
      <c r="B53" s="43" t="s">
        <v>72</v>
      </c>
      <c r="C53" s="17" t="str">
        <f>HYPERLINK("#AY_SONU!A1","AY_SONU")</f>
        <v>AY_SONU</v>
      </c>
      <c r="D53" s="180" t="s">
        <v>132</v>
      </c>
      <c r="E53" s="141"/>
      <c r="F53" s="141"/>
      <c r="G53" s="183" t="s">
        <v>133</v>
      </c>
      <c r="H53" s="141"/>
      <c r="I53" s="142"/>
      <c r="J53" s="2"/>
      <c r="K53" s="2"/>
    </row>
    <row r="54" spans="1:11" ht="43.5" customHeight="1" x14ac:dyDescent="0.3">
      <c r="A54" s="2"/>
      <c r="B54" s="43" t="s">
        <v>72</v>
      </c>
      <c r="C54" s="17" t="str">
        <f>HYPERLINK("#ORTAKLAR!A1","ORTAKLAR")</f>
        <v>ORTAKLAR</v>
      </c>
      <c r="D54" s="180" t="s">
        <v>134</v>
      </c>
      <c r="E54" s="141"/>
      <c r="F54" s="141"/>
      <c r="G54" s="183" t="s">
        <v>135</v>
      </c>
      <c r="H54" s="141"/>
      <c r="I54" s="142"/>
      <c r="J54" s="2"/>
      <c r="K54" s="2"/>
    </row>
    <row r="55" spans="1:11" ht="43.5" customHeight="1" x14ac:dyDescent="0.3">
      <c r="A55" s="2"/>
      <c r="B55" s="44" t="s">
        <v>72</v>
      </c>
      <c r="C55" s="17" t="str">
        <f>HYPERLINK("#SISTEM!A1","SISTEM")</f>
        <v>SISTEM</v>
      </c>
      <c r="D55" s="180" t="s">
        <v>136</v>
      </c>
      <c r="E55" s="141"/>
      <c r="F55" s="141"/>
      <c r="G55" s="183" t="s">
        <v>137</v>
      </c>
      <c r="H55" s="141"/>
      <c r="I55" s="142"/>
      <c r="J55" s="2"/>
      <c r="K55" s="2"/>
    </row>
    <row r="56" spans="1:11" ht="18" customHeight="1" x14ac:dyDescent="0.3">
      <c r="A56" s="2"/>
      <c r="B56" s="74" t="s">
        <v>72</v>
      </c>
      <c r="C56" s="98" t="str">
        <f>HYPERLINK("#KAR!A1","KAR")</f>
        <v>KAR</v>
      </c>
      <c r="D56" s="74" t="s">
        <v>138</v>
      </c>
      <c r="E56" s="2"/>
      <c r="F56" s="2"/>
      <c r="G56" s="74" t="s">
        <v>139</v>
      </c>
      <c r="H56" s="2"/>
      <c r="I56" s="2"/>
      <c r="J56" s="2"/>
      <c r="K56" s="2"/>
    </row>
    <row r="57" spans="1:11" ht="27.75" customHeight="1" x14ac:dyDescent="0.3">
      <c r="A57" s="2"/>
      <c r="B57" s="182" t="s">
        <v>140</v>
      </c>
      <c r="C57" s="171"/>
      <c r="D57" s="171"/>
      <c r="E57" s="171"/>
      <c r="F57" s="171"/>
      <c r="G57" s="171"/>
      <c r="H57" s="171"/>
      <c r="I57" s="171"/>
      <c r="J57" s="2"/>
      <c r="K57" s="2"/>
    </row>
    <row r="58" spans="1:11" ht="30" customHeight="1" x14ac:dyDescent="0.3">
      <c r="A58" s="2"/>
      <c r="B58" s="18" t="s">
        <v>141</v>
      </c>
      <c r="C58" s="189" t="s">
        <v>142</v>
      </c>
      <c r="D58" s="139"/>
      <c r="E58" s="18" t="s">
        <v>143</v>
      </c>
      <c r="F58" s="189" t="s">
        <v>144</v>
      </c>
      <c r="G58" s="139"/>
      <c r="H58" s="189" t="s">
        <v>145</v>
      </c>
      <c r="I58" s="139"/>
      <c r="J58" s="2"/>
      <c r="K58" s="2"/>
    </row>
    <row r="59" spans="1:11" ht="42" customHeight="1" x14ac:dyDescent="0.3">
      <c r="A59" s="2"/>
      <c r="B59" s="20" t="s">
        <v>72</v>
      </c>
      <c r="C59" s="199" t="s">
        <v>146</v>
      </c>
      <c r="D59" s="141"/>
      <c r="E59" s="21" t="s">
        <v>147</v>
      </c>
      <c r="F59" s="180" t="s">
        <v>148</v>
      </c>
      <c r="G59" s="141"/>
      <c r="H59" s="187" t="s">
        <v>149</v>
      </c>
      <c r="I59" s="142"/>
      <c r="J59" s="2"/>
      <c r="K59" s="2"/>
    </row>
    <row r="60" spans="1:11" ht="42" customHeight="1" x14ac:dyDescent="0.3">
      <c r="A60" s="2"/>
      <c r="B60" s="24" t="s">
        <v>72</v>
      </c>
      <c r="C60" s="192" t="s">
        <v>150</v>
      </c>
      <c r="D60" s="141"/>
      <c r="E60" s="21" t="s">
        <v>151</v>
      </c>
      <c r="F60" s="180" t="s">
        <v>152</v>
      </c>
      <c r="G60" s="141"/>
      <c r="H60" s="185" t="s">
        <v>153</v>
      </c>
      <c r="I60" s="142"/>
      <c r="J60" s="2"/>
      <c r="K60" s="2"/>
    </row>
    <row r="61" spans="1:11" ht="42" customHeight="1" x14ac:dyDescent="0.3">
      <c r="A61" s="2"/>
      <c r="B61" s="45" t="s">
        <v>72</v>
      </c>
      <c r="C61" s="205" t="s">
        <v>154</v>
      </c>
      <c r="D61" s="141"/>
      <c r="E61" s="21" t="s">
        <v>155</v>
      </c>
      <c r="F61" s="180" t="s">
        <v>156</v>
      </c>
      <c r="G61" s="141"/>
      <c r="H61" s="187" t="s">
        <v>157</v>
      </c>
      <c r="I61" s="142"/>
      <c r="J61" s="2"/>
      <c r="K61" s="2"/>
    </row>
    <row r="62" spans="1:11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3">
      <c r="A63" s="2"/>
      <c r="B63" s="182" t="s">
        <v>158</v>
      </c>
      <c r="C63" s="171"/>
      <c r="D63" s="171"/>
      <c r="E63" s="171"/>
      <c r="F63" s="171"/>
      <c r="G63" s="171"/>
      <c r="H63" s="171"/>
      <c r="I63" s="171"/>
      <c r="J63" s="2"/>
      <c r="K63" s="2"/>
    </row>
    <row r="64" spans="1:11" ht="30" customHeight="1" x14ac:dyDescent="0.3">
      <c r="A64" s="2"/>
      <c r="B64" s="18" t="s">
        <v>159</v>
      </c>
      <c r="C64" s="18" t="s">
        <v>160</v>
      </c>
      <c r="D64" s="18" t="s">
        <v>161</v>
      </c>
      <c r="E64" s="189" t="s">
        <v>162</v>
      </c>
      <c r="F64" s="139"/>
      <c r="G64" s="189" t="s">
        <v>163</v>
      </c>
      <c r="H64" s="139"/>
      <c r="I64" s="18" t="s">
        <v>164</v>
      </c>
      <c r="J64" s="2"/>
      <c r="K64" s="2"/>
    </row>
    <row r="65" spans="1:11" ht="30" customHeight="1" x14ac:dyDescent="0.3">
      <c r="A65" s="2"/>
      <c r="B65" s="46" t="s">
        <v>165</v>
      </c>
      <c r="C65" s="21" t="s">
        <v>166</v>
      </c>
      <c r="D65" s="17" t="str">
        <f>HYPERLINK("#MUSTERILER!A1","MUSTERILER")</f>
        <v>MUSTERILER</v>
      </c>
      <c r="E65" s="180" t="s">
        <v>167</v>
      </c>
      <c r="F65" s="141"/>
      <c r="G65" s="180" t="s">
        <v>168</v>
      </c>
      <c r="H65" s="141"/>
      <c r="I65" s="19" t="s">
        <v>169</v>
      </c>
      <c r="J65" s="2"/>
      <c r="K65" s="2"/>
    </row>
    <row r="66" spans="1:11" ht="30" customHeight="1" x14ac:dyDescent="0.3">
      <c r="A66" s="2"/>
      <c r="B66" s="46" t="s">
        <v>170</v>
      </c>
      <c r="C66" s="21" t="s">
        <v>171</v>
      </c>
      <c r="D66" s="17" t="str">
        <f>HYPERLINK("#UCRETLER!A1","UCRETLER")</f>
        <v>UCRETLER</v>
      </c>
      <c r="E66" s="180" t="s">
        <v>172</v>
      </c>
      <c r="F66" s="141"/>
      <c r="G66" s="180" t="s">
        <v>173</v>
      </c>
      <c r="H66" s="141"/>
      <c r="I66" s="19" t="s">
        <v>174</v>
      </c>
      <c r="J66" s="2"/>
      <c r="K66" s="2"/>
    </row>
    <row r="67" spans="1:11" ht="30" customHeight="1" x14ac:dyDescent="0.3">
      <c r="A67" s="2"/>
      <c r="B67" s="46" t="s">
        <v>175</v>
      </c>
      <c r="C67" s="21" t="s">
        <v>176</v>
      </c>
      <c r="D67" s="17" t="str">
        <f>HYPERLINK("#UCRETLER!A1","UCRETLER")</f>
        <v>UCRETLER</v>
      </c>
      <c r="E67" s="180" t="s">
        <v>177</v>
      </c>
      <c r="F67" s="141"/>
      <c r="G67" s="180" t="s">
        <v>178</v>
      </c>
      <c r="H67" s="141"/>
      <c r="I67" s="19" t="s">
        <v>179</v>
      </c>
      <c r="J67" s="2"/>
      <c r="K67" s="2"/>
    </row>
    <row r="68" spans="1:11" ht="30" customHeight="1" x14ac:dyDescent="0.3">
      <c r="A68" s="2"/>
      <c r="B68" s="46" t="s">
        <v>180</v>
      </c>
      <c r="C68" s="21" t="s">
        <v>181</v>
      </c>
      <c r="D68" s="17" t="str">
        <f>HYPERLINK("#TAHSILAT!A1","TAHSILAT")</f>
        <v>TAHSILAT</v>
      </c>
      <c r="E68" s="180" t="s">
        <v>182</v>
      </c>
      <c r="F68" s="141"/>
      <c r="G68" s="180" t="s">
        <v>183</v>
      </c>
      <c r="H68" s="141"/>
      <c r="I68" s="19" t="s">
        <v>169</v>
      </c>
      <c r="J68" s="2"/>
      <c r="K68" s="2"/>
    </row>
    <row r="69" spans="1:11" ht="30" customHeight="1" x14ac:dyDescent="0.3">
      <c r="A69" s="2"/>
      <c r="B69" s="46" t="s">
        <v>184</v>
      </c>
      <c r="C69" s="21" t="s">
        <v>185</v>
      </c>
      <c r="D69" s="17" t="str">
        <f>HYPERLINK("#GELIR_GIDER!A1","GELIR_GIDER")</f>
        <v>GELIR_GIDER</v>
      </c>
      <c r="E69" s="180" t="s">
        <v>186</v>
      </c>
      <c r="F69" s="141"/>
      <c r="G69" s="180" t="s">
        <v>187</v>
      </c>
      <c r="H69" s="141"/>
      <c r="I69" s="19" t="s">
        <v>188</v>
      </c>
      <c r="J69" s="2"/>
      <c r="K69" s="2"/>
    </row>
    <row r="70" spans="1:11" ht="30" customHeight="1" x14ac:dyDescent="0.3">
      <c r="A70" s="2"/>
      <c r="B70" s="46" t="s">
        <v>189</v>
      </c>
      <c r="C70" s="21" t="s">
        <v>190</v>
      </c>
      <c r="D70" s="17" t="str">
        <f>HYPERLINK("#VIRMAN!A1","VIRMAN")</f>
        <v>VIRMAN</v>
      </c>
      <c r="E70" s="180" t="s">
        <v>191</v>
      </c>
      <c r="F70" s="141"/>
      <c r="G70" s="180" t="s">
        <v>192</v>
      </c>
      <c r="H70" s="141"/>
      <c r="I70" s="19" t="s">
        <v>174</v>
      </c>
      <c r="J70" s="2"/>
      <c r="K70" s="2"/>
    </row>
    <row r="71" spans="1:11" ht="30" customHeight="1" x14ac:dyDescent="0.3">
      <c r="A71" s="2"/>
      <c r="B71" s="46" t="s">
        <v>193</v>
      </c>
      <c r="C71" s="74" t="s">
        <v>194</v>
      </c>
      <c r="D71" s="98" t="str">
        <f>HYPERLINK("#ORTAK_EKSTRE!A1","ORTAK_EKSTRE")</f>
        <v>ORTAK_EKSTRE</v>
      </c>
      <c r="E71" s="201" t="s">
        <v>195</v>
      </c>
      <c r="F71" s="141"/>
      <c r="G71" s="201" t="s">
        <v>196</v>
      </c>
      <c r="H71" s="141"/>
      <c r="I71" s="74" t="s">
        <v>197</v>
      </c>
      <c r="J71" s="2"/>
      <c r="K71" s="2"/>
    </row>
    <row r="72" spans="1:11" ht="30" customHeight="1" x14ac:dyDescent="0.3">
      <c r="A72" s="2"/>
      <c r="B72" s="46" t="s">
        <v>198</v>
      </c>
      <c r="C72" s="21" t="s">
        <v>199</v>
      </c>
      <c r="D72" s="17" t="str">
        <f>HYPERLINK("#MUSTERI_360!A1","MUSTERI_360")</f>
        <v>MUSTERI_360</v>
      </c>
      <c r="E72" s="180" t="s">
        <v>200</v>
      </c>
      <c r="F72" s="141"/>
      <c r="G72" s="180" t="s">
        <v>201</v>
      </c>
      <c r="H72" s="141"/>
      <c r="I72" s="19" t="s">
        <v>202</v>
      </c>
      <c r="J72" s="2"/>
      <c r="K72" s="2"/>
    </row>
    <row r="73" spans="1:11" ht="30" customHeight="1" x14ac:dyDescent="0.3">
      <c r="A73" s="2"/>
      <c r="B73" s="46" t="s">
        <v>203</v>
      </c>
      <c r="C73" s="21" t="s">
        <v>204</v>
      </c>
      <c r="D73" s="17" t="str">
        <f>HYPERLINK("#CARI_EKSTRE!A1","CARI_EKSTRE")</f>
        <v>CARI_EKSTRE</v>
      </c>
      <c r="E73" s="180" t="s">
        <v>205</v>
      </c>
      <c r="F73" s="141"/>
      <c r="G73" s="180" t="s">
        <v>206</v>
      </c>
      <c r="H73" s="141"/>
      <c r="I73" s="19" t="s">
        <v>207</v>
      </c>
      <c r="J73" s="2"/>
      <c r="K73" s="2"/>
    </row>
    <row r="74" spans="1:11" ht="30" customHeight="1" x14ac:dyDescent="0.3">
      <c r="A74" s="2"/>
      <c r="B74" s="46" t="s">
        <v>208</v>
      </c>
      <c r="C74" s="21" t="s">
        <v>209</v>
      </c>
      <c r="D74" s="17" t="str">
        <f>HYPERLINK("#AY_SONU!A1","AY_SONU")</f>
        <v>AY_SONU</v>
      </c>
      <c r="E74" s="180" t="s">
        <v>210</v>
      </c>
      <c r="F74" s="141"/>
      <c r="G74" s="180" t="s">
        <v>211</v>
      </c>
      <c r="H74" s="141"/>
      <c r="I74" s="19" t="s">
        <v>212</v>
      </c>
      <c r="J74" s="2"/>
      <c r="K74" s="2"/>
    </row>
    <row r="75" spans="1:11" ht="30" customHeight="1" x14ac:dyDescent="0.3">
      <c r="A75" s="2"/>
      <c r="B75" s="46" t="s">
        <v>213</v>
      </c>
      <c r="C75" s="21" t="s">
        <v>214</v>
      </c>
      <c r="D75" s="17" t="str">
        <f>HYPERLINK("#GELIR_GIDER!A1","GELIR_GIDER")</f>
        <v>GELIR_GIDER</v>
      </c>
      <c r="E75" s="180" t="s">
        <v>215</v>
      </c>
      <c r="F75" s="141"/>
      <c r="G75" s="180" t="s">
        <v>216</v>
      </c>
      <c r="H75" s="141"/>
      <c r="I75" s="19" t="s">
        <v>217</v>
      </c>
      <c r="J75" s="2"/>
      <c r="K75" s="2"/>
    </row>
    <row r="76" spans="1:11" ht="30" customHeight="1" x14ac:dyDescent="0.3">
      <c r="A76" s="2"/>
      <c r="B76" s="46" t="s">
        <v>218</v>
      </c>
      <c r="C76" s="21" t="s">
        <v>219</v>
      </c>
      <c r="D76" s="17" t="str">
        <f>HYPERLINK("#SISTEM!A1","SISTEM")</f>
        <v>SISTEM</v>
      </c>
      <c r="E76" s="180" t="s">
        <v>220</v>
      </c>
      <c r="F76" s="141"/>
      <c r="G76" s="201" t="s">
        <v>221</v>
      </c>
      <c r="H76" s="141"/>
      <c r="I76" s="19" t="s">
        <v>222</v>
      </c>
      <c r="J76" s="2"/>
      <c r="K76" s="2"/>
    </row>
    <row r="77" spans="1:11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3">
      <c r="A78" s="2"/>
      <c r="B78" s="182" t="s">
        <v>223</v>
      </c>
      <c r="C78" s="171"/>
      <c r="D78" s="171"/>
      <c r="E78" s="171"/>
      <c r="F78" s="171"/>
      <c r="G78" s="171"/>
      <c r="H78" s="171"/>
      <c r="I78" s="171"/>
      <c r="J78" s="2"/>
      <c r="K78" s="2"/>
    </row>
    <row r="79" spans="1:11" ht="30" customHeight="1" x14ac:dyDescent="0.3">
      <c r="A79" s="2"/>
      <c r="B79" s="189" t="s">
        <v>224</v>
      </c>
      <c r="C79" s="139"/>
      <c r="D79" s="189" t="s">
        <v>225</v>
      </c>
      <c r="E79" s="139"/>
      <c r="F79" s="139"/>
      <c r="G79" s="189" t="s">
        <v>226</v>
      </c>
      <c r="H79" s="139"/>
      <c r="I79" s="139"/>
      <c r="J79" s="2"/>
      <c r="K79" s="2"/>
    </row>
    <row r="80" spans="1:11" ht="39.75" customHeight="1" x14ac:dyDescent="0.3">
      <c r="A80" s="2"/>
      <c r="B80" s="190" t="s">
        <v>227</v>
      </c>
      <c r="C80" s="141"/>
      <c r="D80" s="180" t="s">
        <v>228</v>
      </c>
      <c r="E80" s="141"/>
      <c r="F80" s="141"/>
      <c r="G80" s="185" t="s">
        <v>229</v>
      </c>
      <c r="H80" s="141"/>
      <c r="I80" s="142"/>
      <c r="J80" s="2"/>
      <c r="K80" s="2"/>
    </row>
    <row r="81" spans="1:11" ht="39.75" customHeight="1" x14ac:dyDescent="0.3">
      <c r="A81" s="2"/>
      <c r="B81" s="190" t="s">
        <v>230</v>
      </c>
      <c r="C81" s="141"/>
      <c r="D81" s="180" t="s">
        <v>231</v>
      </c>
      <c r="E81" s="141"/>
      <c r="F81" s="141"/>
      <c r="G81" s="185" t="s">
        <v>232</v>
      </c>
      <c r="H81" s="141"/>
      <c r="I81" s="142"/>
      <c r="J81" s="2"/>
      <c r="K81" s="2"/>
    </row>
    <row r="82" spans="1:11" ht="39.75" customHeight="1" x14ac:dyDescent="0.3">
      <c r="A82" s="2"/>
      <c r="B82" s="190" t="s">
        <v>233</v>
      </c>
      <c r="C82" s="141"/>
      <c r="D82" s="180" t="s">
        <v>234</v>
      </c>
      <c r="E82" s="141"/>
      <c r="F82" s="141"/>
      <c r="G82" s="185" t="s">
        <v>235</v>
      </c>
      <c r="H82" s="141"/>
      <c r="I82" s="142"/>
      <c r="J82" s="2"/>
      <c r="K82" s="2"/>
    </row>
    <row r="83" spans="1:11" ht="39.75" customHeight="1" x14ac:dyDescent="0.3">
      <c r="A83" s="2"/>
      <c r="B83" s="190" t="s">
        <v>236</v>
      </c>
      <c r="C83" s="141"/>
      <c r="D83" s="180" t="s">
        <v>237</v>
      </c>
      <c r="E83" s="141"/>
      <c r="F83" s="141"/>
      <c r="G83" s="185" t="s">
        <v>238</v>
      </c>
      <c r="H83" s="141"/>
      <c r="I83" s="142"/>
      <c r="J83" s="2"/>
      <c r="K83" s="2"/>
    </row>
    <row r="84" spans="1:11" ht="39.75" customHeight="1" x14ac:dyDescent="0.3">
      <c r="A84" s="2"/>
      <c r="B84" s="190" t="s">
        <v>239</v>
      </c>
      <c r="C84" s="141"/>
      <c r="D84" s="180" t="s">
        <v>240</v>
      </c>
      <c r="E84" s="141"/>
      <c r="F84" s="141"/>
      <c r="G84" s="185" t="s">
        <v>241</v>
      </c>
      <c r="H84" s="141"/>
      <c r="I84" s="142"/>
      <c r="J84" s="2"/>
      <c r="K84" s="2"/>
    </row>
    <row r="85" spans="1:11" ht="39.75" customHeight="1" x14ac:dyDescent="0.3">
      <c r="A85" s="2"/>
      <c r="B85" s="190" t="s">
        <v>242</v>
      </c>
      <c r="C85" s="141"/>
      <c r="D85" s="180" t="s">
        <v>243</v>
      </c>
      <c r="E85" s="141"/>
      <c r="F85" s="141"/>
      <c r="G85" s="185" t="s">
        <v>244</v>
      </c>
      <c r="H85" s="141"/>
      <c r="I85" s="142"/>
      <c r="J85" s="2"/>
      <c r="K85" s="2"/>
    </row>
    <row r="86" spans="1:11" ht="39.75" customHeight="1" x14ac:dyDescent="0.3">
      <c r="A86" s="2"/>
      <c r="B86" s="190" t="s">
        <v>245</v>
      </c>
      <c r="C86" s="141"/>
      <c r="D86" s="180" t="s">
        <v>246</v>
      </c>
      <c r="E86" s="141"/>
      <c r="F86" s="141"/>
      <c r="G86" s="185" t="s">
        <v>247</v>
      </c>
      <c r="H86" s="141"/>
      <c r="I86" s="142"/>
      <c r="J86" s="2"/>
      <c r="K86" s="2"/>
    </row>
    <row r="87" spans="1:11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3">
      <c r="A88" s="2"/>
      <c r="B88" s="182" t="s">
        <v>248</v>
      </c>
      <c r="C88" s="171"/>
      <c r="D88" s="171"/>
      <c r="E88" s="171"/>
      <c r="F88" s="171"/>
      <c r="G88" s="171"/>
      <c r="H88" s="171"/>
      <c r="I88" s="171"/>
      <c r="J88" s="2"/>
      <c r="K88" s="2"/>
    </row>
    <row r="89" spans="1:11" ht="30" customHeight="1" x14ac:dyDescent="0.3">
      <c r="A89" s="2"/>
      <c r="B89" s="189" t="s">
        <v>249</v>
      </c>
      <c r="C89" s="139"/>
      <c r="D89" s="18" t="s">
        <v>161</v>
      </c>
      <c r="E89" s="189" t="s">
        <v>250</v>
      </c>
      <c r="F89" s="139"/>
      <c r="G89" s="139"/>
      <c r="H89" s="139"/>
      <c r="I89" s="18" t="s">
        <v>251</v>
      </c>
      <c r="J89" s="2"/>
      <c r="K89" s="2"/>
    </row>
    <row r="90" spans="1:11" ht="42" customHeight="1" x14ac:dyDescent="0.3">
      <c r="A90" s="2"/>
      <c r="B90" s="190" t="s">
        <v>252</v>
      </c>
      <c r="C90" s="141"/>
      <c r="D90" s="47" t="s">
        <v>253</v>
      </c>
      <c r="E90" s="180" t="s">
        <v>254</v>
      </c>
      <c r="F90" s="141"/>
      <c r="G90" s="141"/>
      <c r="H90" s="141"/>
      <c r="I90" s="48" t="s">
        <v>255</v>
      </c>
      <c r="J90" s="2"/>
      <c r="K90" s="2"/>
    </row>
    <row r="91" spans="1:11" ht="42" customHeight="1" x14ac:dyDescent="0.3">
      <c r="A91" s="2"/>
      <c r="B91" s="190" t="s">
        <v>256</v>
      </c>
      <c r="C91" s="141"/>
      <c r="D91" s="47" t="s">
        <v>257</v>
      </c>
      <c r="E91" s="180" t="s">
        <v>258</v>
      </c>
      <c r="F91" s="141"/>
      <c r="G91" s="141"/>
      <c r="H91" s="141"/>
      <c r="I91" s="48" t="s">
        <v>259</v>
      </c>
      <c r="J91" s="2"/>
      <c r="K91" s="2"/>
    </row>
    <row r="92" spans="1:11" ht="42" customHeight="1" x14ac:dyDescent="0.3">
      <c r="A92" s="2"/>
      <c r="B92" s="190" t="s">
        <v>260</v>
      </c>
      <c r="C92" s="141"/>
      <c r="D92" s="47" t="s">
        <v>257</v>
      </c>
      <c r="E92" s="180" t="s">
        <v>261</v>
      </c>
      <c r="F92" s="141"/>
      <c r="G92" s="141"/>
      <c r="H92" s="141"/>
      <c r="I92" s="48" t="s">
        <v>179</v>
      </c>
      <c r="J92" s="2"/>
      <c r="K92" s="2"/>
    </row>
    <row r="93" spans="1:11" ht="42" customHeight="1" x14ac:dyDescent="0.3">
      <c r="A93" s="2"/>
      <c r="B93" s="190" t="s">
        <v>262</v>
      </c>
      <c r="C93" s="141"/>
      <c r="D93" s="47" t="s">
        <v>263</v>
      </c>
      <c r="E93" s="180" t="s">
        <v>264</v>
      </c>
      <c r="F93" s="141"/>
      <c r="G93" s="141"/>
      <c r="H93" s="141"/>
      <c r="I93" s="48" t="s">
        <v>169</v>
      </c>
      <c r="J93" s="2"/>
      <c r="K93" s="2"/>
    </row>
    <row r="94" spans="1:11" ht="42" customHeight="1" x14ac:dyDescent="0.3">
      <c r="A94" s="2"/>
      <c r="B94" s="190" t="s">
        <v>265</v>
      </c>
      <c r="C94" s="141"/>
      <c r="D94" s="47" t="s">
        <v>263</v>
      </c>
      <c r="E94" s="180" t="s">
        <v>266</v>
      </c>
      <c r="F94" s="141"/>
      <c r="G94" s="141"/>
      <c r="H94" s="141"/>
      <c r="I94" s="48" t="s">
        <v>267</v>
      </c>
      <c r="J94" s="2"/>
      <c r="K94" s="2"/>
    </row>
    <row r="95" spans="1:11" ht="42" customHeight="1" x14ac:dyDescent="0.3">
      <c r="A95" s="2"/>
      <c r="B95" s="190" t="s">
        <v>268</v>
      </c>
      <c r="C95" s="141"/>
      <c r="D95" s="47" t="s">
        <v>263</v>
      </c>
      <c r="E95" s="180" t="s">
        <v>269</v>
      </c>
      <c r="F95" s="141"/>
      <c r="G95" s="141"/>
      <c r="H95" s="141"/>
      <c r="I95" s="48" t="s">
        <v>270</v>
      </c>
      <c r="J95" s="2"/>
      <c r="K95" s="2"/>
    </row>
    <row r="96" spans="1:11" ht="42" customHeight="1" x14ac:dyDescent="0.3">
      <c r="A96" s="2"/>
      <c r="B96" s="190" t="s">
        <v>271</v>
      </c>
      <c r="C96" s="141"/>
      <c r="D96" s="47" t="s">
        <v>263</v>
      </c>
      <c r="E96" s="180" t="s">
        <v>272</v>
      </c>
      <c r="F96" s="141"/>
      <c r="G96" s="141"/>
      <c r="H96" s="141"/>
      <c r="I96" s="48" t="s">
        <v>273</v>
      </c>
      <c r="J96" s="2"/>
      <c r="K96" s="2"/>
    </row>
    <row r="97" spans="1:11" ht="42" customHeight="1" x14ac:dyDescent="0.3">
      <c r="A97" s="2"/>
      <c r="B97" s="190" t="s">
        <v>274</v>
      </c>
      <c r="C97" s="141"/>
      <c r="D97" s="47" t="s">
        <v>275</v>
      </c>
      <c r="E97" s="180" t="s">
        <v>276</v>
      </c>
      <c r="F97" s="141"/>
      <c r="G97" s="141"/>
      <c r="H97" s="141"/>
      <c r="I97" s="48" t="s">
        <v>277</v>
      </c>
      <c r="J97" s="2"/>
      <c r="K97" s="2"/>
    </row>
    <row r="98" spans="1:11" ht="42" customHeight="1" x14ac:dyDescent="0.3">
      <c r="A98" s="2"/>
      <c r="B98" s="190" t="s">
        <v>278</v>
      </c>
      <c r="C98" s="141"/>
      <c r="D98" s="47" t="s">
        <v>275</v>
      </c>
      <c r="E98" s="180" t="s">
        <v>279</v>
      </c>
      <c r="F98" s="141"/>
      <c r="G98" s="141"/>
      <c r="H98" s="141"/>
      <c r="I98" s="48" t="s">
        <v>280</v>
      </c>
      <c r="J98" s="2"/>
      <c r="K98" s="2"/>
    </row>
    <row r="99" spans="1:11" ht="42" customHeight="1" x14ac:dyDescent="0.3">
      <c r="A99" s="2"/>
      <c r="B99" s="190" t="s">
        <v>281</v>
      </c>
      <c r="C99" s="141"/>
      <c r="D99" s="47" t="s">
        <v>282</v>
      </c>
      <c r="E99" s="180" t="s">
        <v>283</v>
      </c>
      <c r="F99" s="141"/>
      <c r="G99" s="141"/>
      <c r="H99" s="141"/>
      <c r="I99" s="48" t="s">
        <v>284</v>
      </c>
      <c r="J99" s="2"/>
      <c r="K99" s="2"/>
    </row>
    <row r="100" spans="1:11" ht="42" customHeight="1" x14ac:dyDescent="0.3">
      <c r="A100" s="2"/>
      <c r="B100" s="190" t="s">
        <v>285</v>
      </c>
      <c r="C100" s="141"/>
      <c r="D100" s="47" t="s">
        <v>275</v>
      </c>
      <c r="E100" s="180" t="s">
        <v>286</v>
      </c>
      <c r="F100" s="141"/>
      <c r="G100" s="141"/>
      <c r="H100" s="141"/>
      <c r="I100" s="48" t="s">
        <v>287</v>
      </c>
      <c r="J100" s="2"/>
      <c r="K100" s="2"/>
    </row>
    <row r="101" spans="1:11" ht="42" customHeight="1" x14ac:dyDescent="0.3">
      <c r="A101" s="2"/>
      <c r="B101" s="190" t="s">
        <v>288</v>
      </c>
      <c r="C101" s="141"/>
      <c r="D101" s="47" t="s">
        <v>275</v>
      </c>
      <c r="E101" s="180" t="s">
        <v>289</v>
      </c>
      <c r="F101" s="141"/>
      <c r="G101" s="141"/>
      <c r="H101" s="141"/>
      <c r="I101" s="48" t="s">
        <v>290</v>
      </c>
      <c r="J101" s="2"/>
      <c r="K101" s="2"/>
    </row>
    <row r="102" spans="1:11" ht="42" customHeight="1" x14ac:dyDescent="0.3">
      <c r="A102" s="2"/>
      <c r="B102" s="190" t="s">
        <v>291</v>
      </c>
      <c r="C102" s="141"/>
      <c r="D102" s="47" t="s">
        <v>292</v>
      </c>
      <c r="E102" s="180" t="s">
        <v>293</v>
      </c>
      <c r="F102" s="141"/>
      <c r="G102" s="141"/>
      <c r="H102" s="141"/>
      <c r="I102" s="48" t="s">
        <v>294</v>
      </c>
      <c r="J102" s="2"/>
      <c r="K102" s="2"/>
    </row>
    <row r="103" spans="1:11" ht="42" customHeight="1" x14ac:dyDescent="0.3">
      <c r="A103" s="2"/>
      <c r="B103" s="201" t="s">
        <v>295</v>
      </c>
      <c r="C103" s="141"/>
      <c r="D103" s="74" t="s">
        <v>296</v>
      </c>
      <c r="E103" s="201" t="s">
        <v>297</v>
      </c>
      <c r="F103" s="141"/>
      <c r="G103" s="141"/>
      <c r="H103" s="141"/>
      <c r="I103" s="74" t="s">
        <v>298</v>
      </c>
      <c r="J103" s="2"/>
      <c r="K103" s="2"/>
    </row>
    <row r="104" spans="1:11" ht="42" customHeight="1" x14ac:dyDescent="0.3">
      <c r="A104" s="2"/>
      <c r="B104" s="190" t="s">
        <v>299</v>
      </c>
      <c r="C104" s="141"/>
      <c r="D104" s="47" t="s">
        <v>300</v>
      </c>
      <c r="E104" s="180" t="s">
        <v>301</v>
      </c>
      <c r="F104" s="141"/>
      <c r="G104" s="141"/>
      <c r="H104" s="141"/>
      <c r="I104" s="48" t="s">
        <v>302</v>
      </c>
      <c r="J104" s="2"/>
      <c r="K104" s="2"/>
    </row>
    <row r="105" spans="1:11" ht="42" customHeight="1" x14ac:dyDescent="0.3">
      <c r="A105" s="2"/>
      <c r="B105" s="190" t="s">
        <v>303</v>
      </c>
      <c r="C105" s="141"/>
      <c r="D105" s="47" t="s">
        <v>304</v>
      </c>
      <c r="E105" s="180" t="s">
        <v>305</v>
      </c>
      <c r="F105" s="141"/>
      <c r="G105" s="141"/>
      <c r="H105" s="141"/>
      <c r="I105" s="48" t="s">
        <v>306</v>
      </c>
      <c r="J105" s="2"/>
      <c r="K105" s="2"/>
    </row>
    <row r="106" spans="1:11" ht="42" customHeight="1" x14ac:dyDescent="0.3">
      <c r="A106" s="2"/>
      <c r="B106" s="190" t="s">
        <v>307</v>
      </c>
      <c r="C106" s="141"/>
      <c r="D106" s="47" t="s">
        <v>275</v>
      </c>
      <c r="E106" s="180" t="s">
        <v>308</v>
      </c>
      <c r="F106" s="141"/>
      <c r="G106" s="141"/>
      <c r="H106" s="141"/>
      <c r="I106" s="48" t="s">
        <v>309</v>
      </c>
      <c r="J106" s="2"/>
      <c r="K106" s="2"/>
    </row>
    <row r="107" spans="1:11" ht="42" customHeight="1" x14ac:dyDescent="0.3">
      <c r="A107" s="2"/>
      <c r="B107" s="190" t="s">
        <v>310</v>
      </c>
      <c r="C107" s="141"/>
      <c r="D107" s="47" t="s">
        <v>311</v>
      </c>
      <c r="E107" s="180" t="s">
        <v>312</v>
      </c>
      <c r="F107" s="141"/>
      <c r="G107" s="141"/>
      <c r="H107" s="141"/>
      <c r="I107" s="48" t="s">
        <v>313</v>
      </c>
      <c r="J107" s="2"/>
      <c r="K107" s="2"/>
    </row>
    <row r="108" spans="1:11" ht="42" customHeight="1" x14ac:dyDescent="0.3">
      <c r="A108" s="2"/>
      <c r="B108" s="190" t="s">
        <v>314</v>
      </c>
      <c r="C108" s="141"/>
      <c r="D108" s="47" t="s">
        <v>315</v>
      </c>
      <c r="E108" s="180" t="s">
        <v>316</v>
      </c>
      <c r="F108" s="141"/>
      <c r="G108" s="141"/>
      <c r="H108" s="141"/>
      <c r="I108" s="48" t="s">
        <v>317</v>
      </c>
      <c r="J108" s="2"/>
      <c r="K108" s="2"/>
    </row>
    <row r="109" spans="1:11" ht="42" customHeight="1" x14ac:dyDescent="0.3">
      <c r="A109" s="2"/>
      <c r="B109" s="190" t="s">
        <v>318</v>
      </c>
      <c r="C109" s="141"/>
      <c r="D109" s="47" t="s">
        <v>319</v>
      </c>
      <c r="E109" s="180" t="s">
        <v>320</v>
      </c>
      <c r="F109" s="141"/>
      <c r="G109" s="141"/>
      <c r="H109" s="141"/>
      <c r="I109" s="48" t="s">
        <v>321</v>
      </c>
      <c r="J109" s="2"/>
      <c r="K109" s="2"/>
    </row>
    <row r="110" spans="1:11" ht="42" customHeight="1" x14ac:dyDescent="0.3">
      <c r="A110" s="2"/>
      <c r="B110" s="190" t="s">
        <v>322</v>
      </c>
      <c r="C110" s="141"/>
      <c r="D110" s="47" t="s">
        <v>323</v>
      </c>
      <c r="E110" s="180" t="s">
        <v>324</v>
      </c>
      <c r="F110" s="141"/>
      <c r="G110" s="141"/>
      <c r="H110" s="141"/>
      <c r="I110" s="48" t="s">
        <v>325</v>
      </c>
      <c r="J110" s="2"/>
      <c r="K110" s="2"/>
    </row>
    <row r="111" spans="1:11" ht="42" customHeight="1" x14ac:dyDescent="0.3">
      <c r="A111" s="2"/>
      <c r="B111" s="190" t="s">
        <v>326</v>
      </c>
      <c r="C111" s="141"/>
      <c r="D111" s="47" t="s">
        <v>327</v>
      </c>
      <c r="E111" s="180" t="s">
        <v>328</v>
      </c>
      <c r="F111" s="141"/>
      <c r="G111" s="141"/>
      <c r="H111" s="141"/>
      <c r="I111" s="48" t="s">
        <v>329</v>
      </c>
      <c r="J111" s="2"/>
      <c r="K111" s="2"/>
    </row>
    <row r="112" spans="1:11" ht="42" customHeight="1" x14ac:dyDescent="0.3">
      <c r="A112" s="2"/>
      <c r="B112" s="190" t="s">
        <v>330</v>
      </c>
      <c r="C112" s="141"/>
      <c r="D112" s="47" t="s">
        <v>319</v>
      </c>
      <c r="E112" s="180" t="s">
        <v>331</v>
      </c>
      <c r="F112" s="141"/>
      <c r="G112" s="141"/>
      <c r="H112" s="141"/>
      <c r="I112" s="48" t="s">
        <v>332</v>
      </c>
      <c r="J112" s="2"/>
      <c r="K112" s="2"/>
    </row>
    <row r="113" spans="1:11" ht="42" customHeight="1" x14ac:dyDescent="0.3">
      <c r="A113" s="2"/>
      <c r="B113" s="190" t="s">
        <v>333</v>
      </c>
      <c r="C113" s="141"/>
      <c r="D113" s="47" t="s">
        <v>319</v>
      </c>
      <c r="E113" s="180" t="s">
        <v>334</v>
      </c>
      <c r="F113" s="141"/>
      <c r="G113" s="141"/>
      <c r="H113" s="141"/>
      <c r="I113" s="48" t="s">
        <v>335</v>
      </c>
      <c r="J113" s="2"/>
      <c r="K113" s="2"/>
    </row>
    <row r="114" spans="1:11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3">
      <c r="A115" s="2"/>
      <c r="B115" s="182" t="s">
        <v>336</v>
      </c>
      <c r="C115" s="171"/>
      <c r="D115" s="171"/>
      <c r="E115" s="171"/>
      <c r="F115" s="171"/>
      <c r="G115" s="171"/>
      <c r="H115" s="171"/>
      <c r="I115" s="171"/>
      <c r="J115" s="2"/>
      <c r="K115" s="2"/>
    </row>
    <row r="116" spans="1:11" ht="30" customHeight="1" x14ac:dyDescent="0.3">
      <c r="A116" s="2"/>
      <c r="B116" s="189" t="s">
        <v>337</v>
      </c>
      <c r="C116" s="139"/>
      <c r="D116" s="189" t="s">
        <v>338</v>
      </c>
      <c r="E116" s="139"/>
      <c r="F116" s="189" t="s">
        <v>144</v>
      </c>
      <c r="G116" s="139"/>
      <c r="H116" s="189" t="s">
        <v>339</v>
      </c>
      <c r="I116" s="139"/>
      <c r="J116" s="2"/>
      <c r="K116" s="2"/>
    </row>
    <row r="117" spans="1:11" ht="30" customHeight="1" x14ac:dyDescent="0.3">
      <c r="A117" s="2"/>
      <c r="B117" s="194" t="s">
        <v>340</v>
      </c>
      <c r="C117" s="141"/>
      <c r="D117" s="180" t="s">
        <v>341</v>
      </c>
      <c r="E117" s="141"/>
      <c r="F117" s="180" t="s">
        <v>342</v>
      </c>
      <c r="G117" s="141"/>
      <c r="H117" s="185" t="s">
        <v>343</v>
      </c>
      <c r="I117" s="142"/>
      <c r="J117" s="2"/>
      <c r="K117" s="2"/>
    </row>
    <row r="118" spans="1:11" ht="30" customHeight="1" x14ac:dyDescent="0.3">
      <c r="A118" s="2"/>
      <c r="B118" s="191" t="s">
        <v>344</v>
      </c>
      <c r="C118" s="141"/>
      <c r="D118" s="180" t="s">
        <v>341</v>
      </c>
      <c r="E118" s="141"/>
      <c r="F118" s="180" t="s">
        <v>345</v>
      </c>
      <c r="G118" s="141"/>
      <c r="H118" s="185" t="s">
        <v>346</v>
      </c>
      <c r="I118" s="142"/>
      <c r="J118" s="2"/>
      <c r="K118" s="2"/>
    </row>
    <row r="119" spans="1:11" ht="30" customHeight="1" x14ac:dyDescent="0.3">
      <c r="A119" s="2"/>
      <c r="B119" s="181" t="s">
        <v>347</v>
      </c>
      <c r="C119" s="141"/>
      <c r="D119" s="180" t="s">
        <v>348</v>
      </c>
      <c r="E119" s="141"/>
      <c r="F119" s="180" t="s">
        <v>349</v>
      </c>
      <c r="G119" s="141"/>
      <c r="H119" s="185" t="s">
        <v>350</v>
      </c>
      <c r="I119" s="142"/>
      <c r="J119" s="2"/>
      <c r="K119" s="2"/>
    </row>
    <row r="120" spans="1:11" ht="30" customHeight="1" x14ac:dyDescent="0.3">
      <c r="A120" s="2"/>
      <c r="B120" s="181" t="s">
        <v>351</v>
      </c>
      <c r="C120" s="141"/>
      <c r="D120" s="180" t="s">
        <v>352</v>
      </c>
      <c r="E120" s="141"/>
      <c r="F120" s="180" t="s">
        <v>353</v>
      </c>
      <c r="G120" s="141"/>
      <c r="H120" s="185" t="s">
        <v>354</v>
      </c>
      <c r="I120" s="142"/>
      <c r="J120" s="2"/>
      <c r="K120" s="2"/>
    </row>
    <row r="121" spans="1:11" ht="30" customHeight="1" x14ac:dyDescent="0.3">
      <c r="A121" s="2"/>
      <c r="B121" s="181" t="s">
        <v>355</v>
      </c>
      <c r="C121" s="141"/>
      <c r="D121" s="180" t="s">
        <v>356</v>
      </c>
      <c r="E121" s="141"/>
      <c r="F121" s="180" t="s">
        <v>357</v>
      </c>
      <c r="G121" s="141"/>
      <c r="H121" s="185" t="s">
        <v>358</v>
      </c>
      <c r="I121" s="142"/>
      <c r="J121" s="2"/>
      <c r="K121" s="2"/>
    </row>
    <row r="122" spans="1:11" ht="30" customHeight="1" x14ac:dyDescent="0.3">
      <c r="A122" s="2"/>
      <c r="B122" s="191" t="s">
        <v>359</v>
      </c>
      <c r="C122" s="141"/>
      <c r="D122" s="180" t="s">
        <v>356</v>
      </c>
      <c r="E122" s="141"/>
      <c r="F122" s="180" t="s">
        <v>360</v>
      </c>
      <c r="G122" s="141"/>
      <c r="H122" s="185" t="s">
        <v>361</v>
      </c>
      <c r="I122" s="142"/>
      <c r="J122" s="2"/>
      <c r="K122" s="2"/>
    </row>
    <row r="123" spans="1:11" ht="30" customHeight="1" x14ac:dyDescent="0.3">
      <c r="A123" s="2"/>
      <c r="B123" s="181" t="s">
        <v>362</v>
      </c>
      <c r="C123" s="141"/>
      <c r="D123" s="180" t="s">
        <v>356</v>
      </c>
      <c r="E123" s="141"/>
      <c r="F123" s="180" t="s">
        <v>363</v>
      </c>
      <c r="G123" s="141"/>
      <c r="H123" s="185" t="s">
        <v>364</v>
      </c>
      <c r="I123" s="142"/>
      <c r="J123" s="2"/>
      <c r="K123" s="2"/>
    </row>
    <row r="124" spans="1:11" ht="30" customHeight="1" x14ac:dyDescent="0.3">
      <c r="A124" s="2"/>
      <c r="B124" s="198" t="s">
        <v>365</v>
      </c>
      <c r="C124" s="141"/>
      <c r="D124" s="180" t="s">
        <v>366</v>
      </c>
      <c r="E124" s="141"/>
      <c r="F124" s="180" t="s">
        <v>367</v>
      </c>
      <c r="G124" s="141"/>
      <c r="H124" s="185" t="s">
        <v>368</v>
      </c>
      <c r="I124" s="142"/>
      <c r="J124" s="2"/>
      <c r="K124" s="2"/>
    </row>
    <row r="125" spans="1:11" ht="30" customHeight="1" x14ac:dyDescent="0.3">
      <c r="A125" s="2"/>
      <c r="B125" s="191" t="s">
        <v>369</v>
      </c>
      <c r="C125" s="141"/>
      <c r="D125" s="180" t="s">
        <v>366</v>
      </c>
      <c r="E125" s="141"/>
      <c r="F125" s="180" t="s">
        <v>370</v>
      </c>
      <c r="G125" s="141"/>
      <c r="H125" s="185" t="s">
        <v>371</v>
      </c>
      <c r="I125" s="142"/>
      <c r="J125" s="2"/>
      <c r="K125" s="2"/>
    </row>
    <row r="126" spans="1:11" ht="30" customHeight="1" x14ac:dyDescent="0.3">
      <c r="A126" s="2"/>
      <c r="B126" s="181" t="s">
        <v>372</v>
      </c>
      <c r="C126" s="141"/>
      <c r="D126" s="180" t="s">
        <v>366</v>
      </c>
      <c r="E126" s="141"/>
      <c r="F126" s="180" t="s">
        <v>373</v>
      </c>
      <c r="G126" s="141"/>
      <c r="H126" s="185" t="s">
        <v>374</v>
      </c>
      <c r="I126" s="142"/>
      <c r="J126" s="2"/>
      <c r="K126" s="2"/>
    </row>
    <row r="127" spans="1:11" ht="30" customHeight="1" x14ac:dyDescent="0.3">
      <c r="A127" s="2"/>
      <c r="B127" s="181" t="s">
        <v>375</v>
      </c>
      <c r="C127" s="141"/>
      <c r="D127" s="180" t="s">
        <v>366</v>
      </c>
      <c r="E127" s="141"/>
      <c r="F127" s="180" t="s">
        <v>376</v>
      </c>
      <c r="G127" s="141"/>
      <c r="H127" s="185" t="s">
        <v>377</v>
      </c>
      <c r="I127" s="142"/>
      <c r="J127" s="2"/>
      <c r="K127" s="2"/>
    </row>
    <row r="128" spans="1:11" ht="30" customHeight="1" x14ac:dyDescent="0.3">
      <c r="A128" s="2"/>
      <c r="B128" s="191" t="s">
        <v>378</v>
      </c>
      <c r="C128" s="141"/>
      <c r="D128" s="180" t="s">
        <v>379</v>
      </c>
      <c r="E128" s="141"/>
      <c r="F128" s="180" t="s">
        <v>380</v>
      </c>
      <c r="G128" s="141"/>
      <c r="H128" s="185" t="s">
        <v>381</v>
      </c>
      <c r="I128" s="142"/>
      <c r="J128" s="2"/>
      <c r="K128" s="2"/>
    </row>
    <row r="129" spans="1:11" ht="30" customHeight="1" x14ac:dyDescent="0.3">
      <c r="A129" s="2"/>
      <c r="B129" s="181" t="s">
        <v>382</v>
      </c>
      <c r="C129" s="141"/>
      <c r="D129" s="180" t="s">
        <v>383</v>
      </c>
      <c r="E129" s="141"/>
      <c r="F129" s="180" t="s">
        <v>384</v>
      </c>
      <c r="G129" s="141"/>
      <c r="H129" s="185" t="s">
        <v>385</v>
      </c>
      <c r="I129" s="142"/>
      <c r="J129" s="2"/>
      <c r="K129" s="2"/>
    </row>
    <row r="130" spans="1:11" ht="30" customHeight="1" x14ac:dyDescent="0.3">
      <c r="A130" s="2"/>
      <c r="B130" s="193" t="s">
        <v>386</v>
      </c>
      <c r="C130" s="141"/>
      <c r="D130" s="180" t="s">
        <v>379</v>
      </c>
      <c r="E130" s="141"/>
      <c r="F130" s="180" t="s">
        <v>387</v>
      </c>
      <c r="G130" s="141"/>
      <c r="H130" s="185" t="s">
        <v>388</v>
      </c>
      <c r="I130" s="142"/>
      <c r="J130" s="2"/>
      <c r="K130" s="2"/>
    </row>
    <row r="131" spans="1:11" ht="30" customHeight="1" x14ac:dyDescent="0.3">
      <c r="A131" s="2"/>
      <c r="B131" s="181" t="s">
        <v>389</v>
      </c>
      <c r="C131" s="141"/>
      <c r="D131" s="180" t="s">
        <v>390</v>
      </c>
      <c r="E131" s="141"/>
      <c r="F131" s="180" t="s">
        <v>391</v>
      </c>
      <c r="G131" s="141"/>
      <c r="H131" s="185" t="s">
        <v>392</v>
      </c>
      <c r="I131" s="142"/>
      <c r="J131" s="2"/>
      <c r="K131" s="2"/>
    </row>
    <row r="132" spans="1:11" ht="30" customHeight="1" x14ac:dyDescent="0.3">
      <c r="A132" s="2"/>
      <c r="B132" s="181" t="s">
        <v>393</v>
      </c>
      <c r="C132" s="141"/>
      <c r="D132" s="180" t="s">
        <v>390</v>
      </c>
      <c r="E132" s="141"/>
      <c r="F132" s="180" t="s">
        <v>394</v>
      </c>
      <c r="G132" s="141"/>
      <c r="H132" s="185" t="s">
        <v>395</v>
      </c>
      <c r="I132" s="142"/>
      <c r="J132" s="2"/>
      <c r="K132" s="2"/>
    </row>
    <row r="133" spans="1:11" ht="30" customHeight="1" x14ac:dyDescent="0.3">
      <c r="A133" s="2"/>
      <c r="B133" s="194" t="s">
        <v>396</v>
      </c>
      <c r="C133" s="141"/>
      <c r="D133" s="180" t="s">
        <v>397</v>
      </c>
      <c r="E133" s="141"/>
      <c r="F133" s="180" t="s">
        <v>398</v>
      </c>
      <c r="G133" s="141"/>
      <c r="H133" s="185" t="s">
        <v>399</v>
      </c>
      <c r="I133" s="142"/>
      <c r="J133" s="2"/>
      <c r="K133" s="2"/>
    </row>
    <row r="134" spans="1:11" ht="30" customHeight="1" x14ac:dyDescent="0.3">
      <c r="A134" s="2"/>
      <c r="B134" s="198" t="s">
        <v>400</v>
      </c>
      <c r="C134" s="141"/>
      <c r="D134" s="180" t="s">
        <v>401</v>
      </c>
      <c r="E134" s="141"/>
      <c r="F134" s="180" t="s">
        <v>402</v>
      </c>
      <c r="G134" s="141"/>
      <c r="H134" s="185" t="s">
        <v>403</v>
      </c>
      <c r="I134" s="142"/>
      <c r="J134" s="2"/>
      <c r="K134" s="2"/>
    </row>
    <row r="135" spans="1:11" ht="30" customHeight="1" x14ac:dyDescent="0.3">
      <c r="A135" s="2"/>
      <c r="B135" s="181" t="s">
        <v>404</v>
      </c>
      <c r="C135" s="141"/>
      <c r="D135" s="180" t="s">
        <v>401</v>
      </c>
      <c r="E135" s="141"/>
      <c r="F135" s="180" t="s">
        <v>405</v>
      </c>
      <c r="G135" s="141"/>
      <c r="H135" s="185" t="s">
        <v>406</v>
      </c>
      <c r="I135" s="142"/>
      <c r="J135" s="2"/>
      <c r="K135" s="2"/>
    </row>
    <row r="136" spans="1:11" ht="30" customHeight="1" x14ac:dyDescent="0.3">
      <c r="A136" s="2"/>
      <c r="B136" s="181" t="s">
        <v>407</v>
      </c>
      <c r="C136" s="141"/>
      <c r="D136" s="180" t="s">
        <v>408</v>
      </c>
      <c r="E136" s="141"/>
      <c r="F136" s="180" t="s">
        <v>409</v>
      </c>
      <c r="G136" s="141"/>
      <c r="H136" s="185" t="s">
        <v>410</v>
      </c>
      <c r="I136" s="142"/>
      <c r="J136" s="2"/>
      <c r="K136" s="2"/>
    </row>
    <row r="137" spans="1:11" ht="30" customHeight="1" x14ac:dyDescent="0.3">
      <c r="A137" s="2"/>
      <c r="B137" s="181" t="s">
        <v>411</v>
      </c>
      <c r="C137" s="141"/>
      <c r="D137" s="180" t="s">
        <v>412</v>
      </c>
      <c r="E137" s="141"/>
      <c r="F137" s="180" t="s">
        <v>413</v>
      </c>
      <c r="G137" s="141"/>
      <c r="H137" s="185" t="s">
        <v>414</v>
      </c>
      <c r="I137" s="142"/>
      <c r="J137" s="2"/>
      <c r="K137" s="2"/>
    </row>
    <row r="138" spans="1:11" ht="30" customHeight="1" x14ac:dyDescent="0.3">
      <c r="A138" s="2"/>
      <c r="B138" s="191" t="s">
        <v>415</v>
      </c>
      <c r="C138" s="141"/>
      <c r="D138" s="180" t="s">
        <v>412</v>
      </c>
      <c r="E138" s="141"/>
      <c r="F138" s="180" t="s">
        <v>416</v>
      </c>
      <c r="G138" s="141"/>
      <c r="H138" s="185" t="s">
        <v>417</v>
      </c>
      <c r="I138" s="142"/>
      <c r="J138" s="2"/>
      <c r="K138" s="2"/>
    </row>
    <row r="139" spans="1:11" ht="30" customHeight="1" x14ac:dyDescent="0.3">
      <c r="A139" s="2"/>
      <c r="B139" s="181" t="s">
        <v>418</v>
      </c>
      <c r="C139" s="141"/>
      <c r="D139" s="180" t="s">
        <v>419</v>
      </c>
      <c r="E139" s="141"/>
      <c r="F139" s="180" t="s">
        <v>420</v>
      </c>
      <c r="G139" s="141"/>
      <c r="H139" s="185" t="s">
        <v>421</v>
      </c>
      <c r="I139" s="142"/>
      <c r="J139" s="2"/>
      <c r="K139" s="2"/>
    </row>
    <row r="140" spans="1:11" ht="30" customHeight="1" x14ac:dyDescent="0.3">
      <c r="A140" s="2"/>
      <c r="B140" s="191" t="s">
        <v>422</v>
      </c>
      <c r="C140" s="141"/>
      <c r="D140" s="180" t="s">
        <v>419</v>
      </c>
      <c r="E140" s="141"/>
      <c r="F140" s="180" t="s">
        <v>423</v>
      </c>
      <c r="G140" s="141"/>
      <c r="H140" s="185" t="s">
        <v>424</v>
      </c>
      <c r="I140" s="142"/>
      <c r="J140" s="2"/>
      <c r="K140" s="2"/>
    </row>
    <row r="141" spans="1:11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3">
      <c r="A142" s="2"/>
      <c r="B142" s="182" t="s">
        <v>425</v>
      </c>
      <c r="C142" s="171"/>
      <c r="D142" s="171"/>
      <c r="E142" s="171"/>
      <c r="F142" s="171"/>
      <c r="G142" s="171"/>
      <c r="H142" s="171"/>
      <c r="I142" s="171"/>
      <c r="J142" s="2"/>
      <c r="K142" s="2"/>
    </row>
    <row r="143" spans="1:11" ht="30" customHeight="1" x14ac:dyDescent="0.3">
      <c r="A143" s="2"/>
      <c r="B143" s="189" t="s">
        <v>426</v>
      </c>
      <c r="C143" s="139"/>
      <c r="D143" s="189" t="s">
        <v>427</v>
      </c>
      <c r="E143" s="139"/>
      <c r="F143" s="139"/>
      <c r="G143" s="189" t="s">
        <v>163</v>
      </c>
      <c r="H143" s="139"/>
      <c r="I143" s="139"/>
      <c r="J143" s="2"/>
      <c r="K143" s="2"/>
    </row>
    <row r="144" spans="1:11" ht="31.5" customHeight="1" x14ac:dyDescent="0.3">
      <c r="A144" s="2"/>
      <c r="B144" s="181" t="s">
        <v>428</v>
      </c>
      <c r="C144" s="141"/>
      <c r="D144" s="180" t="s">
        <v>429</v>
      </c>
      <c r="E144" s="141"/>
      <c r="F144" s="141"/>
      <c r="G144" s="186" t="s">
        <v>430</v>
      </c>
      <c r="H144" s="141"/>
      <c r="I144" s="142"/>
      <c r="J144" s="2"/>
      <c r="K144" s="2"/>
    </row>
    <row r="145" spans="1:11" ht="31.5" customHeight="1" x14ac:dyDescent="0.3">
      <c r="A145" s="2"/>
      <c r="B145" s="181" t="s">
        <v>431</v>
      </c>
      <c r="C145" s="141"/>
      <c r="D145" s="180" t="s">
        <v>432</v>
      </c>
      <c r="E145" s="141"/>
      <c r="F145" s="141"/>
      <c r="G145" s="183" t="s">
        <v>433</v>
      </c>
      <c r="H145" s="141"/>
      <c r="I145" s="142"/>
      <c r="J145" s="2"/>
      <c r="K145" s="2"/>
    </row>
    <row r="146" spans="1:11" ht="31.5" customHeight="1" x14ac:dyDescent="0.3">
      <c r="A146" s="2"/>
      <c r="B146" s="181" t="s">
        <v>434</v>
      </c>
      <c r="C146" s="141"/>
      <c r="D146" s="180" t="s">
        <v>435</v>
      </c>
      <c r="E146" s="141"/>
      <c r="F146" s="141"/>
      <c r="G146" s="183" t="s">
        <v>436</v>
      </c>
      <c r="H146" s="141"/>
      <c r="I146" s="142"/>
      <c r="J146" s="2"/>
      <c r="K146" s="2"/>
    </row>
    <row r="147" spans="1:11" ht="31.5" customHeight="1" x14ac:dyDescent="0.3">
      <c r="A147" s="2"/>
      <c r="B147" s="181" t="s">
        <v>437</v>
      </c>
      <c r="C147" s="141"/>
      <c r="D147" s="180" t="s">
        <v>438</v>
      </c>
      <c r="E147" s="141"/>
      <c r="F147" s="141"/>
      <c r="G147" s="186" t="s">
        <v>439</v>
      </c>
      <c r="H147" s="141"/>
      <c r="I147" s="142"/>
      <c r="J147" s="2"/>
      <c r="K147" s="2"/>
    </row>
    <row r="148" spans="1:11" ht="31.5" customHeight="1" x14ac:dyDescent="0.3">
      <c r="A148" s="2"/>
      <c r="B148" s="181" t="s">
        <v>440</v>
      </c>
      <c r="C148" s="141"/>
      <c r="D148" s="180" t="s">
        <v>441</v>
      </c>
      <c r="E148" s="141"/>
      <c r="F148" s="141"/>
      <c r="G148" s="186" t="s">
        <v>442</v>
      </c>
      <c r="H148" s="141"/>
      <c r="I148" s="142"/>
      <c r="J148" s="2"/>
      <c r="K148" s="2"/>
    </row>
    <row r="149" spans="1:11" ht="31.5" customHeight="1" x14ac:dyDescent="0.3">
      <c r="A149" s="2"/>
      <c r="B149" s="181" t="s">
        <v>443</v>
      </c>
      <c r="C149" s="141"/>
      <c r="D149" s="180" t="s">
        <v>444</v>
      </c>
      <c r="E149" s="141"/>
      <c r="F149" s="141"/>
      <c r="G149" s="186" t="s">
        <v>445</v>
      </c>
      <c r="H149" s="141"/>
      <c r="I149" s="142"/>
      <c r="J149" s="2"/>
      <c r="K149" s="2"/>
    </row>
    <row r="150" spans="1:11" ht="31.5" customHeight="1" x14ac:dyDescent="0.3">
      <c r="A150" s="2"/>
      <c r="B150" s="181" t="s">
        <v>446</v>
      </c>
      <c r="C150" s="141"/>
      <c r="D150" s="180" t="s">
        <v>447</v>
      </c>
      <c r="E150" s="141"/>
      <c r="F150" s="141"/>
      <c r="G150" s="186" t="s">
        <v>448</v>
      </c>
      <c r="H150" s="141"/>
      <c r="I150" s="142"/>
      <c r="J150" s="2"/>
      <c r="K150" s="2"/>
    </row>
    <row r="151" spans="1:11" ht="31.5" customHeight="1" x14ac:dyDescent="0.3">
      <c r="A151" s="2"/>
      <c r="B151" s="181" t="s">
        <v>449</v>
      </c>
      <c r="C151" s="141"/>
      <c r="D151" s="180" t="s">
        <v>450</v>
      </c>
      <c r="E151" s="141"/>
      <c r="F151" s="141"/>
      <c r="G151" s="186" t="s">
        <v>451</v>
      </c>
      <c r="H151" s="141"/>
      <c r="I151" s="142"/>
      <c r="J151" s="2"/>
      <c r="K151" s="2"/>
    </row>
    <row r="152" spans="1:11" ht="31.5" customHeight="1" x14ac:dyDescent="0.3">
      <c r="A152" s="2"/>
      <c r="B152" s="181" t="s">
        <v>452</v>
      </c>
      <c r="C152" s="141"/>
      <c r="D152" s="180" t="s">
        <v>453</v>
      </c>
      <c r="E152" s="141"/>
      <c r="F152" s="141"/>
      <c r="G152" s="200" t="s">
        <v>454</v>
      </c>
      <c r="H152" s="141"/>
      <c r="I152" s="142"/>
      <c r="J152" s="2"/>
      <c r="K152" s="2"/>
    </row>
    <row r="153" spans="1:11" ht="31.5" customHeight="1" x14ac:dyDescent="0.3">
      <c r="A153" s="2"/>
      <c r="B153" s="181" t="s">
        <v>455</v>
      </c>
      <c r="C153" s="141"/>
      <c r="D153" s="180" t="s">
        <v>456</v>
      </c>
      <c r="E153" s="141"/>
      <c r="F153" s="141"/>
      <c r="G153" s="183" t="s">
        <v>457</v>
      </c>
      <c r="H153" s="141"/>
      <c r="I153" s="142"/>
      <c r="J153" s="2"/>
      <c r="K153" s="2"/>
    </row>
    <row r="154" spans="1:11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3">
      <c r="A155" s="2"/>
      <c r="B155" s="182" t="s">
        <v>458</v>
      </c>
      <c r="C155" s="171"/>
      <c r="D155" s="171"/>
      <c r="E155" s="171"/>
      <c r="F155" s="171"/>
      <c r="G155" s="171"/>
      <c r="H155" s="171"/>
      <c r="I155" s="171"/>
      <c r="J155" s="2"/>
      <c r="K155" s="2"/>
    </row>
    <row r="156" spans="1:11" ht="30" customHeight="1" x14ac:dyDescent="0.3">
      <c r="A156" s="2"/>
      <c r="B156" s="189" t="s">
        <v>459</v>
      </c>
      <c r="C156" s="139"/>
      <c r="D156" s="189" t="s">
        <v>460</v>
      </c>
      <c r="E156" s="139"/>
      <c r="F156" s="139"/>
      <c r="G156" s="189" t="s">
        <v>461</v>
      </c>
      <c r="H156" s="139"/>
      <c r="I156" s="139"/>
      <c r="J156" s="2"/>
      <c r="K156" s="2"/>
    </row>
    <row r="157" spans="1:11" ht="37.5" customHeight="1" x14ac:dyDescent="0.3">
      <c r="A157" s="2"/>
      <c r="B157" s="190" t="s">
        <v>462</v>
      </c>
      <c r="C157" s="141"/>
      <c r="D157" s="188" t="s">
        <v>463</v>
      </c>
      <c r="E157" s="141"/>
      <c r="F157" s="141"/>
      <c r="G157" s="185" t="s">
        <v>464</v>
      </c>
      <c r="H157" s="141"/>
      <c r="I157" s="142"/>
      <c r="J157" s="2"/>
      <c r="K157" s="2"/>
    </row>
    <row r="158" spans="1:11" ht="37.5" customHeight="1" x14ac:dyDescent="0.3">
      <c r="A158" s="2"/>
      <c r="B158" s="190" t="s">
        <v>465</v>
      </c>
      <c r="C158" s="141"/>
      <c r="D158" s="188" t="s">
        <v>466</v>
      </c>
      <c r="E158" s="141"/>
      <c r="F158" s="141"/>
      <c r="G158" s="185" t="s">
        <v>467</v>
      </c>
      <c r="H158" s="141"/>
      <c r="I158" s="142"/>
      <c r="J158" s="2"/>
      <c r="K158" s="2"/>
    </row>
    <row r="159" spans="1:11" ht="37.5" customHeight="1" x14ac:dyDescent="0.3">
      <c r="A159" s="2"/>
      <c r="B159" s="190" t="s">
        <v>468</v>
      </c>
      <c r="C159" s="141"/>
      <c r="D159" s="188" t="s">
        <v>469</v>
      </c>
      <c r="E159" s="141"/>
      <c r="F159" s="141"/>
      <c r="G159" s="185" t="s">
        <v>470</v>
      </c>
      <c r="H159" s="141"/>
      <c r="I159" s="142"/>
      <c r="J159" s="2"/>
      <c r="K159" s="2"/>
    </row>
    <row r="160" spans="1:11" ht="37.5" customHeight="1" x14ac:dyDescent="0.3">
      <c r="A160" s="2"/>
      <c r="B160" s="190" t="s">
        <v>471</v>
      </c>
      <c r="C160" s="141"/>
      <c r="D160" s="188" t="s">
        <v>472</v>
      </c>
      <c r="E160" s="141"/>
      <c r="F160" s="141"/>
      <c r="G160" s="185" t="s">
        <v>473</v>
      </c>
      <c r="H160" s="141"/>
      <c r="I160" s="142"/>
      <c r="J160" s="2"/>
      <c r="K160" s="2"/>
    </row>
    <row r="161" spans="1:11" ht="37.5" customHeight="1" x14ac:dyDescent="0.3">
      <c r="A161" s="2"/>
      <c r="B161" s="190" t="s">
        <v>474</v>
      </c>
      <c r="C161" s="141"/>
      <c r="D161" s="188" t="s">
        <v>475</v>
      </c>
      <c r="E161" s="141"/>
      <c r="F161" s="141"/>
      <c r="G161" s="185" t="s">
        <v>476</v>
      </c>
      <c r="H161" s="141"/>
      <c r="I161" s="142"/>
      <c r="J161" s="2"/>
      <c r="K161" s="2"/>
    </row>
    <row r="162" spans="1:11" ht="37.5" customHeight="1" x14ac:dyDescent="0.3">
      <c r="A162" s="2"/>
      <c r="B162" s="190" t="s">
        <v>477</v>
      </c>
      <c r="C162" s="141"/>
      <c r="D162" s="188" t="s">
        <v>478</v>
      </c>
      <c r="E162" s="141"/>
      <c r="F162" s="141"/>
      <c r="G162" s="185" t="s">
        <v>479</v>
      </c>
      <c r="H162" s="141"/>
      <c r="I162" s="142"/>
      <c r="J162" s="2"/>
      <c r="K162" s="2"/>
    </row>
    <row r="163" spans="1:11" ht="37.5" customHeight="1" x14ac:dyDescent="0.3">
      <c r="A163" s="2"/>
      <c r="B163" s="190" t="s">
        <v>480</v>
      </c>
      <c r="C163" s="141"/>
      <c r="D163" s="188" t="s">
        <v>481</v>
      </c>
      <c r="E163" s="141"/>
      <c r="F163" s="141"/>
      <c r="G163" s="185" t="s">
        <v>482</v>
      </c>
      <c r="H163" s="141"/>
      <c r="I163" s="142"/>
      <c r="J163" s="2"/>
      <c r="K163" s="2"/>
    </row>
    <row r="164" spans="1:11" ht="37.5" customHeight="1" x14ac:dyDescent="0.3">
      <c r="A164" s="2"/>
      <c r="B164" s="190" t="s">
        <v>483</v>
      </c>
      <c r="C164" s="141"/>
      <c r="D164" s="188" t="s">
        <v>484</v>
      </c>
      <c r="E164" s="141"/>
      <c r="F164" s="141"/>
      <c r="G164" s="185" t="s">
        <v>485</v>
      </c>
      <c r="H164" s="141"/>
      <c r="I164" s="142"/>
      <c r="J164" s="2"/>
      <c r="K164" s="2"/>
    </row>
    <row r="165" spans="1:11" ht="37.5" customHeight="1" x14ac:dyDescent="0.3">
      <c r="A165" s="2"/>
      <c r="B165" s="190" t="s">
        <v>486</v>
      </c>
      <c r="C165" s="141"/>
      <c r="D165" s="188" t="s">
        <v>487</v>
      </c>
      <c r="E165" s="141"/>
      <c r="F165" s="141"/>
      <c r="G165" s="185" t="s">
        <v>488</v>
      </c>
      <c r="H165" s="141"/>
      <c r="I165" s="142"/>
      <c r="J165" s="2"/>
      <c r="K165" s="2"/>
    </row>
    <row r="166" spans="1:11" ht="37.5" customHeight="1" x14ac:dyDescent="0.3">
      <c r="A166" s="2"/>
      <c r="B166" s="190" t="s">
        <v>489</v>
      </c>
      <c r="C166" s="141"/>
      <c r="D166" s="188" t="s">
        <v>490</v>
      </c>
      <c r="E166" s="141"/>
      <c r="F166" s="141"/>
      <c r="G166" s="185" t="s">
        <v>491</v>
      </c>
      <c r="H166" s="141"/>
      <c r="I166" s="142"/>
      <c r="J166" s="2"/>
      <c r="K166" s="2"/>
    </row>
    <row r="167" spans="1:11" ht="37.5" customHeight="1" x14ac:dyDescent="0.3">
      <c r="A167" s="2"/>
      <c r="B167" s="190" t="s">
        <v>492</v>
      </c>
      <c r="C167" s="141"/>
      <c r="D167" s="188" t="s">
        <v>493</v>
      </c>
      <c r="E167" s="141"/>
      <c r="F167" s="141"/>
      <c r="G167" s="185" t="s">
        <v>494</v>
      </c>
      <c r="H167" s="141"/>
      <c r="I167" s="142"/>
      <c r="J167" s="2"/>
      <c r="K167" s="2"/>
    </row>
    <row r="168" spans="1:11" ht="37.5" customHeight="1" x14ac:dyDescent="0.3">
      <c r="A168" s="2"/>
      <c r="B168" s="190" t="s">
        <v>495</v>
      </c>
      <c r="C168" s="141"/>
      <c r="D168" s="188" t="s">
        <v>496</v>
      </c>
      <c r="E168" s="141"/>
      <c r="F168" s="141"/>
      <c r="G168" s="185" t="s">
        <v>497</v>
      </c>
      <c r="H168" s="141"/>
      <c r="I168" s="142"/>
      <c r="J168" s="2"/>
      <c r="K168" s="2"/>
    </row>
    <row r="169" spans="1:11" ht="37.5" customHeight="1" x14ac:dyDescent="0.3">
      <c r="A169" s="2"/>
      <c r="B169" s="190" t="s">
        <v>498</v>
      </c>
      <c r="C169" s="141"/>
      <c r="D169" s="188" t="s">
        <v>499</v>
      </c>
      <c r="E169" s="141"/>
      <c r="F169" s="141"/>
      <c r="G169" s="185" t="s">
        <v>500</v>
      </c>
      <c r="H169" s="141"/>
      <c r="I169" s="142"/>
      <c r="J169" s="2"/>
      <c r="K169" s="2"/>
    </row>
    <row r="170" spans="1:11" ht="37.5" customHeight="1" x14ac:dyDescent="0.3">
      <c r="A170" s="2"/>
      <c r="B170" s="190" t="s">
        <v>501</v>
      </c>
      <c r="C170" s="141"/>
      <c r="D170" s="188" t="s">
        <v>502</v>
      </c>
      <c r="E170" s="141"/>
      <c r="F170" s="141"/>
      <c r="G170" s="185" t="s">
        <v>503</v>
      </c>
      <c r="H170" s="141"/>
      <c r="I170" s="142"/>
      <c r="J170" s="2"/>
      <c r="K170" s="2"/>
    </row>
    <row r="171" spans="1:11" ht="37.5" customHeight="1" x14ac:dyDescent="0.3">
      <c r="A171" s="2"/>
      <c r="B171" s="190" t="s">
        <v>504</v>
      </c>
      <c r="C171" s="141"/>
      <c r="D171" s="188" t="s">
        <v>505</v>
      </c>
      <c r="E171" s="141"/>
      <c r="F171" s="141"/>
      <c r="G171" s="185" t="s">
        <v>506</v>
      </c>
      <c r="H171" s="141"/>
      <c r="I171" s="142"/>
      <c r="J171" s="2"/>
      <c r="K171" s="2"/>
    </row>
    <row r="172" spans="1:11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3">
      <c r="A173" s="2"/>
      <c r="B173" s="182" t="s">
        <v>507</v>
      </c>
      <c r="C173" s="171"/>
      <c r="D173" s="171"/>
      <c r="E173" s="171"/>
      <c r="F173" s="171"/>
      <c r="G173" s="171"/>
      <c r="H173" s="171"/>
      <c r="I173" s="171"/>
      <c r="J173" s="2"/>
      <c r="K173" s="2"/>
    </row>
    <row r="174" spans="1:11" ht="30" customHeight="1" x14ac:dyDescent="0.3">
      <c r="A174" s="2"/>
      <c r="B174" s="189" t="s">
        <v>225</v>
      </c>
      <c r="C174" s="139"/>
      <c r="D174" s="189" t="s">
        <v>508</v>
      </c>
      <c r="E174" s="139"/>
      <c r="F174" s="139"/>
      <c r="G174" s="189" t="s">
        <v>509</v>
      </c>
      <c r="H174" s="139"/>
      <c r="I174" s="139"/>
      <c r="J174" s="2"/>
      <c r="K174" s="2"/>
    </row>
    <row r="175" spans="1:11" ht="27.75" customHeight="1" x14ac:dyDescent="0.3">
      <c r="A175" s="2"/>
      <c r="B175" s="190" t="s">
        <v>510</v>
      </c>
      <c r="C175" s="141"/>
      <c r="D175" s="180" t="s">
        <v>511</v>
      </c>
      <c r="E175" s="141"/>
      <c r="F175" s="141"/>
      <c r="G175" s="184" t="s">
        <v>512</v>
      </c>
      <c r="H175" s="141"/>
      <c r="I175" s="142"/>
      <c r="J175" s="2"/>
      <c r="K175" s="2"/>
    </row>
    <row r="176" spans="1:11" ht="27.75" customHeight="1" x14ac:dyDescent="0.3">
      <c r="A176" s="2"/>
      <c r="B176" s="190" t="s">
        <v>513</v>
      </c>
      <c r="C176" s="141"/>
      <c r="D176" s="180" t="s">
        <v>514</v>
      </c>
      <c r="E176" s="141"/>
      <c r="F176" s="141"/>
      <c r="G176" s="184" t="s">
        <v>515</v>
      </c>
      <c r="H176" s="141"/>
      <c r="I176" s="142"/>
      <c r="J176" s="2"/>
      <c r="K176" s="2"/>
    </row>
    <row r="177" spans="1:11" ht="27.75" customHeight="1" x14ac:dyDescent="0.3">
      <c r="A177" s="2"/>
      <c r="B177" s="190" t="s">
        <v>516</v>
      </c>
      <c r="C177" s="141"/>
      <c r="D177" s="180" t="s">
        <v>517</v>
      </c>
      <c r="E177" s="141"/>
      <c r="F177" s="141"/>
      <c r="G177" s="184" t="s">
        <v>518</v>
      </c>
      <c r="H177" s="141"/>
      <c r="I177" s="142"/>
      <c r="J177" s="2"/>
      <c r="K177" s="2"/>
    </row>
    <row r="178" spans="1:11" ht="27.75" customHeight="1" x14ac:dyDescent="0.3">
      <c r="A178" s="2"/>
      <c r="B178" s="190" t="s">
        <v>519</v>
      </c>
      <c r="C178" s="141"/>
      <c r="D178" s="180" t="s">
        <v>520</v>
      </c>
      <c r="E178" s="141"/>
      <c r="F178" s="141"/>
      <c r="G178" s="184" t="s">
        <v>521</v>
      </c>
      <c r="H178" s="141"/>
      <c r="I178" s="142"/>
      <c r="J178" s="2"/>
      <c r="K178" s="2"/>
    </row>
    <row r="179" spans="1:11" ht="27.75" customHeight="1" x14ac:dyDescent="0.3">
      <c r="A179" s="2"/>
      <c r="B179" s="190" t="s">
        <v>522</v>
      </c>
      <c r="C179" s="141"/>
      <c r="D179" s="180" t="s">
        <v>523</v>
      </c>
      <c r="E179" s="141"/>
      <c r="F179" s="141"/>
      <c r="G179" s="184" t="s">
        <v>524</v>
      </c>
      <c r="H179" s="141"/>
      <c r="I179" s="142"/>
      <c r="J179" s="2"/>
      <c r="K179" s="2"/>
    </row>
    <row r="180" spans="1:11" ht="27.75" customHeight="1" x14ac:dyDescent="0.3">
      <c r="A180" s="2"/>
      <c r="B180" s="190" t="s">
        <v>525</v>
      </c>
      <c r="C180" s="141"/>
      <c r="D180" s="180" t="s">
        <v>526</v>
      </c>
      <c r="E180" s="141"/>
      <c r="F180" s="141"/>
      <c r="G180" s="184" t="s">
        <v>527</v>
      </c>
      <c r="H180" s="141"/>
      <c r="I180" s="142"/>
      <c r="J180" s="2"/>
      <c r="K180" s="2"/>
    </row>
    <row r="181" spans="1:11" ht="27.75" customHeight="1" x14ac:dyDescent="0.3">
      <c r="A181" s="2"/>
      <c r="B181" s="190" t="s">
        <v>528</v>
      </c>
      <c r="C181" s="141"/>
      <c r="D181" s="180" t="s">
        <v>529</v>
      </c>
      <c r="E181" s="141"/>
      <c r="F181" s="141"/>
      <c r="G181" s="184" t="s">
        <v>530</v>
      </c>
      <c r="H181" s="141"/>
      <c r="I181" s="142"/>
      <c r="J181" s="2"/>
      <c r="K181" s="2"/>
    </row>
    <row r="182" spans="1:11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3">
      <c r="A183" s="2"/>
      <c r="B183" s="182" t="s">
        <v>531</v>
      </c>
      <c r="C183" s="171"/>
      <c r="D183" s="171"/>
      <c r="E183" s="171"/>
      <c r="F183" s="171"/>
      <c r="G183" s="171"/>
      <c r="H183" s="171"/>
      <c r="I183" s="171"/>
      <c r="J183" s="2"/>
      <c r="K183" s="2"/>
    </row>
    <row r="184" spans="1:11" ht="30" customHeight="1" x14ac:dyDescent="0.3">
      <c r="A184" s="2"/>
      <c r="B184" s="189" t="s">
        <v>224</v>
      </c>
      <c r="C184" s="139"/>
      <c r="D184" s="18" t="s">
        <v>532</v>
      </c>
      <c r="E184" s="189" t="s">
        <v>54</v>
      </c>
      <c r="F184" s="139"/>
      <c r="G184" s="139"/>
      <c r="H184" s="139"/>
      <c r="I184" s="139"/>
      <c r="J184" s="2"/>
      <c r="K184" s="2"/>
    </row>
    <row r="185" spans="1:11" ht="30" customHeight="1" x14ac:dyDescent="0.3">
      <c r="A185" s="2"/>
      <c r="B185" s="190" t="s">
        <v>533</v>
      </c>
      <c r="C185" s="141"/>
      <c r="D185" s="49" t="s">
        <v>534</v>
      </c>
      <c r="E185" s="185" t="s">
        <v>535</v>
      </c>
      <c r="F185" s="141"/>
      <c r="G185" s="141"/>
      <c r="H185" s="141"/>
      <c r="I185" s="142"/>
      <c r="J185" s="2"/>
      <c r="K185" s="2"/>
    </row>
    <row r="186" spans="1:11" ht="30" customHeight="1" x14ac:dyDescent="0.3">
      <c r="A186" s="2"/>
      <c r="B186" s="190" t="s">
        <v>536</v>
      </c>
      <c r="C186" s="141"/>
      <c r="D186" s="49" t="s">
        <v>537</v>
      </c>
      <c r="E186" s="185" t="s">
        <v>538</v>
      </c>
      <c r="F186" s="141"/>
      <c r="G186" s="141"/>
      <c r="H186" s="141"/>
      <c r="I186" s="142"/>
      <c r="J186" s="2"/>
      <c r="K186" s="2"/>
    </row>
    <row r="187" spans="1:11" ht="30" customHeight="1" x14ac:dyDescent="0.3">
      <c r="A187" s="2"/>
      <c r="B187" s="190" t="s">
        <v>539</v>
      </c>
      <c r="C187" s="141"/>
      <c r="D187" s="49" t="s">
        <v>540</v>
      </c>
      <c r="E187" s="185" t="s">
        <v>541</v>
      </c>
      <c r="F187" s="141"/>
      <c r="G187" s="141"/>
      <c r="H187" s="141"/>
      <c r="I187" s="142"/>
      <c r="J187" s="2"/>
      <c r="K187" s="2"/>
    </row>
    <row r="188" spans="1:11" ht="30" customHeight="1" x14ac:dyDescent="0.3">
      <c r="A188" s="2"/>
      <c r="B188" s="190" t="s">
        <v>542</v>
      </c>
      <c r="C188" s="141"/>
      <c r="D188" s="49" t="s">
        <v>543</v>
      </c>
      <c r="E188" s="185" t="s">
        <v>544</v>
      </c>
      <c r="F188" s="141"/>
      <c r="G188" s="141"/>
      <c r="H188" s="141"/>
      <c r="I188" s="142"/>
      <c r="J188" s="2"/>
      <c r="K188" s="2"/>
    </row>
    <row r="189" spans="1:11" ht="30" customHeight="1" x14ac:dyDescent="0.3">
      <c r="A189" s="2"/>
      <c r="B189" s="190" t="s">
        <v>545</v>
      </c>
      <c r="C189" s="141"/>
      <c r="D189" s="49" t="s">
        <v>546</v>
      </c>
      <c r="E189" s="185" t="s">
        <v>547</v>
      </c>
      <c r="F189" s="141"/>
      <c r="G189" s="141"/>
      <c r="H189" s="141"/>
      <c r="I189" s="142"/>
      <c r="J189" s="2"/>
      <c r="K189" s="2"/>
    </row>
    <row r="190" spans="1:11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B5:I5"/>
    <mergeCell ref="B129:C129"/>
    <mergeCell ref="F13:I13"/>
    <mergeCell ref="C30:D30"/>
    <mergeCell ref="D41:F41"/>
    <mergeCell ref="C31:D31"/>
    <mergeCell ref="B26:I26"/>
    <mergeCell ref="F14:I14"/>
    <mergeCell ref="D19:I19"/>
    <mergeCell ref="G29:I29"/>
    <mergeCell ref="B6:I6"/>
    <mergeCell ref="B12:E12"/>
    <mergeCell ref="B14:E14"/>
    <mergeCell ref="E28:F28"/>
    <mergeCell ref="E30:F30"/>
    <mergeCell ref="F11:I11"/>
    <mergeCell ref="F116:G116"/>
    <mergeCell ref="E71:F71"/>
    <mergeCell ref="G71:H71"/>
    <mergeCell ref="D53:F53"/>
    <mergeCell ref="F118:G118"/>
    <mergeCell ref="D47:F47"/>
    <mergeCell ref="H118:I118"/>
    <mergeCell ref="E73:F73"/>
    <mergeCell ref="H135:I135"/>
    <mergeCell ref="B135:C135"/>
    <mergeCell ref="B128:C128"/>
    <mergeCell ref="B8:I8"/>
    <mergeCell ref="G68:H68"/>
    <mergeCell ref="D134:E134"/>
    <mergeCell ref="F134:G134"/>
    <mergeCell ref="F121:G121"/>
    <mergeCell ref="D144:F144"/>
    <mergeCell ref="G36:I36"/>
    <mergeCell ref="C28:D28"/>
    <mergeCell ref="G66:H6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E69:F69"/>
    <mergeCell ref="G69:H69"/>
    <mergeCell ref="C61:D61"/>
    <mergeCell ref="E103:H103"/>
    <mergeCell ref="D49:F49"/>
    <mergeCell ref="E108:H108"/>
    <mergeCell ref="E95:H95"/>
    <mergeCell ref="E89:H89"/>
    <mergeCell ref="D81:F81"/>
    <mergeCell ref="G170:I170"/>
    <mergeCell ref="G157:I157"/>
    <mergeCell ref="D118:E118"/>
    <mergeCell ref="G34:I34"/>
    <mergeCell ref="G44:I44"/>
    <mergeCell ref="G31:I31"/>
    <mergeCell ref="G158:I158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B170:C170"/>
    <mergeCell ref="E31:F31"/>
    <mergeCell ref="D51:F51"/>
    <mergeCell ref="D82:F8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B145:C145"/>
    <mergeCell ref="E106:H106"/>
    <mergeCell ref="B99:C99"/>
    <mergeCell ref="G64:H64"/>
    <mergeCell ref="B92:C92"/>
    <mergeCell ref="D117:E117"/>
    <mergeCell ref="F117:G117"/>
    <mergeCell ref="E72:F72"/>
    <mergeCell ref="B94:C94"/>
    <mergeCell ref="F119:G119"/>
    <mergeCell ref="H125:I125"/>
    <mergeCell ref="B150:C150"/>
    <mergeCell ref="F127:G127"/>
    <mergeCell ref="H127:I127"/>
    <mergeCell ref="B152:C152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F1:I1"/>
    <mergeCell ref="B23:C23"/>
    <mergeCell ref="H137:I137"/>
    <mergeCell ref="F124:G124"/>
    <mergeCell ref="G83:I83"/>
    <mergeCell ref="D139:E139"/>
    <mergeCell ref="C29:D29"/>
    <mergeCell ref="F139:G139"/>
    <mergeCell ref="E29:F29"/>
    <mergeCell ref="B156:C156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B96:C96"/>
    <mergeCell ref="H58:I58"/>
    <mergeCell ref="B98:C98"/>
    <mergeCell ref="H60:I60"/>
    <mergeCell ref="D116:E116"/>
    <mergeCell ref="D177:F177"/>
    <mergeCell ref="B162:C162"/>
    <mergeCell ref="C59:D59"/>
    <mergeCell ref="D164:F164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G166:I166"/>
    <mergeCell ref="D132:E132"/>
    <mergeCell ref="F132:G132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7:C127"/>
    <mergeCell ref="G52:I52"/>
    <mergeCell ref="D127:E127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D149:F149"/>
    <mergeCell ref="D179:F179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G167:I167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E187:I187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G163:I163"/>
    <mergeCell ref="E74:F74"/>
    <mergeCell ref="G74:H74"/>
    <mergeCell ref="B175:C175"/>
    <mergeCell ref="F129:G129"/>
    <mergeCell ref="G165:I165"/>
    <mergeCell ref="D79:F79"/>
    <mergeCell ref="F131:G131"/>
    <mergeCell ref="H131:I131"/>
    <mergeCell ref="F58:G58"/>
    <mergeCell ref="B184:C184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F9:I9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G177:I177"/>
    <mergeCell ref="G148:I148"/>
    <mergeCell ref="G33:I33"/>
    <mergeCell ref="F59:G59"/>
    <mergeCell ref="H59:I59"/>
    <mergeCell ref="D180:F180"/>
    <mergeCell ref="G35:I35"/>
    <mergeCell ref="D167:F167"/>
    <mergeCell ref="D161:F161"/>
    <mergeCell ref="H61:I61"/>
    <mergeCell ref="G143:I143"/>
    <mergeCell ref="D169:F169"/>
    <mergeCell ref="G169:I169"/>
    <mergeCell ref="H124:I124"/>
    <mergeCell ref="F60:G60"/>
    <mergeCell ref="H116:I116"/>
    <mergeCell ref="H126:I126"/>
    <mergeCell ref="E97:H97"/>
    <mergeCell ref="G84:I84"/>
    <mergeCell ref="D148:F148"/>
    <mergeCell ref="G46:I46"/>
    <mergeCell ref="E107:H107"/>
    <mergeCell ref="D50:F50"/>
    <mergeCell ref="D44:F44"/>
    <mergeCell ref="F12:I12"/>
    <mergeCell ref="D121:E121"/>
    <mergeCell ref="B123:C123"/>
    <mergeCell ref="B142:I142"/>
    <mergeCell ref="G48:I48"/>
    <mergeCell ref="D123:E123"/>
    <mergeCell ref="F123:G123"/>
    <mergeCell ref="B10:E10"/>
    <mergeCell ref="G175:I175"/>
    <mergeCell ref="G162:I162"/>
    <mergeCell ref="E112:H112"/>
    <mergeCell ref="B91:C91"/>
    <mergeCell ref="B22:C22"/>
    <mergeCell ref="B93:C93"/>
    <mergeCell ref="B149:C149"/>
    <mergeCell ref="B86:C86"/>
    <mergeCell ref="E70:F70"/>
    <mergeCell ref="G86:I86"/>
    <mergeCell ref="C32:D32"/>
    <mergeCell ref="E32:F32"/>
    <mergeCell ref="B133:C133"/>
    <mergeCell ref="D133:E133"/>
    <mergeCell ref="D45:F45"/>
    <mergeCell ref="G160:I160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8A5C"/>
    <pageSetUpPr fitToPage="1"/>
  </sheetPr>
  <dimension ref="A1:V158"/>
  <sheetViews>
    <sheetView showGridLines="0" zoomScaleNormal="100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D28" sqref="D28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9.7109375" customWidth="1"/>
    <col min="4" max="4" width="11.140625" customWidth="1"/>
    <col min="5" max="5" width="16.7109375" customWidth="1"/>
    <col min="6" max="6" width="14.85546875" customWidth="1"/>
    <col min="7" max="7" width="13" customWidth="1"/>
    <col min="8" max="8" width="13.85546875" customWidth="1"/>
    <col min="9" max="9" width="13" customWidth="1"/>
    <col min="10" max="10" width="14.85546875" customWidth="1"/>
    <col min="11" max="11" width="13.85546875" customWidth="1"/>
    <col min="12" max="12" width="22.28515625" customWidth="1"/>
    <col min="13" max="13" width="24.140625" customWidth="1"/>
    <col min="14" max="14" width="13.85546875" customWidth="1"/>
    <col min="15" max="15" width="13" customWidth="1"/>
    <col min="16" max="16" width="13.85546875" customWidth="1"/>
    <col min="17" max="18" width="2.28515625" customWidth="1"/>
    <col min="20" max="21" width="12" hidden="1" customWidth="1"/>
  </cols>
  <sheetData>
    <row r="1" spans="1:22" ht="37.5" customHeight="1" x14ac:dyDescent="0.3">
      <c r="A1" s="209" t="s">
        <v>548</v>
      </c>
      <c r="B1" s="171"/>
      <c r="C1" s="171"/>
      <c r="D1" s="171"/>
      <c r="E1" s="171"/>
      <c r="F1" s="208" t="s">
        <v>549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</row>
    <row r="2" spans="1:22" ht="21.75" customHeight="1" x14ac:dyDescent="0.3">
      <c r="A2" s="210" t="s">
        <v>550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</row>
    <row r="3" spans="1:22" ht="19.5" customHeight="1" x14ac:dyDescent="0.3">
      <c r="A3" s="2"/>
      <c r="B3" s="50" t="s">
        <v>551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2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552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2" ht="25.5" customHeight="1" x14ac:dyDescent="0.3">
      <c r="A5" s="2"/>
      <c r="B5" s="53"/>
      <c r="C5" s="54" t="s">
        <v>553</v>
      </c>
      <c r="D5" s="55">
        <f>COUNTIF($D$7:$D$156,"Aktif")</f>
        <v>52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2" ht="39.75" customHeight="1" x14ac:dyDescent="0.3">
      <c r="A6" s="2"/>
      <c r="B6" s="57" t="s">
        <v>19</v>
      </c>
      <c r="C6" s="58" t="s">
        <v>554</v>
      </c>
      <c r="D6" s="57" t="s">
        <v>555</v>
      </c>
      <c r="E6" s="58" t="s">
        <v>556</v>
      </c>
      <c r="F6" s="58" t="s">
        <v>557</v>
      </c>
      <c r="G6" s="58" t="s">
        <v>558</v>
      </c>
      <c r="H6" s="57" t="s">
        <v>559</v>
      </c>
      <c r="I6" s="57" t="s">
        <v>560</v>
      </c>
      <c r="J6" s="59" t="s">
        <v>27</v>
      </c>
      <c r="K6" s="57" t="s">
        <v>561</v>
      </c>
      <c r="L6" s="58" t="s">
        <v>562</v>
      </c>
      <c r="M6" s="58" t="s">
        <v>563</v>
      </c>
      <c r="N6" s="57" t="s">
        <v>564</v>
      </c>
      <c r="O6" s="57" t="s">
        <v>565</v>
      </c>
      <c r="P6" s="57" t="s">
        <v>566</v>
      </c>
      <c r="Q6" s="2"/>
      <c r="R6" s="2"/>
      <c r="S6" s="1"/>
      <c r="T6" s="1"/>
      <c r="U6" s="1" t="s">
        <v>567</v>
      </c>
      <c r="V6" s="1" t="s">
        <v>568</v>
      </c>
    </row>
    <row r="7" spans="1:22" ht="18" customHeight="1" x14ac:dyDescent="0.3">
      <c r="A7" s="2"/>
      <c r="B7" s="60" t="s">
        <v>569</v>
      </c>
      <c r="C7" s="61" t="s">
        <v>570</v>
      </c>
      <c r="D7" s="60" t="s">
        <v>571</v>
      </c>
      <c r="E7" s="61"/>
      <c r="F7" s="61"/>
      <c r="G7" s="61"/>
      <c r="H7" s="60" t="s">
        <v>572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 ca="1">IF($B7="","",COUNTIF($V$7:$V$156,"&gt;"&amp;$V7)+COUNTIF($V$7:$V7,$V7))</f>
        <v>19</v>
      </c>
      <c r="V7" s="1">
        <f ca="1">IF($B7="","",MAX(0,$J7+SUMIFS(UCRETLER!$I$7:$I$606,UCRETLER!$B$7:$B$606,$B7)+SUMIFS(GELIR_GIDER!$G$7:$G$3001,GELIR_GIDER!$T$7:$T$3001,$B7)-SUMIFS(TAHSILAT!$F$7:$F$2503,TAHSILAT!$C$7:$C$2503,$B7)))</f>
        <v>10000</v>
      </c>
    </row>
    <row r="8" spans="1:22" ht="18" customHeight="1" x14ac:dyDescent="0.3">
      <c r="A8" s="2"/>
      <c r="B8" s="60" t="s">
        <v>573</v>
      </c>
      <c r="C8" s="61" t="s">
        <v>574</v>
      </c>
      <c r="D8" s="60" t="s">
        <v>571</v>
      </c>
      <c r="E8" s="61"/>
      <c r="F8" s="61"/>
      <c r="G8" s="61"/>
      <c r="H8" s="60" t="s">
        <v>572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 ca="1">IF($B8="","",COUNTIF($V$7:$V$156,"&gt;"&amp;$V8)+COUNTIF($V$7:$V8,$V8))</f>
        <v>17</v>
      </c>
      <c r="V8" s="1">
        <f ca="1">IF($B8="","",MAX(0,$J8+SUMIFS(UCRETLER!$I$7:$I$606,UCRETLER!$B$7:$B$606,$B8)+SUMIFS(GELIR_GIDER!$G$7:$G$3001,GELIR_GIDER!$T$7:$T$3001,$B8)-SUMIFS(TAHSILAT!$F$7:$F$2503,TAHSILAT!$C$7:$C$2503,$B8)))</f>
        <v>18000</v>
      </c>
    </row>
    <row r="9" spans="1:22" ht="18" customHeight="1" x14ac:dyDescent="0.3">
      <c r="A9" s="2"/>
      <c r="B9" s="60" t="s">
        <v>575</v>
      </c>
      <c r="C9" s="61" t="s">
        <v>576</v>
      </c>
      <c r="D9" s="60" t="s">
        <v>571</v>
      </c>
      <c r="E9" s="61"/>
      <c r="F9" s="61"/>
      <c r="G9" s="61"/>
      <c r="H9" s="60" t="s">
        <v>572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 ca="1">IF($B9="","",COUNTIF($V$7:$V$156,"&gt;"&amp;$V9)+COUNTIF($V$7:$V9,$V9))</f>
        <v>32</v>
      </c>
      <c r="V9" s="1">
        <f ca="1">IF($B9="","",MAX(0,$J9+SUMIFS(UCRETLER!$I$7:$I$606,UCRETLER!$B$7:$B$606,$B9)+SUMIFS(GELIR_GIDER!$G$7:$G$3001,GELIR_GIDER!$T$7:$T$3001,$B9)-SUMIFS(TAHSILAT!$F$7:$F$2503,TAHSILAT!$C$7:$C$2503,$B9)))</f>
        <v>0</v>
      </c>
    </row>
    <row r="10" spans="1:22" ht="18" customHeight="1" x14ac:dyDescent="0.3">
      <c r="A10" s="2"/>
      <c r="B10" s="60" t="s">
        <v>577</v>
      </c>
      <c r="C10" s="61" t="s">
        <v>17</v>
      </c>
      <c r="D10" s="60" t="s">
        <v>571</v>
      </c>
      <c r="E10" s="61"/>
      <c r="F10" s="61"/>
      <c r="G10" s="61"/>
      <c r="H10" s="60" t="s">
        <v>572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 ca="1">IF($B10="","",COUNTIF($V$7:$V$156,"&gt;"&amp;$V10)+COUNTIF($V$7:$V10,$V10))</f>
        <v>15</v>
      </c>
      <c r="V10" s="1">
        <f ca="1">IF($B10="","",MAX(0,$J10+SUMIFS(UCRETLER!$I$7:$I$606,UCRETLER!$B$7:$B$606,$B10)+SUMIFS(GELIR_GIDER!$G$7:$G$3001,GELIR_GIDER!$T$7:$T$3001,$B10)-SUMIFS(TAHSILAT!$F$7:$F$2503,TAHSILAT!$C$7:$C$2503,$B10)))</f>
        <v>20000</v>
      </c>
    </row>
    <row r="11" spans="1:22" ht="18" customHeight="1" x14ac:dyDescent="0.3">
      <c r="A11" s="2"/>
      <c r="B11" s="60" t="s">
        <v>578</v>
      </c>
      <c r="C11" s="61" t="s">
        <v>579</v>
      </c>
      <c r="D11" s="60" t="s">
        <v>571</v>
      </c>
      <c r="E11" s="61"/>
      <c r="F11" s="61"/>
      <c r="G11" s="61"/>
      <c r="H11" s="60" t="s">
        <v>572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 ca="1">IF($B11="","",COUNTIF($V$7:$V$156,"&gt;"&amp;$V11)+COUNTIF($V$7:$V11,$V11))</f>
        <v>33</v>
      </c>
      <c r="V11" s="1">
        <f ca="1">IF($B11="","",MAX(0,$J11+SUMIFS(UCRETLER!$I$7:$I$606,UCRETLER!$B$7:$B$606,$B11)+SUMIFS(GELIR_GIDER!$G$7:$G$3001,GELIR_GIDER!$T$7:$T$3001,$B11)-SUMIFS(TAHSILAT!$F$7:$F$2503,TAHSILAT!$C$7:$C$2503,$B11)))</f>
        <v>0</v>
      </c>
    </row>
    <row r="12" spans="1:22" ht="18" customHeight="1" x14ac:dyDescent="0.3">
      <c r="A12" s="2"/>
      <c r="B12" s="60" t="s">
        <v>580</v>
      </c>
      <c r="C12" s="61" t="s">
        <v>581</v>
      </c>
      <c r="D12" s="60" t="s">
        <v>571</v>
      </c>
      <c r="E12" s="61"/>
      <c r="F12" s="61"/>
      <c r="G12" s="61"/>
      <c r="H12" s="60" t="s">
        <v>572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 ca="1">IF($B12="","",COUNTIF($V$7:$V$156,"&gt;"&amp;$V12)+COUNTIF($V$7:$V12,$V12))</f>
        <v>34</v>
      </c>
      <c r="V12" s="1">
        <f ca="1">IF($B12="","",MAX(0,$J12+SUMIFS(UCRETLER!$I$7:$I$606,UCRETLER!$B$7:$B$606,$B12)+SUMIFS(GELIR_GIDER!$G$7:$G$3001,GELIR_GIDER!$T$7:$T$3001,$B12)-SUMIFS(TAHSILAT!$F$7:$F$2503,TAHSILAT!$C$7:$C$2503,$B12)))</f>
        <v>0</v>
      </c>
    </row>
    <row r="13" spans="1:22" ht="18" customHeight="1" x14ac:dyDescent="0.3">
      <c r="A13" s="2"/>
      <c r="B13" s="60" t="s">
        <v>582</v>
      </c>
      <c r="C13" s="61" t="s">
        <v>583</v>
      </c>
      <c r="D13" s="60" t="s">
        <v>571</v>
      </c>
      <c r="E13" s="61"/>
      <c r="F13" s="61"/>
      <c r="G13" s="61"/>
      <c r="H13" s="60" t="s">
        <v>572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 ca="1">IF($B13="","",COUNTIF($V$7:$V$156,"&gt;"&amp;$V13)+COUNTIF($V$7:$V13,$V13))</f>
        <v>35</v>
      </c>
      <c r="V13" s="1">
        <f ca="1">IF($B13="","",MAX(0,$J13+SUMIFS(UCRETLER!$I$7:$I$606,UCRETLER!$B$7:$B$606,$B13)+SUMIFS(GELIR_GIDER!$G$7:$G$3001,GELIR_GIDER!$T$7:$T$3001,$B13)-SUMIFS(TAHSILAT!$F$7:$F$2503,TAHSILAT!$C$7:$C$2503,$B13)))</f>
        <v>0</v>
      </c>
    </row>
    <row r="14" spans="1:22" ht="18" customHeight="1" x14ac:dyDescent="0.3">
      <c r="A14" s="2"/>
      <c r="B14" s="60" t="s">
        <v>584</v>
      </c>
      <c r="C14" s="61" t="s">
        <v>585</v>
      </c>
      <c r="D14" s="60" t="s">
        <v>571</v>
      </c>
      <c r="E14" s="61"/>
      <c r="F14" s="61"/>
      <c r="G14" s="61"/>
      <c r="H14" s="60" t="s">
        <v>572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 ca="1">IF($B14="","",COUNTIF($V$7:$V$156,"&gt;"&amp;$V14)+COUNTIF($V$7:$V14,$V14))</f>
        <v>36</v>
      </c>
      <c r="V14" s="1">
        <f ca="1">IF($B14="","",MAX(0,$J14+SUMIFS(UCRETLER!$I$7:$I$606,UCRETLER!$B$7:$B$606,$B14)+SUMIFS(GELIR_GIDER!$G$7:$G$3001,GELIR_GIDER!$T$7:$T$3001,$B14)-SUMIFS(TAHSILAT!$F$7:$F$2503,TAHSILAT!$C$7:$C$2503,$B14)))</f>
        <v>0</v>
      </c>
    </row>
    <row r="15" spans="1:22" ht="18" customHeight="1" x14ac:dyDescent="0.3">
      <c r="A15" s="2"/>
      <c r="B15" s="60" t="s">
        <v>586</v>
      </c>
      <c r="C15" s="61" t="s">
        <v>587</v>
      </c>
      <c r="D15" s="60" t="s">
        <v>571</v>
      </c>
      <c r="E15" s="61"/>
      <c r="F15" s="61"/>
      <c r="G15" s="61"/>
      <c r="H15" s="60" t="s">
        <v>572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 ca="1">IF($B15="","",COUNTIF($V$7:$V$156,"&gt;"&amp;$V15)+COUNTIF($V$7:$V15,$V15))</f>
        <v>9</v>
      </c>
      <c r="V15" s="1">
        <f ca="1">IF($B15="","",MAX(0,$J15+SUMIFS(UCRETLER!$I$7:$I$606,UCRETLER!$B$7:$B$606,$B15)+SUMIFS(GELIR_GIDER!$G$7:$G$3001,GELIR_GIDER!$T$7:$T$3001,$B15)-SUMIFS(TAHSILAT!$F$7:$F$2503,TAHSILAT!$C$7:$C$2503,$B15)))</f>
        <v>52500</v>
      </c>
    </row>
    <row r="16" spans="1:22" ht="18" customHeight="1" x14ac:dyDescent="0.3">
      <c r="A16" s="2"/>
      <c r="B16" s="60" t="s">
        <v>588</v>
      </c>
      <c r="C16" s="61" t="s">
        <v>589</v>
      </c>
      <c r="D16" s="60" t="s">
        <v>571</v>
      </c>
      <c r="E16" s="61"/>
      <c r="F16" s="61"/>
      <c r="G16" s="61"/>
      <c r="H16" s="60" t="s">
        <v>572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 ca="1">IF($B16="","",COUNTIF($V$7:$V$156,"&gt;"&amp;$V16)+COUNTIF($V$7:$V16,$V16))</f>
        <v>37</v>
      </c>
      <c r="V16" s="1">
        <f ca="1">IF($B16="","",MAX(0,$J16+SUMIFS(UCRETLER!$I$7:$I$606,UCRETLER!$B$7:$B$606,$B16)+SUMIFS(GELIR_GIDER!$G$7:$G$3001,GELIR_GIDER!$T$7:$T$3001,$B16)-SUMIFS(TAHSILAT!$F$7:$F$2503,TAHSILAT!$C$7:$C$2503,$B16)))</f>
        <v>0</v>
      </c>
    </row>
    <row r="17" spans="1:22" ht="18" customHeight="1" x14ac:dyDescent="0.3">
      <c r="A17" s="2"/>
      <c r="B17" s="60" t="s">
        <v>590</v>
      </c>
      <c r="C17" s="61" t="s">
        <v>591</v>
      </c>
      <c r="D17" s="60" t="s">
        <v>571</v>
      </c>
      <c r="E17" s="61"/>
      <c r="F17" s="61"/>
      <c r="G17" s="61"/>
      <c r="H17" s="60" t="s">
        <v>572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 ca="1">IF($B17="","",COUNTIF($V$7:$V$156,"&gt;"&amp;$V17)+COUNTIF($V$7:$V17,$V17))</f>
        <v>21</v>
      </c>
      <c r="V17" s="1">
        <f ca="1">IF($B17="","",MAX(0,$J17+SUMIFS(UCRETLER!$I$7:$I$606,UCRETLER!$B$7:$B$606,$B17)+SUMIFS(GELIR_GIDER!$G$7:$G$3001,GELIR_GIDER!$T$7:$T$3001,$B17)-SUMIFS(TAHSILAT!$F$7:$F$2503,TAHSILAT!$C$7:$C$2503,$B17)))</f>
        <v>8000</v>
      </c>
    </row>
    <row r="18" spans="1:22" ht="18" customHeight="1" x14ac:dyDescent="0.3">
      <c r="A18" s="2"/>
      <c r="B18" s="60" t="s">
        <v>592</v>
      </c>
      <c r="C18" s="61" t="s">
        <v>593</v>
      </c>
      <c r="D18" s="60" t="s">
        <v>571</v>
      </c>
      <c r="E18" s="61"/>
      <c r="F18" s="61"/>
      <c r="G18" s="61"/>
      <c r="H18" s="60" t="s">
        <v>572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 ca="1">IF($B18="","",COUNTIF($V$7:$V$156,"&gt;"&amp;$V18)+COUNTIF($V$7:$V18,$V18))</f>
        <v>38</v>
      </c>
      <c r="V18" s="1">
        <f ca="1">IF($B18="","",MAX(0,$J18+SUMIFS(UCRETLER!$I$7:$I$606,UCRETLER!$B$7:$B$606,$B18)+SUMIFS(GELIR_GIDER!$G$7:$G$3001,GELIR_GIDER!$T$7:$T$3001,$B18)-SUMIFS(TAHSILAT!$F$7:$F$2503,TAHSILAT!$C$7:$C$2503,$B18)))</f>
        <v>0</v>
      </c>
    </row>
    <row r="19" spans="1:22" ht="18" customHeight="1" x14ac:dyDescent="0.3">
      <c r="A19" s="2"/>
      <c r="B19" s="60" t="s">
        <v>594</v>
      </c>
      <c r="C19" s="61" t="s">
        <v>595</v>
      </c>
      <c r="D19" s="60" t="s">
        <v>571</v>
      </c>
      <c r="E19" s="61"/>
      <c r="F19" s="61"/>
      <c r="G19" s="61"/>
      <c r="H19" s="60" t="s">
        <v>572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 ca="1">IF($B19="","",COUNTIF($V$7:$V$156,"&gt;"&amp;$V19)+COUNTIF($V$7:$V19,$V19))</f>
        <v>6</v>
      </c>
      <c r="V19" s="1">
        <f ca="1">IF($B19="","",MAX(0,$J19+SUMIFS(UCRETLER!$I$7:$I$606,UCRETLER!$B$7:$B$606,$B19)+SUMIFS(GELIR_GIDER!$G$7:$G$3001,GELIR_GIDER!$T$7:$T$3001,$B19)-SUMIFS(TAHSILAT!$F$7:$F$2503,TAHSILAT!$C$7:$C$2503,$B19)))</f>
        <v>70000</v>
      </c>
    </row>
    <row r="20" spans="1:22" ht="18" customHeight="1" x14ac:dyDescent="0.3">
      <c r="A20" s="2"/>
      <c r="B20" s="60" t="s">
        <v>596</v>
      </c>
      <c r="C20" s="61" t="s">
        <v>597</v>
      </c>
      <c r="D20" s="60" t="s">
        <v>571</v>
      </c>
      <c r="E20" s="61"/>
      <c r="F20" s="61"/>
      <c r="G20" s="61"/>
      <c r="H20" s="60" t="s">
        <v>572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 ca="1">IF($B20="","",COUNTIF($V$7:$V$156,"&gt;"&amp;$V20)+COUNTIF($V$7:$V20,$V20))</f>
        <v>39</v>
      </c>
      <c r="V20" s="1">
        <f ca="1">IF($B20="","",MAX(0,$J20+SUMIFS(UCRETLER!$I$7:$I$606,UCRETLER!$B$7:$B$606,$B20)+SUMIFS(GELIR_GIDER!$G$7:$G$3001,GELIR_GIDER!$T$7:$T$3001,$B20)-SUMIFS(TAHSILAT!$F$7:$F$2503,TAHSILAT!$C$7:$C$2503,$B20)))</f>
        <v>0</v>
      </c>
    </row>
    <row r="21" spans="1:22" ht="18" customHeight="1" x14ac:dyDescent="0.3">
      <c r="A21" s="2"/>
      <c r="B21" s="60" t="s">
        <v>598</v>
      </c>
      <c r="C21" s="61" t="s">
        <v>599</v>
      </c>
      <c r="D21" s="60" t="s">
        <v>571</v>
      </c>
      <c r="E21" s="61"/>
      <c r="F21" s="61"/>
      <c r="G21" s="61"/>
      <c r="H21" s="60" t="s">
        <v>572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 ca="1">IF($B21="","",COUNTIF($V$7:$V$156,"&gt;"&amp;$V21)+COUNTIF($V$7:$V21,$V21))</f>
        <v>22</v>
      </c>
      <c r="V21" s="1">
        <f ca="1">IF($B21="","",MAX(0,$J21+SUMIFS(UCRETLER!$I$7:$I$606,UCRETLER!$B$7:$B$606,$B21)+SUMIFS(GELIR_GIDER!$G$7:$G$3001,GELIR_GIDER!$T$7:$T$3001,$B21)-SUMIFS(TAHSILAT!$F$7:$F$2503,TAHSILAT!$C$7:$C$2503,$B21)))</f>
        <v>8000</v>
      </c>
    </row>
    <row r="22" spans="1:22" ht="18" customHeight="1" x14ac:dyDescent="0.3">
      <c r="A22" s="2"/>
      <c r="B22" s="60" t="s">
        <v>600</v>
      </c>
      <c r="C22" s="61" t="s">
        <v>601</v>
      </c>
      <c r="D22" s="60" t="s">
        <v>571</v>
      </c>
      <c r="E22" s="61"/>
      <c r="F22" s="61"/>
      <c r="G22" s="61"/>
      <c r="H22" s="60" t="s">
        <v>572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 ca="1">IF($B22="","",COUNTIF($V$7:$V$156,"&gt;"&amp;$V22)+COUNTIF($V$7:$V22,$V22))</f>
        <v>2</v>
      </c>
      <c r="V22" s="1">
        <f ca="1">IF($B22="","",MAX(0,$J22+SUMIFS(UCRETLER!$I$7:$I$606,UCRETLER!$B$7:$B$606,$B22)+SUMIFS(GELIR_GIDER!$G$7:$G$3001,GELIR_GIDER!$T$7:$T$3001,$B22)-SUMIFS(TAHSILAT!$F$7:$F$2503,TAHSILAT!$C$7:$C$2503,$B22)))</f>
        <v>108500</v>
      </c>
    </row>
    <row r="23" spans="1:22" ht="18" customHeight="1" x14ac:dyDescent="0.3">
      <c r="A23" s="2"/>
      <c r="B23" s="60" t="s">
        <v>602</v>
      </c>
      <c r="C23" s="61" t="s">
        <v>603</v>
      </c>
      <c r="D23" s="60" t="s">
        <v>571</v>
      </c>
      <c r="E23" s="61"/>
      <c r="F23" s="61"/>
      <c r="G23" s="61"/>
      <c r="H23" s="60" t="s">
        <v>572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 ca="1">IF($B23="","",COUNTIF($V$7:$V$156,"&gt;"&amp;$V23)+COUNTIF($V$7:$V23,$V23))</f>
        <v>25</v>
      </c>
      <c r="V23" s="1">
        <f ca="1">IF($B23="","",MAX(0,$J23+SUMIFS(UCRETLER!$I$7:$I$606,UCRETLER!$B$7:$B$606,$B23)+SUMIFS(GELIR_GIDER!$G$7:$G$3001,GELIR_GIDER!$T$7:$T$3001,$B23)-SUMIFS(TAHSILAT!$F$7:$F$2503,TAHSILAT!$C$7:$C$2503,$B23)))</f>
        <v>6000</v>
      </c>
    </row>
    <row r="24" spans="1:22" ht="18" customHeight="1" x14ac:dyDescent="0.3">
      <c r="A24" s="2"/>
      <c r="B24" s="60" t="s">
        <v>604</v>
      </c>
      <c r="C24" s="61" t="s">
        <v>605</v>
      </c>
      <c r="D24" s="60" t="s">
        <v>571</v>
      </c>
      <c r="E24" s="61"/>
      <c r="F24" s="61"/>
      <c r="G24" s="61"/>
      <c r="H24" s="60" t="s">
        <v>572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 ca="1">IF($B24="","",COUNTIF($V$7:$V$156,"&gt;"&amp;$V24)+COUNTIF($V$7:$V24,$V24))</f>
        <v>40</v>
      </c>
      <c r="V24" s="1">
        <f ca="1">IF($B24="","",MAX(0,$J24+SUMIFS(UCRETLER!$I$7:$I$606,UCRETLER!$B$7:$B$606,$B24)+SUMIFS(GELIR_GIDER!$G$7:$G$3001,GELIR_GIDER!$T$7:$T$3001,$B24)-SUMIFS(TAHSILAT!$F$7:$F$2503,TAHSILAT!$C$7:$C$2503,$B24)))</f>
        <v>0</v>
      </c>
    </row>
    <row r="25" spans="1:22" ht="18" customHeight="1" x14ac:dyDescent="0.3">
      <c r="A25" s="2"/>
      <c r="B25" s="60" t="s">
        <v>606</v>
      </c>
      <c r="C25" s="61" t="s">
        <v>607</v>
      </c>
      <c r="D25" s="60" t="s">
        <v>571</v>
      </c>
      <c r="E25" s="61"/>
      <c r="F25" s="61"/>
      <c r="G25" s="61"/>
      <c r="H25" s="60" t="s">
        <v>572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 ca="1">IF($B25="","",COUNTIF($V$7:$V$156,"&gt;"&amp;$V25)+COUNTIF($V$7:$V25,$V25))</f>
        <v>29</v>
      </c>
      <c r="V25" s="1">
        <f ca="1">IF($B25="","",MAX(0,$J25+SUMIFS(UCRETLER!$I$7:$I$606,UCRETLER!$B$7:$B$606,$B25)+SUMIFS(GELIR_GIDER!$G$7:$G$3001,GELIR_GIDER!$T$7:$T$3001,$B25)-SUMIFS(TAHSILAT!$F$7:$F$2503,TAHSILAT!$C$7:$C$2503,$B25)))</f>
        <v>3000</v>
      </c>
    </row>
    <row r="26" spans="1:22" ht="18" customHeight="1" x14ac:dyDescent="0.3">
      <c r="A26" s="2"/>
      <c r="B26" s="60" t="s">
        <v>608</v>
      </c>
      <c r="C26" s="61" t="s">
        <v>609</v>
      </c>
      <c r="D26" s="60" t="s">
        <v>571</v>
      </c>
      <c r="E26" s="61"/>
      <c r="F26" s="61"/>
      <c r="G26" s="61"/>
      <c r="H26" s="60" t="s">
        <v>572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 ca="1">IF($B26="","",COUNTIF($V$7:$V$156,"&gt;"&amp;$V26)+COUNTIF($V$7:$V26,$V26))</f>
        <v>24</v>
      </c>
      <c r="V26" s="1">
        <f ca="1">IF($B26="","",MAX(0,$J26+SUMIFS(UCRETLER!$I$7:$I$606,UCRETLER!$B$7:$B$606,$B26)+SUMIFS(GELIR_GIDER!$G$7:$G$3001,GELIR_GIDER!$T$7:$T$3001,$B26)-SUMIFS(TAHSILAT!$F$7:$F$2503,TAHSILAT!$C$7:$C$2503,$B26)))</f>
        <v>7000</v>
      </c>
    </row>
    <row r="27" spans="1:22" ht="18" customHeight="1" x14ac:dyDescent="0.3">
      <c r="A27" s="2"/>
      <c r="B27" s="60" t="s">
        <v>610</v>
      </c>
      <c r="C27" s="61" t="s">
        <v>611</v>
      </c>
      <c r="D27" s="60" t="s">
        <v>571</v>
      </c>
      <c r="E27" s="61"/>
      <c r="F27" s="61"/>
      <c r="G27" s="61"/>
      <c r="H27" s="60" t="s">
        <v>572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 ca="1">IF($B27="","",COUNTIF($V$7:$V$156,"&gt;"&amp;$V27)+COUNTIF($V$7:$V27,$V27))</f>
        <v>7</v>
      </c>
      <c r="V27" s="1">
        <f ca="1">IF($B27="","",MAX(0,$J27+SUMIFS(UCRETLER!$I$7:$I$606,UCRETLER!$B$7:$B$606,$B27)+SUMIFS(GELIR_GIDER!$G$7:$G$3001,GELIR_GIDER!$T$7:$T$3001,$B27)-SUMIFS(TAHSILAT!$F$7:$F$2503,TAHSILAT!$C$7:$C$2503,$B27)))</f>
        <v>67000</v>
      </c>
    </row>
    <row r="28" spans="1:22" ht="18" customHeight="1" x14ac:dyDescent="0.3">
      <c r="A28" s="2"/>
      <c r="B28" s="60" t="s">
        <v>612</v>
      </c>
      <c r="C28" s="61" t="s">
        <v>613</v>
      </c>
      <c r="D28" s="60" t="s">
        <v>571</v>
      </c>
      <c r="E28" s="61"/>
      <c r="F28" s="61"/>
      <c r="G28" s="61"/>
      <c r="H28" s="60" t="s">
        <v>572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 ca="1">IF($B28="","",COUNTIF($V$7:$V$156,"&gt;"&amp;$V28)+COUNTIF($V$7:$V28,$V28))</f>
        <v>41</v>
      </c>
      <c r="V28" s="1">
        <f ca="1">IF($B28="","",MAX(0,$J28+SUMIFS(UCRETLER!$I$7:$I$606,UCRETLER!$B$7:$B$606,$B28)+SUMIFS(GELIR_GIDER!$G$7:$G$3001,GELIR_GIDER!$T$7:$T$3001,$B28)-SUMIFS(TAHSILAT!$F$7:$F$2503,TAHSILAT!$C$7:$C$2503,$B28)))</f>
        <v>0</v>
      </c>
    </row>
    <row r="29" spans="1:22" ht="18" customHeight="1" x14ac:dyDescent="0.3">
      <c r="A29" s="2"/>
      <c r="B29" s="60" t="s">
        <v>614</v>
      </c>
      <c r="C29" s="61" t="s">
        <v>615</v>
      </c>
      <c r="D29" s="60" t="s">
        <v>571</v>
      </c>
      <c r="E29" s="61"/>
      <c r="F29" s="61"/>
      <c r="G29" s="61"/>
      <c r="H29" s="60" t="s">
        <v>572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 ca="1">IF($B29="","",COUNTIF($V$7:$V$156,"&gt;"&amp;$V29)+COUNTIF($V$7:$V29,$V29))</f>
        <v>42</v>
      </c>
      <c r="V29" s="1">
        <f ca="1">IF($B29="","",MAX(0,$J29+SUMIFS(UCRETLER!$I$7:$I$606,UCRETLER!$B$7:$B$606,$B29)+SUMIFS(GELIR_GIDER!$G$7:$G$3001,GELIR_GIDER!$T$7:$T$3001,$B29)-SUMIFS(TAHSILAT!$F$7:$F$2503,TAHSILAT!$C$7:$C$2503,$B29)))</f>
        <v>0</v>
      </c>
    </row>
    <row r="30" spans="1:22" ht="18" customHeight="1" x14ac:dyDescent="0.3">
      <c r="A30" s="2"/>
      <c r="B30" s="60" t="s">
        <v>616</v>
      </c>
      <c r="C30" s="61" t="s">
        <v>617</v>
      </c>
      <c r="D30" s="60" t="s">
        <v>571</v>
      </c>
      <c r="E30" s="61"/>
      <c r="F30" s="61"/>
      <c r="G30" s="61"/>
      <c r="H30" s="60" t="s">
        <v>572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 ca="1">IF($B30="","",COUNTIF($V$7:$V$156,"&gt;"&amp;$V30)+COUNTIF($V$7:$V30,$V30))</f>
        <v>10</v>
      </c>
      <c r="V30" s="1">
        <f ca="1">IF($B30="","",MAX(0,$J30+SUMIFS(UCRETLER!$I$7:$I$606,UCRETLER!$B$7:$B$606,$B30)+SUMIFS(GELIR_GIDER!$G$7:$G$3001,GELIR_GIDER!$T$7:$T$3001,$B30)-SUMIFS(TAHSILAT!$F$7:$F$2503,TAHSILAT!$C$7:$C$2503,$B30)))</f>
        <v>47500</v>
      </c>
    </row>
    <row r="31" spans="1:22" ht="18" customHeight="1" x14ac:dyDescent="0.3">
      <c r="A31" s="2"/>
      <c r="B31" s="60" t="s">
        <v>618</v>
      </c>
      <c r="C31" s="61" t="s">
        <v>619</v>
      </c>
      <c r="D31" s="60" t="s">
        <v>571</v>
      </c>
      <c r="E31" s="61"/>
      <c r="F31" s="61"/>
      <c r="G31" s="61"/>
      <c r="H31" s="60" t="s">
        <v>572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 ca="1">IF($B31="","",COUNTIF($V$7:$V$156,"&gt;"&amp;$V31)+COUNTIF($V$7:$V31,$V31))</f>
        <v>18</v>
      </c>
      <c r="V31" s="1">
        <f ca="1">IF($B31="","",MAX(0,$J31+SUMIFS(UCRETLER!$I$7:$I$606,UCRETLER!$B$7:$B$606,$B31)+SUMIFS(GELIR_GIDER!$G$7:$G$3001,GELIR_GIDER!$T$7:$T$3001,$B31)-SUMIFS(TAHSILAT!$F$7:$F$2503,TAHSILAT!$C$7:$C$2503,$B31)))</f>
        <v>18000</v>
      </c>
    </row>
    <row r="32" spans="1:22" ht="18" customHeight="1" x14ac:dyDescent="0.3">
      <c r="A32" s="2"/>
      <c r="B32" s="60" t="s">
        <v>620</v>
      </c>
      <c r="C32" s="61" t="s">
        <v>621</v>
      </c>
      <c r="D32" s="60" t="s">
        <v>571</v>
      </c>
      <c r="E32" s="61"/>
      <c r="F32" s="61"/>
      <c r="G32" s="61"/>
      <c r="H32" s="60" t="s">
        <v>572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 ca="1">IF($B32="","",COUNTIF($V$7:$V$156,"&gt;"&amp;$V32)+COUNTIF($V$7:$V32,$V32))</f>
        <v>5</v>
      </c>
      <c r="V32" s="1">
        <f ca="1">IF($B32="","",MAX(0,$J32+SUMIFS(UCRETLER!$I$7:$I$606,UCRETLER!$B$7:$B$606,$B32)+SUMIFS(GELIR_GIDER!$G$7:$G$3001,GELIR_GIDER!$T$7:$T$3001,$B32)-SUMIFS(TAHSILAT!$F$7:$F$2503,TAHSILAT!$C$7:$C$2503,$B32)))</f>
        <v>79000</v>
      </c>
    </row>
    <row r="33" spans="1:22" ht="18" customHeight="1" x14ac:dyDescent="0.3">
      <c r="A33" s="2"/>
      <c r="B33" s="60" t="s">
        <v>622</v>
      </c>
      <c r="C33" s="61" t="s">
        <v>623</v>
      </c>
      <c r="D33" s="60" t="s">
        <v>571</v>
      </c>
      <c r="E33" s="61"/>
      <c r="F33" s="61"/>
      <c r="G33" s="61"/>
      <c r="H33" s="60" t="s">
        <v>572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 ca="1">IF($B33="","",COUNTIF($V$7:$V$156,"&gt;"&amp;$V33)+COUNTIF($V$7:$V33,$V33))</f>
        <v>43</v>
      </c>
      <c r="V33" s="1">
        <f ca="1">IF($B33="","",MAX(0,$J33+SUMIFS(UCRETLER!$I$7:$I$606,UCRETLER!$B$7:$B$606,$B33)+SUMIFS(GELIR_GIDER!$G$7:$G$3001,GELIR_GIDER!$T$7:$T$3001,$B33)-SUMIFS(TAHSILAT!$F$7:$F$2503,TAHSILAT!$C$7:$C$2503,$B33)))</f>
        <v>0</v>
      </c>
    </row>
    <row r="34" spans="1:22" ht="18" customHeight="1" x14ac:dyDescent="0.3">
      <c r="A34" s="2"/>
      <c r="B34" s="60" t="s">
        <v>624</v>
      </c>
      <c r="C34" s="61" t="s">
        <v>625</v>
      </c>
      <c r="D34" s="60" t="s">
        <v>571</v>
      </c>
      <c r="E34" s="61"/>
      <c r="F34" s="61"/>
      <c r="G34" s="61"/>
      <c r="H34" s="60" t="s">
        <v>572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 ca="1">IF($B34="","",COUNTIF($V$7:$V$156,"&gt;"&amp;$V34)+COUNTIF($V$7:$V34,$V34))</f>
        <v>44</v>
      </c>
      <c r="V34" s="1">
        <f ca="1">IF($B34="","",MAX(0,$J34+SUMIFS(UCRETLER!$I$7:$I$606,UCRETLER!$B$7:$B$606,$B34)+SUMIFS(GELIR_GIDER!$G$7:$G$3001,GELIR_GIDER!$T$7:$T$3001,$B34)-SUMIFS(TAHSILAT!$F$7:$F$2503,TAHSILAT!$C$7:$C$2503,$B34)))</f>
        <v>0</v>
      </c>
    </row>
    <row r="35" spans="1:22" ht="18" customHeight="1" x14ac:dyDescent="0.3">
      <c r="A35" s="2"/>
      <c r="B35" s="60" t="s">
        <v>626</v>
      </c>
      <c r="C35" s="61" t="s">
        <v>627</v>
      </c>
      <c r="D35" s="60" t="s">
        <v>571</v>
      </c>
      <c r="E35" s="61"/>
      <c r="F35" s="61"/>
      <c r="G35" s="61"/>
      <c r="H35" s="60" t="s">
        <v>572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 ca="1">IF($B35="","",COUNTIF($V$7:$V$156,"&gt;"&amp;$V35)+COUNTIF($V$7:$V35,$V35))</f>
        <v>30</v>
      </c>
      <c r="V35" s="1">
        <f ca="1">IF($B35="","",MAX(0,$J35+SUMIFS(UCRETLER!$I$7:$I$606,UCRETLER!$B$7:$B$606,$B35)+SUMIFS(GELIR_GIDER!$G$7:$G$3001,GELIR_GIDER!$T$7:$T$3001,$B35)-SUMIFS(TAHSILAT!$F$7:$F$2503,TAHSILAT!$C$7:$C$2503,$B35)))</f>
        <v>3000</v>
      </c>
    </row>
    <row r="36" spans="1:22" ht="18" customHeight="1" x14ac:dyDescent="0.3">
      <c r="A36" s="2"/>
      <c r="B36" s="60" t="s">
        <v>628</v>
      </c>
      <c r="C36" s="61" t="s">
        <v>629</v>
      </c>
      <c r="D36" s="60" t="s">
        <v>571</v>
      </c>
      <c r="E36" s="61"/>
      <c r="F36" s="61"/>
      <c r="G36" s="61"/>
      <c r="H36" s="60" t="s">
        <v>572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 ca="1">IF($B36="","",COUNTIF($V$7:$V$156,"&gt;"&amp;$V36)+COUNTIF($V$7:$V36,$V36))</f>
        <v>14</v>
      </c>
      <c r="V36" s="1">
        <f ca="1">IF($B36="","",MAX(0,$J36+SUMIFS(UCRETLER!$I$7:$I$606,UCRETLER!$B$7:$B$606,$B36)+SUMIFS(GELIR_GIDER!$G$7:$G$3001,GELIR_GIDER!$T$7:$T$3001,$B36)-SUMIFS(TAHSILAT!$F$7:$F$2503,TAHSILAT!$C$7:$C$2503,$B36)))</f>
        <v>21000</v>
      </c>
    </row>
    <row r="37" spans="1:22" ht="18" customHeight="1" x14ac:dyDescent="0.3">
      <c r="A37" s="2"/>
      <c r="B37" s="60" t="s">
        <v>630</v>
      </c>
      <c r="C37" s="61" t="s">
        <v>631</v>
      </c>
      <c r="D37" s="60" t="s">
        <v>571</v>
      </c>
      <c r="E37" s="61"/>
      <c r="F37" s="61"/>
      <c r="G37" s="61"/>
      <c r="H37" s="60" t="s">
        <v>572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 ca="1">IF($B37="","",COUNTIF($V$7:$V$156,"&gt;"&amp;$V37)+COUNTIF($V$7:$V37,$V37))</f>
        <v>45</v>
      </c>
      <c r="V37" s="1">
        <f ca="1">IF($B37="","",MAX(0,$J37+SUMIFS(UCRETLER!$I$7:$I$606,UCRETLER!$B$7:$B$606,$B37)+SUMIFS(GELIR_GIDER!$G$7:$G$3001,GELIR_GIDER!$T$7:$T$3001,$B37)-SUMIFS(TAHSILAT!$F$7:$F$2503,TAHSILAT!$C$7:$C$2503,$B37)))</f>
        <v>0</v>
      </c>
    </row>
    <row r="38" spans="1:22" ht="18" customHeight="1" x14ac:dyDescent="0.3">
      <c r="A38" s="2"/>
      <c r="B38" s="60" t="s">
        <v>632</v>
      </c>
      <c r="C38" s="61" t="s">
        <v>633</v>
      </c>
      <c r="D38" s="60" t="s">
        <v>571</v>
      </c>
      <c r="E38" s="61"/>
      <c r="F38" s="61"/>
      <c r="G38" s="61"/>
      <c r="H38" s="60" t="s">
        <v>572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 ca="1">IF($B38="","",COUNTIF($V$7:$V$156,"&gt;"&amp;$V38)+COUNTIF($V$7:$V38,$V38))</f>
        <v>46</v>
      </c>
      <c r="V38" s="1">
        <f ca="1">IF($B38="","",MAX(0,$J38+SUMIFS(UCRETLER!$I$7:$I$606,UCRETLER!$B$7:$B$606,$B38)+SUMIFS(GELIR_GIDER!$G$7:$G$3001,GELIR_GIDER!$T$7:$T$3001,$B38)-SUMIFS(TAHSILAT!$F$7:$F$2503,TAHSILAT!$C$7:$C$2503,$B38)))</f>
        <v>0</v>
      </c>
    </row>
    <row r="39" spans="1:22" ht="18" customHeight="1" x14ac:dyDescent="0.3">
      <c r="A39" s="2"/>
      <c r="B39" s="60" t="s">
        <v>634</v>
      </c>
      <c r="C39" s="61" t="s">
        <v>635</v>
      </c>
      <c r="D39" s="60" t="s">
        <v>571</v>
      </c>
      <c r="E39" s="61"/>
      <c r="F39" s="61"/>
      <c r="G39" s="61"/>
      <c r="H39" s="60" t="s">
        <v>572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 ca="1">IF($B39="","",COUNTIF($V$7:$V$156,"&gt;"&amp;$V39)+COUNTIF($V$7:$V39,$V39))</f>
        <v>12</v>
      </c>
      <c r="V39" s="1">
        <f ca="1">IF($B39="","",MAX(0,$J39+SUMIFS(UCRETLER!$I$7:$I$606,UCRETLER!$B$7:$B$606,$B39)+SUMIFS(GELIR_GIDER!$G$7:$G$3001,GELIR_GIDER!$T$7:$T$3001,$B39)-SUMIFS(TAHSILAT!$F$7:$F$2503,TAHSILAT!$C$7:$C$2503,$B39)))</f>
        <v>29500</v>
      </c>
    </row>
    <row r="40" spans="1:22" ht="18" customHeight="1" x14ac:dyDescent="0.3">
      <c r="A40" s="2"/>
      <c r="B40" s="60" t="s">
        <v>636</v>
      </c>
      <c r="C40" s="61" t="s">
        <v>637</v>
      </c>
      <c r="D40" s="60" t="s">
        <v>638</v>
      </c>
      <c r="E40" s="61"/>
      <c r="F40" s="61"/>
      <c r="G40" s="61"/>
      <c r="H40" s="60" t="s">
        <v>572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 ca="1">IF($B40="","",COUNTIF($V$7:$V$156,"&gt;"&amp;$V40)+COUNTIF($V$7:$V40,$V40))</f>
        <v>31</v>
      </c>
      <c r="V40" s="1">
        <f ca="1">IF($B40="","",MAX(0,$J40+SUMIFS(UCRETLER!$I$7:$I$606,UCRETLER!$B$7:$B$606,$B40)+SUMIFS(GELIR_GIDER!$G$7:$G$3001,GELIR_GIDER!$T$7:$T$3001,$B40)-SUMIFS(TAHSILAT!$F$7:$F$2503,TAHSILAT!$C$7:$C$2503,$B40)))</f>
        <v>7</v>
      </c>
    </row>
    <row r="41" spans="1:22" ht="18" customHeight="1" x14ac:dyDescent="0.3">
      <c r="A41" s="2"/>
      <c r="B41" s="60" t="s">
        <v>639</v>
      </c>
      <c r="C41" s="61" t="s">
        <v>640</v>
      </c>
      <c r="D41" s="60" t="s">
        <v>571</v>
      </c>
      <c r="E41" s="61"/>
      <c r="F41" s="61"/>
      <c r="G41" s="61"/>
      <c r="H41" s="60" t="s">
        <v>572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 ca="1">IF($B41="","",COUNTIF($V$7:$V$156,"&gt;"&amp;$V41)+COUNTIF($V$7:$V41,$V41))</f>
        <v>26</v>
      </c>
      <c r="V41" s="1">
        <f ca="1">IF($B41="","",MAX(0,$J41+SUMIFS(UCRETLER!$I$7:$I$606,UCRETLER!$B$7:$B$606,$B41)+SUMIFS(GELIR_GIDER!$G$7:$G$3001,GELIR_GIDER!$T$7:$T$3001,$B41)-SUMIFS(TAHSILAT!$F$7:$F$2503,TAHSILAT!$C$7:$C$2503,$B41)))</f>
        <v>6000</v>
      </c>
    </row>
    <row r="42" spans="1:22" ht="18" customHeight="1" x14ac:dyDescent="0.3">
      <c r="A42" s="2"/>
      <c r="B42" s="60" t="s">
        <v>641</v>
      </c>
      <c r="C42" s="61" t="s">
        <v>642</v>
      </c>
      <c r="D42" s="60" t="s">
        <v>571</v>
      </c>
      <c r="E42" s="61"/>
      <c r="F42" s="61"/>
      <c r="G42" s="61"/>
      <c r="H42" s="60" t="s">
        <v>572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 ca="1">IF($B42="","",COUNTIF($V$7:$V$156,"&gt;"&amp;$V42)+COUNTIF($V$7:$V42,$V42))</f>
        <v>23</v>
      </c>
      <c r="V42" s="1">
        <f ca="1">IF($B42="","",MAX(0,$J42+SUMIFS(UCRETLER!$I$7:$I$606,UCRETLER!$B$7:$B$606,$B42)+SUMIFS(GELIR_GIDER!$G$7:$G$3001,GELIR_GIDER!$T$7:$T$3001,$B42)-SUMIFS(TAHSILAT!$F$7:$F$2503,TAHSILAT!$C$7:$C$2503,$B42)))</f>
        <v>8000</v>
      </c>
    </row>
    <row r="43" spans="1:22" ht="18" customHeight="1" x14ac:dyDescent="0.3">
      <c r="A43" s="2"/>
      <c r="B43" s="60" t="s">
        <v>643</v>
      </c>
      <c r="C43" s="61" t="s">
        <v>644</v>
      </c>
      <c r="D43" s="60" t="s">
        <v>571</v>
      </c>
      <c r="E43" s="61"/>
      <c r="F43" s="61"/>
      <c r="G43" s="61"/>
      <c r="H43" s="60" t="s">
        <v>572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 ca="1">IF($B43="","",COUNTIF($V$7:$V$156,"&gt;"&amp;$V43)+COUNTIF($V$7:$V43,$V43))</f>
        <v>47</v>
      </c>
      <c r="V43" s="1">
        <f ca="1">IF($B43="","",MAX(0,$J43+SUMIFS(UCRETLER!$I$7:$I$606,UCRETLER!$B$7:$B$606,$B43)+SUMIFS(GELIR_GIDER!$G$7:$G$3001,GELIR_GIDER!$T$7:$T$3001,$B43)-SUMIFS(TAHSILAT!$F$7:$F$2503,TAHSILAT!$C$7:$C$2503,$B43)))</f>
        <v>0</v>
      </c>
    </row>
    <row r="44" spans="1:22" ht="18" customHeight="1" x14ac:dyDescent="0.3">
      <c r="A44" s="2"/>
      <c r="B44" s="60" t="s">
        <v>645</v>
      </c>
      <c r="C44" s="61" t="s">
        <v>646</v>
      </c>
      <c r="D44" s="60" t="s">
        <v>571</v>
      </c>
      <c r="E44" s="61"/>
      <c r="F44" s="61"/>
      <c r="G44" s="61"/>
      <c r="H44" s="60" t="s">
        <v>572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 ca="1">IF($B44="","",COUNTIF($V$7:$V$156,"&gt;"&amp;$V44)+COUNTIF($V$7:$V44,$V44))</f>
        <v>11</v>
      </c>
      <c r="V44" s="1">
        <f ca="1">IF($B44="","",MAX(0,$J44+SUMIFS(UCRETLER!$I$7:$I$606,UCRETLER!$B$7:$B$606,$B44)+SUMIFS(GELIR_GIDER!$G$7:$G$3001,GELIR_GIDER!$T$7:$T$3001,$B44)-SUMIFS(TAHSILAT!$F$7:$F$2503,TAHSILAT!$C$7:$C$2503,$B44)))</f>
        <v>45000</v>
      </c>
    </row>
    <row r="45" spans="1:22" ht="18" customHeight="1" x14ac:dyDescent="0.3">
      <c r="A45" s="2"/>
      <c r="B45" s="60" t="s">
        <v>647</v>
      </c>
      <c r="C45" s="61" t="s">
        <v>648</v>
      </c>
      <c r="D45" s="60" t="s">
        <v>571</v>
      </c>
      <c r="E45" s="61"/>
      <c r="F45" s="61"/>
      <c r="G45" s="61"/>
      <c r="H45" s="60" t="s">
        <v>572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 ca="1">IF($B45="","",COUNTIF($V$7:$V$156,"&gt;"&amp;$V45)+COUNTIF($V$7:$V45,$V45))</f>
        <v>28</v>
      </c>
      <c r="V45" s="1">
        <f ca="1">IF($B45="","",MAX(0,$J45+SUMIFS(UCRETLER!$I$7:$I$606,UCRETLER!$B$7:$B$606,$B45)+SUMIFS(GELIR_GIDER!$G$7:$G$3001,GELIR_GIDER!$T$7:$T$3001,$B45)-SUMIFS(TAHSILAT!$F$7:$F$2503,TAHSILAT!$C$7:$C$2503,$B45)))</f>
        <v>3500</v>
      </c>
    </row>
    <row r="46" spans="1:22" ht="18" customHeight="1" x14ac:dyDescent="0.3">
      <c r="A46" s="2"/>
      <c r="B46" s="60" t="s">
        <v>649</v>
      </c>
      <c r="C46" s="61" t="s">
        <v>650</v>
      </c>
      <c r="D46" s="60" t="s">
        <v>571</v>
      </c>
      <c r="E46" s="61"/>
      <c r="F46" s="61"/>
      <c r="G46" s="61"/>
      <c r="H46" s="60" t="s">
        <v>572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 ca="1">IF($B46="","",COUNTIF($V$7:$V$156,"&gt;"&amp;$V46)+COUNTIF($V$7:$V46,$V46))</f>
        <v>3</v>
      </c>
      <c r="V46" s="1">
        <f ca="1">IF($B46="","",MAX(0,$J46+SUMIFS(UCRETLER!$I$7:$I$606,UCRETLER!$B$7:$B$606,$B46)+SUMIFS(GELIR_GIDER!$G$7:$G$3001,GELIR_GIDER!$T$7:$T$3001,$B46)-SUMIFS(TAHSILAT!$F$7:$F$2503,TAHSILAT!$C$7:$C$2503,$B46)))</f>
        <v>108000</v>
      </c>
    </row>
    <row r="47" spans="1:22" ht="18" customHeight="1" x14ac:dyDescent="0.3">
      <c r="A47" s="2"/>
      <c r="B47" s="60" t="s">
        <v>651</v>
      </c>
      <c r="C47" s="61" t="s">
        <v>652</v>
      </c>
      <c r="D47" s="60" t="s">
        <v>571</v>
      </c>
      <c r="E47" s="61"/>
      <c r="F47" s="61"/>
      <c r="G47" s="61"/>
      <c r="H47" s="60" t="s">
        <v>572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 ca="1">IF($B47="","",COUNTIF($V$7:$V$156,"&gt;"&amp;$V47)+COUNTIF($V$7:$V47,$V47))</f>
        <v>48</v>
      </c>
      <c r="V47" s="1">
        <f ca="1">IF($B47="","",MAX(0,$J47+SUMIFS(UCRETLER!$I$7:$I$606,UCRETLER!$B$7:$B$606,$B47)+SUMIFS(GELIR_GIDER!$G$7:$G$3001,GELIR_GIDER!$T$7:$T$3001,$B47)-SUMIFS(TAHSILAT!$F$7:$F$2503,TAHSILAT!$C$7:$C$2503,$B47)))</f>
        <v>0</v>
      </c>
    </row>
    <row r="48" spans="1:22" ht="18" customHeight="1" x14ac:dyDescent="0.3">
      <c r="A48" s="2"/>
      <c r="B48" s="60" t="s">
        <v>653</v>
      </c>
      <c r="C48" s="61" t="s">
        <v>654</v>
      </c>
      <c r="D48" s="60" t="s">
        <v>571</v>
      </c>
      <c r="E48" s="61"/>
      <c r="F48" s="61"/>
      <c r="G48" s="61"/>
      <c r="H48" s="60" t="s">
        <v>572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 ca="1">IF($B48="","",COUNTIF($V$7:$V$156,"&gt;"&amp;$V48)+COUNTIF($V$7:$V48,$V48))</f>
        <v>49</v>
      </c>
      <c r="V48" s="1">
        <f ca="1">IF($B48="","",MAX(0,$J48+SUMIFS(UCRETLER!$I$7:$I$606,UCRETLER!$B$7:$B$606,$B48)+SUMIFS(GELIR_GIDER!$G$7:$G$3001,GELIR_GIDER!$T$7:$T$3001,$B48)-SUMIFS(TAHSILAT!$F$7:$F$2503,TAHSILAT!$C$7:$C$2503,$B48)))</f>
        <v>0</v>
      </c>
    </row>
    <row r="49" spans="1:22" ht="18" customHeight="1" x14ac:dyDescent="0.3">
      <c r="A49" s="2"/>
      <c r="B49" s="60" t="s">
        <v>655</v>
      </c>
      <c r="C49" s="61" t="s">
        <v>656</v>
      </c>
      <c r="D49" s="60" t="s">
        <v>571</v>
      </c>
      <c r="E49" s="61"/>
      <c r="F49" s="61"/>
      <c r="G49" s="61"/>
      <c r="H49" s="60" t="s">
        <v>572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 ca="1">IF($B49="","",COUNTIF($V$7:$V$156,"&gt;"&amp;$V49)+COUNTIF($V$7:$V49,$V49))</f>
        <v>27</v>
      </c>
      <c r="V49" s="1">
        <f ca="1">IF($B49="","",MAX(0,$J49+SUMIFS(UCRETLER!$I$7:$I$606,UCRETLER!$B$7:$B$606,$B49)+SUMIFS(GELIR_GIDER!$G$7:$G$3001,GELIR_GIDER!$T$7:$T$3001,$B49)-SUMIFS(TAHSILAT!$F$7:$F$2503,TAHSILAT!$C$7:$C$2503,$B49)))</f>
        <v>5000</v>
      </c>
    </row>
    <row r="50" spans="1:22" ht="18" customHeight="1" x14ac:dyDescent="0.3">
      <c r="A50" s="2"/>
      <c r="B50" s="60" t="s">
        <v>657</v>
      </c>
      <c r="C50" s="61" t="s">
        <v>658</v>
      </c>
      <c r="D50" s="60" t="s">
        <v>571</v>
      </c>
      <c r="E50" s="61"/>
      <c r="F50" s="61"/>
      <c r="G50" s="61"/>
      <c r="H50" s="60" t="s">
        <v>572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 ca="1">IF($B50="","",COUNTIF($V$7:$V$156,"&gt;"&amp;$V50)+COUNTIF($V$7:$V50,$V50))</f>
        <v>50</v>
      </c>
      <c r="V50" s="1">
        <f ca="1">IF($B50="","",MAX(0,$J50+SUMIFS(UCRETLER!$I$7:$I$606,UCRETLER!$B$7:$B$606,$B50)+SUMIFS(GELIR_GIDER!$G$7:$G$3001,GELIR_GIDER!$T$7:$T$3001,$B50)-SUMIFS(TAHSILAT!$F$7:$F$2503,TAHSILAT!$C$7:$C$2503,$B50)))</f>
        <v>0</v>
      </c>
    </row>
    <row r="51" spans="1:22" ht="18" customHeight="1" x14ac:dyDescent="0.3">
      <c r="A51" s="2"/>
      <c r="B51" s="60" t="s">
        <v>659</v>
      </c>
      <c r="C51" s="61" t="s">
        <v>660</v>
      </c>
      <c r="D51" s="60" t="s">
        <v>638</v>
      </c>
      <c r="E51" s="61"/>
      <c r="F51" s="61"/>
      <c r="G51" s="61"/>
      <c r="H51" s="60" t="s">
        <v>572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 ca="1">IF($B51="","",COUNTIF($V$7:$V$156,"&gt;"&amp;$V51)+COUNTIF($V$7:$V51,$V51))</f>
        <v>51</v>
      </c>
      <c r="V51" s="1">
        <f ca="1">IF($B51="","",MAX(0,$J51+SUMIFS(UCRETLER!$I$7:$I$606,UCRETLER!$B$7:$B$606,$B51)+SUMIFS(GELIR_GIDER!$G$7:$G$3001,GELIR_GIDER!$T$7:$T$3001,$B51)-SUMIFS(TAHSILAT!$F$7:$F$2503,TAHSILAT!$C$7:$C$2503,$B51)))</f>
        <v>0</v>
      </c>
    </row>
    <row r="52" spans="1:22" ht="18" customHeight="1" x14ac:dyDescent="0.3">
      <c r="A52" s="2"/>
      <c r="B52" s="60" t="s">
        <v>661</v>
      </c>
      <c r="C52" s="61" t="s">
        <v>662</v>
      </c>
      <c r="D52" s="60" t="s">
        <v>571</v>
      </c>
      <c r="E52" s="61"/>
      <c r="F52" s="61"/>
      <c r="G52" s="61"/>
      <c r="H52" s="60" t="s">
        <v>572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 ca="1">IF($B52="","",COUNTIF($V$7:$V$156,"&gt;"&amp;$V52)+COUNTIF($V$7:$V52,$V52))</f>
        <v>52</v>
      </c>
      <c r="V52" s="1">
        <f ca="1">IF($B52="","",MAX(0,$J52+SUMIFS(UCRETLER!$I$7:$I$606,UCRETLER!$B$7:$B$606,$B52)+SUMIFS(GELIR_GIDER!$G$7:$G$3001,GELIR_GIDER!$T$7:$T$3001,$B52)-SUMIFS(TAHSILAT!$F$7:$F$2503,TAHSILAT!$C$7:$C$2503,$B52)))</f>
        <v>0</v>
      </c>
    </row>
    <row r="53" spans="1:22" ht="18" customHeight="1" x14ac:dyDescent="0.3">
      <c r="A53" s="2"/>
      <c r="B53" s="60" t="s">
        <v>663</v>
      </c>
      <c r="C53" s="61" t="s">
        <v>664</v>
      </c>
      <c r="D53" s="60" t="s">
        <v>571</v>
      </c>
      <c r="E53" s="61"/>
      <c r="F53" s="61"/>
      <c r="G53" s="61"/>
      <c r="H53" s="60" t="s">
        <v>572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 ca="1">IF($B53="","",COUNTIF($V$7:$V$156,"&gt;"&amp;$V53)+COUNTIF($V$7:$V53,$V53))</f>
        <v>1</v>
      </c>
      <c r="V53" s="1">
        <f ca="1">IF($B53="","",MAX(0,$J53+SUMIFS(UCRETLER!$I$7:$I$606,UCRETLER!$B$7:$B$606,$B53)+SUMIFS(GELIR_GIDER!$G$7:$G$3001,GELIR_GIDER!$T$7:$T$3001,$B53)-SUMIFS(TAHSILAT!$F$7:$F$2503,TAHSILAT!$C$7:$C$2503,$B53)))</f>
        <v>136000</v>
      </c>
    </row>
    <row r="54" spans="1:22" ht="18" customHeight="1" x14ac:dyDescent="0.3">
      <c r="A54" s="2"/>
      <c r="B54" s="60" t="s">
        <v>665</v>
      </c>
      <c r="C54" s="61" t="s">
        <v>666</v>
      </c>
      <c r="D54" s="60" t="s">
        <v>571</v>
      </c>
      <c r="E54" s="61"/>
      <c r="F54" s="61"/>
      <c r="G54" s="61"/>
      <c r="H54" s="60" t="s">
        <v>572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 ca="1">IF($B54="","",COUNTIF($V$7:$V$156,"&gt;"&amp;$V54)+COUNTIF($V$7:$V54,$V54))</f>
        <v>4</v>
      </c>
      <c r="V54" s="1">
        <f ca="1">IF($B54="","",MAX(0,$J54+SUMIFS(UCRETLER!$I$7:$I$606,UCRETLER!$B$7:$B$606,$B54)+SUMIFS(GELIR_GIDER!$G$7:$G$3001,GELIR_GIDER!$T$7:$T$3001,$B54)-SUMIFS(TAHSILAT!$F$7:$F$2503,TAHSILAT!$C$7:$C$2503,$B54)))</f>
        <v>99000</v>
      </c>
    </row>
    <row r="55" spans="1:22" ht="18" customHeight="1" x14ac:dyDescent="0.3">
      <c r="A55" s="2"/>
      <c r="B55" s="60" t="s">
        <v>667</v>
      </c>
      <c r="C55" s="61" t="s">
        <v>668</v>
      </c>
      <c r="D55" s="60" t="s">
        <v>571</v>
      </c>
      <c r="E55" s="61"/>
      <c r="F55" s="61"/>
      <c r="G55" s="61"/>
      <c r="H55" s="60" t="s">
        <v>572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 ca="1">IF($B55="","",COUNTIF($V$7:$V$156,"&gt;"&amp;$V55)+COUNTIF($V$7:$V55,$V55))</f>
        <v>53</v>
      </c>
      <c r="V55" s="1">
        <f ca="1">IF($B55="","",MAX(0,$J55+SUMIFS(UCRETLER!$I$7:$I$606,UCRETLER!$B$7:$B$606,$B55)+SUMIFS(GELIR_GIDER!$G$7:$G$3001,GELIR_GIDER!$T$7:$T$3001,$B55)-SUMIFS(TAHSILAT!$F$7:$F$2503,TAHSILAT!$C$7:$C$2503,$B55)))</f>
        <v>0</v>
      </c>
    </row>
    <row r="56" spans="1:22" ht="18" customHeight="1" x14ac:dyDescent="0.3">
      <c r="A56" s="2"/>
      <c r="B56" s="60" t="s">
        <v>669</v>
      </c>
      <c r="C56" s="61" t="s">
        <v>670</v>
      </c>
      <c r="D56" s="60" t="s">
        <v>571</v>
      </c>
      <c r="E56" s="61"/>
      <c r="F56" s="61"/>
      <c r="G56" s="61"/>
      <c r="H56" s="60" t="s">
        <v>572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 ca="1">IF($B56="","",COUNTIF($V$7:$V$156,"&gt;"&amp;$V56)+COUNTIF($V$7:$V56,$V56))</f>
        <v>20</v>
      </c>
      <c r="V56" s="1">
        <f ca="1">IF($B56="","",MAX(0,$J56+SUMIFS(UCRETLER!$I$7:$I$606,UCRETLER!$B$7:$B$606,$B56)+SUMIFS(GELIR_GIDER!$G$7:$G$3001,GELIR_GIDER!$T$7:$T$3001,$B56)-SUMIFS(TAHSILAT!$F$7:$F$2503,TAHSILAT!$C$7:$C$2503,$B56)))</f>
        <v>10000</v>
      </c>
    </row>
    <row r="57" spans="1:22" ht="18" customHeight="1" x14ac:dyDescent="0.3">
      <c r="A57" s="2"/>
      <c r="B57" s="60" t="s">
        <v>671</v>
      </c>
      <c r="C57" s="61" t="s">
        <v>672</v>
      </c>
      <c r="D57" s="60" t="s">
        <v>571</v>
      </c>
      <c r="E57" s="61"/>
      <c r="F57" s="61"/>
      <c r="G57" s="61"/>
      <c r="H57" s="60" t="s">
        <v>572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 ca="1">IF($B57="","",COUNTIF($V$7:$V$156,"&gt;"&amp;$V57)+COUNTIF($V$7:$V57,$V57))</f>
        <v>16</v>
      </c>
      <c r="V57" s="1">
        <f ca="1">IF($B57="","",MAX(0,$J57+SUMIFS(UCRETLER!$I$7:$I$606,UCRETLER!$B$7:$B$606,$B57)+SUMIFS(GELIR_GIDER!$G$7:$G$3001,GELIR_GIDER!$T$7:$T$3001,$B57)-SUMIFS(TAHSILAT!$F$7:$F$2503,TAHSILAT!$C$7:$C$2503,$B57)))</f>
        <v>19000</v>
      </c>
    </row>
    <row r="58" spans="1:22" ht="18" customHeight="1" x14ac:dyDescent="0.3">
      <c r="A58" s="2"/>
      <c r="B58" s="60" t="s">
        <v>673</v>
      </c>
      <c r="C58" s="61" t="s">
        <v>674</v>
      </c>
      <c r="D58" s="60" t="s">
        <v>638</v>
      </c>
      <c r="E58" s="61"/>
      <c r="F58" s="61"/>
      <c r="G58" s="61"/>
      <c r="H58" s="60" t="s">
        <v>572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 ca="1">IF($B58="","",COUNTIF($V$7:$V$156,"&gt;"&amp;$V58)+COUNTIF($V$7:$V58,$V58))</f>
        <v>54</v>
      </c>
      <c r="V58" s="1">
        <f ca="1">IF($B58="","",MAX(0,$J58+SUMIFS(UCRETLER!$I$7:$I$606,UCRETLER!$B$7:$B$606,$B58)+SUMIFS(GELIR_GIDER!$G$7:$G$3001,GELIR_GIDER!$T$7:$T$3001,$B58)-SUMIFS(TAHSILAT!$F$7:$F$2503,TAHSILAT!$C$7:$C$2503,$B58)))</f>
        <v>0</v>
      </c>
    </row>
    <row r="59" spans="1:22" ht="18" customHeight="1" x14ac:dyDescent="0.3">
      <c r="A59" s="2"/>
      <c r="B59" s="60" t="s">
        <v>675</v>
      </c>
      <c r="C59" s="61" t="s">
        <v>676</v>
      </c>
      <c r="D59" s="60" t="s">
        <v>571</v>
      </c>
      <c r="E59" s="61"/>
      <c r="F59" s="61"/>
      <c r="G59" s="61"/>
      <c r="H59" s="60" t="s">
        <v>572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 ca="1">IF($B59="","",COUNTIF($V$7:$V$156,"&gt;"&amp;$V59)+COUNTIF($V$7:$V59,$V59))</f>
        <v>13</v>
      </c>
      <c r="V59" s="1">
        <f ca="1">IF($B59="","",MAX(0,$J59+SUMIFS(UCRETLER!$I$7:$I$606,UCRETLER!$B$7:$B$606,$B59)+SUMIFS(GELIR_GIDER!$G$7:$G$3001,GELIR_GIDER!$T$7:$T$3001,$B59)-SUMIFS(TAHSILAT!$F$7:$F$2503,TAHSILAT!$C$7:$C$2503,$B59)))</f>
        <v>24000</v>
      </c>
    </row>
    <row r="60" spans="1:22" ht="18" customHeight="1" x14ac:dyDescent="0.3">
      <c r="A60" s="2"/>
      <c r="B60" s="60" t="s">
        <v>677</v>
      </c>
      <c r="C60" s="61" t="s">
        <v>678</v>
      </c>
      <c r="D60" s="60" t="s">
        <v>571</v>
      </c>
      <c r="E60" s="61"/>
      <c r="F60" s="61"/>
      <c r="G60" s="61"/>
      <c r="H60" s="60" t="s">
        <v>572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 ca="1">IF($B60="","",COUNTIF($V$7:$V$156,"&gt;"&amp;$V60)+COUNTIF($V$7:$V60,$V60))</f>
        <v>8</v>
      </c>
      <c r="V60" s="1">
        <f ca="1">IF($B60="","",MAX(0,$J60+SUMIFS(UCRETLER!$I$7:$I$606,UCRETLER!$B$7:$B$606,$B60)+SUMIFS(GELIR_GIDER!$G$7:$G$3001,GELIR_GIDER!$T$7:$T$3001,$B60)-SUMIFS(TAHSILAT!$F$7:$F$2503,TAHSILAT!$C$7:$C$2503,$B60)))</f>
        <v>66000</v>
      </c>
    </row>
    <row r="61" spans="1:22" ht="18" customHeight="1" x14ac:dyDescent="0.3">
      <c r="A61" s="2"/>
      <c r="B61" s="60" t="s">
        <v>679</v>
      </c>
      <c r="C61" s="61" t="s">
        <v>680</v>
      </c>
      <c r="D61" s="60" t="s">
        <v>571</v>
      </c>
      <c r="E61" s="61"/>
      <c r="F61" s="61"/>
      <c r="G61" s="61"/>
      <c r="H61" s="60" t="s">
        <v>572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 ca="1">IF($B61="","",COUNTIF($V$7:$V$156,"&gt;"&amp;$V61)+COUNTIF($V$7:$V61,$V61))</f>
        <v>55</v>
      </c>
      <c r="V61" s="1">
        <f ca="1">IF($B61="","",MAX(0,$J61+SUMIFS(UCRETLER!$I$7:$I$606,UCRETLER!$B$7:$B$606,$B61)+SUMIFS(GELIR_GIDER!$G$7:$G$3001,GELIR_GIDER!$T$7:$T$3001,$B61)-SUMIFS(TAHSILAT!$F$7:$F$2503,TAHSILAT!$C$7:$C$2503,$B61)))</f>
        <v>0</v>
      </c>
    </row>
    <row r="62" spans="1:22" ht="18" customHeight="1" x14ac:dyDescent="0.3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IF($B62="","",COUNTIF($V$7:$V$156,"&gt;"&amp;$V62)+COUNTIF($V$7:$V62,$V62))</f>
        <v/>
      </c>
      <c r="V62" s="1" t="str">
        <f>IF($B62="","",MAX(0,$J62+SUMIFS(UCRETLER!$I$7:$I$606,UCRETLER!$B$7:$B$606,$B62)+SUMIFS(GELIR_GIDER!$G$7:$G$3001,GELIR_GIDER!$T$7:$T$3001,$B62)-SUMIFS(TAHSILAT!$F$7:$F$2503,TAHSILAT!$C$7:$C$2503,$B62)))</f>
        <v/>
      </c>
    </row>
    <row r="63" spans="1:22" ht="18" customHeight="1" x14ac:dyDescent="0.3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IF($B63="","",COUNTIF($V$7:$V$156,"&gt;"&amp;$V63)+COUNTIF($V$7:$V63,$V63))</f>
        <v/>
      </c>
      <c r="V63" s="1" t="str">
        <f>IF($B63="","",MAX(0,$J63+SUMIFS(UCRETLER!$I$7:$I$606,UCRETLER!$B$7:$B$606,$B63)+SUMIFS(GELIR_GIDER!$G$7:$G$3001,GELIR_GIDER!$T$7:$T$3001,$B63)-SUMIFS(TAHSILAT!$F$7:$F$2503,TAHSILAT!$C$7:$C$2503,$B63)))</f>
        <v/>
      </c>
    </row>
    <row r="64" spans="1:22" ht="18" customHeight="1" x14ac:dyDescent="0.3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IF($B64="","",COUNTIF($V$7:$V$156,"&gt;"&amp;$V64)+COUNTIF($V$7:$V64,$V64))</f>
        <v/>
      </c>
      <c r="V64" s="1" t="str">
        <f>IF($B64="","",MAX(0,$J64+SUMIFS(UCRETLER!$I$7:$I$606,UCRETLER!$B$7:$B$606,$B64)+SUMIFS(GELIR_GIDER!$G$7:$G$3001,GELIR_GIDER!$T$7:$T$3001,$B64)-SUMIFS(TAHSILAT!$F$7:$F$2503,TAHSILAT!$C$7:$C$2503,$B64)))</f>
        <v/>
      </c>
    </row>
    <row r="65" spans="1:22" ht="18" customHeight="1" x14ac:dyDescent="0.3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IF($B65="","",COUNTIF($V$7:$V$156,"&gt;"&amp;$V65)+COUNTIF($V$7:$V65,$V65))</f>
        <v/>
      </c>
      <c r="V65" s="1" t="str">
        <f>IF($B65="","",MAX(0,$J65+SUMIFS(UCRETLER!$I$7:$I$606,UCRETLER!$B$7:$B$606,$B65)+SUMIFS(GELIR_GIDER!$G$7:$G$3001,GELIR_GIDER!$T$7:$T$3001,$B65)-SUMIFS(TAHSILAT!$F$7:$F$2503,TAHSILAT!$C$7:$C$2503,$B65)))</f>
        <v/>
      </c>
    </row>
    <row r="66" spans="1:22" ht="18" customHeight="1" x14ac:dyDescent="0.3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IF($B66="","",COUNTIF($V$7:$V$156,"&gt;"&amp;$V66)+COUNTIF($V$7:$V66,$V66))</f>
        <v/>
      </c>
      <c r="V66" s="1" t="str">
        <f>IF($B66="","",MAX(0,$J66+SUMIFS(UCRETLER!$I$7:$I$606,UCRETLER!$B$7:$B$606,$B66)+SUMIFS(GELIR_GIDER!$G$7:$G$3001,GELIR_GIDER!$T$7:$T$3001,$B66)-SUMIFS(TAHSILAT!$F$7:$F$2503,TAHSILAT!$C$7:$C$2503,$B66)))</f>
        <v/>
      </c>
    </row>
    <row r="67" spans="1:22" ht="18" customHeight="1" x14ac:dyDescent="0.3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IF($B67="","",COUNTIF($V$7:$V$156,"&gt;"&amp;$V67)+COUNTIF($V$7:$V67,$V67))</f>
        <v/>
      </c>
      <c r="V67" s="1" t="str">
        <f>IF($B67="","",MAX(0,$J67+SUMIFS(UCRETLER!$I$7:$I$606,UCRETLER!$B$7:$B$606,$B67)+SUMIFS(GELIR_GIDER!$G$7:$G$3001,GELIR_GIDER!$T$7:$T$3001,$B67)-SUMIFS(TAHSILAT!$F$7:$F$2503,TAHSILAT!$C$7:$C$2503,$B67)))</f>
        <v/>
      </c>
    </row>
    <row r="68" spans="1:22" ht="18" customHeight="1" x14ac:dyDescent="0.3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IF($B68="","",COUNTIF($V$7:$V$156,"&gt;"&amp;$V68)+COUNTIF($V$7:$V68,$V68))</f>
        <v/>
      </c>
      <c r="V68" s="1" t="str">
        <f>IF($B68="","",MAX(0,$J68+SUMIFS(UCRETLER!$I$7:$I$606,UCRETLER!$B$7:$B$606,$B68)+SUMIFS(GELIR_GIDER!$G$7:$G$3001,GELIR_GIDER!$T$7:$T$3001,$B68)-SUMIFS(TAHSILAT!$F$7:$F$2503,TAHSILAT!$C$7:$C$2503,$B68)))</f>
        <v/>
      </c>
    </row>
    <row r="69" spans="1:22" ht="18" customHeight="1" x14ac:dyDescent="0.3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IF($B69="","",COUNTIF($V$7:$V$156,"&gt;"&amp;$V69)+COUNTIF($V$7:$V69,$V69))</f>
        <v/>
      </c>
      <c r="V69" s="1" t="str">
        <f>IF($B69="","",MAX(0,$J69+SUMIFS(UCRETLER!$I$7:$I$606,UCRETLER!$B$7:$B$606,$B69)+SUMIFS(GELIR_GIDER!$G$7:$G$3001,GELIR_GIDER!$T$7:$T$3001,$B69)-SUMIFS(TAHSILAT!$F$7:$F$2503,TAHSILAT!$C$7:$C$2503,$B69)))</f>
        <v/>
      </c>
    </row>
    <row r="70" spans="1:22" ht="18" customHeight="1" x14ac:dyDescent="0.3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IF($B70="","",COUNTIF($V$7:$V$156,"&gt;"&amp;$V70)+COUNTIF($V$7:$V70,$V70))</f>
        <v/>
      </c>
      <c r="V70" s="1" t="str">
        <f>IF($B70="","",MAX(0,$J70+SUMIFS(UCRETLER!$I$7:$I$606,UCRETLER!$B$7:$B$606,$B70)+SUMIFS(GELIR_GIDER!$G$7:$G$3001,GELIR_GIDER!$T$7:$T$3001,$B70)-SUMIFS(TAHSILAT!$F$7:$F$2503,TAHSILAT!$C$7:$C$2503,$B70)))</f>
        <v/>
      </c>
    </row>
    <row r="71" spans="1:22" ht="18" customHeight="1" x14ac:dyDescent="0.3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IF($B71="","",COUNTIF($V$7:$V$156,"&gt;"&amp;$V71)+COUNTIF($V$7:$V71,$V71))</f>
        <v/>
      </c>
      <c r="V71" s="1" t="str">
        <f>IF($B71="","",MAX(0,$J71+SUMIFS(UCRETLER!$I$7:$I$606,UCRETLER!$B$7:$B$606,$B71)+SUMIFS(GELIR_GIDER!$G$7:$G$3001,GELIR_GIDER!$T$7:$T$3001,$B71)-SUMIFS(TAHSILAT!$F$7:$F$2503,TAHSILAT!$C$7:$C$2503,$B71)))</f>
        <v/>
      </c>
    </row>
    <row r="72" spans="1:22" ht="18" customHeight="1" x14ac:dyDescent="0.3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IF($B72="","",COUNTIF($V$7:$V$156,"&gt;"&amp;$V72)+COUNTIF($V$7:$V72,$V72))</f>
        <v/>
      </c>
      <c r="V72" s="1" t="str">
        <f>IF($B72="","",MAX(0,$J72+SUMIFS(UCRETLER!$I$7:$I$606,UCRETLER!$B$7:$B$606,$B72)+SUMIFS(GELIR_GIDER!$G$7:$G$3001,GELIR_GIDER!$T$7:$T$3001,$B72)-SUMIFS(TAHSILAT!$F$7:$F$2503,TAHSILAT!$C$7:$C$2503,$B72)))</f>
        <v/>
      </c>
    </row>
    <row r="73" spans="1:22" ht="18" customHeight="1" x14ac:dyDescent="0.3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IF($B73="","",COUNTIF($V$7:$V$156,"&gt;"&amp;$V73)+COUNTIF($V$7:$V73,$V73))</f>
        <v/>
      </c>
      <c r="V73" s="1" t="str">
        <f>IF($B73="","",MAX(0,$J73+SUMIFS(UCRETLER!$I$7:$I$606,UCRETLER!$B$7:$B$606,$B73)+SUMIFS(GELIR_GIDER!$G$7:$G$3001,GELIR_GIDER!$T$7:$T$3001,$B73)-SUMIFS(TAHSILAT!$F$7:$F$2503,TAHSILAT!$C$7:$C$2503,$B73)))</f>
        <v/>
      </c>
    </row>
    <row r="74" spans="1:22" ht="18" customHeight="1" x14ac:dyDescent="0.3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IF($B74="","",COUNTIF($V$7:$V$156,"&gt;"&amp;$V74)+COUNTIF($V$7:$V74,$V74))</f>
        <v/>
      </c>
      <c r="V74" s="1" t="str">
        <f>IF($B74="","",MAX(0,$J74+SUMIFS(UCRETLER!$I$7:$I$606,UCRETLER!$B$7:$B$606,$B74)+SUMIFS(GELIR_GIDER!$G$7:$G$3001,GELIR_GIDER!$T$7:$T$3001,$B74)-SUMIFS(TAHSILAT!$F$7:$F$2503,TAHSILAT!$C$7:$C$2503,$B74)))</f>
        <v/>
      </c>
    </row>
    <row r="75" spans="1:22" ht="18" customHeight="1" x14ac:dyDescent="0.3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IF($B75="","",COUNTIF($V$7:$V$156,"&gt;"&amp;$V75)+COUNTIF($V$7:$V75,$V75))</f>
        <v/>
      </c>
      <c r="V75" s="1" t="str">
        <f>IF($B75="","",MAX(0,$J75+SUMIFS(UCRETLER!$I$7:$I$606,UCRETLER!$B$7:$B$606,$B75)+SUMIFS(GELIR_GIDER!$G$7:$G$3001,GELIR_GIDER!$T$7:$T$3001,$B75)-SUMIFS(TAHSILAT!$F$7:$F$2503,TAHSILAT!$C$7:$C$2503,$B75)))</f>
        <v/>
      </c>
    </row>
    <row r="76" spans="1:22" ht="18" customHeight="1" x14ac:dyDescent="0.3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IF($B76="","",COUNTIF($V$7:$V$156,"&gt;"&amp;$V76)+COUNTIF($V$7:$V76,$V76))</f>
        <v/>
      </c>
      <c r="V76" s="1" t="str">
        <f>IF($B76="","",MAX(0,$J76+SUMIFS(UCRETLER!$I$7:$I$606,UCRETLER!$B$7:$B$606,$B76)+SUMIFS(GELIR_GIDER!$G$7:$G$3001,GELIR_GIDER!$T$7:$T$3001,$B76)-SUMIFS(TAHSILAT!$F$7:$F$2503,TAHSILAT!$C$7:$C$2503,$B76)))</f>
        <v/>
      </c>
    </row>
    <row r="77" spans="1:22" ht="18" customHeight="1" x14ac:dyDescent="0.3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IF($B77="","",COUNTIF($V$7:$V$156,"&gt;"&amp;$V77)+COUNTIF($V$7:$V77,$V77))</f>
        <v/>
      </c>
      <c r="V77" s="1" t="str">
        <f>IF($B77="","",MAX(0,$J77+SUMIFS(UCRETLER!$I$7:$I$606,UCRETLER!$B$7:$B$606,$B77)+SUMIFS(GELIR_GIDER!$G$7:$G$3001,GELIR_GIDER!$T$7:$T$3001,$B77)-SUMIFS(TAHSILAT!$F$7:$F$2503,TAHSILAT!$C$7:$C$2503,$B77)))</f>
        <v/>
      </c>
    </row>
    <row r="78" spans="1:22" ht="18" customHeight="1" x14ac:dyDescent="0.3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IF($B78="","",COUNTIF($V$7:$V$156,"&gt;"&amp;$V78)+COUNTIF($V$7:$V78,$V78))</f>
        <v/>
      </c>
      <c r="V78" s="1" t="str">
        <f>IF($B78="","",MAX(0,$J78+SUMIFS(UCRETLER!$I$7:$I$606,UCRETLER!$B$7:$B$606,$B78)+SUMIFS(GELIR_GIDER!$G$7:$G$3001,GELIR_GIDER!$T$7:$T$3001,$B78)-SUMIFS(TAHSILAT!$F$7:$F$2503,TAHSILAT!$C$7:$C$2503,$B78)))</f>
        <v/>
      </c>
    </row>
    <row r="79" spans="1:22" ht="18" customHeight="1" x14ac:dyDescent="0.3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IF($B79="","",COUNTIF($V$7:$V$156,"&gt;"&amp;$V79)+COUNTIF($V$7:$V79,$V79))</f>
        <v/>
      </c>
      <c r="V79" s="1" t="str">
        <f>IF($B79="","",MAX(0,$J79+SUMIFS(UCRETLER!$I$7:$I$606,UCRETLER!$B$7:$B$606,$B79)+SUMIFS(GELIR_GIDER!$G$7:$G$3001,GELIR_GIDER!$T$7:$T$3001,$B79)-SUMIFS(TAHSILAT!$F$7:$F$2503,TAHSILAT!$C$7:$C$2503,$B79)))</f>
        <v/>
      </c>
    </row>
    <row r="80" spans="1:22" ht="18" customHeight="1" x14ac:dyDescent="0.3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IF($B80="","",COUNTIF($V$7:$V$156,"&gt;"&amp;$V80)+COUNTIF($V$7:$V80,$V80))</f>
        <v/>
      </c>
      <c r="V80" s="1" t="str">
        <f>IF($B80="","",MAX(0,$J80+SUMIFS(UCRETLER!$I$7:$I$606,UCRETLER!$B$7:$B$606,$B80)+SUMIFS(GELIR_GIDER!$G$7:$G$3001,GELIR_GIDER!$T$7:$T$3001,$B80)-SUMIFS(TAHSILAT!$F$7:$F$2503,TAHSILAT!$C$7:$C$2503,$B80)))</f>
        <v/>
      </c>
    </row>
    <row r="81" spans="1:22" ht="18" customHeight="1" x14ac:dyDescent="0.3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IF($B81="","",COUNTIF($V$7:$V$156,"&gt;"&amp;$V81)+COUNTIF($V$7:$V81,$V81))</f>
        <v/>
      </c>
      <c r="V81" s="1" t="str">
        <f>IF($B81="","",MAX(0,$J81+SUMIFS(UCRETLER!$I$7:$I$606,UCRETLER!$B$7:$B$606,$B81)+SUMIFS(GELIR_GIDER!$G$7:$G$3001,GELIR_GIDER!$T$7:$T$3001,$B81)-SUMIFS(TAHSILAT!$F$7:$F$2503,TAHSILAT!$C$7:$C$2503,$B81)))</f>
        <v/>
      </c>
    </row>
    <row r="82" spans="1:22" ht="18" customHeight="1" x14ac:dyDescent="0.3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IF($B82="","",COUNTIF($V$7:$V$156,"&gt;"&amp;$V82)+COUNTIF($V$7:$V82,$V82))</f>
        <v/>
      </c>
      <c r="V82" s="1" t="str">
        <f>IF($B82="","",MAX(0,$J82+SUMIFS(UCRETLER!$I$7:$I$606,UCRETLER!$B$7:$B$606,$B82)+SUMIFS(GELIR_GIDER!$G$7:$G$3001,GELIR_GIDER!$T$7:$T$3001,$B82)-SUMIFS(TAHSILAT!$F$7:$F$2503,TAHSILAT!$C$7:$C$2503,$B82)))</f>
        <v/>
      </c>
    </row>
    <row r="83" spans="1:22" ht="18" customHeight="1" x14ac:dyDescent="0.3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IF($B83="","",COUNTIF($V$7:$V$156,"&gt;"&amp;$V83)+COUNTIF($V$7:$V83,$V83))</f>
        <v/>
      </c>
      <c r="V83" s="1" t="str">
        <f>IF($B83="","",MAX(0,$J83+SUMIFS(UCRETLER!$I$7:$I$606,UCRETLER!$B$7:$B$606,$B83)+SUMIFS(GELIR_GIDER!$G$7:$G$3001,GELIR_GIDER!$T$7:$T$3001,$B83)-SUMIFS(TAHSILAT!$F$7:$F$2503,TAHSILAT!$C$7:$C$2503,$B83)))</f>
        <v/>
      </c>
    </row>
    <row r="84" spans="1:22" ht="18" customHeight="1" x14ac:dyDescent="0.3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IF($B84="","",COUNTIF($V$7:$V$156,"&gt;"&amp;$V84)+COUNTIF($V$7:$V84,$V84))</f>
        <v/>
      </c>
      <c r="V84" s="1" t="str">
        <f>IF($B84="","",MAX(0,$J84+SUMIFS(UCRETLER!$I$7:$I$606,UCRETLER!$B$7:$B$606,$B84)+SUMIFS(GELIR_GIDER!$G$7:$G$3001,GELIR_GIDER!$T$7:$T$3001,$B84)-SUMIFS(TAHSILAT!$F$7:$F$2503,TAHSILAT!$C$7:$C$2503,$B84)))</f>
        <v/>
      </c>
    </row>
    <row r="85" spans="1:22" ht="18" customHeight="1" x14ac:dyDescent="0.3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IF($B85="","",COUNTIF($V$7:$V$156,"&gt;"&amp;$V85)+COUNTIF($V$7:$V85,$V85))</f>
        <v/>
      </c>
      <c r="V85" s="1" t="str">
        <f>IF($B85="","",MAX(0,$J85+SUMIFS(UCRETLER!$I$7:$I$606,UCRETLER!$B$7:$B$606,$B85)+SUMIFS(GELIR_GIDER!$G$7:$G$3001,GELIR_GIDER!$T$7:$T$3001,$B85)-SUMIFS(TAHSILAT!$F$7:$F$2503,TAHSILAT!$C$7:$C$2503,$B85)))</f>
        <v/>
      </c>
    </row>
    <row r="86" spans="1:22" ht="18" customHeight="1" x14ac:dyDescent="0.3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IF($B86="","",COUNTIF($V$7:$V$156,"&gt;"&amp;$V86)+COUNTIF($V$7:$V86,$V86))</f>
        <v/>
      </c>
      <c r="V86" s="1" t="str">
        <f>IF($B86="","",MAX(0,$J86+SUMIFS(UCRETLER!$I$7:$I$606,UCRETLER!$B$7:$B$606,$B86)+SUMIFS(GELIR_GIDER!$G$7:$G$3001,GELIR_GIDER!$T$7:$T$3001,$B86)-SUMIFS(TAHSILAT!$F$7:$F$2503,TAHSILAT!$C$7:$C$2503,$B86)))</f>
        <v/>
      </c>
    </row>
    <row r="87" spans="1:22" ht="18" customHeight="1" x14ac:dyDescent="0.3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IF($B87="","",COUNTIF($V$7:$V$156,"&gt;"&amp;$V87)+COUNTIF($V$7:$V87,$V87))</f>
        <v/>
      </c>
      <c r="V87" s="1" t="str">
        <f>IF($B87="","",MAX(0,$J87+SUMIFS(UCRETLER!$I$7:$I$606,UCRETLER!$B$7:$B$606,$B87)+SUMIFS(GELIR_GIDER!$G$7:$G$3001,GELIR_GIDER!$T$7:$T$3001,$B87)-SUMIFS(TAHSILAT!$F$7:$F$2503,TAHSILAT!$C$7:$C$2503,$B87)))</f>
        <v/>
      </c>
    </row>
    <row r="88" spans="1:22" ht="18" customHeight="1" x14ac:dyDescent="0.3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IF($B88="","",COUNTIF($V$7:$V$156,"&gt;"&amp;$V88)+COUNTIF($V$7:$V88,$V88))</f>
        <v/>
      </c>
      <c r="V88" s="1" t="str">
        <f>IF($B88="","",MAX(0,$J88+SUMIFS(UCRETLER!$I$7:$I$606,UCRETLER!$B$7:$B$606,$B88)+SUMIFS(GELIR_GIDER!$G$7:$G$3001,GELIR_GIDER!$T$7:$T$3001,$B88)-SUMIFS(TAHSILAT!$F$7:$F$2503,TAHSILAT!$C$7:$C$2503,$B88)))</f>
        <v/>
      </c>
    </row>
    <row r="89" spans="1:22" ht="18" customHeight="1" x14ac:dyDescent="0.3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IF($B89="","",COUNTIF($V$7:$V$156,"&gt;"&amp;$V89)+COUNTIF($V$7:$V89,$V89))</f>
        <v/>
      </c>
      <c r="V89" s="1" t="str">
        <f>IF($B89="","",MAX(0,$J89+SUMIFS(UCRETLER!$I$7:$I$606,UCRETLER!$B$7:$B$606,$B89)+SUMIFS(GELIR_GIDER!$G$7:$G$3001,GELIR_GIDER!$T$7:$T$3001,$B89)-SUMIFS(TAHSILAT!$F$7:$F$2503,TAHSILAT!$C$7:$C$2503,$B89)))</f>
        <v/>
      </c>
    </row>
    <row r="90" spans="1:22" ht="18" customHeight="1" x14ac:dyDescent="0.3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IF($B90="","",COUNTIF($V$7:$V$156,"&gt;"&amp;$V90)+COUNTIF($V$7:$V90,$V90))</f>
        <v/>
      </c>
      <c r="V90" s="1" t="str">
        <f>IF($B90="","",MAX(0,$J90+SUMIFS(UCRETLER!$I$7:$I$606,UCRETLER!$B$7:$B$606,$B90)+SUMIFS(GELIR_GIDER!$G$7:$G$3001,GELIR_GIDER!$T$7:$T$3001,$B90)-SUMIFS(TAHSILAT!$F$7:$F$2503,TAHSILAT!$C$7:$C$2503,$B90)))</f>
        <v/>
      </c>
    </row>
    <row r="91" spans="1:22" ht="18" customHeight="1" x14ac:dyDescent="0.3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IF($B91="","",COUNTIF($V$7:$V$156,"&gt;"&amp;$V91)+COUNTIF($V$7:$V91,$V91))</f>
        <v/>
      </c>
      <c r="V91" s="1" t="str">
        <f>IF($B91="","",MAX(0,$J91+SUMIFS(UCRETLER!$I$7:$I$606,UCRETLER!$B$7:$B$606,$B91)+SUMIFS(GELIR_GIDER!$G$7:$G$3001,GELIR_GIDER!$T$7:$T$3001,$B91)-SUMIFS(TAHSILAT!$F$7:$F$2503,TAHSILAT!$C$7:$C$2503,$B91)))</f>
        <v/>
      </c>
    </row>
    <row r="92" spans="1:22" ht="18" customHeight="1" x14ac:dyDescent="0.3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IF($B92="","",COUNTIF($V$7:$V$156,"&gt;"&amp;$V92)+COUNTIF($V$7:$V92,$V92))</f>
        <v/>
      </c>
      <c r="V92" s="1" t="str">
        <f>IF($B92="","",MAX(0,$J92+SUMIFS(UCRETLER!$I$7:$I$606,UCRETLER!$B$7:$B$606,$B92)+SUMIFS(GELIR_GIDER!$G$7:$G$3001,GELIR_GIDER!$T$7:$T$3001,$B92)-SUMIFS(TAHSILAT!$F$7:$F$2503,TAHSILAT!$C$7:$C$2503,$B92)))</f>
        <v/>
      </c>
    </row>
    <row r="93" spans="1:22" ht="18" customHeight="1" x14ac:dyDescent="0.3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IF($B93="","",COUNTIF($V$7:$V$156,"&gt;"&amp;$V93)+COUNTIF($V$7:$V93,$V93))</f>
        <v/>
      </c>
      <c r="V93" s="1" t="str">
        <f>IF($B93="","",MAX(0,$J93+SUMIFS(UCRETLER!$I$7:$I$606,UCRETLER!$B$7:$B$606,$B93)+SUMIFS(GELIR_GIDER!$G$7:$G$3001,GELIR_GIDER!$T$7:$T$3001,$B93)-SUMIFS(TAHSILAT!$F$7:$F$2503,TAHSILAT!$C$7:$C$2503,$B93)))</f>
        <v/>
      </c>
    </row>
    <row r="94" spans="1:22" ht="18" customHeight="1" x14ac:dyDescent="0.3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IF($B94="","",COUNTIF($V$7:$V$156,"&gt;"&amp;$V94)+COUNTIF($V$7:$V94,$V94))</f>
        <v/>
      </c>
      <c r="V94" s="1" t="str">
        <f>IF($B94="","",MAX(0,$J94+SUMIFS(UCRETLER!$I$7:$I$606,UCRETLER!$B$7:$B$606,$B94)+SUMIFS(GELIR_GIDER!$G$7:$G$3001,GELIR_GIDER!$T$7:$T$3001,$B94)-SUMIFS(TAHSILAT!$F$7:$F$2503,TAHSILAT!$C$7:$C$2503,$B94)))</f>
        <v/>
      </c>
    </row>
    <row r="95" spans="1:22" ht="18" customHeight="1" x14ac:dyDescent="0.3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IF($B95="","",COUNTIF($V$7:$V$156,"&gt;"&amp;$V95)+COUNTIF($V$7:$V95,$V95))</f>
        <v/>
      </c>
      <c r="V95" s="1" t="str">
        <f>IF($B95="","",MAX(0,$J95+SUMIFS(UCRETLER!$I$7:$I$606,UCRETLER!$B$7:$B$606,$B95)+SUMIFS(GELIR_GIDER!$G$7:$G$3001,GELIR_GIDER!$T$7:$T$3001,$B95)-SUMIFS(TAHSILAT!$F$7:$F$2503,TAHSILAT!$C$7:$C$2503,$B95)))</f>
        <v/>
      </c>
    </row>
    <row r="96" spans="1:22" ht="18" customHeight="1" x14ac:dyDescent="0.3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IF($B96="","",COUNTIF($V$7:$V$156,"&gt;"&amp;$V96)+COUNTIF($V$7:$V96,$V96))</f>
        <v/>
      </c>
      <c r="V96" s="1" t="str">
        <f>IF($B96="","",MAX(0,$J96+SUMIFS(UCRETLER!$I$7:$I$606,UCRETLER!$B$7:$B$606,$B96)+SUMIFS(GELIR_GIDER!$G$7:$G$3001,GELIR_GIDER!$T$7:$T$3001,$B96)-SUMIFS(TAHSILAT!$F$7:$F$2503,TAHSILAT!$C$7:$C$2503,$B96)))</f>
        <v/>
      </c>
    </row>
    <row r="97" spans="1:22" ht="18" customHeight="1" x14ac:dyDescent="0.3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IF($B97="","",COUNTIF($V$7:$V$156,"&gt;"&amp;$V97)+COUNTIF($V$7:$V97,$V97))</f>
        <v/>
      </c>
      <c r="V97" s="1" t="str">
        <f>IF($B97="","",MAX(0,$J97+SUMIFS(UCRETLER!$I$7:$I$606,UCRETLER!$B$7:$B$606,$B97)+SUMIFS(GELIR_GIDER!$G$7:$G$3001,GELIR_GIDER!$T$7:$T$3001,$B97)-SUMIFS(TAHSILAT!$F$7:$F$2503,TAHSILAT!$C$7:$C$2503,$B97)))</f>
        <v/>
      </c>
    </row>
    <row r="98" spans="1:22" ht="18" customHeight="1" x14ac:dyDescent="0.3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IF($B98="","",COUNTIF($V$7:$V$156,"&gt;"&amp;$V98)+COUNTIF($V$7:$V98,$V98))</f>
        <v/>
      </c>
      <c r="V98" s="1" t="str">
        <f>IF($B98="","",MAX(0,$J98+SUMIFS(UCRETLER!$I$7:$I$606,UCRETLER!$B$7:$B$606,$B98)+SUMIFS(GELIR_GIDER!$G$7:$G$3001,GELIR_GIDER!$T$7:$T$3001,$B98)-SUMIFS(TAHSILAT!$F$7:$F$2503,TAHSILAT!$C$7:$C$2503,$B98)))</f>
        <v/>
      </c>
    </row>
    <row r="99" spans="1:22" ht="18" customHeight="1" x14ac:dyDescent="0.3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IF($B99="","",COUNTIF($V$7:$V$156,"&gt;"&amp;$V99)+COUNTIF($V$7:$V99,$V99))</f>
        <v/>
      </c>
      <c r="V99" s="1" t="str">
        <f>IF($B99="","",MAX(0,$J99+SUMIFS(UCRETLER!$I$7:$I$606,UCRETLER!$B$7:$B$606,$B99)+SUMIFS(GELIR_GIDER!$G$7:$G$3001,GELIR_GIDER!$T$7:$T$3001,$B99)-SUMIFS(TAHSILAT!$F$7:$F$2503,TAHSILAT!$C$7:$C$2503,$B99)))</f>
        <v/>
      </c>
    </row>
    <row r="100" spans="1:22" ht="18" customHeight="1" x14ac:dyDescent="0.3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IF($B100="","",COUNTIF($V$7:$V$156,"&gt;"&amp;$V100)+COUNTIF($V$7:$V100,$V100))</f>
        <v/>
      </c>
      <c r="V100" s="1" t="str">
        <f>IF($B100="","",MAX(0,$J100+SUMIFS(UCRETLER!$I$7:$I$606,UCRETLER!$B$7:$B$606,$B100)+SUMIFS(GELIR_GIDER!$G$7:$G$3001,GELIR_GIDER!$T$7:$T$3001,$B100)-SUMIFS(TAHSILAT!$F$7:$F$2503,TAHSILAT!$C$7:$C$2503,$B100)))</f>
        <v/>
      </c>
    </row>
    <row r="101" spans="1:22" ht="18" customHeight="1" x14ac:dyDescent="0.3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IF($B101="","",COUNTIF($V$7:$V$156,"&gt;"&amp;$V101)+COUNTIF($V$7:$V101,$V101))</f>
        <v/>
      </c>
      <c r="V101" s="1" t="str">
        <f>IF($B101="","",MAX(0,$J101+SUMIFS(UCRETLER!$I$7:$I$606,UCRETLER!$B$7:$B$606,$B101)+SUMIFS(GELIR_GIDER!$G$7:$G$3001,GELIR_GIDER!$T$7:$T$3001,$B101)-SUMIFS(TAHSILAT!$F$7:$F$2503,TAHSILAT!$C$7:$C$2503,$B101)))</f>
        <v/>
      </c>
    </row>
    <row r="102" spans="1:22" ht="18" customHeight="1" x14ac:dyDescent="0.3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IF($B102="","",COUNTIF($V$7:$V$156,"&gt;"&amp;$V102)+COUNTIF($V$7:$V102,$V102))</f>
        <v/>
      </c>
      <c r="V102" s="1" t="str">
        <f>IF($B102="","",MAX(0,$J102+SUMIFS(UCRETLER!$I$7:$I$606,UCRETLER!$B$7:$B$606,$B102)+SUMIFS(GELIR_GIDER!$G$7:$G$3001,GELIR_GIDER!$T$7:$T$3001,$B102)-SUMIFS(TAHSILAT!$F$7:$F$2503,TAHSILAT!$C$7:$C$2503,$B102)))</f>
        <v/>
      </c>
    </row>
    <row r="103" spans="1:22" ht="18" customHeight="1" x14ac:dyDescent="0.3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IF($B103="","",COUNTIF($V$7:$V$156,"&gt;"&amp;$V103)+COUNTIF($V$7:$V103,$V103))</f>
        <v/>
      </c>
      <c r="V103" s="1" t="str">
        <f>IF($B103="","",MAX(0,$J103+SUMIFS(UCRETLER!$I$7:$I$606,UCRETLER!$B$7:$B$606,$B103)+SUMIFS(GELIR_GIDER!$G$7:$G$3001,GELIR_GIDER!$T$7:$T$3001,$B103)-SUMIFS(TAHSILAT!$F$7:$F$2503,TAHSILAT!$C$7:$C$2503,$B103)))</f>
        <v/>
      </c>
    </row>
    <row r="104" spans="1:22" ht="18" customHeight="1" x14ac:dyDescent="0.3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IF($B104="","",COUNTIF($V$7:$V$156,"&gt;"&amp;$V104)+COUNTIF($V$7:$V104,$V104))</f>
        <v/>
      </c>
      <c r="V104" s="1" t="str">
        <f>IF($B104="","",MAX(0,$J104+SUMIFS(UCRETLER!$I$7:$I$606,UCRETLER!$B$7:$B$606,$B104)+SUMIFS(GELIR_GIDER!$G$7:$G$3001,GELIR_GIDER!$T$7:$T$3001,$B104)-SUMIFS(TAHSILAT!$F$7:$F$2503,TAHSILAT!$C$7:$C$2503,$B104)))</f>
        <v/>
      </c>
    </row>
    <row r="105" spans="1:22" ht="18" customHeight="1" x14ac:dyDescent="0.3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IF($B105="","",COUNTIF($V$7:$V$156,"&gt;"&amp;$V105)+COUNTIF($V$7:$V105,$V105))</f>
        <v/>
      </c>
      <c r="V105" s="1" t="str">
        <f>IF($B105="","",MAX(0,$J105+SUMIFS(UCRETLER!$I$7:$I$606,UCRETLER!$B$7:$B$606,$B105)+SUMIFS(GELIR_GIDER!$G$7:$G$3001,GELIR_GIDER!$T$7:$T$3001,$B105)-SUMIFS(TAHSILAT!$F$7:$F$2503,TAHSILAT!$C$7:$C$2503,$B105)))</f>
        <v/>
      </c>
    </row>
    <row r="106" spans="1:22" ht="18" customHeight="1" x14ac:dyDescent="0.3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IF($B106="","",COUNTIF($V$7:$V$156,"&gt;"&amp;$V106)+COUNTIF($V$7:$V106,$V106))</f>
        <v/>
      </c>
      <c r="V106" s="1" t="str">
        <f>IF($B106="","",MAX(0,$J106+SUMIFS(UCRETLER!$I$7:$I$606,UCRETLER!$B$7:$B$606,$B106)+SUMIFS(GELIR_GIDER!$G$7:$G$3001,GELIR_GIDER!$T$7:$T$3001,$B106)-SUMIFS(TAHSILAT!$F$7:$F$2503,TAHSILAT!$C$7:$C$2503,$B106)))</f>
        <v/>
      </c>
    </row>
    <row r="107" spans="1:22" ht="18" customHeight="1" x14ac:dyDescent="0.3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IF($B107="","",COUNTIF($V$7:$V$156,"&gt;"&amp;$V107)+COUNTIF($V$7:$V107,$V107))</f>
        <v/>
      </c>
      <c r="V107" s="1" t="str">
        <f>IF($B107="","",MAX(0,$J107+SUMIFS(UCRETLER!$I$7:$I$606,UCRETLER!$B$7:$B$606,$B107)+SUMIFS(GELIR_GIDER!$G$7:$G$3001,GELIR_GIDER!$T$7:$T$3001,$B107)-SUMIFS(TAHSILAT!$F$7:$F$2503,TAHSILAT!$C$7:$C$2503,$B107)))</f>
        <v/>
      </c>
    </row>
    <row r="108" spans="1:22" ht="18" customHeight="1" x14ac:dyDescent="0.3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IF($B108="","",COUNTIF($V$7:$V$156,"&gt;"&amp;$V108)+COUNTIF($V$7:$V108,$V108))</f>
        <v/>
      </c>
      <c r="V108" s="1" t="str">
        <f>IF($B108="","",MAX(0,$J108+SUMIFS(UCRETLER!$I$7:$I$606,UCRETLER!$B$7:$B$606,$B108)+SUMIFS(GELIR_GIDER!$G$7:$G$3001,GELIR_GIDER!$T$7:$T$3001,$B108)-SUMIFS(TAHSILAT!$F$7:$F$2503,TAHSILAT!$C$7:$C$2503,$B108)))</f>
        <v/>
      </c>
    </row>
    <row r="109" spans="1:22" ht="18" customHeight="1" x14ac:dyDescent="0.3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IF($B109="","",COUNTIF($V$7:$V$156,"&gt;"&amp;$V109)+COUNTIF($V$7:$V109,$V109))</f>
        <v/>
      </c>
      <c r="V109" s="1" t="str">
        <f>IF($B109="","",MAX(0,$J109+SUMIFS(UCRETLER!$I$7:$I$606,UCRETLER!$B$7:$B$606,$B109)+SUMIFS(GELIR_GIDER!$G$7:$G$3001,GELIR_GIDER!$T$7:$T$3001,$B109)-SUMIFS(TAHSILAT!$F$7:$F$2503,TAHSILAT!$C$7:$C$2503,$B109)))</f>
        <v/>
      </c>
    </row>
    <row r="110" spans="1:22" ht="18" customHeight="1" x14ac:dyDescent="0.3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IF($B110="","",COUNTIF($V$7:$V$156,"&gt;"&amp;$V110)+COUNTIF($V$7:$V110,$V110))</f>
        <v/>
      </c>
      <c r="V110" s="1" t="str">
        <f>IF($B110="","",MAX(0,$J110+SUMIFS(UCRETLER!$I$7:$I$606,UCRETLER!$B$7:$B$606,$B110)+SUMIFS(GELIR_GIDER!$G$7:$G$3001,GELIR_GIDER!$T$7:$T$3001,$B110)-SUMIFS(TAHSILAT!$F$7:$F$2503,TAHSILAT!$C$7:$C$2503,$B110)))</f>
        <v/>
      </c>
    </row>
    <row r="111" spans="1:22" ht="18" customHeight="1" x14ac:dyDescent="0.3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IF($B111="","",COUNTIF($V$7:$V$156,"&gt;"&amp;$V111)+COUNTIF($V$7:$V111,$V111))</f>
        <v/>
      </c>
      <c r="V111" s="1" t="str">
        <f>IF($B111="","",MAX(0,$J111+SUMIFS(UCRETLER!$I$7:$I$606,UCRETLER!$B$7:$B$606,$B111)+SUMIFS(GELIR_GIDER!$G$7:$G$3001,GELIR_GIDER!$T$7:$T$3001,$B111)-SUMIFS(TAHSILAT!$F$7:$F$2503,TAHSILAT!$C$7:$C$2503,$B111)))</f>
        <v/>
      </c>
    </row>
    <row r="112" spans="1:22" ht="18" customHeight="1" x14ac:dyDescent="0.3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IF($B112="","",COUNTIF($V$7:$V$156,"&gt;"&amp;$V112)+COUNTIF($V$7:$V112,$V112))</f>
        <v/>
      </c>
      <c r="V112" s="1" t="str">
        <f>IF($B112="","",MAX(0,$J112+SUMIFS(UCRETLER!$I$7:$I$606,UCRETLER!$B$7:$B$606,$B112)+SUMIFS(GELIR_GIDER!$G$7:$G$3001,GELIR_GIDER!$T$7:$T$3001,$B112)-SUMIFS(TAHSILAT!$F$7:$F$2503,TAHSILAT!$C$7:$C$2503,$B112)))</f>
        <v/>
      </c>
    </row>
    <row r="113" spans="1:22" ht="18" customHeight="1" x14ac:dyDescent="0.3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IF($B113="","",COUNTIF($V$7:$V$156,"&gt;"&amp;$V113)+COUNTIF($V$7:$V113,$V113))</f>
        <v/>
      </c>
      <c r="V113" s="1" t="str">
        <f>IF($B113="","",MAX(0,$J113+SUMIFS(UCRETLER!$I$7:$I$606,UCRETLER!$B$7:$B$606,$B113)+SUMIFS(GELIR_GIDER!$G$7:$G$3001,GELIR_GIDER!$T$7:$T$3001,$B113)-SUMIFS(TAHSILAT!$F$7:$F$2503,TAHSILAT!$C$7:$C$2503,$B113)))</f>
        <v/>
      </c>
    </row>
    <row r="114" spans="1:22" ht="18" customHeight="1" x14ac:dyDescent="0.3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IF($B114="","",COUNTIF($V$7:$V$156,"&gt;"&amp;$V114)+COUNTIF($V$7:$V114,$V114))</f>
        <v/>
      </c>
      <c r="V114" s="1" t="str">
        <f>IF($B114="","",MAX(0,$J114+SUMIFS(UCRETLER!$I$7:$I$606,UCRETLER!$B$7:$B$606,$B114)+SUMIFS(GELIR_GIDER!$G$7:$G$3001,GELIR_GIDER!$T$7:$T$3001,$B114)-SUMIFS(TAHSILAT!$F$7:$F$2503,TAHSILAT!$C$7:$C$2503,$B114)))</f>
        <v/>
      </c>
    </row>
    <row r="115" spans="1:22" ht="18" customHeight="1" x14ac:dyDescent="0.3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IF($B115="","",COUNTIF($V$7:$V$156,"&gt;"&amp;$V115)+COUNTIF($V$7:$V115,$V115))</f>
        <v/>
      </c>
      <c r="V115" s="1" t="str">
        <f>IF($B115="","",MAX(0,$J115+SUMIFS(UCRETLER!$I$7:$I$606,UCRETLER!$B$7:$B$606,$B115)+SUMIFS(GELIR_GIDER!$G$7:$G$3001,GELIR_GIDER!$T$7:$T$3001,$B115)-SUMIFS(TAHSILAT!$F$7:$F$2503,TAHSILAT!$C$7:$C$2503,$B115)))</f>
        <v/>
      </c>
    </row>
    <row r="116" spans="1:22" ht="18" customHeight="1" x14ac:dyDescent="0.3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IF($B116="","",COUNTIF($V$7:$V$156,"&gt;"&amp;$V116)+COUNTIF($V$7:$V116,$V116))</f>
        <v/>
      </c>
      <c r="V116" s="1" t="str">
        <f>IF($B116="","",MAX(0,$J116+SUMIFS(UCRETLER!$I$7:$I$606,UCRETLER!$B$7:$B$606,$B116)+SUMIFS(GELIR_GIDER!$G$7:$G$3001,GELIR_GIDER!$T$7:$T$3001,$B116)-SUMIFS(TAHSILAT!$F$7:$F$2503,TAHSILAT!$C$7:$C$2503,$B116)))</f>
        <v/>
      </c>
    </row>
    <row r="117" spans="1:22" ht="18" customHeight="1" x14ac:dyDescent="0.3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IF($B117="","",COUNTIF($V$7:$V$156,"&gt;"&amp;$V117)+COUNTIF($V$7:$V117,$V117))</f>
        <v/>
      </c>
      <c r="V117" s="1" t="str">
        <f>IF($B117="","",MAX(0,$J117+SUMIFS(UCRETLER!$I$7:$I$606,UCRETLER!$B$7:$B$606,$B117)+SUMIFS(GELIR_GIDER!$G$7:$G$3001,GELIR_GIDER!$T$7:$T$3001,$B117)-SUMIFS(TAHSILAT!$F$7:$F$2503,TAHSILAT!$C$7:$C$2503,$B117)))</f>
        <v/>
      </c>
    </row>
    <row r="118" spans="1:22" ht="18" customHeight="1" x14ac:dyDescent="0.3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IF($B118="","",COUNTIF($V$7:$V$156,"&gt;"&amp;$V118)+COUNTIF($V$7:$V118,$V118))</f>
        <v/>
      </c>
      <c r="V118" s="1" t="str">
        <f>IF($B118="","",MAX(0,$J118+SUMIFS(UCRETLER!$I$7:$I$606,UCRETLER!$B$7:$B$606,$B118)+SUMIFS(GELIR_GIDER!$G$7:$G$3001,GELIR_GIDER!$T$7:$T$3001,$B118)-SUMIFS(TAHSILAT!$F$7:$F$2503,TAHSILAT!$C$7:$C$2503,$B118)))</f>
        <v/>
      </c>
    </row>
    <row r="119" spans="1:22" ht="18" customHeight="1" x14ac:dyDescent="0.3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IF($B119="","",COUNTIF($V$7:$V$156,"&gt;"&amp;$V119)+COUNTIF($V$7:$V119,$V119))</f>
        <v/>
      </c>
      <c r="V119" s="1" t="str">
        <f>IF($B119="","",MAX(0,$J119+SUMIFS(UCRETLER!$I$7:$I$606,UCRETLER!$B$7:$B$606,$B119)+SUMIFS(GELIR_GIDER!$G$7:$G$3001,GELIR_GIDER!$T$7:$T$3001,$B119)-SUMIFS(TAHSILAT!$F$7:$F$2503,TAHSILAT!$C$7:$C$2503,$B119)))</f>
        <v/>
      </c>
    </row>
    <row r="120" spans="1:22" ht="18" customHeight="1" x14ac:dyDescent="0.3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IF($B120="","",COUNTIF($V$7:$V$156,"&gt;"&amp;$V120)+COUNTIF($V$7:$V120,$V120))</f>
        <v/>
      </c>
      <c r="V120" s="1" t="str">
        <f>IF($B120="","",MAX(0,$J120+SUMIFS(UCRETLER!$I$7:$I$606,UCRETLER!$B$7:$B$606,$B120)+SUMIFS(GELIR_GIDER!$G$7:$G$3001,GELIR_GIDER!$T$7:$T$3001,$B120)-SUMIFS(TAHSILAT!$F$7:$F$2503,TAHSILAT!$C$7:$C$2503,$B120)))</f>
        <v/>
      </c>
    </row>
    <row r="121" spans="1:22" ht="18" customHeight="1" x14ac:dyDescent="0.3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IF($B121="","",COUNTIF($V$7:$V$156,"&gt;"&amp;$V121)+COUNTIF($V$7:$V121,$V121))</f>
        <v/>
      </c>
      <c r="V121" s="1" t="str">
        <f>IF($B121="","",MAX(0,$J121+SUMIFS(UCRETLER!$I$7:$I$606,UCRETLER!$B$7:$B$606,$B121)+SUMIFS(GELIR_GIDER!$G$7:$G$3001,GELIR_GIDER!$T$7:$T$3001,$B121)-SUMIFS(TAHSILAT!$F$7:$F$2503,TAHSILAT!$C$7:$C$2503,$B121)))</f>
        <v/>
      </c>
    </row>
    <row r="122" spans="1:22" ht="18" customHeight="1" x14ac:dyDescent="0.3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IF($B122="","",COUNTIF($V$7:$V$156,"&gt;"&amp;$V122)+COUNTIF($V$7:$V122,$V122))</f>
        <v/>
      </c>
      <c r="V122" s="1" t="str">
        <f>IF($B122="","",MAX(0,$J122+SUMIFS(UCRETLER!$I$7:$I$606,UCRETLER!$B$7:$B$606,$B122)+SUMIFS(GELIR_GIDER!$G$7:$G$3001,GELIR_GIDER!$T$7:$T$3001,$B122)-SUMIFS(TAHSILAT!$F$7:$F$2503,TAHSILAT!$C$7:$C$2503,$B122)))</f>
        <v/>
      </c>
    </row>
    <row r="123" spans="1:22" ht="18" customHeight="1" x14ac:dyDescent="0.3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IF($B123="","",COUNTIF($V$7:$V$156,"&gt;"&amp;$V123)+COUNTIF($V$7:$V123,$V123))</f>
        <v/>
      </c>
      <c r="V123" s="1" t="str">
        <f>IF($B123="","",MAX(0,$J123+SUMIFS(UCRETLER!$I$7:$I$606,UCRETLER!$B$7:$B$606,$B123)+SUMIFS(GELIR_GIDER!$G$7:$G$3001,GELIR_GIDER!$T$7:$T$3001,$B123)-SUMIFS(TAHSILAT!$F$7:$F$2503,TAHSILAT!$C$7:$C$2503,$B123)))</f>
        <v/>
      </c>
    </row>
    <row r="124" spans="1:22" ht="18" customHeight="1" x14ac:dyDescent="0.3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IF($B124="","",COUNTIF($V$7:$V$156,"&gt;"&amp;$V124)+COUNTIF($V$7:$V124,$V124))</f>
        <v/>
      </c>
      <c r="V124" s="1" t="str">
        <f>IF($B124="","",MAX(0,$J124+SUMIFS(UCRETLER!$I$7:$I$606,UCRETLER!$B$7:$B$606,$B124)+SUMIFS(GELIR_GIDER!$G$7:$G$3001,GELIR_GIDER!$T$7:$T$3001,$B124)-SUMIFS(TAHSILAT!$F$7:$F$2503,TAHSILAT!$C$7:$C$2503,$B124)))</f>
        <v/>
      </c>
    </row>
    <row r="125" spans="1:22" ht="18" customHeight="1" x14ac:dyDescent="0.3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IF($B125="","",COUNTIF($V$7:$V$156,"&gt;"&amp;$V125)+COUNTIF($V$7:$V125,$V125))</f>
        <v/>
      </c>
      <c r="V125" s="1" t="str">
        <f>IF($B125="","",MAX(0,$J125+SUMIFS(UCRETLER!$I$7:$I$606,UCRETLER!$B$7:$B$606,$B125)+SUMIFS(GELIR_GIDER!$G$7:$G$3001,GELIR_GIDER!$T$7:$T$3001,$B125)-SUMIFS(TAHSILAT!$F$7:$F$2503,TAHSILAT!$C$7:$C$2503,$B125)))</f>
        <v/>
      </c>
    </row>
    <row r="126" spans="1:22" ht="18" customHeight="1" x14ac:dyDescent="0.3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IF($B126="","",COUNTIF($V$7:$V$156,"&gt;"&amp;$V126)+COUNTIF($V$7:$V126,$V126))</f>
        <v/>
      </c>
      <c r="V126" s="1" t="str">
        <f>IF($B126="","",MAX(0,$J126+SUMIFS(UCRETLER!$I$7:$I$606,UCRETLER!$B$7:$B$606,$B126)+SUMIFS(GELIR_GIDER!$G$7:$G$3001,GELIR_GIDER!$T$7:$T$3001,$B126)-SUMIFS(TAHSILAT!$F$7:$F$2503,TAHSILAT!$C$7:$C$2503,$B126)))</f>
        <v/>
      </c>
    </row>
    <row r="127" spans="1:22" ht="18" customHeight="1" x14ac:dyDescent="0.3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IF($B127="","",COUNTIF($V$7:$V$156,"&gt;"&amp;$V127)+COUNTIF($V$7:$V127,$V127))</f>
        <v/>
      </c>
      <c r="V127" s="1" t="str">
        <f>IF($B127="","",MAX(0,$J127+SUMIFS(UCRETLER!$I$7:$I$606,UCRETLER!$B$7:$B$606,$B127)+SUMIFS(GELIR_GIDER!$G$7:$G$3001,GELIR_GIDER!$T$7:$T$3001,$B127)-SUMIFS(TAHSILAT!$F$7:$F$2503,TAHSILAT!$C$7:$C$2503,$B127)))</f>
        <v/>
      </c>
    </row>
    <row r="128" spans="1:22" ht="18" customHeight="1" x14ac:dyDescent="0.3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IF($B128="","",COUNTIF($V$7:$V$156,"&gt;"&amp;$V128)+COUNTIF($V$7:$V128,$V128))</f>
        <v/>
      </c>
      <c r="V128" s="1" t="str">
        <f>IF($B128="","",MAX(0,$J128+SUMIFS(UCRETLER!$I$7:$I$606,UCRETLER!$B$7:$B$606,$B128)+SUMIFS(GELIR_GIDER!$G$7:$G$3001,GELIR_GIDER!$T$7:$T$3001,$B128)-SUMIFS(TAHSILAT!$F$7:$F$2503,TAHSILAT!$C$7:$C$2503,$B128)))</f>
        <v/>
      </c>
    </row>
    <row r="129" spans="1:22" ht="18" customHeight="1" x14ac:dyDescent="0.3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IF($B129="","",COUNTIF($V$7:$V$156,"&gt;"&amp;$V129)+COUNTIF($V$7:$V129,$V129))</f>
        <v/>
      </c>
      <c r="V129" s="1" t="str">
        <f>IF($B129="","",MAX(0,$J129+SUMIFS(UCRETLER!$I$7:$I$606,UCRETLER!$B$7:$B$606,$B129)+SUMIFS(GELIR_GIDER!$G$7:$G$3001,GELIR_GIDER!$T$7:$T$3001,$B129)-SUMIFS(TAHSILAT!$F$7:$F$2503,TAHSILAT!$C$7:$C$2503,$B129)))</f>
        <v/>
      </c>
    </row>
    <row r="130" spans="1:22" ht="18" customHeight="1" x14ac:dyDescent="0.3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IF($B130="","",COUNTIF($V$7:$V$156,"&gt;"&amp;$V130)+COUNTIF($V$7:$V130,$V130))</f>
        <v/>
      </c>
      <c r="V130" s="1" t="str">
        <f>IF($B130="","",MAX(0,$J130+SUMIFS(UCRETLER!$I$7:$I$606,UCRETLER!$B$7:$B$606,$B130)+SUMIFS(GELIR_GIDER!$G$7:$G$3001,GELIR_GIDER!$T$7:$T$3001,$B130)-SUMIFS(TAHSILAT!$F$7:$F$2503,TAHSILAT!$C$7:$C$2503,$B130)))</f>
        <v/>
      </c>
    </row>
    <row r="131" spans="1:22" ht="18" customHeight="1" x14ac:dyDescent="0.3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IF($B131="","",COUNTIF($V$7:$V$156,"&gt;"&amp;$V131)+COUNTIF($V$7:$V131,$V131))</f>
        <v/>
      </c>
      <c r="V131" s="1" t="str">
        <f>IF($B131="","",MAX(0,$J131+SUMIFS(UCRETLER!$I$7:$I$606,UCRETLER!$B$7:$B$606,$B131)+SUMIFS(GELIR_GIDER!$G$7:$G$3001,GELIR_GIDER!$T$7:$T$3001,$B131)-SUMIFS(TAHSILAT!$F$7:$F$2503,TAHSILAT!$C$7:$C$2503,$B131)))</f>
        <v/>
      </c>
    </row>
    <row r="132" spans="1:22" ht="18" customHeight="1" x14ac:dyDescent="0.3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IF($B132="","",COUNTIF($V$7:$V$156,"&gt;"&amp;$V132)+COUNTIF($V$7:$V132,$V132))</f>
        <v/>
      </c>
      <c r="V132" s="1" t="str">
        <f>IF($B132="","",MAX(0,$J132+SUMIFS(UCRETLER!$I$7:$I$606,UCRETLER!$B$7:$B$606,$B132)+SUMIFS(GELIR_GIDER!$G$7:$G$3001,GELIR_GIDER!$T$7:$T$3001,$B132)-SUMIFS(TAHSILAT!$F$7:$F$2503,TAHSILAT!$C$7:$C$2503,$B132)))</f>
        <v/>
      </c>
    </row>
    <row r="133" spans="1:22" ht="18" customHeight="1" x14ac:dyDescent="0.3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IF($B133="","",COUNTIF($V$7:$V$156,"&gt;"&amp;$V133)+COUNTIF($V$7:$V133,$V133))</f>
        <v/>
      </c>
      <c r="V133" s="1" t="str">
        <f>IF($B133="","",MAX(0,$J133+SUMIFS(UCRETLER!$I$7:$I$606,UCRETLER!$B$7:$B$606,$B133)+SUMIFS(GELIR_GIDER!$G$7:$G$3001,GELIR_GIDER!$T$7:$T$3001,$B133)-SUMIFS(TAHSILAT!$F$7:$F$2503,TAHSILAT!$C$7:$C$2503,$B133)))</f>
        <v/>
      </c>
    </row>
    <row r="134" spans="1:22" ht="18" customHeight="1" x14ac:dyDescent="0.3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IF($B134="","",COUNTIF($V$7:$V$156,"&gt;"&amp;$V134)+COUNTIF($V$7:$V134,$V134))</f>
        <v/>
      </c>
      <c r="V134" s="1" t="str">
        <f>IF($B134="","",MAX(0,$J134+SUMIFS(UCRETLER!$I$7:$I$606,UCRETLER!$B$7:$B$606,$B134)+SUMIFS(GELIR_GIDER!$G$7:$G$3001,GELIR_GIDER!$T$7:$T$3001,$B134)-SUMIFS(TAHSILAT!$F$7:$F$2503,TAHSILAT!$C$7:$C$2503,$B134)))</f>
        <v/>
      </c>
    </row>
    <row r="135" spans="1:22" ht="18" customHeight="1" x14ac:dyDescent="0.3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IF($B135="","",COUNTIF($V$7:$V$156,"&gt;"&amp;$V135)+COUNTIF($V$7:$V135,$V135))</f>
        <v/>
      </c>
      <c r="V135" s="1" t="str">
        <f>IF($B135="","",MAX(0,$J135+SUMIFS(UCRETLER!$I$7:$I$606,UCRETLER!$B$7:$B$606,$B135)+SUMIFS(GELIR_GIDER!$G$7:$G$3001,GELIR_GIDER!$T$7:$T$3001,$B135)-SUMIFS(TAHSILAT!$F$7:$F$2503,TAHSILAT!$C$7:$C$2503,$B135)))</f>
        <v/>
      </c>
    </row>
    <row r="136" spans="1:22" ht="18" customHeight="1" x14ac:dyDescent="0.3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IF($B136="","",COUNTIF($V$7:$V$156,"&gt;"&amp;$V136)+COUNTIF($V$7:$V136,$V136))</f>
        <v/>
      </c>
      <c r="V136" s="1" t="str">
        <f>IF($B136="","",MAX(0,$J136+SUMIFS(UCRETLER!$I$7:$I$606,UCRETLER!$B$7:$B$606,$B136)+SUMIFS(GELIR_GIDER!$G$7:$G$3001,GELIR_GIDER!$T$7:$T$3001,$B136)-SUMIFS(TAHSILAT!$F$7:$F$2503,TAHSILAT!$C$7:$C$2503,$B136)))</f>
        <v/>
      </c>
    </row>
    <row r="137" spans="1:22" ht="18" customHeight="1" x14ac:dyDescent="0.3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IF($B137="","",COUNTIF($V$7:$V$156,"&gt;"&amp;$V137)+COUNTIF($V$7:$V137,$V137))</f>
        <v/>
      </c>
      <c r="V137" s="1" t="str">
        <f>IF($B137="","",MAX(0,$J137+SUMIFS(UCRETLER!$I$7:$I$606,UCRETLER!$B$7:$B$606,$B137)+SUMIFS(GELIR_GIDER!$G$7:$G$3001,GELIR_GIDER!$T$7:$T$3001,$B137)-SUMIFS(TAHSILAT!$F$7:$F$2503,TAHSILAT!$C$7:$C$2503,$B137)))</f>
        <v/>
      </c>
    </row>
    <row r="138" spans="1:22" ht="18" customHeight="1" x14ac:dyDescent="0.3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IF($B138="","",COUNTIF($V$7:$V$156,"&gt;"&amp;$V138)+COUNTIF($V$7:$V138,$V138))</f>
        <v/>
      </c>
      <c r="V138" s="1" t="str">
        <f>IF($B138="","",MAX(0,$J138+SUMIFS(UCRETLER!$I$7:$I$606,UCRETLER!$B$7:$B$606,$B138)+SUMIFS(GELIR_GIDER!$G$7:$G$3001,GELIR_GIDER!$T$7:$T$3001,$B138)-SUMIFS(TAHSILAT!$F$7:$F$2503,TAHSILAT!$C$7:$C$2503,$B138)))</f>
        <v/>
      </c>
    </row>
    <row r="139" spans="1:22" ht="18" customHeight="1" x14ac:dyDescent="0.3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IF($B139="","",COUNTIF($V$7:$V$156,"&gt;"&amp;$V139)+COUNTIF($V$7:$V139,$V139))</f>
        <v/>
      </c>
      <c r="V139" s="1" t="str">
        <f>IF($B139="","",MAX(0,$J139+SUMIFS(UCRETLER!$I$7:$I$606,UCRETLER!$B$7:$B$606,$B139)+SUMIFS(GELIR_GIDER!$G$7:$G$3001,GELIR_GIDER!$T$7:$T$3001,$B139)-SUMIFS(TAHSILAT!$F$7:$F$2503,TAHSILAT!$C$7:$C$2503,$B139)))</f>
        <v/>
      </c>
    </row>
    <row r="140" spans="1:22" ht="18" customHeight="1" x14ac:dyDescent="0.3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IF($B140="","",COUNTIF($V$7:$V$156,"&gt;"&amp;$V140)+COUNTIF($V$7:$V140,$V140))</f>
        <v/>
      </c>
      <c r="V140" s="1" t="str">
        <f>IF($B140="","",MAX(0,$J140+SUMIFS(UCRETLER!$I$7:$I$606,UCRETLER!$B$7:$B$606,$B140)+SUMIFS(GELIR_GIDER!$G$7:$G$3001,GELIR_GIDER!$T$7:$T$3001,$B140)-SUMIFS(TAHSILAT!$F$7:$F$2503,TAHSILAT!$C$7:$C$2503,$B140)))</f>
        <v/>
      </c>
    </row>
    <row r="141" spans="1:22" ht="18" customHeight="1" x14ac:dyDescent="0.3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IF($B141="","",COUNTIF($V$7:$V$156,"&gt;"&amp;$V141)+COUNTIF($V$7:$V141,$V141))</f>
        <v/>
      </c>
      <c r="V141" s="1" t="str">
        <f>IF($B141="","",MAX(0,$J141+SUMIFS(UCRETLER!$I$7:$I$606,UCRETLER!$B$7:$B$606,$B141)+SUMIFS(GELIR_GIDER!$G$7:$G$3001,GELIR_GIDER!$T$7:$T$3001,$B141)-SUMIFS(TAHSILAT!$F$7:$F$2503,TAHSILAT!$C$7:$C$2503,$B141)))</f>
        <v/>
      </c>
    </row>
    <row r="142" spans="1:22" ht="18" customHeight="1" x14ac:dyDescent="0.3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IF($B142="","",COUNTIF($V$7:$V$156,"&gt;"&amp;$V142)+COUNTIF($V$7:$V142,$V142))</f>
        <v/>
      </c>
      <c r="V142" s="1" t="str">
        <f>IF($B142="","",MAX(0,$J142+SUMIFS(UCRETLER!$I$7:$I$606,UCRETLER!$B$7:$B$606,$B142)+SUMIFS(GELIR_GIDER!$G$7:$G$3001,GELIR_GIDER!$T$7:$T$3001,$B142)-SUMIFS(TAHSILAT!$F$7:$F$2503,TAHSILAT!$C$7:$C$2503,$B142)))</f>
        <v/>
      </c>
    </row>
    <row r="143" spans="1:22" ht="18" customHeight="1" x14ac:dyDescent="0.3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IF($B143="","",COUNTIF($V$7:$V$156,"&gt;"&amp;$V143)+COUNTIF($V$7:$V143,$V143))</f>
        <v/>
      </c>
      <c r="V143" s="1" t="str">
        <f>IF($B143="","",MAX(0,$J143+SUMIFS(UCRETLER!$I$7:$I$606,UCRETLER!$B$7:$B$606,$B143)+SUMIFS(GELIR_GIDER!$G$7:$G$3001,GELIR_GIDER!$T$7:$T$3001,$B143)-SUMIFS(TAHSILAT!$F$7:$F$2503,TAHSILAT!$C$7:$C$2503,$B143)))</f>
        <v/>
      </c>
    </row>
    <row r="144" spans="1:22" ht="18" customHeight="1" x14ac:dyDescent="0.3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IF($B144="","",COUNTIF($V$7:$V$156,"&gt;"&amp;$V144)+COUNTIF($V$7:$V144,$V144))</f>
        <v/>
      </c>
      <c r="V144" s="1" t="str">
        <f>IF($B144="","",MAX(0,$J144+SUMIFS(UCRETLER!$I$7:$I$606,UCRETLER!$B$7:$B$606,$B144)+SUMIFS(GELIR_GIDER!$G$7:$G$3001,GELIR_GIDER!$T$7:$T$3001,$B144)-SUMIFS(TAHSILAT!$F$7:$F$2503,TAHSILAT!$C$7:$C$2503,$B144)))</f>
        <v/>
      </c>
    </row>
    <row r="145" spans="1:22" ht="18" customHeight="1" x14ac:dyDescent="0.3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IF($B145="","",COUNTIF($V$7:$V$156,"&gt;"&amp;$V145)+COUNTIF($V$7:$V145,$V145))</f>
        <v/>
      </c>
      <c r="V145" s="1" t="str">
        <f>IF($B145="","",MAX(0,$J145+SUMIFS(UCRETLER!$I$7:$I$606,UCRETLER!$B$7:$B$606,$B145)+SUMIFS(GELIR_GIDER!$G$7:$G$3001,GELIR_GIDER!$T$7:$T$3001,$B145)-SUMIFS(TAHSILAT!$F$7:$F$2503,TAHSILAT!$C$7:$C$2503,$B145)))</f>
        <v/>
      </c>
    </row>
    <row r="146" spans="1:22" ht="18" customHeight="1" x14ac:dyDescent="0.3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IF($B146="","",COUNTIF($V$7:$V$156,"&gt;"&amp;$V146)+COUNTIF($V$7:$V146,$V146))</f>
        <v/>
      </c>
      <c r="V146" s="1" t="str">
        <f>IF($B146="","",MAX(0,$J146+SUMIFS(UCRETLER!$I$7:$I$606,UCRETLER!$B$7:$B$606,$B146)+SUMIFS(GELIR_GIDER!$G$7:$G$3001,GELIR_GIDER!$T$7:$T$3001,$B146)-SUMIFS(TAHSILAT!$F$7:$F$2503,TAHSILAT!$C$7:$C$2503,$B146)))</f>
        <v/>
      </c>
    </row>
    <row r="147" spans="1:22" ht="18" customHeight="1" x14ac:dyDescent="0.3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IF($B147="","",COUNTIF($V$7:$V$156,"&gt;"&amp;$V147)+COUNTIF($V$7:$V147,$V147))</f>
        <v/>
      </c>
      <c r="V147" s="1" t="str">
        <f>IF($B147="","",MAX(0,$J147+SUMIFS(UCRETLER!$I$7:$I$606,UCRETLER!$B$7:$B$606,$B147)+SUMIFS(GELIR_GIDER!$G$7:$G$3001,GELIR_GIDER!$T$7:$T$3001,$B147)-SUMIFS(TAHSILAT!$F$7:$F$2503,TAHSILAT!$C$7:$C$2503,$B147)))</f>
        <v/>
      </c>
    </row>
    <row r="148" spans="1:22" ht="18" customHeight="1" x14ac:dyDescent="0.3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IF($B148="","",COUNTIF($V$7:$V$156,"&gt;"&amp;$V148)+COUNTIF($V$7:$V148,$V148))</f>
        <v/>
      </c>
      <c r="V148" s="1" t="str">
        <f>IF($B148="","",MAX(0,$J148+SUMIFS(UCRETLER!$I$7:$I$606,UCRETLER!$B$7:$B$606,$B148)+SUMIFS(GELIR_GIDER!$G$7:$G$3001,GELIR_GIDER!$T$7:$T$3001,$B148)-SUMIFS(TAHSILAT!$F$7:$F$2503,TAHSILAT!$C$7:$C$2503,$B148)))</f>
        <v/>
      </c>
    </row>
    <row r="149" spans="1:22" ht="18" customHeight="1" x14ac:dyDescent="0.3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IF($B149="","",COUNTIF($V$7:$V$156,"&gt;"&amp;$V149)+COUNTIF($V$7:$V149,$V149))</f>
        <v/>
      </c>
      <c r="V149" s="1" t="str">
        <f>IF($B149="","",MAX(0,$J149+SUMIFS(UCRETLER!$I$7:$I$606,UCRETLER!$B$7:$B$606,$B149)+SUMIFS(GELIR_GIDER!$G$7:$G$3001,GELIR_GIDER!$T$7:$T$3001,$B149)-SUMIFS(TAHSILAT!$F$7:$F$2503,TAHSILAT!$C$7:$C$2503,$B149)))</f>
        <v/>
      </c>
    </row>
    <row r="150" spans="1:22" ht="18" customHeight="1" x14ac:dyDescent="0.3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IF($B150="","",COUNTIF($V$7:$V$156,"&gt;"&amp;$V150)+COUNTIF($V$7:$V150,$V150))</f>
        <v/>
      </c>
      <c r="V150" s="1" t="str">
        <f>IF($B150="","",MAX(0,$J150+SUMIFS(UCRETLER!$I$7:$I$606,UCRETLER!$B$7:$B$606,$B150)+SUMIFS(GELIR_GIDER!$G$7:$G$3001,GELIR_GIDER!$T$7:$T$3001,$B150)-SUMIFS(TAHSILAT!$F$7:$F$2503,TAHSILAT!$C$7:$C$2503,$B150)))</f>
        <v/>
      </c>
    </row>
    <row r="151" spans="1:22" ht="18" customHeight="1" x14ac:dyDescent="0.3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IF($B151="","",COUNTIF($V$7:$V$156,"&gt;"&amp;$V151)+COUNTIF($V$7:$V151,$V151))</f>
        <v/>
      </c>
      <c r="V151" s="1" t="str">
        <f>IF($B151="","",MAX(0,$J151+SUMIFS(UCRETLER!$I$7:$I$606,UCRETLER!$B$7:$B$606,$B151)+SUMIFS(GELIR_GIDER!$G$7:$G$3001,GELIR_GIDER!$T$7:$T$3001,$B151)-SUMIFS(TAHSILAT!$F$7:$F$2503,TAHSILAT!$C$7:$C$2503,$B151)))</f>
        <v/>
      </c>
    </row>
    <row r="152" spans="1:22" ht="18" customHeight="1" x14ac:dyDescent="0.3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IF($B152="","",COUNTIF($V$7:$V$156,"&gt;"&amp;$V152)+COUNTIF($V$7:$V152,$V152))</f>
        <v/>
      </c>
      <c r="V152" s="1" t="str">
        <f>IF($B152="","",MAX(0,$J152+SUMIFS(UCRETLER!$I$7:$I$606,UCRETLER!$B$7:$B$606,$B152)+SUMIFS(GELIR_GIDER!$G$7:$G$3001,GELIR_GIDER!$T$7:$T$3001,$B152)-SUMIFS(TAHSILAT!$F$7:$F$2503,TAHSILAT!$C$7:$C$2503,$B152)))</f>
        <v/>
      </c>
    </row>
    <row r="153" spans="1:22" ht="18" customHeight="1" x14ac:dyDescent="0.3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IF($B153="","",COUNTIF($V$7:$V$156,"&gt;"&amp;$V153)+COUNTIF($V$7:$V153,$V153))</f>
        <v/>
      </c>
      <c r="V153" s="1" t="str">
        <f>IF($B153="","",MAX(0,$J153+SUMIFS(UCRETLER!$I$7:$I$606,UCRETLER!$B$7:$B$606,$B153)+SUMIFS(GELIR_GIDER!$G$7:$G$3001,GELIR_GIDER!$T$7:$T$3001,$B153)-SUMIFS(TAHSILAT!$F$7:$F$2503,TAHSILAT!$C$7:$C$2503,$B153)))</f>
        <v/>
      </c>
    </row>
    <row r="154" spans="1:22" ht="18" customHeight="1" x14ac:dyDescent="0.3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IF($B154="","",COUNTIF($V$7:$V$156,"&gt;"&amp;$V154)+COUNTIF($V$7:$V154,$V154))</f>
        <v/>
      </c>
      <c r="V154" s="1" t="str">
        <f>IF($B154="","",MAX(0,$J154+SUMIFS(UCRETLER!$I$7:$I$606,UCRETLER!$B$7:$B$606,$B154)+SUMIFS(GELIR_GIDER!$G$7:$G$3001,GELIR_GIDER!$T$7:$T$3001,$B154)-SUMIFS(TAHSILAT!$F$7:$F$2503,TAHSILAT!$C$7:$C$2503,$B154)))</f>
        <v/>
      </c>
    </row>
    <row r="155" spans="1:22" ht="18" customHeight="1" x14ac:dyDescent="0.3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IF($B155="","",COUNTIF($V$7:$V$156,"&gt;"&amp;$V155)+COUNTIF($V$7:$V155,$V155))</f>
        <v/>
      </c>
      <c r="V155" s="1" t="str">
        <f>IF($B155="","",MAX(0,$J155+SUMIFS(UCRETLER!$I$7:$I$606,UCRETLER!$B$7:$B$606,$B155)+SUMIFS(GELIR_GIDER!$G$7:$G$3001,GELIR_GIDER!$T$7:$T$3001,$B155)-SUMIFS(TAHSILAT!$F$7:$F$2503,TAHSILAT!$C$7:$C$2503,$B155)))</f>
        <v/>
      </c>
    </row>
    <row r="156" spans="1:22" ht="18" customHeight="1" x14ac:dyDescent="0.3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IF($B156="","",COUNTIF($V$7:$V$156,"&gt;"&amp;$V156)+COUNTIF($V$7:$V156,$V156))</f>
        <v/>
      </c>
      <c r="V156" s="1" t="str">
        <f>IF($B156="","",MAX(0,$J156+SUMIFS(UCRETLER!$I$7:$I$606,UCRETLER!$B$7:$B$606,$B156)+SUMIFS(GELIR_GIDER!$G$7:$G$3001,GELIR_GIDER!$T$7:$T$3001,$B156)-SUMIFS(TAHSILAT!$F$7:$F$2503,TAHSILAT!$C$7:$C$2503,$B156)))</f>
        <v/>
      </c>
    </row>
    <row r="157" spans="1:22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2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F1:P1"/>
    <mergeCell ref="A1:E1"/>
    <mergeCell ref="A2:P2"/>
  </mergeCells>
  <conditionalFormatting sqref="O7:O156">
    <cfRule type="expression" dxfId="83" priority="8">
      <formula>EXACT($O7,"EVET")</formula>
    </cfRule>
    <cfRule type="expression" dxfId="82" priority="9">
      <formula>EXACT($O7,"HAYIR")</formula>
    </cfRule>
  </conditionalFormatting>
  <conditionalFormatting sqref="P7:P156">
    <cfRule type="expression" dxfId="81" priority="2">
      <formula>EXACT($P7,"UYGUN")</formula>
    </cfRule>
    <cfRule type="expression" dxfId="80" priority="3">
      <formula>EXACT($P7,"DURUM EKSİK")</formula>
    </cfRule>
    <cfRule type="expression" dxfId="79" priority="4">
      <formula>EXACT($P7,"NO EKSİK")</formula>
    </cfRule>
    <cfRule type="expression" dxfId="78" priority="5">
      <formula>EXACT($P7,"NO TEKRARI")</formula>
    </cfRule>
    <cfRule type="expression" dxfId="77" priority="6">
      <formula>EXACT($P7,"UNVAN TEKRARI")</formula>
    </cfRule>
    <cfRule type="expression" dxfId="76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355A3"/>
    <pageSetUpPr fitToPage="1"/>
  </sheetPr>
  <dimension ref="A1:AA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4" width="14.85546875" customWidth="1"/>
    <col min="5" max="5" width="16.7109375" customWidth="1"/>
    <col min="6" max="7" width="13.85546875" customWidth="1"/>
    <col min="8" max="8" width="12" customWidth="1"/>
    <col min="9" max="9" width="14.85546875" customWidth="1"/>
    <col min="10" max="12" width="13.85546875" customWidth="1"/>
    <col min="13" max="13" width="12" customWidth="1"/>
    <col min="14" max="14" width="15.7109375" customWidth="1"/>
    <col min="15" max="15" width="13.85546875" customWidth="1"/>
    <col min="16" max="16" width="24.140625" customWidth="1"/>
    <col min="17" max="18" width="2.28515625" customWidth="1"/>
    <col min="19" max="27" width="12" hidden="1" customWidth="1"/>
  </cols>
  <sheetData>
    <row r="1" spans="1:27" ht="37.5" customHeight="1" x14ac:dyDescent="0.3">
      <c r="A1" s="209" t="s">
        <v>548</v>
      </c>
      <c r="B1" s="171"/>
      <c r="C1" s="171"/>
      <c r="D1" s="171"/>
      <c r="E1" s="171"/>
      <c r="F1" s="208" t="s">
        <v>681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7" ht="21.75" customHeight="1" x14ac:dyDescent="0.3">
      <c r="A2" s="210" t="s">
        <v>682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7" ht="19.5" customHeight="1" x14ac:dyDescent="0.3">
      <c r="A3" s="2"/>
      <c r="B3" s="50" t="s">
        <v>683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684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7" ht="25.5" customHeight="1" x14ac:dyDescent="0.3">
      <c r="A5" s="2"/>
      <c r="B5" s="53"/>
      <c r="C5" s="54" t="s">
        <v>685</v>
      </c>
      <c r="D5" s="53"/>
      <c r="E5" s="53"/>
      <c r="F5" s="53"/>
      <c r="G5" s="56">
        <f>SUMIFS($G$7:$G$606,$H$7:$H$606,"Aktif")</f>
        <v>210751</v>
      </c>
      <c r="H5" s="53"/>
      <c r="I5" s="56">
        <f ca="1">SUM($I$7:$I$606)</f>
        <v>3298007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7" ht="39.75" customHeight="1" x14ac:dyDescent="0.3">
      <c r="A6" s="2"/>
      <c r="B6" s="57" t="s">
        <v>19</v>
      </c>
      <c r="C6" s="58" t="s">
        <v>686</v>
      </c>
      <c r="D6" s="57" t="s">
        <v>687</v>
      </c>
      <c r="E6" s="57" t="s">
        <v>688</v>
      </c>
      <c r="F6" s="57" t="s">
        <v>689</v>
      </c>
      <c r="G6" s="59" t="s">
        <v>690</v>
      </c>
      <c r="H6" s="57" t="s">
        <v>691</v>
      </c>
      <c r="I6" s="59" t="s">
        <v>692</v>
      </c>
      <c r="J6" s="59" t="s">
        <v>693</v>
      </c>
      <c r="K6" s="59" t="s">
        <v>694</v>
      </c>
      <c r="L6" s="59" t="s">
        <v>695</v>
      </c>
      <c r="M6" s="57" t="s">
        <v>696</v>
      </c>
      <c r="N6" s="57" t="s">
        <v>697</v>
      </c>
      <c r="O6" s="57" t="s">
        <v>698</v>
      </c>
      <c r="P6" s="58" t="s">
        <v>699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7" ht="18" customHeight="1" x14ac:dyDescent="0.3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570</v>
      </c>
      <c r="D7" s="66">
        <v>46023</v>
      </c>
      <c r="E7" s="66"/>
      <c r="F7" s="60" t="s">
        <v>700</v>
      </c>
      <c r="G7" s="67">
        <v>4000</v>
      </c>
      <c r="H7" s="60" t="s">
        <v>571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  <c r="AA7" s="1">
        <f t="shared" ref="AA7:AA70" si="13">IF(OR($B7="",$H7&lt;&gt;"Aktif"),0,COUNTIFS($B$7:$B$606,$B7,$H$7:$H$606,"Aktif"))</f>
        <v>1</v>
      </c>
    </row>
    <row r="8" spans="1:27" ht="18" customHeight="1" x14ac:dyDescent="0.3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574</v>
      </c>
      <c r="D8" s="66">
        <v>46023</v>
      </c>
      <c r="E8" s="66"/>
      <c r="F8" s="60" t="s">
        <v>700</v>
      </c>
      <c r="G8" s="67">
        <v>3000</v>
      </c>
      <c r="H8" s="60" t="s">
        <v>571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  <c r="AA8" s="1">
        <f t="shared" si="13"/>
        <v>1</v>
      </c>
    </row>
    <row r="9" spans="1:27" ht="18" customHeight="1" x14ac:dyDescent="0.3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576</v>
      </c>
      <c r="D9" s="66">
        <v>46266</v>
      </c>
      <c r="E9" s="66"/>
      <c r="F9" s="60" t="s">
        <v>700</v>
      </c>
      <c r="G9" s="67">
        <v>10000</v>
      </c>
      <c r="H9" s="60" t="s">
        <v>571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  <c r="AA9" s="1">
        <f t="shared" si="13"/>
        <v>1</v>
      </c>
    </row>
    <row r="10" spans="1:27" ht="18" customHeight="1" x14ac:dyDescent="0.3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701</v>
      </c>
      <c r="G10" s="67">
        <v>4000</v>
      </c>
      <c r="H10" s="60" t="s">
        <v>571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  <c r="AA10" s="1">
        <f t="shared" si="13"/>
        <v>1</v>
      </c>
    </row>
    <row r="11" spans="1:27" ht="18" customHeight="1" x14ac:dyDescent="0.3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579</v>
      </c>
      <c r="D11" s="66">
        <v>46023</v>
      </c>
      <c r="E11" s="66"/>
      <c r="F11" s="60" t="s">
        <v>700</v>
      </c>
      <c r="G11" s="67">
        <v>3000</v>
      </c>
      <c r="H11" s="60" t="s">
        <v>571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  <c r="AA11" s="1">
        <f t="shared" si="13"/>
        <v>1</v>
      </c>
    </row>
    <row r="12" spans="1:27" ht="18" customHeight="1" x14ac:dyDescent="0.3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581</v>
      </c>
      <c r="D12" s="66">
        <v>46023</v>
      </c>
      <c r="E12" s="66"/>
      <c r="F12" s="60" t="s">
        <v>700</v>
      </c>
      <c r="G12" s="67">
        <v>10000</v>
      </c>
      <c r="H12" s="60" t="s">
        <v>571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  <c r="AA12" s="1">
        <f t="shared" si="13"/>
        <v>1</v>
      </c>
    </row>
    <row r="13" spans="1:27" ht="18" customHeight="1" x14ac:dyDescent="0.3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583</v>
      </c>
      <c r="D13" s="66">
        <v>46023</v>
      </c>
      <c r="E13" s="66"/>
      <c r="F13" s="60" t="s">
        <v>701</v>
      </c>
      <c r="G13" s="67">
        <v>2000</v>
      </c>
      <c r="H13" s="60" t="s">
        <v>571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  <c r="AA13" s="1">
        <f t="shared" si="13"/>
        <v>1</v>
      </c>
    </row>
    <row r="14" spans="1:27" ht="18" customHeight="1" x14ac:dyDescent="0.3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585</v>
      </c>
      <c r="D14" s="66">
        <v>46023</v>
      </c>
      <c r="E14" s="66"/>
      <c r="F14" s="60" t="s">
        <v>701</v>
      </c>
      <c r="G14" s="67">
        <v>2500</v>
      </c>
      <c r="H14" s="60" t="s">
        <v>571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  <c r="AA14" s="1">
        <f t="shared" si="13"/>
        <v>1</v>
      </c>
    </row>
    <row r="15" spans="1:27" ht="18" customHeight="1" x14ac:dyDescent="0.3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587</v>
      </c>
      <c r="D15" s="66">
        <v>46023</v>
      </c>
      <c r="E15" s="66"/>
      <c r="F15" s="60" t="s">
        <v>700</v>
      </c>
      <c r="G15" s="67">
        <v>7500</v>
      </c>
      <c r="H15" s="60" t="s">
        <v>571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  <c r="AA15" s="1">
        <f t="shared" si="13"/>
        <v>1</v>
      </c>
    </row>
    <row r="16" spans="1:27" ht="18" customHeight="1" x14ac:dyDescent="0.3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591</v>
      </c>
      <c r="D16" s="66">
        <v>46023</v>
      </c>
      <c r="E16" s="66"/>
      <c r="F16" s="60" t="s">
        <v>700</v>
      </c>
      <c r="G16" s="67">
        <v>4000</v>
      </c>
      <c r="H16" s="60" t="s">
        <v>571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  <c r="AA16" s="1">
        <f t="shared" si="13"/>
        <v>1</v>
      </c>
    </row>
    <row r="17" spans="1:27" ht="18" customHeight="1" x14ac:dyDescent="0.3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589</v>
      </c>
      <c r="D17" s="66">
        <v>46023</v>
      </c>
      <c r="E17" s="66"/>
      <c r="F17" s="60" t="s">
        <v>701</v>
      </c>
      <c r="G17" s="67">
        <v>3000</v>
      </c>
      <c r="H17" s="60" t="s">
        <v>571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  <c r="AA17" s="1">
        <f t="shared" si="13"/>
        <v>1</v>
      </c>
    </row>
    <row r="18" spans="1:27" ht="18" customHeight="1" x14ac:dyDescent="0.3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593</v>
      </c>
      <c r="D18" s="66">
        <v>46023</v>
      </c>
      <c r="E18" s="66">
        <v>46248</v>
      </c>
      <c r="F18" s="60" t="s">
        <v>701</v>
      </c>
      <c r="G18" s="67">
        <v>2500</v>
      </c>
      <c r="H18" s="60" t="s">
        <v>638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  <c r="AA18" s="1">
        <f t="shared" si="13"/>
        <v>0</v>
      </c>
    </row>
    <row r="19" spans="1:27" ht="18" customHeight="1" x14ac:dyDescent="0.3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595</v>
      </c>
      <c r="D19" s="66">
        <v>46023</v>
      </c>
      <c r="E19" s="66"/>
      <c r="F19" s="60" t="s">
        <v>700</v>
      </c>
      <c r="G19" s="67">
        <v>10000</v>
      </c>
      <c r="H19" s="60" t="s">
        <v>571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  <c r="AA19" s="1">
        <f t="shared" si="13"/>
        <v>1</v>
      </c>
    </row>
    <row r="20" spans="1:27" ht="18" customHeight="1" x14ac:dyDescent="0.3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597</v>
      </c>
      <c r="D20" s="66">
        <v>46039</v>
      </c>
      <c r="E20" s="66">
        <v>46109</v>
      </c>
      <c r="F20" s="60" t="s">
        <v>701</v>
      </c>
      <c r="G20" s="67">
        <v>3000</v>
      </c>
      <c r="H20" s="60" t="s">
        <v>638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  <c r="AA20" s="1">
        <f t="shared" si="13"/>
        <v>0</v>
      </c>
    </row>
    <row r="21" spans="1:27" ht="18" customHeight="1" x14ac:dyDescent="0.3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599</v>
      </c>
      <c r="D21" s="66">
        <v>46023</v>
      </c>
      <c r="E21" s="66"/>
      <c r="F21" s="60" t="s">
        <v>700</v>
      </c>
      <c r="G21" s="67">
        <v>2000</v>
      </c>
      <c r="H21" s="60" t="s">
        <v>571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  <c r="AA21" s="1">
        <f t="shared" si="13"/>
        <v>1</v>
      </c>
    </row>
    <row r="22" spans="1:27" ht="18" customHeight="1" x14ac:dyDescent="0.3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601</v>
      </c>
      <c r="D22" s="66">
        <v>46023</v>
      </c>
      <c r="E22" s="66"/>
      <c r="F22" s="60" t="s">
        <v>701</v>
      </c>
      <c r="G22" s="67">
        <v>3500</v>
      </c>
      <c r="H22" s="60" t="s">
        <v>571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  <c r="AA22" s="1">
        <f t="shared" si="13"/>
        <v>1</v>
      </c>
    </row>
    <row r="23" spans="1:27" ht="18" customHeight="1" x14ac:dyDescent="0.3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603</v>
      </c>
      <c r="D23" s="66">
        <v>46023</v>
      </c>
      <c r="E23" s="66"/>
      <c r="F23" s="60" t="s">
        <v>700</v>
      </c>
      <c r="G23" s="67">
        <v>2000</v>
      </c>
      <c r="H23" s="60" t="s">
        <v>571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  <c r="AA23" s="1">
        <f t="shared" si="13"/>
        <v>1</v>
      </c>
    </row>
    <row r="24" spans="1:27" ht="18" customHeight="1" x14ac:dyDescent="0.3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605</v>
      </c>
      <c r="D24" s="66">
        <v>46023</v>
      </c>
      <c r="E24" s="66">
        <v>46115</v>
      </c>
      <c r="F24" s="60" t="s">
        <v>701</v>
      </c>
      <c r="G24" s="67">
        <v>2000</v>
      </c>
      <c r="H24" s="60" t="s">
        <v>638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  <c r="AA24" s="1">
        <f t="shared" si="13"/>
        <v>0</v>
      </c>
    </row>
    <row r="25" spans="1:27" ht="18" customHeight="1" x14ac:dyDescent="0.3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607</v>
      </c>
      <c r="D25" s="66">
        <v>46023</v>
      </c>
      <c r="E25" s="66"/>
      <c r="F25" s="60" t="s">
        <v>700</v>
      </c>
      <c r="G25" s="67">
        <v>3000</v>
      </c>
      <c r="H25" s="60" t="s">
        <v>571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  <c r="AA25" s="1">
        <f t="shared" si="13"/>
        <v>1</v>
      </c>
    </row>
    <row r="26" spans="1:27" ht="18" customHeight="1" x14ac:dyDescent="0.3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609</v>
      </c>
      <c r="D26" s="66">
        <v>46023</v>
      </c>
      <c r="E26" s="66"/>
      <c r="F26" s="60" t="s">
        <v>700</v>
      </c>
      <c r="G26" s="67">
        <v>1000</v>
      </c>
      <c r="H26" s="60" t="s">
        <v>571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  <c r="AA26" s="1">
        <f t="shared" si="13"/>
        <v>1</v>
      </c>
    </row>
    <row r="27" spans="1:27" ht="18" customHeight="1" x14ac:dyDescent="0.3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617</v>
      </c>
      <c r="D27" s="66">
        <v>46023</v>
      </c>
      <c r="E27" s="66"/>
      <c r="F27" s="60" t="s">
        <v>700</v>
      </c>
      <c r="G27" s="67">
        <v>7500</v>
      </c>
      <c r="H27" s="60" t="s">
        <v>571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  <c r="AA27" s="1">
        <f t="shared" si="13"/>
        <v>1</v>
      </c>
    </row>
    <row r="28" spans="1:27" ht="18" customHeight="1" x14ac:dyDescent="0.3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611</v>
      </c>
      <c r="D28" s="66">
        <v>46023</v>
      </c>
      <c r="E28" s="66">
        <v>46081</v>
      </c>
      <c r="F28" s="60" t="s">
        <v>701</v>
      </c>
      <c r="G28" s="67">
        <v>1500</v>
      </c>
      <c r="H28" s="60" t="s">
        <v>638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  <c r="AA28" s="1">
        <f t="shared" si="13"/>
        <v>0</v>
      </c>
    </row>
    <row r="29" spans="1:27" ht="18" customHeight="1" x14ac:dyDescent="0.3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613</v>
      </c>
      <c r="D29" s="66">
        <v>46023</v>
      </c>
      <c r="E29" s="66">
        <v>46112</v>
      </c>
      <c r="F29" s="60" t="s">
        <v>701</v>
      </c>
      <c r="G29" s="67">
        <v>2000</v>
      </c>
      <c r="H29" s="60" t="s">
        <v>638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  <c r="AA29" s="1">
        <f t="shared" si="13"/>
        <v>0</v>
      </c>
    </row>
    <row r="30" spans="1:27" ht="18" customHeight="1" x14ac:dyDescent="0.3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615</v>
      </c>
      <c r="D30" s="66">
        <v>46023</v>
      </c>
      <c r="E30" s="66"/>
      <c r="F30" s="60" t="s">
        <v>700</v>
      </c>
      <c r="G30" s="67">
        <v>3500</v>
      </c>
      <c r="H30" s="60" t="s">
        <v>571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  <c r="AA30" s="1">
        <f t="shared" si="13"/>
        <v>1</v>
      </c>
    </row>
    <row r="31" spans="1:27" ht="18" customHeight="1" x14ac:dyDescent="0.3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619</v>
      </c>
      <c r="D31" s="66">
        <v>46023</v>
      </c>
      <c r="E31" s="66"/>
      <c r="F31" s="60" t="s">
        <v>700</v>
      </c>
      <c r="G31" s="67">
        <v>4000</v>
      </c>
      <c r="H31" s="60" t="s">
        <v>571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  <c r="AA31" s="1">
        <f t="shared" si="13"/>
        <v>1</v>
      </c>
    </row>
    <row r="32" spans="1:27" ht="18" customHeight="1" x14ac:dyDescent="0.3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621</v>
      </c>
      <c r="D32" s="66">
        <v>46023</v>
      </c>
      <c r="E32" s="66"/>
      <c r="F32" s="60" t="s">
        <v>701</v>
      </c>
      <c r="G32" s="67">
        <v>2500</v>
      </c>
      <c r="H32" s="60" t="s">
        <v>571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  <c r="AA32" s="1">
        <f t="shared" si="13"/>
        <v>1</v>
      </c>
    </row>
    <row r="33" spans="1:27" ht="18" customHeight="1" x14ac:dyDescent="0.3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623</v>
      </c>
      <c r="D33" s="66">
        <v>46023</v>
      </c>
      <c r="E33" s="66"/>
      <c r="F33" s="60" t="s">
        <v>701</v>
      </c>
      <c r="G33" s="67">
        <v>3000</v>
      </c>
      <c r="H33" s="60" t="s">
        <v>571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  <c r="AA33" s="1">
        <f t="shared" si="13"/>
        <v>1</v>
      </c>
    </row>
    <row r="34" spans="1:27" ht="18" customHeight="1" x14ac:dyDescent="0.3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625</v>
      </c>
      <c r="D34" s="66">
        <v>46023</v>
      </c>
      <c r="E34" s="66"/>
      <c r="F34" s="60" t="s">
        <v>700</v>
      </c>
      <c r="G34" s="67">
        <v>2000</v>
      </c>
      <c r="H34" s="60" t="s">
        <v>571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  <c r="AA34" s="1">
        <f t="shared" si="13"/>
        <v>1</v>
      </c>
    </row>
    <row r="35" spans="1:27" ht="18" customHeight="1" x14ac:dyDescent="0.3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627</v>
      </c>
      <c r="D35" s="66">
        <v>46023</v>
      </c>
      <c r="E35" s="66"/>
      <c r="F35" s="60" t="s">
        <v>700</v>
      </c>
      <c r="G35" s="67">
        <v>3000</v>
      </c>
      <c r="H35" s="60" t="s">
        <v>571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  <c r="AA35" s="1">
        <f t="shared" si="13"/>
        <v>1</v>
      </c>
    </row>
    <row r="36" spans="1:27" ht="18" customHeight="1" x14ac:dyDescent="0.3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629</v>
      </c>
      <c r="D36" s="66">
        <v>46023</v>
      </c>
      <c r="E36" s="66"/>
      <c r="F36" s="60" t="s">
        <v>700</v>
      </c>
      <c r="G36" s="67">
        <v>3000</v>
      </c>
      <c r="H36" s="60" t="s">
        <v>571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  <c r="AA36" s="1">
        <f t="shared" si="13"/>
        <v>1</v>
      </c>
    </row>
    <row r="37" spans="1:27" ht="18" customHeight="1" x14ac:dyDescent="0.3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631</v>
      </c>
      <c r="D37" s="66">
        <v>46023</v>
      </c>
      <c r="E37" s="66"/>
      <c r="F37" s="60" t="s">
        <v>700</v>
      </c>
      <c r="G37" s="67">
        <v>1500</v>
      </c>
      <c r="H37" s="60" t="s">
        <v>571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  <c r="AA37" s="1">
        <f t="shared" si="13"/>
        <v>1</v>
      </c>
    </row>
    <row r="38" spans="1:27" ht="18" customHeight="1" x14ac:dyDescent="0.3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633</v>
      </c>
      <c r="D38" s="66">
        <v>46174</v>
      </c>
      <c r="E38" s="66"/>
      <c r="F38" s="60" t="s">
        <v>700</v>
      </c>
      <c r="G38" s="67">
        <v>5000</v>
      </c>
      <c r="H38" s="60" t="s">
        <v>571</v>
      </c>
      <c r="I38" s="68">
        <f t="shared" ca="1" si="0"/>
        <v>10000</v>
      </c>
      <c r="J38" s="68">
        <f t="shared" ca="1" si="1"/>
        <v>10000</v>
      </c>
      <c r="K38" s="68">
        <f t="shared" ca="1" si="2"/>
        <v>10000</v>
      </c>
      <c r="L38" s="68">
        <f t="shared" ca="1" si="3"/>
        <v>5000</v>
      </c>
      <c r="M38" s="69">
        <f t="shared" ca="1" si="4"/>
        <v>2</v>
      </c>
      <c r="N38" s="65" t="str">
        <f t="shared" si="5"/>
        <v>UYGUN</v>
      </c>
      <c r="O38" s="70">
        <f>IF(OR($C38="",$D38="",$F38=""),"",IF($F38="Aylık",EOMONTH($D38,0),($D38+MOD(SISTEM!$F$8-WEEKDAY($D38,2),7))))</f>
        <v>46203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46203</v>
      </c>
      <c r="V38" s="1">
        <f t="shared" si="8"/>
        <v>2958465</v>
      </c>
      <c r="W38" s="1">
        <f t="shared" si="9"/>
        <v>2</v>
      </c>
      <c r="X38" s="1">
        <f t="shared" si="10"/>
        <v>1518</v>
      </c>
      <c r="Y38" s="1">
        <f t="shared" si="11"/>
        <v>97200</v>
      </c>
      <c r="Z38" s="1">
        <f t="shared" si="12"/>
        <v>1</v>
      </c>
      <c r="AA38" s="1">
        <f t="shared" si="13"/>
        <v>1</v>
      </c>
    </row>
    <row r="39" spans="1:27" ht="18" customHeight="1" x14ac:dyDescent="0.3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635</v>
      </c>
      <c r="D39" s="66">
        <v>46023</v>
      </c>
      <c r="E39" s="66"/>
      <c r="F39" s="60" t="s">
        <v>701</v>
      </c>
      <c r="G39" s="67">
        <v>3500</v>
      </c>
      <c r="H39" s="60" t="s">
        <v>571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  <c r="AA39" s="1">
        <f t="shared" si="13"/>
        <v>1</v>
      </c>
    </row>
    <row r="40" spans="1:27" ht="18" customHeight="1" x14ac:dyDescent="0.3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637</v>
      </c>
      <c r="D40" s="66">
        <v>46023</v>
      </c>
      <c r="E40" s="66"/>
      <c r="F40" s="60" t="s">
        <v>700</v>
      </c>
      <c r="G40" s="67">
        <v>1</v>
      </c>
      <c r="H40" s="60" t="s">
        <v>571</v>
      </c>
      <c r="I40" s="68">
        <f t="shared" ca="1" si="0"/>
        <v>7</v>
      </c>
      <c r="J40" s="68">
        <f t="shared" ca="1" si="1"/>
        <v>7</v>
      </c>
      <c r="K40" s="68">
        <f t="shared" ca="1" si="2"/>
        <v>7</v>
      </c>
      <c r="L40" s="68">
        <f t="shared" ca="1" si="3"/>
        <v>6</v>
      </c>
      <c r="M40" s="69">
        <f t="shared" ca="1" si="4"/>
        <v>7</v>
      </c>
      <c r="N40" s="65" t="str">
        <f t="shared" si="5"/>
        <v>UYGUN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  <c r="AA40" s="1">
        <f t="shared" si="13"/>
        <v>1</v>
      </c>
    </row>
    <row r="41" spans="1:27" ht="18" customHeight="1" x14ac:dyDescent="0.3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640</v>
      </c>
      <c r="D41" s="66">
        <v>46023</v>
      </c>
      <c r="E41" s="66"/>
      <c r="F41" s="60" t="s">
        <v>700</v>
      </c>
      <c r="G41" s="67">
        <v>3000</v>
      </c>
      <c r="H41" s="60" t="s">
        <v>571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  <c r="AA41" s="1">
        <f t="shared" si="13"/>
        <v>1</v>
      </c>
    </row>
    <row r="42" spans="1:27" ht="18" customHeight="1" x14ac:dyDescent="0.3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642</v>
      </c>
      <c r="D42" s="66">
        <v>46023</v>
      </c>
      <c r="E42" s="66"/>
      <c r="F42" s="60" t="s">
        <v>700</v>
      </c>
      <c r="G42" s="67">
        <v>2000</v>
      </c>
      <c r="H42" s="60" t="s">
        <v>571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  <c r="AA42" s="1">
        <f t="shared" si="13"/>
        <v>1</v>
      </c>
    </row>
    <row r="43" spans="1:27" ht="18" customHeight="1" x14ac:dyDescent="0.3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644</v>
      </c>
      <c r="D43" s="66">
        <v>46023</v>
      </c>
      <c r="E43" s="66"/>
      <c r="F43" s="60" t="s">
        <v>701</v>
      </c>
      <c r="G43" s="67">
        <v>2000</v>
      </c>
      <c r="H43" s="60" t="s">
        <v>571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  <c r="AA43" s="1">
        <f t="shared" si="13"/>
        <v>1</v>
      </c>
    </row>
    <row r="44" spans="1:27" ht="18" customHeight="1" x14ac:dyDescent="0.3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646</v>
      </c>
      <c r="D44" s="66">
        <v>46023</v>
      </c>
      <c r="E44" s="66"/>
      <c r="F44" s="60" t="s">
        <v>700</v>
      </c>
      <c r="G44" s="67">
        <v>7500</v>
      </c>
      <c r="H44" s="60" t="s">
        <v>571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  <c r="AA44" s="1">
        <f t="shared" si="13"/>
        <v>1</v>
      </c>
    </row>
    <row r="45" spans="1:27" ht="18" customHeight="1" x14ac:dyDescent="0.3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648</v>
      </c>
      <c r="D45" s="66">
        <v>46143</v>
      </c>
      <c r="E45" s="66"/>
      <c r="F45" s="60" t="s">
        <v>700</v>
      </c>
      <c r="G45" s="67">
        <v>3500</v>
      </c>
      <c r="H45" s="60" t="s">
        <v>571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  <c r="AA45" s="1">
        <f t="shared" si="13"/>
        <v>1</v>
      </c>
    </row>
    <row r="46" spans="1:27" ht="18" customHeight="1" x14ac:dyDescent="0.3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650</v>
      </c>
      <c r="D46" s="66">
        <v>46023</v>
      </c>
      <c r="E46" s="66"/>
      <c r="F46" s="60" t="s">
        <v>701</v>
      </c>
      <c r="G46" s="67">
        <v>4000</v>
      </c>
      <c r="H46" s="60" t="s">
        <v>571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  <c r="AA46" s="1">
        <f t="shared" si="13"/>
        <v>1</v>
      </c>
    </row>
    <row r="47" spans="1:27" ht="18" customHeight="1" x14ac:dyDescent="0.3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652</v>
      </c>
      <c r="D47" s="66">
        <v>46023</v>
      </c>
      <c r="E47" s="66"/>
      <c r="F47" s="60" t="s">
        <v>701</v>
      </c>
      <c r="G47" s="67">
        <v>4000</v>
      </c>
      <c r="H47" s="60" t="s">
        <v>571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  <c r="AA47" s="1">
        <f t="shared" si="13"/>
        <v>1</v>
      </c>
    </row>
    <row r="48" spans="1:27" ht="18" customHeight="1" x14ac:dyDescent="0.3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654</v>
      </c>
      <c r="D48" s="66">
        <v>46023</v>
      </c>
      <c r="E48" s="66">
        <v>46178</v>
      </c>
      <c r="F48" s="60" t="s">
        <v>701</v>
      </c>
      <c r="G48" s="67">
        <v>4000</v>
      </c>
      <c r="H48" s="60" t="s">
        <v>638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  <c r="AA48" s="1">
        <f t="shared" si="13"/>
        <v>0</v>
      </c>
    </row>
    <row r="49" spans="1:27" ht="18" customHeight="1" x14ac:dyDescent="0.3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656</v>
      </c>
      <c r="D49" s="66">
        <v>46023</v>
      </c>
      <c r="E49" s="66"/>
      <c r="F49" s="60" t="s">
        <v>700</v>
      </c>
      <c r="G49" s="67">
        <v>3000</v>
      </c>
      <c r="H49" s="60" t="s">
        <v>571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  <c r="AA49" s="1">
        <f t="shared" si="13"/>
        <v>1</v>
      </c>
    </row>
    <row r="50" spans="1:27" ht="18" customHeight="1" x14ac:dyDescent="0.3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658</v>
      </c>
      <c r="D50" s="66">
        <v>46023</v>
      </c>
      <c r="E50" s="66"/>
      <c r="F50" s="60" t="s">
        <v>701</v>
      </c>
      <c r="G50" s="67">
        <v>3000</v>
      </c>
      <c r="H50" s="60" t="s">
        <v>571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  <c r="AA50" s="1">
        <f t="shared" si="13"/>
        <v>1</v>
      </c>
    </row>
    <row r="51" spans="1:27" ht="18" customHeight="1" x14ac:dyDescent="0.3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660</v>
      </c>
      <c r="D51" s="66">
        <v>46023</v>
      </c>
      <c r="E51" s="66">
        <v>46173</v>
      </c>
      <c r="F51" s="60" t="s">
        <v>700</v>
      </c>
      <c r="G51" s="67">
        <v>2000</v>
      </c>
      <c r="H51" s="60" t="s">
        <v>638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  <c r="AA51" s="1">
        <f t="shared" si="13"/>
        <v>0</v>
      </c>
    </row>
    <row r="52" spans="1:27" ht="18" customHeight="1" x14ac:dyDescent="0.3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662</v>
      </c>
      <c r="D52" s="66">
        <v>46235</v>
      </c>
      <c r="E52" s="66"/>
      <c r="F52" s="60" t="s">
        <v>701</v>
      </c>
      <c r="G52" s="67">
        <v>3000</v>
      </c>
      <c r="H52" s="60" t="s">
        <v>571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  <c r="AA52" s="1">
        <f t="shared" si="13"/>
        <v>1</v>
      </c>
    </row>
    <row r="53" spans="1:27" ht="18" customHeight="1" x14ac:dyDescent="0.3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664</v>
      </c>
      <c r="D53" s="66">
        <v>46023</v>
      </c>
      <c r="E53" s="66"/>
      <c r="F53" s="60" t="s">
        <v>701</v>
      </c>
      <c r="G53" s="67">
        <v>4000</v>
      </c>
      <c r="H53" s="60" t="s">
        <v>571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  <c r="AA53" s="1">
        <f t="shared" si="13"/>
        <v>1</v>
      </c>
    </row>
    <row r="54" spans="1:27" ht="18" customHeight="1" x14ac:dyDescent="0.3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666</v>
      </c>
      <c r="D54" s="66">
        <v>46023</v>
      </c>
      <c r="E54" s="66"/>
      <c r="F54" s="60" t="s">
        <v>701</v>
      </c>
      <c r="G54" s="67">
        <v>4000</v>
      </c>
      <c r="H54" s="60" t="s">
        <v>571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  <c r="AA54" s="1">
        <f t="shared" si="13"/>
        <v>1</v>
      </c>
    </row>
    <row r="55" spans="1:27" ht="18" customHeight="1" x14ac:dyDescent="0.3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668</v>
      </c>
      <c r="D55" s="66">
        <v>46023</v>
      </c>
      <c r="E55" s="66"/>
      <c r="F55" s="60" t="s">
        <v>700</v>
      </c>
      <c r="G55" s="67">
        <v>3000</v>
      </c>
      <c r="H55" s="60" t="s">
        <v>571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  <c r="AA55" s="1">
        <f t="shared" si="13"/>
        <v>1</v>
      </c>
    </row>
    <row r="56" spans="1:27" ht="18" customHeight="1" x14ac:dyDescent="0.3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670</v>
      </c>
      <c r="D56" s="66">
        <v>46204</v>
      </c>
      <c r="E56" s="66"/>
      <c r="F56" s="60" t="s">
        <v>700</v>
      </c>
      <c r="G56" s="67">
        <v>10000</v>
      </c>
      <c r="H56" s="60" t="s">
        <v>571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  <c r="AA56" s="1">
        <f t="shared" si="13"/>
        <v>1</v>
      </c>
    </row>
    <row r="57" spans="1:27" ht="18" customHeight="1" x14ac:dyDescent="0.3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672</v>
      </c>
      <c r="D57" s="66">
        <v>46023</v>
      </c>
      <c r="E57" s="66"/>
      <c r="F57" s="60" t="s">
        <v>701</v>
      </c>
      <c r="G57" s="67">
        <v>1000</v>
      </c>
      <c r="H57" s="60" t="s">
        <v>571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  <c r="AA57" s="1">
        <f t="shared" si="13"/>
        <v>1</v>
      </c>
    </row>
    <row r="58" spans="1:27" ht="18" customHeight="1" x14ac:dyDescent="0.3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674</v>
      </c>
      <c r="D58" s="66">
        <v>46023</v>
      </c>
      <c r="E58" s="66">
        <v>46203</v>
      </c>
      <c r="F58" s="60" t="s">
        <v>701</v>
      </c>
      <c r="G58" s="67">
        <v>4000</v>
      </c>
      <c r="H58" s="60" t="s">
        <v>638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  <c r="AA58" s="1">
        <f t="shared" si="13"/>
        <v>0</v>
      </c>
    </row>
    <row r="59" spans="1:27" ht="18" customHeight="1" x14ac:dyDescent="0.3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676</v>
      </c>
      <c r="D59" s="66">
        <v>46023</v>
      </c>
      <c r="E59" s="66"/>
      <c r="F59" s="60" t="s">
        <v>700</v>
      </c>
      <c r="G59" s="67">
        <v>10000</v>
      </c>
      <c r="H59" s="60" t="s">
        <v>571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  <c r="AA59" s="1">
        <f t="shared" si="13"/>
        <v>1</v>
      </c>
    </row>
    <row r="60" spans="1:27" ht="18" customHeight="1" x14ac:dyDescent="0.3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678</v>
      </c>
      <c r="D60" s="66">
        <v>46023</v>
      </c>
      <c r="E60" s="66"/>
      <c r="F60" s="60" t="s">
        <v>701</v>
      </c>
      <c r="G60" s="67">
        <v>3000</v>
      </c>
      <c r="H60" s="60" t="s">
        <v>571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  <c r="AA60" s="1">
        <f t="shared" si="13"/>
        <v>1</v>
      </c>
    </row>
    <row r="61" spans="1:27" ht="18" customHeight="1" x14ac:dyDescent="0.3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680</v>
      </c>
      <c r="D61" s="66">
        <v>46023</v>
      </c>
      <c r="E61" s="66"/>
      <c r="F61" s="60" t="s">
        <v>701</v>
      </c>
      <c r="G61" s="67">
        <v>1750</v>
      </c>
      <c r="H61" s="60" t="s">
        <v>571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  <c r="AA61" s="1">
        <f t="shared" si="13"/>
        <v>1</v>
      </c>
    </row>
    <row r="62" spans="1:27" ht="18" customHeight="1" x14ac:dyDescent="0.3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593</v>
      </c>
      <c r="D62" s="66">
        <v>46249</v>
      </c>
      <c r="E62" s="66"/>
      <c r="F62" s="60" t="s">
        <v>701</v>
      </c>
      <c r="G62" s="67">
        <v>4000</v>
      </c>
      <c r="H62" s="60" t="s">
        <v>571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  <c r="AA62" s="1">
        <f t="shared" si="13"/>
        <v>1</v>
      </c>
    </row>
    <row r="63" spans="1:27" ht="18" customHeight="1" x14ac:dyDescent="0.3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597</v>
      </c>
      <c r="D63" s="66">
        <v>46110</v>
      </c>
      <c r="E63" s="66"/>
      <c r="F63" s="60" t="s">
        <v>701</v>
      </c>
      <c r="G63" s="67">
        <v>4000</v>
      </c>
      <c r="H63" s="60" t="s">
        <v>571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  <c r="AA63" s="1">
        <f t="shared" si="13"/>
        <v>1</v>
      </c>
    </row>
    <row r="64" spans="1:27" ht="18" customHeight="1" x14ac:dyDescent="0.3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605</v>
      </c>
      <c r="D64" s="66">
        <v>46116</v>
      </c>
      <c r="E64" s="66"/>
      <c r="F64" s="60" t="s">
        <v>701</v>
      </c>
      <c r="G64" s="67">
        <v>4000</v>
      </c>
      <c r="H64" s="60" t="s">
        <v>571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  <c r="AA64" s="1">
        <f t="shared" si="13"/>
        <v>1</v>
      </c>
    </row>
    <row r="65" spans="1:27" ht="18" customHeight="1" x14ac:dyDescent="0.3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611</v>
      </c>
      <c r="D65" s="66">
        <v>46082</v>
      </c>
      <c r="E65" s="66"/>
      <c r="F65" s="60" t="s">
        <v>701</v>
      </c>
      <c r="G65" s="67">
        <v>4000</v>
      </c>
      <c r="H65" s="60" t="s">
        <v>571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  <c r="AA65" s="1">
        <f t="shared" si="13"/>
        <v>1</v>
      </c>
    </row>
    <row r="66" spans="1:27" ht="18" customHeight="1" x14ac:dyDescent="0.3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613</v>
      </c>
      <c r="D66" s="66">
        <v>46113</v>
      </c>
      <c r="E66" s="66">
        <v>46173</v>
      </c>
      <c r="F66" s="60" t="s">
        <v>701</v>
      </c>
      <c r="G66" s="67">
        <v>4000</v>
      </c>
      <c r="H66" s="60" t="s">
        <v>638</v>
      </c>
      <c r="I66" s="68">
        <f t="shared" ca="1" si="0"/>
        <v>36000</v>
      </c>
      <c r="J66" s="68">
        <f t="shared" ca="1" si="1"/>
        <v>36000</v>
      </c>
      <c r="K66" s="68">
        <f t="shared" ca="1" si="2"/>
        <v>36000</v>
      </c>
      <c r="L66" s="68">
        <f t="shared" ca="1" si="3"/>
        <v>36000</v>
      </c>
      <c r="M66" s="69">
        <f t="shared" ca="1" si="4"/>
        <v>9</v>
      </c>
      <c r="N66" s="65" t="str">
        <f t="shared" si="5"/>
        <v>KAPALI DÖNEM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71">
        <f t="shared" si="8"/>
        <v>46173</v>
      </c>
      <c r="W66" s="1">
        <f t="shared" si="9"/>
        <v>1</v>
      </c>
      <c r="X66" s="1">
        <f t="shared" si="10"/>
        <v>1516</v>
      </c>
      <c r="Y66" s="1">
        <f t="shared" si="11"/>
        <v>1517</v>
      </c>
      <c r="Z66" s="1">
        <f t="shared" si="12"/>
        <v>1</v>
      </c>
      <c r="AA66" s="1">
        <f t="shared" si="13"/>
        <v>0</v>
      </c>
    </row>
    <row r="67" spans="1:27" ht="18" customHeight="1" x14ac:dyDescent="0.3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654</v>
      </c>
      <c r="D67" s="66">
        <v>46179</v>
      </c>
      <c r="E67" s="66"/>
      <c r="F67" s="60" t="s">
        <v>701</v>
      </c>
      <c r="G67" s="67">
        <v>5000</v>
      </c>
      <c r="H67" s="60" t="s">
        <v>571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  <c r="AA67" s="1">
        <f t="shared" si="13"/>
        <v>1</v>
      </c>
    </row>
    <row r="68" spans="1:27" ht="18" customHeight="1" x14ac:dyDescent="0.3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>M012</v>
      </c>
      <c r="C68" s="61" t="s">
        <v>613</v>
      </c>
      <c r="D68" s="66">
        <v>46174</v>
      </c>
      <c r="E68" s="66"/>
      <c r="F68" s="60" t="s">
        <v>701</v>
      </c>
      <c r="G68" s="67">
        <v>5000</v>
      </c>
      <c r="H68" s="60" t="s">
        <v>571</v>
      </c>
      <c r="I68" s="68">
        <f t="shared" ca="1" si="0"/>
        <v>60000</v>
      </c>
      <c r="J68" s="68">
        <f t="shared" ca="1" si="1"/>
        <v>55000</v>
      </c>
      <c r="K68" s="68">
        <f t="shared" ca="1" si="2"/>
        <v>50000</v>
      </c>
      <c r="L68" s="68">
        <f t="shared" ca="1" si="3"/>
        <v>40000</v>
      </c>
      <c r="M68" s="69">
        <f t="shared" ca="1" si="4"/>
        <v>12</v>
      </c>
      <c r="N68" s="65" t="str">
        <f t="shared" si="5"/>
        <v>UYGUN</v>
      </c>
      <c r="O68" s="70">
        <f>IF(OR($C68="",$D68="",$F68=""),"",IF($F68="Aylık",EOMONTH($D68,0),($D68+MOD(SISTEM!$F$8-WEEKDAY($D68,2),7))))</f>
        <v>46179</v>
      </c>
      <c r="P68" s="61"/>
      <c r="Q68" s="2"/>
      <c r="R68" s="2"/>
      <c r="S68" s="1" t="str">
        <f>IF($B68="","",$B68&amp;"|"&amp;COUNTIFS($B$7:$B68,$B68))</f>
        <v>M012|3</v>
      </c>
      <c r="T68" s="1" t="str">
        <f t="shared" si="6"/>
        <v>ILDESLTDSTI</v>
      </c>
      <c r="U68" s="71">
        <f t="shared" si="7"/>
        <v>46179</v>
      </c>
      <c r="V68" s="1">
        <f t="shared" si="8"/>
        <v>2958465</v>
      </c>
      <c r="W68" s="1">
        <f t="shared" si="9"/>
        <v>1</v>
      </c>
      <c r="X68" s="1">
        <f t="shared" si="10"/>
        <v>1518</v>
      </c>
      <c r="Y68" s="1">
        <f t="shared" si="11"/>
        <v>97200</v>
      </c>
      <c r="Z68" s="1">
        <f t="shared" si="12"/>
        <v>1</v>
      </c>
      <c r="AA68" s="1">
        <f t="shared" si="13"/>
        <v>1</v>
      </c>
    </row>
    <row r="69" spans="1:27" ht="18" customHeight="1" x14ac:dyDescent="0.3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  <c r="AA69" s="1">
        <f t="shared" si="13"/>
        <v>0</v>
      </c>
    </row>
    <row r="70" spans="1:27" ht="18" customHeight="1" x14ac:dyDescent="0.3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  <c r="AA70" s="1">
        <f t="shared" si="13"/>
        <v>0</v>
      </c>
    </row>
    <row r="71" spans="1:27" ht="18" customHeight="1" x14ac:dyDescent="0.3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4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5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6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7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8">IF($G71&gt;0,$I71/$G71,0)</f>
        <v>0</v>
      </c>
      <c r="N71" s="65" t="str">
        <f t="shared" ref="N71:N134" si="19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20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1">IF($O71="",0,$O71)</f>
        <v>0</v>
      </c>
      <c r="V71" s="1">
        <f t="shared" ref="V71:V134" si="22">IF($E71="",2958465,$E71)</f>
        <v>2958465</v>
      </c>
      <c r="W71" s="1">
        <f t="shared" ref="W71:W134" si="23">IF($F71="Haftalık",1,IF($F71="Aylık",2,0))</f>
        <v>0</v>
      </c>
      <c r="X71" s="1">
        <f t="shared" ref="X71:X134" si="24">IF($U71=0,0,(YEAR($U71)-1900)*12+MONTH($U71))</f>
        <v>0</v>
      </c>
      <c r="Y71" s="1">
        <f t="shared" ref="Y71:Y134" si="25">(YEAR($V71)-1900)*12+MONTH($V71)</f>
        <v>97200</v>
      </c>
      <c r="Z71" s="1">
        <f t="shared" ref="Z71:Z134" si="26">IF($V71=EOMONTH($V71,0),1,0)</f>
        <v>1</v>
      </c>
      <c r="AA71" s="1">
        <f t="shared" ref="AA71:AA134" si="27">IF(OR($B71="",$H71&lt;&gt;"Aktif"),0,COUNTIFS($B$7:$B$606,$B71,$H$7:$H$606,"Aktif"))</f>
        <v>0</v>
      </c>
    </row>
    <row r="72" spans="1:27" ht="18" customHeight="1" x14ac:dyDescent="0.3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4"/>
        <v>0</v>
      </c>
      <c r="J72" s="68">
        <f t="shared" ca="1" si="15"/>
        <v>0</v>
      </c>
      <c r="K72" s="68">
        <f t="shared" ca="1" si="16"/>
        <v>0</v>
      </c>
      <c r="L72" s="68">
        <f t="shared" ca="1" si="17"/>
        <v>0</v>
      </c>
      <c r="M72" s="69">
        <f t="shared" si="18"/>
        <v>0</v>
      </c>
      <c r="N72" s="65" t="str">
        <f t="shared" si="19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20"/>
        <v/>
      </c>
      <c r="U72" s="1">
        <f t="shared" si="21"/>
        <v>0</v>
      </c>
      <c r="V72" s="1">
        <f t="shared" si="22"/>
        <v>2958465</v>
      </c>
      <c r="W72" s="1">
        <f t="shared" si="23"/>
        <v>0</v>
      </c>
      <c r="X72" s="1">
        <f t="shared" si="24"/>
        <v>0</v>
      </c>
      <c r="Y72" s="1">
        <f t="shared" si="25"/>
        <v>97200</v>
      </c>
      <c r="Z72" s="1">
        <f t="shared" si="26"/>
        <v>1</v>
      </c>
      <c r="AA72" s="1">
        <f t="shared" si="27"/>
        <v>0</v>
      </c>
    </row>
    <row r="73" spans="1:27" ht="18" customHeight="1" x14ac:dyDescent="0.3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4"/>
        <v>0</v>
      </c>
      <c r="J73" s="68">
        <f t="shared" ca="1" si="15"/>
        <v>0</v>
      </c>
      <c r="K73" s="68">
        <f t="shared" ca="1" si="16"/>
        <v>0</v>
      </c>
      <c r="L73" s="68">
        <f t="shared" ca="1" si="17"/>
        <v>0</v>
      </c>
      <c r="M73" s="69">
        <f t="shared" si="18"/>
        <v>0</v>
      </c>
      <c r="N73" s="65" t="str">
        <f t="shared" si="19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20"/>
        <v/>
      </c>
      <c r="U73" s="1">
        <f t="shared" si="21"/>
        <v>0</v>
      </c>
      <c r="V73" s="1">
        <f t="shared" si="22"/>
        <v>2958465</v>
      </c>
      <c r="W73" s="1">
        <f t="shared" si="23"/>
        <v>0</v>
      </c>
      <c r="X73" s="1">
        <f t="shared" si="24"/>
        <v>0</v>
      </c>
      <c r="Y73" s="1">
        <f t="shared" si="25"/>
        <v>97200</v>
      </c>
      <c r="Z73" s="1">
        <f t="shared" si="26"/>
        <v>1</v>
      </c>
      <c r="AA73" s="1">
        <f t="shared" si="27"/>
        <v>0</v>
      </c>
    </row>
    <row r="74" spans="1:27" ht="18" customHeight="1" x14ac:dyDescent="0.3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4"/>
        <v>0</v>
      </c>
      <c r="J74" s="68">
        <f t="shared" ca="1" si="15"/>
        <v>0</v>
      </c>
      <c r="K74" s="68">
        <f t="shared" ca="1" si="16"/>
        <v>0</v>
      </c>
      <c r="L74" s="68">
        <f t="shared" ca="1" si="17"/>
        <v>0</v>
      </c>
      <c r="M74" s="69">
        <f t="shared" si="18"/>
        <v>0</v>
      </c>
      <c r="N74" s="65" t="str">
        <f t="shared" si="19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20"/>
        <v/>
      </c>
      <c r="U74" s="1">
        <f t="shared" si="21"/>
        <v>0</v>
      </c>
      <c r="V74" s="1">
        <f t="shared" si="22"/>
        <v>2958465</v>
      </c>
      <c r="W74" s="1">
        <f t="shared" si="23"/>
        <v>0</v>
      </c>
      <c r="X74" s="1">
        <f t="shared" si="24"/>
        <v>0</v>
      </c>
      <c r="Y74" s="1">
        <f t="shared" si="25"/>
        <v>97200</v>
      </c>
      <c r="Z74" s="1">
        <f t="shared" si="26"/>
        <v>1</v>
      </c>
      <c r="AA74" s="1">
        <f t="shared" si="27"/>
        <v>0</v>
      </c>
    </row>
    <row r="75" spans="1:27" ht="18" customHeight="1" x14ac:dyDescent="0.3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4"/>
        <v>0</v>
      </c>
      <c r="J75" s="68">
        <f t="shared" ca="1" si="15"/>
        <v>0</v>
      </c>
      <c r="K75" s="68">
        <f t="shared" ca="1" si="16"/>
        <v>0</v>
      </c>
      <c r="L75" s="68">
        <f t="shared" ca="1" si="17"/>
        <v>0</v>
      </c>
      <c r="M75" s="69">
        <f t="shared" si="18"/>
        <v>0</v>
      </c>
      <c r="N75" s="65" t="str">
        <f t="shared" si="19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20"/>
        <v/>
      </c>
      <c r="U75" s="1">
        <f t="shared" si="21"/>
        <v>0</v>
      </c>
      <c r="V75" s="1">
        <f t="shared" si="22"/>
        <v>2958465</v>
      </c>
      <c r="W75" s="1">
        <f t="shared" si="23"/>
        <v>0</v>
      </c>
      <c r="X75" s="1">
        <f t="shared" si="24"/>
        <v>0</v>
      </c>
      <c r="Y75" s="1">
        <f t="shared" si="25"/>
        <v>97200</v>
      </c>
      <c r="Z75" s="1">
        <f t="shared" si="26"/>
        <v>1</v>
      </c>
      <c r="AA75" s="1">
        <f t="shared" si="27"/>
        <v>0</v>
      </c>
    </row>
    <row r="76" spans="1:27" ht="18" customHeight="1" x14ac:dyDescent="0.3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4"/>
        <v>0</v>
      </c>
      <c r="J76" s="68">
        <f t="shared" ca="1" si="15"/>
        <v>0</v>
      </c>
      <c r="K76" s="68">
        <f t="shared" ca="1" si="16"/>
        <v>0</v>
      </c>
      <c r="L76" s="68">
        <f t="shared" ca="1" si="17"/>
        <v>0</v>
      </c>
      <c r="M76" s="69">
        <f t="shared" si="18"/>
        <v>0</v>
      </c>
      <c r="N76" s="65" t="str">
        <f t="shared" si="19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20"/>
        <v/>
      </c>
      <c r="U76" s="1">
        <f t="shared" si="21"/>
        <v>0</v>
      </c>
      <c r="V76" s="1">
        <f t="shared" si="22"/>
        <v>2958465</v>
      </c>
      <c r="W76" s="1">
        <f t="shared" si="23"/>
        <v>0</v>
      </c>
      <c r="X76" s="1">
        <f t="shared" si="24"/>
        <v>0</v>
      </c>
      <c r="Y76" s="1">
        <f t="shared" si="25"/>
        <v>97200</v>
      </c>
      <c r="Z76" s="1">
        <f t="shared" si="26"/>
        <v>1</v>
      </c>
      <c r="AA76" s="1">
        <f t="shared" si="27"/>
        <v>0</v>
      </c>
    </row>
    <row r="77" spans="1:27" ht="18" customHeight="1" x14ac:dyDescent="0.3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4"/>
        <v>0</v>
      </c>
      <c r="J77" s="68">
        <f t="shared" ca="1" si="15"/>
        <v>0</v>
      </c>
      <c r="K77" s="68">
        <f t="shared" ca="1" si="16"/>
        <v>0</v>
      </c>
      <c r="L77" s="68">
        <f t="shared" ca="1" si="17"/>
        <v>0</v>
      </c>
      <c r="M77" s="69">
        <f t="shared" si="18"/>
        <v>0</v>
      </c>
      <c r="N77" s="65" t="str">
        <f t="shared" si="19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20"/>
        <v/>
      </c>
      <c r="U77" s="1">
        <f t="shared" si="21"/>
        <v>0</v>
      </c>
      <c r="V77" s="1">
        <f t="shared" si="22"/>
        <v>2958465</v>
      </c>
      <c r="W77" s="1">
        <f t="shared" si="23"/>
        <v>0</v>
      </c>
      <c r="X77" s="1">
        <f t="shared" si="24"/>
        <v>0</v>
      </c>
      <c r="Y77" s="1">
        <f t="shared" si="25"/>
        <v>97200</v>
      </c>
      <c r="Z77" s="1">
        <f t="shared" si="26"/>
        <v>1</v>
      </c>
      <c r="AA77" s="1">
        <f t="shared" si="27"/>
        <v>0</v>
      </c>
    </row>
    <row r="78" spans="1:27" ht="18" customHeight="1" x14ac:dyDescent="0.3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4"/>
        <v>0</v>
      </c>
      <c r="J78" s="68">
        <f t="shared" ca="1" si="15"/>
        <v>0</v>
      </c>
      <c r="K78" s="68">
        <f t="shared" ca="1" si="16"/>
        <v>0</v>
      </c>
      <c r="L78" s="68">
        <f t="shared" ca="1" si="17"/>
        <v>0</v>
      </c>
      <c r="M78" s="69">
        <f t="shared" si="18"/>
        <v>0</v>
      </c>
      <c r="N78" s="65" t="str">
        <f t="shared" si="19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20"/>
        <v/>
      </c>
      <c r="U78" s="1">
        <f t="shared" si="21"/>
        <v>0</v>
      </c>
      <c r="V78" s="1">
        <f t="shared" si="22"/>
        <v>2958465</v>
      </c>
      <c r="W78" s="1">
        <f t="shared" si="23"/>
        <v>0</v>
      </c>
      <c r="X78" s="1">
        <f t="shared" si="24"/>
        <v>0</v>
      </c>
      <c r="Y78" s="1">
        <f t="shared" si="25"/>
        <v>97200</v>
      </c>
      <c r="Z78" s="1">
        <f t="shared" si="26"/>
        <v>1</v>
      </c>
      <c r="AA78" s="1">
        <f t="shared" si="27"/>
        <v>0</v>
      </c>
    </row>
    <row r="79" spans="1:27" ht="18" customHeight="1" x14ac:dyDescent="0.3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4"/>
        <v>0</v>
      </c>
      <c r="J79" s="68">
        <f t="shared" ca="1" si="15"/>
        <v>0</v>
      </c>
      <c r="K79" s="68">
        <f t="shared" ca="1" si="16"/>
        <v>0</v>
      </c>
      <c r="L79" s="68">
        <f t="shared" ca="1" si="17"/>
        <v>0</v>
      </c>
      <c r="M79" s="69">
        <f t="shared" si="18"/>
        <v>0</v>
      </c>
      <c r="N79" s="65" t="str">
        <f t="shared" si="19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20"/>
        <v/>
      </c>
      <c r="U79" s="1">
        <f t="shared" si="21"/>
        <v>0</v>
      </c>
      <c r="V79" s="1">
        <f t="shared" si="22"/>
        <v>2958465</v>
      </c>
      <c r="W79" s="1">
        <f t="shared" si="23"/>
        <v>0</v>
      </c>
      <c r="X79" s="1">
        <f t="shared" si="24"/>
        <v>0</v>
      </c>
      <c r="Y79" s="1">
        <f t="shared" si="25"/>
        <v>97200</v>
      </c>
      <c r="Z79" s="1">
        <f t="shared" si="26"/>
        <v>1</v>
      </c>
      <c r="AA79" s="1">
        <f t="shared" si="27"/>
        <v>0</v>
      </c>
    </row>
    <row r="80" spans="1:27" ht="18" customHeight="1" x14ac:dyDescent="0.3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4"/>
        <v>0</v>
      </c>
      <c r="J80" s="68">
        <f t="shared" ca="1" si="15"/>
        <v>0</v>
      </c>
      <c r="K80" s="68">
        <f t="shared" ca="1" si="16"/>
        <v>0</v>
      </c>
      <c r="L80" s="68">
        <f t="shared" ca="1" si="17"/>
        <v>0</v>
      </c>
      <c r="M80" s="69">
        <f t="shared" si="18"/>
        <v>0</v>
      </c>
      <c r="N80" s="65" t="str">
        <f t="shared" si="19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20"/>
        <v/>
      </c>
      <c r="U80" s="1">
        <f t="shared" si="21"/>
        <v>0</v>
      </c>
      <c r="V80" s="1">
        <f t="shared" si="22"/>
        <v>2958465</v>
      </c>
      <c r="W80" s="1">
        <f t="shared" si="23"/>
        <v>0</v>
      </c>
      <c r="X80" s="1">
        <f t="shared" si="24"/>
        <v>0</v>
      </c>
      <c r="Y80" s="1">
        <f t="shared" si="25"/>
        <v>97200</v>
      </c>
      <c r="Z80" s="1">
        <f t="shared" si="26"/>
        <v>1</v>
      </c>
      <c r="AA80" s="1">
        <f t="shared" si="27"/>
        <v>0</v>
      </c>
    </row>
    <row r="81" spans="1:27" ht="18" customHeight="1" x14ac:dyDescent="0.3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4"/>
        <v>0</v>
      </c>
      <c r="J81" s="68">
        <f t="shared" ca="1" si="15"/>
        <v>0</v>
      </c>
      <c r="K81" s="68">
        <f t="shared" ca="1" si="16"/>
        <v>0</v>
      </c>
      <c r="L81" s="68">
        <f t="shared" ca="1" si="17"/>
        <v>0</v>
      </c>
      <c r="M81" s="69">
        <f t="shared" si="18"/>
        <v>0</v>
      </c>
      <c r="N81" s="65" t="str">
        <f t="shared" si="19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20"/>
        <v/>
      </c>
      <c r="U81" s="1">
        <f t="shared" si="21"/>
        <v>0</v>
      </c>
      <c r="V81" s="1">
        <f t="shared" si="22"/>
        <v>2958465</v>
      </c>
      <c r="W81" s="1">
        <f t="shared" si="23"/>
        <v>0</v>
      </c>
      <c r="X81" s="1">
        <f t="shared" si="24"/>
        <v>0</v>
      </c>
      <c r="Y81" s="1">
        <f t="shared" si="25"/>
        <v>97200</v>
      </c>
      <c r="Z81" s="1">
        <f t="shared" si="26"/>
        <v>1</v>
      </c>
      <c r="AA81" s="1">
        <f t="shared" si="27"/>
        <v>0</v>
      </c>
    </row>
    <row r="82" spans="1:27" ht="18" customHeight="1" x14ac:dyDescent="0.3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4"/>
        <v>0</v>
      </c>
      <c r="J82" s="68">
        <f t="shared" ca="1" si="15"/>
        <v>0</v>
      </c>
      <c r="K82" s="68">
        <f t="shared" ca="1" si="16"/>
        <v>0</v>
      </c>
      <c r="L82" s="68">
        <f t="shared" ca="1" si="17"/>
        <v>0</v>
      </c>
      <c r="M82" s="69">
        <f t="shared" si="18"/>
        <v>0</v>
      </c>
      <c r="N82" s="65" t="str">
        <f t="shared" si="19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20"/>
        <v/>
      </c>
      <c r="U82" s="1">
        <f t="shared" si="21"/>
        <v>0</v>
      </c>
      <c r="V82" s="1">
        <f t="shared" si="22"/>
        <v>2958465</v>
      </c>
      <c r="W82" s="1">
        <f t="shared" si="23"/>
        <v>0</v>
      </c>
      <c r="X82" s="1">
        <f t="shared" si="24"/>
        <v>0</v>
      </c>
      <c r="Y82" s="1">
        <f t="shared" si="25"/>
        <v>97200</v>
      </c>
      <c r="Z82" s="1">
        <f t="shared" si="26"/>
        <v>1</v>
      </c>
      <c r="AA82" s="1">
        <f t="shared" si="27"/>
        <v>0</v>
      </c>
    </row>
    <row r="83" spans="1:27" ht="18" customHeight="1" x14ac:dyDescent="0.3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4"/>
        <v>0</v>
      </c>
      <c r="J83" s="68">
        <f t="shared" ca="1" si="15"/>
        <v>0</v>
      </c>
      <c r="K83" s="68">
        <f t="shared" ca="1" si="16"/>
        <v>0</v>
      </c>
      <c r="L83" s="68">
        <f t="shared" ca="1" si="17"/>
        <v>0</v>
      </c>
      <c r="M83" s="69">
        <f t="shared" si="18"/>
        <v>0</v>
      </c>
      <c r="N83" s="65" t="str">
        <f t="shared" si="19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20"/>
        <v/>
      </c>
      <c r="U83" s="1">
        <f t="shared" si="21"/>
        <v>0</v>
      </c>
      <c r="V83" s="1">
        <f t="shared" si="22"/>
        <v>2958465</v>
      </c>
      <c r="W83" s="1">
        <f t="shared" si="23"/>
        <v>0</v>
      </c>
      <c r="X83" s="1">
        <f t="shared" si="24"/>
        <v>0</v>
      </c>
      <c r="Y83" s="1">
        <f t="shared" si="25"/>
        <v>97200</v>
      </c>
      <c r="Z83" s="1">
        <f t="shared" si="26"/>
        <v>1</v>
      </c>
      <c r="AA83" s="1">
        <f t="shared" si="27"/>
        <v>0</v>
      </c>
    </row>
    <row r="84" spans="1:27" ht="18" customHeight="1" x14ac:dyDescent="0.3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4"/>
        <v>0</v>
      </c>
      <c r="J84" s="68">
        <f t="shared" ca="1" si="15"/>
        <v>0</v>
      </c>
      <c r="K84" s="68">
        <f t="shared" ca="1" si="16"/>
        <v>0</v>
      </c>
      <c r="L84" s="68">
        <f t="shared" ca="1" si="17"/>
        <v>0</v>
      </c>
      <c r="M84" s="69">
        <f t="shared" si="18"/>
        <v>0</v>
      </c>
      <c r="N84" s="65" t="str">
        <f t="shared" si="19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20"/>
        <v/>
      </c>
      <c r="U84" s="1">
        <f t="shared" si="21"/>
        <v>0</v>
      </c>
      <c r="V84" s="1">
        <f t="shared" si="22"/>
        <v>2958465</v>
      </c>
      <c r="W84" s="1">
        <f t="shared" si="23"/>
        <v>0</v>
      </c>
      <c r="X84" s="1">
        <f t="shared" si="24"/>
        <v>0</v>
      </c>
      <c r="Y84" s="1">
        <f t="shared" si="25"/>
        <v>97200</v>
      </c>
      <c r="Z84" s="1">
        <f t="shared" si="26"/>
        <v>1</v>
      </c>
      <c r="AA84" s="1">
        <f t="shared" si="27"/>
        <v>0</v>
      </c>
    </row>
    <row r="85" spans="1:27" ht="18" customHeight="1" x14ac:dyDescent="0.3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4"/>
        <v>0</v>
      </c>
      <c r="J85" s="68">
        <f t="shared" ca="1" si="15"/>
        <v>0</v>
      </c>
      <c r="K85" s="68">
        <f t="shared" ca="1" si="16"/>
        <v>0</v>
      </c>
      <c r="L85" s="68">
        <f t="shared" ca="1" si="17"/>
        <v>0</v>
      </c>
      <c r="M85" s="69">
        <f t="shared" si="18"/>
        <v>0</v>
      </c>
      <c r="N85" s="65" t="str">
        <f t="shared" si="19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20"/>
        <v/>
      </c>
      <c r="U85" s="1">
        <f t="shared" si="21"/>
        <v>0</v>
      </c>
      <c r="V85" s="1">
        <f t="shared" si="22"/>
        <v>2958465</v>
      </c>
      <c r="W85" s="1">
        <f t="shared" si="23"/>
        <v>0</v>
      </c>
      <c r="X85" s="1">
        <f t="shared" si="24"/>
        <v>0</v>
      </c>
      <c r="Y85" s="1">
        <f t="shared" si="25"/>
        <v>97200</v>
      </c>
      <c r="Z85" s="1">
        <f t="shared" si="26"/>
        <v>1</v>
      </c>
      <c r="AA85" s="1">
        <f t="shared" si="27"/>
        <v>0</v>
      </c>
    </row>
    <row r="86" spans="1:27" ht="18" customHeight="1" x14ac:dyDescent="0.3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4"/>
        <v>0</v>
      </c>
      <c r="J86" s="68">
        <f t="shared" ca="1" si="15"/>
        <v>0</v>
      </c>
      <c r="K86" s="68">
        <f t="shared" ca="1" si="16"/>
        <v>0</v>
      </c>
      <c r="L86" s="68">
        <f t="shared" ca="1" si="17"/>
        <v>0</v>
      </c>
      <c r="M86" s="69">
        <f t="shared" si="18"/>
        <v>0</v>
      </c>
      <c r="N86" s="65" t="str">
        <f t="shared" si="19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20"/>
        <v/>
      </c>
      <c r="U86" s="1">
        <f t="shared" si="21"/>
        <v>0</v>
      </c>
      <c r="V86" s="1">
        <f t="shared" si="22"/>
        <v>2958465</v>
      </c>
      <c r="W86" s="1">
        <f t="shared" si="23"/>
        <v>0</v>
      </c>
      <c r="X86" s="1">
        <f t="shared" si="24"/>
        <v>0</v>
      </c>
      <c r="Y86" s="1">
        <f t="shared" si="25"/>
        <v>97200</v>
      </c>
      <c r="Z86" s="1">
        <f t="shared" si="26"/>
        <v>1</v>
      </c>
      <c r="AA86" s="1">
        <f t="shared" si="27"/>
        <v>0</v>
      </c>
    </row>
    <row r="87" spans="1:27" ht="18" customHeight="1" x14ac:dyDescent="0.3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4"/>
        <v>0</v>
      </c>
      <c r="J87" s="68">
        <f t="shared" ca="1" si="15"/>
        <v>0</v>
      </c>
      <c r="K87" s="68">
        <f t="shared" ca="1" si="16"/>
        <v>0</v>
      </c>
      <c r="L87" s="68">
        <f t="shared" ca="1" si="17"/>
        <v>0</v>
      </c>
      <c r="M87" s="69">
        <f t="shared" si="18"/>
        <v>0</v>
      </c>
      <c r="N87" s="65" t="str">
        <f t="shared" si="19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20"/>
        <v/>
      </c>
      <c r="U87" s="1">
        <f t="shared" si="21"/>
        <v>0</v>
      </c>
      <c r="V87" s="1">
        <f t="shared" si="22"/>
        <v>2958465</v>
      </c>
      <c r="W87" s="1">
        <f t="shared" si="23"/>
        <v>0</v>
      </c>
      <c r="X87" s="1">
        <f t="shared" si="24"/>
        <v>0</v>
      </c>
      <c r="Y87" s="1">
        <f t="shared" si="25"/>
        <v>97200</v>
      </c>
      <c r="Z87" s="1">
        <f t="shared" si="26"/>
        <v>1</v>
      </c>
      <c r="AA87" s="1">
        <f t="shared" si="27"/>
        <v>0</v>
      </c>
    </row>
    <row r="88" spans="1:27" ht="18" customHeight="1" x14ac:dyDescent="0.3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4"/>
        <v>0</v>
      </c>
      <c r="J88" s="68">
        <f t="shared" ca="1" si="15"/>
        <v>0</v>
      </c>
      <c r="K88" s="68">
        <f t="shared" ca="1" si="16"/>
        <v>0</v>
      </c>
      <c r="L88" s="68">
        <f t="shared" ca="1" si="17"/>
        <v>0</v>
      </c>
      <c r="M88" s="69">
        <f t="shared" si="18"/>
        <v>0</v>
      </c>
      <c r="N88" s="65" t="str">
        <f t="shared" si="19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20"/>
        <v/>
      </c>
      <c r="U88" s="1">
        <f t="shared" si="21"/>
        <v>0</v>
      </c>
      <c r="V88" s="1">
        <f t="shared" si="22"/>
        <v>2958465</v>
      </c>
      <c r="W88" s="1">
        <f t="shared" si="23"/>
        <v>0</v>
      </c>
      <c r="X88" s="1">
        <f t="shared" si="24"/>
        <v>0</v>
      </c>
      <c r="Y88" s="1">
        <f t="shared" si="25"/>
        <v>97200</v>
      </c>
      <c r="Z88" s="1">
        <f t="shared" si="26"/>
        <v>1</v>
      </c>
      <c r="AA88" s="1">
        <f t="shared" si="27"/>
        <v>0</v>
      </c>
    </row>
    <row r="89" spans="1:27" ht="18" customHeight="1" x14ac:dyDescent="0.3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4"/>
        <v>0</v>
      </c>
      <c r="J89" s="68">
        <f t="shared" ca="1" si="15"/>
        <v>0</v>
      </c>
      <c r="K89" s="68">
        <f t="shared" ca="1" si="16"/>
        <v>0</v>
      </c>
      <c r="L89" s="68">
        <f t="shared" ca="1" si="17"/>
        <v>0</v>
      </c>
      <c r="M89" s="69">
        <f t="shared" si="18"/>
        <v>0</v>
      </c>
      <c r="N89" s="65" t="str">
        <f t="shared" si="19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20"/>
        <v/>
      </c>
      <c r="U89" s="1">
        <f t="shared" si="21"/>
        <v>0</v>
      </c>
      <c r="V89" s="1">
        <f t="shared" si="22"/>
        <v>2958465</v>
      </c>
      <c r="W89" s="1">
        <f t="shared" si="23"/>
        <v>0</v>
      </c>
      <c r="X89" s="1">
        <f t="shared" si="24"/>
        <v>0</v>
      </c>
      <c r="Y89" s="1">
        <f t="shared" si="25"/>
        <v>97200</v>
      </c>
      <c r="Z89" s="1">
        <f t="shared" si="26"/>
        <v>1</v>
      </c>
      <c r="AA89" s="1">
        <f t="shared" si="27"/>
        <v>0</v>
      </c>
    </row>
    <row r="90" spans="1:27" ht="18" customHeight="1" x14ac:dyDescent="0.3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4"/>
        <v>0</v>
      </c>
      <c r="J90" s="68">
        <f t="shared" ca="1" si="15"/>
        <v>0</v>
      </c>
      <c r="K90" s="68">
        <f t="shared" ca="1" si="16"/>
        <v>0</v>
      </c>
      <c r="L90" s="68">
        <f t="shared" ca="1" si="17"/>
        <v>0</v>
      </c>
      <c r="M90" s="69">
        <f t="shared" si="18"/>
        <v>0</v>
      </c>
      <c r="N90" s="65" t="str">
        <f t="shared" si="19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20"/>
        <v/>
      </c>
      <c r="U90" s="1">
        <f t="shared" si="21"/>
        <v>0</v>
      </c>
      <c r="V90" s="1">
        <f t="shared" si="22"/>
        <v>2958465</v>
      </c>
      <c r="W90" s="1">
        <f t="shared" si="23"/>
        <v>0</v>
      </c>
      <c r="X90" s="1">
        <f t="shared" si="24"/>
        <v>0</v>
      </c>
      <c r="Y90" s="1">
        <f t="shared" si="25"/>
        <v>97200</v>
      </c>
      <c r="Z90" s="1">
        <f t="shared" si="26"/>
        <v>1</v>
      </c>
      <c r="AA90" s="1">
        <f t="shared" si="27"/>
        <v>0</v>
      </c>
    </row>
    <row r="91" spans="1:27" ht="18" customHeight="1" x14ac:dyDescent="0.3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4"/>
        <v>0</v>
      </c>
      <c r="J91" s="68">
        <f t="shared" ca="1" si="15"/>
        <v>0</v>
      </c>
      <c r="K91" s="68">
        <f t="shared" ca="1" si="16"/>
        <v>0</v>
      </c>
      <c r="L91" s="68">
        <f t="shared" ca="1" si="17"/>
        <v>0</v>
      </c>
      <c r="M91" s="69">
        <f t="shared" si="18"/>
        <v>0</v>
      </c>
      <c r="N91" s="65" t="str">
        <f t="shared" si="19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20"/>
        <v/>
      </c>
      <c r="U91" s="1">
        <f t="shared" si="21"/>
        <v>0</v>
      </c>
      <c r="V91" s="1">
        <f t="shared" si="22"/>
        <v>2958465</v>
      </c>
      <c r="W91" s="1">
        <f t="shared" si="23"/>
        <v>0</v>
      </c>
      <c r="X91" s="1">
        <f t="shared" si="24"/>
        <v>0</v>
      </c>
      <c r="Y91" s="1">
        <f t="shared" si="25"/>
        <v>97200</v>
      </c>
      <c r="Z91" s="1">
        <f t="shared" si="26"/>
        <v>1</v>
      </c>
      <c r="AA91" s="1">
        <f t="shared" si="27"/>
        <v>0</v>
      </c>
    </row>
    <row r="92" spans="1:27" ht="18" customHeight="1" x14ac:dyDescent="0.3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4"/>
        <v>0</v>
      </c>
      <c r="J92" s="68">
        <f t="shared" ca="1" si="15"/>
        <v>0</v>
      </c>
      <c r="K92" s="68">
        <f t="shared" ca="1" si="16"/>
        <v>0</v>
      </c>
      <c r="L92" s="68">
        <f t="shared" ca="1" si="17"/>
        <v>0</v>
      </c>
      <c r="M92" s="69">
        <f t="shared" si="18"/>
        <v>0</v>
      </c>
      <c r="N92" s="65" t="str">
        <f t="shared" si="19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20"/>
        <v/>
      </c>
      <c r="U92" s="1">
        <f t="shared" si="21"/>
        <v>0</v>
      </c>
      <c r="V92" s="1">
        <f t="shared" si="22"/>
        <v>2958465</v>
      </c>
      <c r="W92" s="1">
        <f t="shared" si="23"/>
        <v>0</v>
      </c>
      <c r="X92" s="1">
        <f t="shared" si="24"/>
        <v>0</v>
      </c>
      <c r="Y92" s="1">
        <f t="shared" si="25"/>
        <v>97200</v>
      </c>
      <c r="Z92" s="1">
        <f t="shared" si="26"/>
        <v>1</v>
      </c>
      <c r="AA92" s="1">
        <f t="shared" si="27"/>
        <v>0</v>
      </c>
    </row>
    <row r="93" spans="1:27" ht="18" customHeight="1" x14ac:dyDescent="0.3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4"/>
        <v>0</v>
      </c>
      <c r="J93" s="68">
        <f t="shared" ca="1" si="15"/>
        <v>0</v>
      </c>
      <c r="K93" s="68">
        <f t="shared" ca="1" si="16"/>
        <v>0</v>
      </c>
      <c r="L93" s="68">
        <f t="shared" ca="1" si="17"/>
        <v>0</v>
      </c>
      <c r="M93" s="69">
        <f t="shared" si="18"/>
        <v>0</v>
      </c>
      <c r="N93" s="65" t="str">
        <f t="shared" si="19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20"/>
        <v/>
      </c>
      <c r="U93" s="1">
        <f t="shared" si="21"/>
        <v>0</v>
      </c>
      <c r="V93" s="1">
        <f t="shared" si="22"/>
        <v>2958465</v>
      </c>
      <c r="W93" s="1">
        <f t="shared" si="23"/>
        <v>0</v>
      </c>
      <c r="X93" s="1">
        <f t="shared" si="24"/>
        <v>0</v>
      </c>
      <c r="Y93" s="1">
        <f t="shared" si="25"/>
        <v>97200</v>
      </c>
      <c r="Z93" s="1">
        <f t="shared" si="26"/>
        <v>1</v>
      </c>
      <c r="AA93" s="1">
        <f t="shared" si="27"/>
        <v>0</v>
      </c>
    </row>
    <row r="94" spans="1:27" ht="18" customHeight="1" x14ac:dyDescent="0.3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4"/>
        <v>0</v>
      </c>
      <c r="J94" s="68">
        <f t="shared" ca="1" si="15"/>
        <v>0</v>
      </c>
      <c r="K94" s="68">
        <f t="shared" ca="1" si="16"/>
        <v>0</v>
      </c>
      <c r="L94" s="68">
        <f t="shared" ca="1" si="17"/>
        <v>0</v>
      </c>
      <c r="M94" s="69">
        <f t="shared" si="18"/>
        <v>0</v>
      </c>
      <c r="N94" s="65" t="str">
        <f t="shared" si="19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20"/>
        <v/>
      </c>
      <c r="U94" s="1">
        <f t="shared" si="21"/>
        <v>0</v>
      </c>
      <c r="V94" s="1">
        <f t="shared" si="22"/>
        <v>2958465</v>
      </c>
      <c r="W94" s="1">
        <f t="shared" si="23"/>
        <v>0</v>
      </c>
      <c r="X94" s="1">
        <f t="shared" si="24"/>
        <v>0</v>
      </c>
      <c r="Y94" s="1">
        <f t="shared" si="25"/>
        <v>97200</v>
      </c>
      <c r="Z94" s="1">
        <f t="shared" si="26"/>
        <v>1</v>
      </c>
      <c r="AA94" s="1">
        <f t="shared" si="27"/>
        <v>0</v>
      </c>
    </row>
    <row r="95" spans="1:27" ht="18" customHeight="1" x14ac:dyDescent="0.3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4"/>
        <v>0</v>
      </c>
      <c r="J95" s="68">
        <f t="shared" ca="1" si="15"/>
        <v>0</v>
      </c>
      <c r="K95" s="68">
        <f t="shared" ca="1" si="16"/>
        <v>0</v>
      </c>
      <c r="L95" s="68">
        <f t="shared" ca="1" si="17"/>
        <v>0</v>
      </c>
      <c r="M95" s="69">
        <f t="shared" si="18"/>
        <v>0</v>
      </c>
      <c r="N95" s="65" t="str">
        <f t="shared" si="19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20"/>
        <v/>
      </c>
      <c r="U95" s="1">
        <f t="shared" si="21"/>
        <v>0</v>
      </c>
      <c r="V95" s="1">
        <f t="shared" si="22"/>
        <v>2958465</v>
      </c>
      <c r="W95" s="1">
        <f t="shared" si="23"/>
        <v>0</v>
      </c>
      <c r="X95" s="1">
        <f t="shared" si="24"/>
        <v>0</v>
      </c>
      <c r="Y95" s="1">
        <f t="shared" si="25"/>
        <v>97200</v>
      </c>
      <c r="Z95" s="1">
        <f t="shared" si="26"/>
        <v>1</v>
      </c>
      <c r="AA95" s="1">
        <f t="shared" si="27"/>
        <v>0</v>
      </c>
    </row>
    <row r="96" spans="1:27" ht="18" customHeight="1" x14ac:dyDescent="0.3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4"/>
        <v>0</v>
      </c>
      <c r="J96" s="68">
        <f t="shared" ca="1" si="15"/>
        <v>0</v>
      </c>
      <c r="K96" s="68">
        <f t="shared" ca="1" si="16"/>
        <v>0</v>
      </c>
      <c r="L96" s="68">
        <f t="shared" ca="1" si="17"/>
        <v>0</v>
      </c>
      <c r="M96" s="69">
        <f t="shared" si="18"/>
        <v>0</v>
      </c>
      <c r="N96" s="65" t="str">
        <f t="shared" si="19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20"/>
        <v/>
      </c>
      <c r="U96" s="1">
        <f t="shared" si="21"/>
        <v>0</v>
      </c>
      <c r="V96" s="1">
        <f t="shared" si="22"/>
        <v>2958465</v>
      </c>
      <c r="W96" s="1">
        <f t="shared" si="23"/>
        <v>0</v>
      </c>
      <c r="X96" s="1">
        <f t="shared" si="24"/>
        <v>0</v>
      </c>
      <c r="Y96" s="1">
        <f t="shared" si="25"/>
        <v>97200</v>
      </c>
      <c r="Z96" s="1">
        <f t="shared" si="26"/>
        <v>1</v>
      </c>
      <c r="AA96" s="1">
        <f t="shared" si="27"/>
        <v>0</v>
      </c>
    </row>
    <row r="97" spans="1:27" ht="18" customHeight="1" x14ac:dyDescent="0.3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4"/>
        <v>0</v>
      </c>
      <c r="J97" s="68">
        <f t="shared" ca="1" si="15"/>
        <v>0</v>
      </c>
      <c r="K97" s="68">
        <f t="shared" ca="1" si="16"/>
        <v>0</v>
      </c>
      <c r="L97" s="68">
        <f t="shared" ca="1" si="17"/>
        <v>0</v>
      </c>
      <c r="M97" s="69">
        <f t="shared" si="18"/>
        <v>0</v>
      </c>
      <c r="N97" s="65" t="str">
        <f t="shared" si="19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20"/>
        <v/>
      </c>
      <c r="U97" s="1">
        <f t="shared" si="21"/>
        <v>0</v>
      </c>
      <c r="V97" s="1">
        <f t="shared" si="22"/>
        <v>2958465</v>
      </c>
      <c r="W97" s="1">
        <f t="shared" si="23"/>
        <v>0</v>
      </c>
      <c r="X97" s="1">
        <f t="shared" si="24"/>
        <v>0</v>
      </c>
      <c r="Y97" s="1">
        <f t="shared" si="25"/>
        <v>97200</v>
      </c>
      <c r="Z97" s="1">
        <f t="shared" si="26"/>
        <v>1</v>
      </c>
      <c r="AA97" s="1">
        <f t="shared" si="27"/>
        <v>0</v>
      </c>
    </row>
    <row r="98" spans="1:27" ht="18" customHeight="1" x14ac:dyDescent="0.3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4"/>
        <v>0</v>
      </c>
      <c r="J98" s="68">
        <f t="shared" ca="1" si="15"/>
        <v>0</v>
      </c>
      <c r="K98" s="68">
        <f t="shared" ca="1" si="16"/>
        <v>0</v>
      </c>
      <c r="L98" s="68">
        <f t="shared" ca="1" si="17"/>
        <v>0</v>
      </c>
      <c r="M98" s="69">
        <f t="shared" si="18"/>
        <v>0</v>
      </c>
      <c r="N98" s="65" t="str">
        <f t="shared" si="19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20"/>
        <v/>
      </c>
      <c r="U98" s="1">
        <f t="shared" si="21"/>
        <v>0</v>
      </c>
      <c r="V98" s="1">
        <f t="shared" si="22"/>
        <v>2958465</v>
      </c>
      <c r="W98" s="1">
        <f t="shared" si="23"/>
        <v>0</v>
      </c>
      <c r="X98" s="1">
        <f t="shared" si="24"/>
        <v>0</v>
      </c>
      <c r="Y98" s="1">
        <f t="shared" si="25"/>
        <v>97200</v>
      </c>
      <c r="Z98" s="1">
        <f t="shared" si="26"/>
        <v>1</v>
      </c>
      <c r="AA98" s="1">
        <f t="shared" si="27"/>
        <v>0</v>
      </c>
    </row>
    <row r="99" spans="1:27" ht="18" customHeight="1" x14ac:dyDescent="0.3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4"/>
        <v>0</v>
      </c>
      <c r="J99" s="68">
        <f t="shared" ca="1" si="15"/>
        <v>0</v>
      </c>
      <c r="K99" s="68">
        <f t="shared" ca="1" si="16"/>
        <v>0</v>
      </c>
      <c r="L99" s="68">
        <f t="shared" ca="1" si="17"/>
        <v>0</v>
      </c>
      <c r="M99" s="69">
        <f t="shared" si="18"/>
        <v>0</v>
      </c>
      <c r="N99" s="65" t="str">
        <f t="shared" si="19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20"/>
        <v/>
      </c>
      <c r="U99" s="1">
        <f t="shared" si="21"/>
        <v>0</v>
      </c>
      <c r="V99" s="1">
        <f t="shared" si="22"/>
        <v>2958465</v>
      </c>
      <c r="W99" s="1">
        <f t="shared" si="23"/>
        <v>0</v>
      </c>
      <c r="X99" s="1">
        <f t="shared" si="24"/>
        <v>0</v>
      </c>
      <c r="Y99" s="1">
        <f t="shared" si="25"/>
        <v>97200</v>
      </c>
      <c r="Z99" s="1">
        <f t="shared" si="26"/>
        <v>1</v>
      </c>
      <c r="AA99" s="1">
        <f t="shared" si="27"/>
        <v>0</v>
      </c>
    </row>
    <row r="100" spans="1:27" ht="18" customHeight="1" x14ac:dyDescent="0.3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4"/>
        <v>0</v>
      </c>
      <c r="J100" s="68">
        <f t="shared" ca="1" si="15"/>
        <v>0</v>
      </c>
      <c r="K100" s="68">
        <f t="shared" ca="1" si="16"/>
        <v>0</v>
      </c>
      <c r="L100" s="68">
        <f t="shared" ca="1" si="17"/>
        <v>0</v>
      </c>
      <c r="M100" s="69">
        <f t="shared" si="18"/>
        <v>0</v>
      </c>
      <c r="N100" s="65" t="str">
        <f t="shared" si="19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20"/>
        <v/>
      </c>
      <c r="U100" s="1">
        <f t="shared" si="21"/>
        <v>0</v>
      </c>
      <c r="V100" s="1">
        <f t="shared" si="22"/>
        <v>2958465</v>
      </c>
      <c r="W100" s="1">
        <f t="shared" si="23"/>
        <v>0</v>
      </c>
      <c r="X100" s="1">
        <f t="shared" si="24"/>
        <v>0</v>
      </c>
      <c r="Y100" s="1">
        <f t="shared" si="25"/>
        <v>97200</v>
      </c>
      <c r="Z100" s="1">
        <f t="shared" si="26"/>
        <v>1</v>
      </c>
      <c r="AA100" s="1">
        <f t="shared" si="27"/>
        <v>0</v>
      </c>
    </row>
    <row r="101" spans="1:27" ht="18" customHeight="1" x14ac:dyDescent="0.3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4"/>
        <v>0</v>
      </c>
      <c r="J101" s="68">
        <f t="shared" ca="1" si="15"/>
        <v>0</v>
      </c>
      <c r="K101" s="68">
        <f t="shared" ca="1" si="16"/>
        <v>0</v>
      </c>
      <c r="L101" s="68">
        <f t="shared" ca="1" si="17"/>
        <v>0</v>
      </c>
      <c r="M101" s="69">
        <f t="shared" si="18"/>
        <v>0</v>
      </c>
      <c r="N101" s="65" t="str">
        <f t="shared" si="19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20"/>
        <v/>
      </c>
      <c r="U101" s="1">
        <f t="shared" si="21"/>
        <v>0</v>
      </c>
      <c r="V101" s="1">
        <f t="shared" si="22"/>
        <v>2958465</v>
      </c>
      <c r="W101" s="1">
        <f t="shared" si="23"/>
        <v>0</v>
      </c>
      <c r="X101" s="1">
        <f t="shared" si="24"/>
        <v>0</v>
      </c>
      <c r="Y101" s="1">
        <f t="shared" si="25"/>
        <v>97200</v>
      </c>
      <c r="Z101" s="1">
        <f t="shared" si="26"/>
        <v>1</v>
      </c>
      <c r="AA101" s="1">
        <f t="shared" si="27"/>
        <v>0</v>
      </c>
    </row>
    <row r="102" spans="1:27" ht="18" customHeight="1" x14ac:dyDescent="0.3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4"/>
        <v>0</v>
      </c>
      <c r="J102" s="68">
        <f t="shared" ca="1" si="15"/>
        <v>0</v>
      </c>
      <c r="K102" s="68">
        <f t="shared" ca="1" si="16"/>
        <v>0</v>
      </c>
      <c r="L102" s="68">
        <f t="shared" ca="1" si="17"/>
        <v>0</v>
      </c>
      <c r="M102" s="69">
        <f t="shared" si="18"/>
        <v>0</v>
      </c>
      <c r="N102" s="65" t="str">
        <f t="shared" si="19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20"/>
        <v/>
      </c>
      <c r="U102" s="1">
        <f t="shared" si="21"/>
        <v>0</v>
      </c>
      <c r="V102" s="1">
        <f t="shared" si="22"/>
        <v>2958465</v>
      </c>
      <c r="W102" s="1">
        <f t="shared" si="23"/>
        <v>0</v>
      </c>
      <c r="X102" s="1">
        <f t="shared" si="24"/>
        <v>0</v>
      </c>
      <c r="Y102" s="1">
        <f t="shared" si="25"/>
        <v>97200</v>
      </c>
      <c r="Z102" s="1">
        <f t="shared" si="26"/>
        <v>1</v>
      </c>
      <c r="AA102" s="1">
        <f t="shared" si="27"/>
        <v>0</v>
      </c>
    </row>
    <row r="103" spans="1:27" ht="18" customHeight="1" x14ac:dyDescent="0.3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4"/>
        <v>0</v>
      </c>
      <c r="J103" s="68">
        <f t="shared" ca="1" si="15"/>
        <v>0</v>
      </c>
      <c r="K103" s="68">
        <f t="shared" ca="1" si="16"/>
        <v>0</v>
      </c>
      <c r="L103" s="68">
        <f t="shared" ca="1" si="17"/>
        <v>0</v>
      </c>
      <c r="M103" s="69">
        <f t="shared" si="18"/>
        <v>0</v>
      </c>
      <c r="N103" s="65" t="str">
        <f t="shared" si="19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20"/>
        <v/>
      </c>
      <c r="U103" s="1">
        <f t="shared" si="21"/>
        <v>0</v>
      </c>
      <c r="V103" s="1">
        <f t="shared" si="22"/>
        <v>2958465</v>
      </c>
      <c r="W103" s="1">
        <f t="shared" si="23"/>
        <v>0</v>
      </c>
      <c r="X103" s="1">
        <f t="shared" si="24"/>
        <v>0</v>
      </c>
      <c r="Y103" s="1">
        <f t="shared" si="25"/>
        <v>97200</v>
      </c>
      <c r="Z103" s="1">
        <f t="shared" si="26"/>
        <v>1</v>
      </c>
      <c r="AA103" s="1">
        <f t="shared" si="27"/>
        <v>0</v>
      </c>
    </row>
    <row r="104" spans="1:27" ht="18" customHeight="1" x14ac:dyDescent="0.3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4"/>
        <v>0</v>
      </c>
      <c r="J104" s="68">
        <f t="shared" ca="1" si="15"/>
        <v>0</v>
      </c>
      <c r="K104" s="68">
        <f t="shared" ca="1" si="16"/>
        <v>0</v>
      </c>
      <c r="L104" s="68">
        <f t="shared" ca="1" si="17"/>
        <v>0</v>
      </c>
      <c r="M104" s="69">
        <f t="shared" si="18"/>
        <v>0</v>
      </c>
      <c r="N104" s="65" t="str">
        <f t="shared" si="19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20"/>
        <v/>
      </c>
      <c r="U104" s="1">
        <f t="shared" si="21"/>
        <v>0</v>
      </c>
      <c r="V104" s="1">
        <f t="shared" si="22"/>
        <v>2958465</v>
      </c>
      <c r="W104" s="1">
        <f t="shared" si="23"/>
        <v>0</v>
      </c>
      <c r="X104" s="1">
        <f t="shared" si="24"/>
        <v>0</v>
      </c>
      <c r="Y104" s="1">
        <f t="shared" si="25"/>
        <v>97200</v>
      </c>
      <c r="Z104" s="1">
        <f t="shared" si="26"/>
        <v>1</v>
      </c>
      <c r="AA104" s="1">
        <f t="shared" si="27"/>
        <v>0</v>
      </c>
    </row>
    <row r="105" spans="1:27" ht="18" customHeight="1" x14ac:dyDescent="0.3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4"/>
        <v>0</v>
      </c>
      <c r="J105" s="68">
        <f t="shared" ca="1" si="15"/>
        <v>0</v>
      </c>
      <c r="K105" s="68">
        <f t="shared" ca="1" si="16"/>
        <v>0</v>
      </c>
      <c r="L105" s="68">
        <f t="shared" ca="1" si="17"/>
        <v>0</v>
      </c>
      <c r="M105" s="69">
        <f t="shared" si="18"/>
        <v>0</v>
      </c>
      <c r="N105" s="65" t="str">
        <f t="shared" si="19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20"/>
        <v/>
      </c>
      <c r="U105" s="1">
        <f t="shared" si="21"/>
        <v>0</v>
      </c>
      <c r="V105" s="1">
        <f t="shared" si="22"/>
        <v>2958465</v>
      </c>
      <c r="W105" s="1">
        <f t="shared" si="23"/>
        <v>0</v>
      </c>
      <c r="X105" s="1">
        <f t="shared" si="24"/>
        <v>0</v>
      </c>
      <c r="Y105" s="1">
        <f t="shared" si="25"/>
        <v>97200</v>
      </c>
      <c r="Z105" s="1">
        <f t="shared" si="26"/>
        <v>1</v>
      </c>
      <c r="AA105" s="1">
        <f t="shared" si="27"/>
        <v>0</v>
      </c>
    </row>
    <row r="106" spans="1:27" ht="18" customHeight="1" x14ac:dyDescent="0.3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4"/>
        <v>0</v>
      </c>
      <c r="J106" s="68">
        <f t="shared" ca="1" si="15"/>
        <v>0</v>
      </c>
      <c r="K106" s="68">
        <f t="shared" ca="1" si="16"/>
        <v>0</v>
      </c>
      <c r="L106" s="68">
        <f t="shared" ca="1" si="17"/>
        <v>0</v>
      </c>
      <c r="M106" s="69">
        <f t="shared" si="18"/>
        <v>0</v>
      </c>
      <c r="N106" s="65" t="str">
        <f t="shared" si="19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20"/>
        <v/>
      </c>
      <c r="U106" s="1">
        <f t="shared" si="21"/>
        <v>0</v>
      </c>
      <c r="V106" s="1">
        <f t="shared" si="22"/>
        <v>2958465</v>
      </c>
      <c r="W106" s="1">
        <f t="shared" si="23"/>
        <v>0</v>
      </c>
      <c r="X106" s="1">
        <f t="shared" si="24"/>
        <v>0</v>
      </c>
      <c r="Y106" s="1">
        <f t="shared" si="25"/>
        <v>97200</v>
      </c>
      <c r="Z106" s="1">
        <f t="shared" si="26"/>
        <v>1</v>
      </c>
      <c r="AA106" s="1">
        <f t="shared" si="27"/>
        <v>0</v>
      </c>
    </row>
    <row r="107" spans="1:27" ht="18" customHeight="1" x14ac:dyDescent="0.3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4"/>
        <v>0</v>
      </c>
      <c r="J107" s="68">
        <f t="shared" ca="1" si="15"/>
        <v>0</v>
      </c>
      <c r="K107" s="68">
        <f t="shared" ca="1" si="16"/>
        <v>0</v>
      </c>
      <c r="L107" s="68">
        <f t="shared" ca="1" si="17"/>
        <v>0</v>
      </c>
      <c r="M107" s="69">
        <f t="shared" si="18"/>
        <v>0</v>
      </c>
      <c r="N107" s="65" t="str">
        <f t="shared" si="19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20"/>
        <v/>
      </c>
      <c r="U107" s="1">
        <f t="shared" si="21"/>
        <v>0</v>
      </c>
      <c r="V107" s="1">
        <f t="shared" si="22"/>
        <v>2958465</v>
      </c>
      <c r="W107" s="1">
        <f t="shared" si="23"/>
        <v>0</v>
      </c>
      <c r="X107" s="1">
        <f t="shared" si="24"/>
        <v>0</v>
      </c>
      <c r="Y107" s="1">
        <f t="shared" si="25"/>
        <v>97200</v>
      </c>
      <c r="Z107" s="1">
        <f t="shared" si="26"/>
        <v>1</v>
      </c>
      <c r="AA107" s="1">
        <f t="shared" si="27"/>
        <v>0</v>
      </c>
    </row>
    <row r="108" spans="1:27" ht="18" customHeight="1" x14ac:dyDescent="0.3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4"/>
        <v>0</v>
      </c>
      <c r="J108" s="68">
        <f t="shared" ca="1" si="15"/>
        <v>0</v>
      </c>
      <c r="K108" s="68">
        <f t="shared" ca="1" si="16"/>
        <v>0</v>
      </c>
      <c r="L108" s="68">
        <f t="shared" ca="1" si="17"/>
        <v>0</v>
      </c>
      <c r="M108" s="69">
        <f t="shared" si="18"/>
        <v>0</v>
      </c>
      <c r="N108" s="65" t="str">
        <f t="shared" si="19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20"/>
        <v/>
      </c>
      <c r="U108" s="1">
        <f t="shared" si="21"/>
        <v>0</v>
      </c>
      <c r="V108" s="1">
        <f t="shared" si="22"/>
        <v>2958465</v>
      </c>
      <c r="W108" s="1">
        <f t="shared" si="23"/>
        <v>0</v>
      </c>
      <c r="X108" s="1">
        <f t="shared" si="24"/>
        <v>0</v>
      </c>
      <c r="Y108" s="1">
        <f t="shared" si="25"/>
        <v>97200</v>
      </c>
      <c r="Z108" s="1">
        <f t="shared" si="26"/>
        <v>1</v>
      </c>
      <c r="AA108" s="1">
        <f t="shared" si="27"/>
        <v>0</v>
      </c>
    </row>
    <row r="109" spans="1:27" ht="18" customHeight="1" x14ac:dyDescent="0.3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4"/>
        <v>0</v>
      </c>
      <c r="J109" s="68">
        <f t="shared" ca="1" si="15"/>
        <v>0</v>
      </c>
      <c r="K109" s="68">
        <f t="shared" ca="1" si="16"/>
        <v>0</v>
      </c>
      <c r="L109" s="68">
        <f t="shared" ca="1" si="17"/>
        <v>0</v>
      </c>
      <c r="M109" s="69">
        <f t="shared" si="18"/>
        <v>0</v>
      </c>
      <c r="N109" s="65" t="str">
        <f t="shared" si="19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20"/>
        <v/>
      </c>
      <c r="U109" s="1">
        <f t="shared" si="21"/>
        <v>0</v>
      </c>
      <c r="V109" s="1">
        <f t="shared" si="22"/>
        <v>2958465</v>
      </c>
      <c r="W109" s="1">
        <f t="shared" si="23"/>
        <v>0</v>
      </c>
      <c r="X109" s="1">
        <f t="shared" si="24"/>
        <v>0</v>
      </c>
      <c r="Y109" s="1">
        <f t="shared" si="25"/>
        <v>97200</v>
      </c>
      <c r="Z109" s="1">
        <f t="shared" si="26"/>
        <v>1</v>
      </c>
      <c r="AA109" s="1">
        <f t="shared" si="27"/>
        <v>0</v>
      </c>
    </row>
    <row r="110" spans="1:27" ht="18" customHeight="1" x14ac:dyDescent="0.3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4"/>
        <v>0</v>
      </c>
      <c r="J110" s="68">
        <f t="shared" ca="1" si="15"/>
        <v>0</v>
      </c>
      <c r="K110" s="68">
        <f t="shared" ca="1" si="16"/>
        <v>0</v>
      </c>
      <c r="L110" s="68">
        <f t="shared" ca="1" si="17"/>
        <v>0</v>
      </c>
      <c r="M110" s="69">
        <f t="shared" si="18"/>
        <v>0</v>
      </c>
      <c r="N110" s="65" t="str">
        <f t="shared" si="19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20"/>
        <v/>
      </c>
      <c r="U110" s="1">
        <f t="shared" si="21"/>
        <v>0</v>
      </c>
      <c r="V110" s="1">
        <f t="shared" si="22"/>
        <v>2958465</v>
      </c>
      <c r="W110" s="1">
        <f t="shared" si="23"/>
        <v>0</v>
      </c>
      <c r="X110" s="1">
        <f t="shared" si="24"/>
        <v>0</v>
      </c>
      <c r="Y110" s="1">
        <f t="shared" si="25"/>
        <v>97200</v>
      </c>
      <c r="Z110" s="1">
        <f t="shared" si="26"/>
        <v>1</v>
      </c>
      <c r="AA110" s="1">
        <f t="shared" si="27"/>
        <v>0</v>
      </c>
    </row>
    <row r="111" spans="1:27" ht="18" customHeight="1" x14ac:dyDescent="0.3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4"/>
        <v>0</v>
      </c>
      <c r="J111" s="68">
        <f t="shared" ca="1" si="15"/>
        <v>0</v>
      </c>
      <c r="K111" s="68">
        <f t="shared" ca="1" si="16"/>
        <v>0</v>
      </c>
      <c r="L111" s="68">
        <f t="shared" ca="1" si="17"/>
        <v>0</v>
      </c>
      <c r="M111" s="69">
        <f t="shared" si="18"/>
        <v>0</v>
      </c>
      <c r="N111" s="65" t="str">
        <f t="shared" si="19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20"/>
        <v/>
      </c>
      <c r="U111" s="1">
        <f t="shared" si="21"/>
        <v>0</v>
      </c>
      <c r="V111" s="1">
        <f t="shared" si="22"/>
        <v>2958465</v>
      </c>
      <c r="W111" s="1">
        <f t="shared" si="23"/>
        <v>0</v>
      </c>
      <c r="X111" s="1">
        <f t="shared" si="24"/>
        <v>0</v>
      </c>
      <c r="Y111" s="1">
        <f t="shared" si="25"/>
        <v>97200</v>
      </c>
      <c r="Z111" s="1">
        <f t="shared" si="26"/>
        <v>1</v>
      </c>
      <c r="AA111" s="1">
        <f t="shared" si="27"/>
        <v>0</v>
      </c>
    </row>
    <row r="112" spans="1:27" ht="18" customHeight="1" x14ac:dyDescent="0.3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4"/>
        <v>0</v>
      </c>
      <c r="J112" s="68">
        <f t="shared" ca="1" si="15"/>
        <v>0</v>
      </c>
      <c r="K112" s="68">
        <f t="shared" ca="1" si="16"/>
        <v>0</v>
      </c>
      <c r="L112" s="68">
        <f t="shared" ca="1" si="17"/>
        <v>0</v>
      </c>
      <c r="M112" s="69">
        <f t="shared" si="18"/>
        <v>0</v>
      </c>
      <c r="N112" s="65" t="str">
        <f t="shared" si="19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20"/>
        <v/>
      </c>
      <c r="U112" s="1">
        <f t="shared" si="21"/>
        <v>0</v>
      </c>
      <c r="V112" s="1">
        <f t="shared" si="22"/>
        <v>2958465</v>
      </c>
      <c r="W112" s="1">
        <f t="shared" si="23"/>
        <v>0</v>
      </c>
      <c r="X112" s="1">
        <f t="shared" si="24"/>
        <v>0</v>
      </c>
      <c r="Y112" s="1">
        <f t="shared" si="25"/>
        <v>97200</v>
      </c>
      <c r="Z112" s="1">
        <f t="shared" si="26"/>
        <v>1</v>
      </c>
      <c r="AA112" s="1">
        <f t="shared" si="27"/>
        <v>0</v>
      </c>
    </row>
    <row r="113" spans="1:27" ht="18" customHeight="1" x14ac:dyDescent="0.3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4"/>
        <v>0</v>
      </c>
      <c r="J113" s="68">
        <f t="shared" ca="1" si="15"/>
        <v>0</v>
      </c>
      <c r="K113" s="68">
        <f t="shared" ca="1" si="16"/>
        <v>0</v>
      </c>
      <c r="L113" s="68">
        <f t="shared" ca="1" si="17"/>
        <v>0</v>
      </c>
      <c r="M113" s="69">
        <f t="shared" si="18"/>
        <v>0</v>
      </c>
      <c r="N113" s="65" t="str">
        <f t="shared" si="19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20"/>
        <v/>
      </c>
      <c r="U113" s="1">
        <f t="shared" si="21"/>
        <v>0</v>
      </c>
      <c r="V113" s="1">
        <f t="shared" si="22"/>
        <v>2958465</v>
      </c>
      <c r="W113" s="1">
        <f t="shared" si="23"/>
        <v>0</v>
      </c>
      <c r="X113" s="1">
        <f t="shared" si="24"/>
        <v>0</v>
      </c>
      <c r="Y113" s="1">
        <f t="shared" si="25"/>
        <v>97200</v>
      </c>
      <c r="Z113" s="1">
        <f t="shared" si="26"/>
        <v>1</v>
      </c>
      <c r="AA113" s="1">
        <f t="shared" si="27"/>
        <v>0</v>
      </c>
    </row>
    <row r="114" spans="1:27" ht="18" customHeight="1" x14ac:dyDescent="0.3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4"/>
        <v>0</v>
      </c>
      <c r="J114" s="68">
        <f t="shared" ca="1" si="15"/>
        <v>0</v>
      </c>
      <c r="K114" s="68">
        <f t="shared" ca="1" si="16"/>
        <v>0</v>
      </c>
      <c r="L114" s="68">
        <f t="shared" ca="1" si="17"/>
        <v>0</v>
      </c>
      <c r="M114" s="69">
        <f t="shared" si="18"/>
        <v>0</v>
      </c>
      <c r="N114" s="65" t="str">
        <f t="shared" si="19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20"/>
        <v/>
      </c>
      <c r="U114" s="1">
        <f t="shared" si="21"/>
        <v>0</v>
      </c>
      <c r="V114" s="1">
        <f t="shared" si="22"/>
        <v>2958465</v>
      </c>
      <c r="W114" s="1">
        <f t="shared" si="23"/>
        <v>0</v>
      </c>
      <c r="X114" s="1">
        <f t="shared" si="24"/>
        <v>0</v>
      </c>
      <c r="Y114" s="1">
        <f t="shared" si="25"/>
        <v>97200</v>
      </c>
      <c r="Z114" s="1">
        <f t="shared" si="26"/>
        <v>1</v>
      </c>
      <c r="AA114" s="1">
        <f t="shared" si="27"/>
        <v>0</v>
      </c>
    </row>
    <row r="115" spans="1:27" ht="18" customHeight="1" x14ac:dyDescent="0.3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4"/>
        <v>0</v>
      </c>
      <c r="J115" s="68">
        <f t="shared" ca="1" si="15"/>
        <v>0</v>
      </c>
      <c r="K115" s="68">
        <f t="shared" ca="1" si="16"/>
        <v>0</v>
      </c>
      <c r="L115" s="68">
        <f t="shared" ca="1" si="17"/>
        <v>0</v>
      </c>
      <c r="M115" s="69">
        <f t="shared" si="18"/>
        <v>0</v>
      </c>
      <c r="N115" s="65" t="str">
        <f t="shared" si="19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20"/>
        <v/>
      </c>
      <c r="U115" s="1">
        <f t="shared" si="21"/>
        <v>0</v>
      </c>
      <c r="V115" s="1">
        <f t="shared" si="22"/>
        <v>2958465</v>
      </c>
      <c r="W115" s="1">
        <f t="shared" si="23"/>
        <v>0</v>
      </c>
      <c r="X115" s="1">
        <f t="shared" si="24"/>
        <v>0</v>
      </c>
      <c r="Y115" s="1">
        <f t="shared" si="25"/>
        <v>97200</v>
      </c>
      <c r="Z115" s="1">
        <f t="shared" si="26"/>
        <v>1</v>
      </c>
      <c r="AA115" s="1">
        <f t="shared" si="27"/>
        <v>0</v>
      </c>
    </row>
    <row r="116" spans="1:27" ht="18" customHeight="1" x14ac:dyDescent="0.3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4"/>
        <v>0</v>
      </c>
      <c r="J116" s="68">
        <f t="shared" ca="1" si="15"/>
        <v>0</v>
      </c>
      <c r="K116" s="68">
        <f t="shared" ca="1" si="16"/>
        <v>0</v>
      </c>
      <c r="L116" s="68">
        <f t="shared" ca="1" si="17"/>
        <v>0</v>
      </c>
      <c r="M116" s="69">
        <f t="shared" si="18"/>
        <v>0</v>
      </c>
      <c r="N116" s="65" t="str">
        <f t="shared" si="19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20"/>
        <v/>
      </c>
      <c r="U116" s="1">
        <f t="shared" si="21"/>
        <v>0</v>
      </c>
      <c r="V116" s="1">
        <f t="shared" si="22"/>
        <v>2958465</v>
      </c>
      <c r="W116" s="1">
        <f t="shared" si="23"/>
        <v>0</v>
      </c>
      <c r="X116" s="1">
        <f t="shared" si="24"/>
        <v>0</v>
      </c>
      <c r="Y116" s="1">
        <f t="shared" si="25"/>
        <v>97200</v>
      </c>
      <c r="Z116" s="1">
        <f t="shared" si="26"/>
        <v>1</v>
      </c>
      <c r="AA116" s="1">
        <f t="shared" si="27"/>
        <v>0</v>
      </c>
    </row>
    <row r="117" spans="1:27" ht="18" customHeight="1" x14ac:dyDescent="0.3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4"/>
        <v>0</v>
      </c>
      <c r="J117" s="68">
        <f t="shared" ca="1" si="15"/>
        <v>0</v>
      </c>
      <c r="K117" s="68">
        <f t="shared" ca="1" si="16"/>
        <v>0</v>
      </c>
      <c r="L117" s="68">
        <f t="shared" ca="1" si="17"/>
        <v>0</v>
      </c>
      <c r="M117" s="69">
        <f t="shared" si="18"/>
        <v>0</v>
      </c>
      <c r="N117" s="65" t="str">
        <f t="shared" si="19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20"/>
        <v/>
      </c>
      <c r="U117" s="1">
        <f t="shared" si="21"/>
        <v>0</v>
      </c>
      <c r="V117" s="1">
        <f t="shared" si="22"/>
        <v>2958465</v>
      </c>
      <c r="W117" s="1">
        <f t="shared" si="23"/>
        <v>0</v>
      </c>
      <c r="X117" s="1">
        <f t="shared" si="24"/>
        <v>0</v>
      </c>
      <c r="Y117" s="1">
        <f t="shared" si="25"/>
        <v>97200</v>
      </c>
      <c r="Z117" s="1">
        <f t="shared" si="26"/>
        <v>1</v>
      </c>
      <c r="AA117" s="1">
        <f t="shared" si="27"/>
        <v>0</v>
      </c>
    </row>
    <row r="118" spans="1:27" ht="18" customHeight="1" x14ac:dyDescent="0.3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4"/>
        <v>0</v>
      </c>
      <c r="J118" s="68">
        <f t="shared" ca="1" si="15"/>
        <v>0</v>
      </c>
      <c r="K118" s="68">
        <f t="shared" ca="1" si="16"/>
        <v>0</v>
      </c>
      <c r="L118" s="68">
        <f t="shared" ca="1" si="17"/>
        <v>0</v>
      </c>
      <c r="M118" s="69">
        <f t="shared" si="18"/>
        <v>0</v>
      </c>
      <c r="N118" s="65" t="str">
        <f t="shared" si="19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20"/>
        <v/>
      </c>
      <c r="U118" s="1">
        <f t="shared" si="21"/>
        <v>0</v>
      </c>
      <c r="V118" s="1">
        <f t="shared" si="22"/>
        <v>2958465</v>
      </c>
      <c r="W118" s="1">
        <f t="shared" si="23"/>
        <v>0</v>
      </c>
      <c r="X118" s="1">
        <f t="shared" si="24"/>
        <v>0</v>
      </c>
      <c r="Y118" s="1">
        <f t="shared" si="25"/>
        <v>97200</v>
      </c>
      <c r="Z118" s="1">
        <f t="shared" si="26"/>
        <v>1</v>
      </c>
      <c r="AA118" s="1">
        <f t="shared" si="27"/>
        <v>0</v>
      </c>
    </row>
    <row r="119" spans="1:27" ht="18" customHeight="1" x14ac:dyDescent="0.3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4"/>
        <v>0</v>
      </c>
      <c r="J119" s="68">
        <f t="shared" ca="1" si="15"/>
        <v>0</v>
      </c>
      <c r="K119" s="68">
        <f t="shared" ca="1" si="16"/>
        <v>0</v>
      </c>
      <c r="L119" s="68">
        <f t="shared" ca="1" si="17"/>
        <v>0</v>
      </c>
      <c r="M119" s="69">
        <f t="shared" si="18"/>
        <v>0</v>
      </c>
      <c r="N119" s="65" t="str">
        <f t="shared" si="19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20"/>
        <v/>
      </c>
      <c r="U119" s="1">
        <f t="shared" si="21"/>
        <v>0</v>
      </c>
      <c r="V119" s="1">
        <f t="shared" si="22"/>
        <v>2958465</v>
      </c>
      <c r="W119" s="1">
        <f t="shared" si="23"/>
        <v>0</v>
      </c>
      <c r="X119" s="1">
        <f t="shared" si="24"/>
        <v>0</v>
      </c>
      <c r="Y119" s="1">
        <f t="shared" si="25"/>
        <v>97200</v>
      </c>
      <c r="Z119" s="1">
        <f t="shared" si="26"/>
        <v>1</v>
      </c>
      <c r="AA119" s="1">
        <f t="shared" si="27"/>
        <v>0</v>
      </c>
    </row>
    <row r="120" spans="1:27" ht="18" customHeight="1" x14ac:dyDescent="0.3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4"/>
        <v>0</v>
      </c>
      <c r="J120" s="68">
        <f t="shared" ca="1" si="15"/>
        <v>0</v>
      </c>
      <c r="K120" s="68">
        <f t="shared" ca="1" si="16"/>
        <v>0</v>
      </c>
      <c r="L120" s="68">
        <f t="shared" ca="1" si="17"/>
        <v>0</v>
      </c>
      <c r="M120" s="69">
        <f t="shared" si="18"/>
        <v>0</v>
      </c>
      <c r="N120" s="65" t="str">
        <f t="shared" si="19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20"/>
        <v/>
      </c>
      <c r="U120" s="1">
        <f t="shared" si="21"/>
        <v>0</v>
      </c>
      <c r="V120" s="1">
        <f t="shared" si="22"/>
        <v>2958465</v>
      </c>
      <c r="W120" s="1">
        <f t="shared" si="23"/>
        <v>0</v>
      </c>
      <c r="X120" s="1">
        <f t="shared" si="24"/>
        <v>0</v>
      </c>
      <c r="Y120" s="1">
        <f t="shared" si="25"/>
        <v>97200</v>
      </c>
      <c r="Z120" s="1">
        <f t="shared" si="26"/>
        <v>1</v>
      </c>
      <c r="AA120" s="1">
        <f t="shared" si="27"/>
        <v>0</v>
      </c>
    </row>
    <row r="121" spans="1:27" ht="18" customHeight="1" x14ac:dyDescent="0.3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4"/>
        <v>0</v>
      </c>
      <c r="J121" s="68">
        <f t="shared" ca="1" si="15"/>
        <v>0</v>
      </c>
      <c r="K121" s="68">
        <f t="shared" ca="1" si="16"/>
        <v>0</v>
      </c>
      <c r="L121" s="68">
        <f t="shared" ca="1" si="17"/>
        <v>0</v>
      </c>
      <c r="M121" s="69">
        <f t="shared" si="18"/>
        <v>0</v>
      </c>
      <c r="N121" s="65" t="str">
        <f t="shared" si="19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20"/>
        <v/>
      </c>
      <c r="U121" s="1">
        <f t="shared" si="21"/>
        <v>0</v>
      </c>
      <c r="V121" s="1">
        <f t="shared" si="22"/>
        <v>2958465</v>
      </c>
      <c r="W121" s="1">
        <f t="shared" si="23"/>
        <v>0</v>
      </c>
      <c r="X121" s="1">
        <f t="shared" si="24"/>
        <v>0</v>
      </c>
      <c r="Y121" s="1">
        <f t="shared" si="25"/>
        <v>97200</v>
      </c>
      <c r="Z121" s="1">
        <f t="shared" si="26"/>
        <v>1</v>
      </c>
      <c r="AA121" s="1">
        <f t="shared" si="27"/>
        <v>0</v>
      </c>
    </row>
    <row r="122" spans="1:27" ht="18" customHeight="1" x14ac:dyDescent="0.3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4"/>
        <v>0</v>
      </c>
      <c r="J122" s="68">
        <f t="shared" ca="1" si="15"/>
        <v>0</v>
      </c>
      <c r="K122" s="68">
        <f t="shared" ca="1" si="16"/>
        <v>0</v>
      </c>
      <c r="L122" s="68">
        <f t="shared" ca="1" si="17"/>
        <v>0</v>
      </c>
      <c r="M122" s="69">
        <f t="shared" si="18"/>
        <v>0</v>
      </c>
      <c r="N122" s="65" t="str">
        <f t="shared" si="19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20"/>
        <v/>
      </c>
      <c r="U122" s="1">
        <f t="shared" si="21"/>
        <v>0</v>
      </c>
      <c r="V122" s="1">
        <f t="shared" si="22"/>
        <v>2958465</v>
      </c>
      <c r="W122" s="1">
        <f t="shared" si="23"/>
        <v>0</v>
      </c>
      <c r="X122" s="1">
        <f t="shared" si="24"/>
        <v>0</v>
      </c>
      <c r="Y122" s="1">
        <f t="shared" si="25"/>
        <v>97200</v>
      </c>
      <c r="Z122" s="1">
        <f t="shared" si="26"/>
        <v>1</v>
      </c>
      <c r="AA122" s="1">
        <f t="shared" si="27"/>
        <v>0</v>
      </c>
    </row>
    <row r="123" spans="1:27" ht="18" customHeight="1" x14ac:dyDescent="0.3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4"/>
        <v>0</v>
      </c>
      <c r="J123" s="68">
        <f t="shared" ca="1" si="15"/>
        <v>0</v>
      </c>
      <c r="K123" s="68">
        <f t="shared" ca="1" si="16"/>
        <v>0</v>
      </c>
      <c r="L123" s="68">
        <f t="shared" ca="1" si="17"/>
        <v>0</v>
      </c>
      <c r="M123" s="69">
        <f t="shared" si="18"/>
        <v>0</v>
      </c>
      <c r="N123" s="65" t="str">
        <f t="shared" si="19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20"/>
        <v/>
      </c>
      <c r="U123" s="1">
        <f t="shared" si="21"/>
        <v>0</v>
      </c>
      <c r="V123" s="1">
        <f t="shared" si="22"/>
        <v>2958465</v>
      </c>
      <c r="W123" s="1">
        <f t="shared" si="23"/>
        <v>0</v>
      </c>
      <c r="X123" s="1">
        <f t="shared" si="24"/>
        <v>0</v>
      </c>
      <c r="Y123" s="1">
        <f t="shared" si="25"/>
        <v>97200</v>
      </c>
      <c r="Z123" s="1">
        <f t="shared" si="26"/>
        <v>1</v>
      </c>
      <c r="AA123" s="1">
        <f t="shared" si="27"/>
        <v>0</v>
      </c>
    </row>
    <row r="124" spans="1:27" ht="18" customHeight="1" x14ac:dyDescent="0.3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4"/>
        <v>0</v>
      </c>
      <c r="J124" s="68">
        <f t="shared" ca="1" si="15"/>
        <v>0</v>
      </c>
      <c r="K124" s="68">
        <f t="shared" ca="1" si="16"/>
        <v>0</v>
      </c>
      <c r="L124" s="68">
        <f t="shared" ca="1" si="17"/>
        <v>0</v>
      </c>
      <c r="M124" s="69">
        <f t="shared" si="18"/>
        <v>0</v>
      </c>
      <c r="N124" s="65" t="str">
        <f t="shared" si="19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20"/>
        <v/>
      </c>
      <c r="U124" s="1">
        <f t="shared" si="21"/>
        <v>0</v>
      </c>
      <c r="V124" s="1">
        <f t="shared" si="22"/>
        <v>2958465</v>
      </c>
      <c r="W124" s="1">
        <f t="shared" si="23"/>
        <v>0</v>
      </c>
      <c r="X124" s="1">
        <f t="shared" si="24"/>
        <v>0</v>
      </c>
      <c r="Y124" s="1">
        <f t="shared" si="25"/>
        <v>97200</v>
      </c>
      <c r="Z124" s="1">
        <f t="shared" si="26"/>
        <v>1</v>
      </c>
      <c r="AA124" s="1">
        <f t="shared" si="27"/>
        <v>0</v>
      </c>
    </row>
    <row r="125" spans="1:27" ht="18" customHeight="1" x14ac:dyDescent="0.3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4"/>
        <v>0</v>
      </c>
      <c r="J125" s="68">
        <f t="shared" ca="1" si="15"/>
        <v>0</v>
      </c>
      <c r="K125" s="68">
        <f t="shared" ca="1" si="16"/>
        <v>0</v>
      </c>
      <c r="L125" s="68">
        <f t="shared" ca="1" si="17"/>
        <v>0</v>
      </c>
      <c r="M125" s="69">
        <f t="shared" si="18"/>
        <v>0</v>
      </c>
      <c r="N125" s="65" t="str">
        <f t="shared" si="19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20"/>
        <v/>
      </c>
      <c r="U125" s="1">
        <f t="shared" si="21"/>
        <v>0</v>
      </c>
      <c r="V125" s="1">
        <f t="shared" si="22"/>
        <v>2958465</v>
      </c>
      <c r="W125" s="1">
        <f t="shared" si="23"/>
        <v>0</v>
      </c>
      <c r="X125" s="1">
        <f t="shared" si="24"/>
        <v>0</v>
      </c>
      <c r="Y125" s="1">
        <f t="shared" si="25"/>
        <v>97200</v>
      </c>
      <c r="Z125" s="1">
        <f t="shared" si="26"/>
        <v>1</v>
      </c>
      <c r="AA125" s="1">
        <f t="shared" si="27"/>
        <v>0</v>
      </c>
    </row>
    <row r="126" spans="1:27" ht="18" customHeight="1" x14ac:dyDescent="0.3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4"/>
        <v>0</v>
      </c>
      <c r="J126" s="68">
        <f t="shared" ca="1" si="15"/>
        <v>0</v>
      </c>
      <c r="K126" s="68">
        <f t="shared" ca="1" si="16"/>
        <v>0</v>
      </c>
      <c r="L126" s="68">
        <f t="shared" ca="1" si="17"/>
        <v>0</v>
      </c>
      <c r="M126" s="69">
        <f t="shared" si="18"/>
        <v>0</v>
      </c>
      <c r="N126" s="65" t="str">
        <f t="shared" si="19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20"/>
        <v/>
      </c>
      <c r="U126" s="1">
        <f t="shared" si="21"/>
        <v>0</v>
      </c>
      <c r="V126" s="1">
        <f t="shared" si="22"/>
        <v>2958465</v>
      </c>
      <c r="W126" s="1">
        <f t="shared" si="23"/>
        <v>0</v>
      </c>
      <c r="X126" s="1">
        <f t="shared" si="24"/>
        <v>0</v>
      </c>
      <c r="Y126" s="1">
        <f t="shared" si="25"/>
        <v>97200</v>
      </c>
      <c r="Z126" s="1">
        <f t="shared" si="26"/>
        <v>1</v>
      </c>
      <c r="AA126" s="1">
        <f t="shared" si="27"/>
        <v>0</v>
      </c>
    </row>
    <row r="127" spans="1:27" ht="18" customHeight="1" x14ac:dyDescent="0.3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4"/>
        <v>0</v>
      </c>
      <c r="J127" s="68">
        <f t="shared" ca="1" si="15"/>
        <v>0</v>
      </c>
      <c r="K127" s="68">
        <f t="shared" ca="1" si="16"/>
        <v>0</v>
      </c>
      <c r="L127" s="68">
        <f t="shared" ca="1" si="17"/>
        <v>0</v>
      </c>
      <c r="M127" s="69">
        <f t="shared" si="18"/>
        <v>0</v>
      </c>
      <c r="N127" s="65" t="str">
        <f t="shared" si="19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20"/>
        <v/>
      </c>
      <c r="U127" s="1">
        <f t="shared" si="21"/>
        <v>0</v>
      </c>
      <c r="V127" s="1">
        <f t="shared" si="22"/>
        <v>2958465</v>
      </c>
      <c r="W127" s="1">
        <f t="shared" si="23"/>
        <v>0</v>
      </c>
      <c r="X127" s="1">
        <f t="shared" si="24"/>
        <v>0</v>
      </c>
      <c r="Y127" s="1">
        <f t="shared" si="25"/>
        <v>97200</v>
      </c>
      <c r="Z127" s="1">
        <f t="shared" si="26"/>
        <v>1</v>
      </c>
      <c r="AA127" s="1">
        <f t="shared" si="27"/>
        <v>0</v>
      </c>
    </row>
    <row r="128" spans="1:27" ht="18" customHeight="1" x14ac:dyDescent="0.3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4"/>
        <v>0</v>
      </c>
      <c r="J128" s="68">
        <f t="shared" ca="1" si="15"/>
        <v>0</v>
      </c>
      <c r="K128" s="68">
        <f t="shared" ca="1" si="16"/>
        <v>0</v>
      </c>
      <c r="L128" s="68">
        <f t="shared" ca="1" si="17"/>
        <v>0</v>
      </c>
      <c r="M128" s="69">
        <f t="shared" si="18"/>
        <v>0</v>
      </c>
      <c r="N128" s="65" t="str">
        <f t="shared" si="19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20"/>
        <v/>
      </c>
      <c r="U128" s="1">
        <f t="shared" si="21"/>
        <v>0</v>
      </c>
      <c r="V128" s="1">
        <f t="shared" si="22"/>
        <v>2958465</v>
      </c>
      <c r="W128" s="1">
        <f t="shared" si="23"/>
        <v>0</v>
      </c>
      <c r="X128" s="1">
        <f t="shared" si="24"/>
        <v>0</v>
      </c>
      <c r="Y128" s="1">
        <f t="shared" si="25"/>
        <v>97200</v>
      </c>
      <c r="Z128" s="1">
        <f t="shared" si="26"/>
        <v>1</v>
      </c>
      <c r="AA128" s="1">
        <f t="shared" si="27"/>
        <v>0</v>
      </c>
    </row>
    <row r="129" spans="1:27" ht="18" customHeight="1" x14ac:dyDescent="0.3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4"/>
        <v>0</v>
      </c>
      <c r="J129" s="68">
        <f t="shared" ca="1" si="15"/>
        <v>0</v>
      </c>
      <c r="K129" s="68">
        <f t="shared" ca="1" si="16"/>
        <v>0</v>
      </c>
      <c r="L129" s="68">
        <f t="shared" ca="1" si="17"/>
        <v>0</v>
      </c>
      <c r="M129" s="69">
        <f t="shared" si="18"/>
        <v>0</v>
      </c>
      <c r="N129" s="65" t="str">
        <f t="shared" si="19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20"/>
        <v/>
      </c>
      <c r="U129" s="1">
        <f t="shared" si="21"/>
        <v>0</v>
      </c>
      <c r="V129" s="1">
        <f t="shared" si="22"/>
        <v>2958465</v>
      </c>
      <c r="W129" s="1">
        <f t="shared" si="23"/>
        <v>0</v>
      </c>
      <c r="X129" s="1">
        <f t="shared" si="24"/>
        <v>0</v>
      </c>
      <c r="Y129" s="1">
        <f t="shared" si="25"/>
        <v>97200</v>
      </c>
      <c r="Z129" s="1">
        <f t="shared" si="26"/>
        <v>1</v>
      </c>
      <c r="AA129" s="1">
        <f t="shared" si="27"/>
        <v>0</v>
      </c>
    </row>
    <row r="130" spans="1:27" ht="18" customHeight="1" x14ac:dyDescent="0.3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4"/>
        <v>0</v>
      </c>
      <c r="J130" s="68">
        <f t="shared" ca="1" si="15"/>
        <v>0</v>
      </c>
      <c r="K130" s="68">
        <f t="shared" ca="1" si="16"/>
        <v>0</v>
      </c>
      <c r="L130" s="68">
        <f t="shared" ca="1" si="17"/>
        <v>0</v>
      </c>
      <c r="M130" s="69">
        <f t="shared" si="18"/>
        <v>0</v>
      </c>
      <c r="N130" s="65" t="str">
        <f t="shared" si="19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20"/>
        <v/>
      </c>
      <c r="U130" s="1">
        <f t="shared" si="21"/>
        <v>0</v>
      </c>
      <c r="V130" s="1">
        <f t="shared" si="22"/>
        <v>2958465</v>
      </c>
      <c r="W130" s="1">
        <f t="shared" si="23"/>
        <v>0</v>
      </c>
      <c r="X130" s="1">
        <f t="shared" si="24"/>
        <v>0</v>
      </c>
      <c r="Y130" s="1">
        <f t="shared" si="25"/>
        <v>97200</v>
      </c>
      <c r="Z130" s="1">
        <f t="shared" si="26"/>
        <v>1</v>
      </c>
      <c r="AA130" s="1">
        <f t="shared" si="27"/>
        <v>0</v>
      </c>
    </row>
    <row r="131" spans="1:27" ht="18" customHeight="1" x14ac:dyDescent="0.3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4"/>
        <v>0</v>
      </c>
      <c r="J131" s="68">
        <f t="shared" ca="1" si="15"/>
        <v>0</v>
      </c>
      <c r="K131" s="68">
        <f t="shared" ca="1" si="16"/>
        <v>0</v>
      </c>
      <c r="L131" s="68">
        <f t="shared" ca="1" si="17"/>
        <v>0</v>
      </c>
      <c r="M131" s="69">
        <f t="shared" si="18"/>
        <v>0</v>
      </c>
      <c r="N131" s="65" t="str">
        <f t="shared" si="19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20"/>
        <v/>
      </c>
      <c r="U131" s="1">
        <f t="shared" si="21"/>
        <v>0</v>
      </c>
      <c r="V131" s="1">
        <f t="shared" si="22"/>
        <v>2958465</v>
      </c>
      <c r="W131" s="1">
        <f t="shared" si="23"/>
        <v>0</v>
      </c>
      <c r="X131" s="1">
        <f t="shared" si="24"/>
        <v>0</v>
      </c>
      <c r="Y131" s="1">
        <f t="shared" si="25"/>
        <v>97200</v>
      </c>
      <c r="Z131" s="1">
        <f t="shared" si="26"/>
        <v>1</v>
      </c>
      <c r="AA131" s="1">
        <f t="shared" si="27"/>
        <v>0</v>
      </c>
    </row>
    <row r="132" spans="1:27" ht="18" customHeight="1" x14ac:dyDescent="0.3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4"/>
        <v>0</v>
      </c>
      <c r="J132" s="68">
        <f t="shared" ca="1" si="15"/>
        <v>0</v>
      </c>
      <c r="K132" s="68">
        <f t="shared" ca="1" si="16"/>
        <v>0</v>
      </c>
      <c r="L132" s="68">
        <f t="shared" ca="1" si="17"/>
        <v>0</v>
      </c>
      <c r="M132" s="69">
        <f t="shared" si="18"/>
        <v>0</v>
      </c>
      <c r="N132" s="65" t="str">
        <f t="shared" si="19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20"/>
        <v/>
      </c>
      <c r="U132" s="1">
        <f t="shared" si="21"/>
        <v>0</v>
      </c>
      <c r="V132" s="1">
        <f t="shared" si="22"/>
        <v>2958465</v>
      </c>
      <c r="W132" s="1">
        <f t="shared" si="23"/>
        <v>0</v>
      </c>
      <c r="X132" s="1">
        <f t="shared" si="24"/>
        <v>0</v>
      </c>
      <c r="Y132" s="1">
        <f t="shared" si="25"/>
        <v>97200</v>
      </c>
      <c r="Z132" s="1">
        <f t="shared" si="26"/>
        <v>1</v>
      </c>
      <c r="AA132" s="1">
        <f t="shared" si="27"/>
        <v>0</v>
      </c>
    </row>
    <row r="133" spans="1:27" ht="18" customHeight="1" x14ac:dyDescent="0.3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4"/>
        <v>0</v>
      </c>
      <c r="J133" s="68">
        <f t="shared" ca="1" si="15"/>
        <v>0</v>
      </c>
      <c r="K133" s="68">
        <f t="shared" ca="1" si="16"/>
        <v>0</v>
      </c>
      <c r="L133" s="68">
        <f t="shared" ca="1" si="17"/>
        <v>0</v>
      </c>
      <c r="M133" s="69">
        <f t="shared" si="18"/>
        <v>0</v>
      </c>
      <c r="N133" s="65" t="str">
        <f t="shared" si="19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20"/>
        <v/>
      </c>
      <c r="U133" s="1">
        <f t="shared" si="21"/>
        <v>0</v>
      </c>
      <c r="V133" s="1">
        <f t="shared" si="22"/>
        <v>2958465</v>
      </c>
      <c r="W133" s="1">
        <f t="shared" si="23"/>
        <v>0</v>
      </c>
      <c r="X133" s="1">
        <f t="shared" si="24"/>
        <v>0</v>
      </c>
      <c r="Y133" s="1">
        <f t="shared" si="25"/>
        <v>97200</v>
      </c>
      <c r="Z133" s="1">
        <f t="shared" si="26"/>
        <v>1</v>
      </c>
      <c r="AA133" s="1">
        <f t="shared" si="27"/>
        <v>0</v>
      </c>
    </row>
    <row r="134" spans="1:27" ht="18" customHeight="1" x14ac:dyDescent="0.3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4"/>
        <v>0</v>
      </c>
      <c r="J134" s="68">
        <f t="shared" ca="1" si="15"/>
        <v>0</v>
      </c>
      <c r="K134" s="68">
        <f t="shared" ca="1" si="16"/>
        <v>0</v>
      </c>
      <c r="L134" s="68">
        <f t="shared" ca="1" si="17"/>
        <v>0</v>
      </c>
      <c r="M134" s="69">
        <f t="shared" si="18"/>
        <v>0</v>
      </c>
      <c r="N134" s="65" t="str">
        <f t="shared" si="19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20"/>
        <v/>
      </c>
      <c r="U134" s="1">
        <f t="shared" si="21"/>
        <v>0</v>
      </c>
      <c r="V134" s="1">
        <f t="shared" si="22"/>
        <v>2958465</v>
      </c>
      <c r="W134" s="1">
        <f t="shared" si="23"/>
        <v>0</v>
      </c>
      <c r="X134" s="1">
        <f t="shared" si="24"/>
        <v>0</v>
      </c>
      <c r="Y134" s="1">
        <f t="shared" si="25"/>
        <v>97200</v>
      </c>
      <c r="Z134" s="1">
        <f t="shared" si="26"/>
        <v>1</v>
      </c>
      <c r="AA134" s="1">
        <f t="shared" si="27"/>
        <v>0</v>
      </c>
    </row>
    <row r="135" spans="1:27" ht="18" customHeight="1" x14ac:dyDescent="0.3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8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9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30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31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2">IF($G135&gt;0,$I135/$G135,0)</f>
        <v>0</v>
      </c>
      <c r="N135" s="65" t="str">
        <f t="shared" ref="N135:N198" si="33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4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5">IF($O135="",0,$O135)</f>
        <v>0</v>
      </c>
      <c r="V135" s="1">
        <f t="shared" ref="V135:V198" si="36">IF($E135="",2958465,$E135)</f>
        <v>2958465</v>
      </c>
      <c r="W135" s="1">
        <f t="shared" ref="W135:W198" si="37">IF($F135="Haftalık",1,IF($F135="Aylık",2,0))</f>
        <v>0</v>
      </c>
      <c r="X135" s="1">
        <f t="shared" ref="X135:X198" si="38">IF($U135=0,0,(YEAR($U135)-1900)*12+MONTH($U135))</f>
        <v>0</v>
      </c>
      <c r="Y135" s="1">
        <f t="shared" ref="Y135:Y198" si="39">(YEAR($V135)-1900)*12+MONTH($V135)</f>
        <v>97200</v>
      </c>
      <c r="Z135" s="1">
        <f t="shared" ref="Z135:Z198" si="40">IF($V135=EOMONTH($V135,0),1,0)</f>
        <v>1</v>
      </c>
      <c r="AA135" s="1">
        <f t="shared" ref="AA135:AA198" si="41">IF(OR($B135="",$H135&lt;&gt;"Aktif"),0,COUNTIFS($B$7:$B$606,$B135,$H$7:$H$606,"Aktif"))</f>
        <v>0</v>
      </c>
    </row>
    <row r="136" spans="1:27" ht="18" customHeight="1" x14ac:dyDescent="0.3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8"/>
        <v>0</v>
      </c>
      <c r="J136" s="68">
        <f t="shared" ca="1" si="29"/>
        <v>0</v>
      </c>
      <c r="K136" s="68">
        <f t="shared" ca="1" si="30"/>
        <v>0</v>
      </c>
      <c r="L136" s="68">
        <f t="shared" ca="1" si="31"/>
        <v>0</v>
      </c>
      <c r="M136" s="69">
        <f t="shared" si="32"/>
        <v>0</v>
      </c>
      <c r="N136" s="65" t="str">
        <f t="shared" si="33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4"/>
        <v/>
      </c>
      <c r="U136" s="1">
        <f t="shared" si="35"/>
        <v>0</v>
      </c>
      <c r="V136" s="1">
        <f t="shared" si="36"/>
        <v>2958465</v>
      </c>
      <c r="W136" s="1">
        <f t="shared" si="37"/>
        <v>0</v>
      </c>
      <c r="X136" s="1">
        <f t="shared" si="38"/>
        <v>0</v>
      </c>
      <c r="Y136" s="1">
        <f t="shared" si="39"/>
        <v>97200</v>
      </c>
      <c r="Z136" s="1">
        <f t="shared" si="40"/>
        <v>1</v>
      </c>
      <c r="AA136" s="1">
        <f t="shared" si="41"/>
        <v>0</v>
      </c>
    </row>
    <row r="137" spans="1:27" ht="18" customHeight="1" x14ac:dyDescent="0.3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8"/>
        <v>0</v>
      </c>
      <c r="J137" s="68">
        <f t="shared" ca="1" si="29"/>
        <v>0</v>
      </c>
      <c r="K137" s="68">
        <f t="shared" ca="1" si="30"/>
        <v>0</v>
      </c>
      <c r="L137" s="68">
        <f t="shared" ca="1" si="31"/>
        <v>0</v>
      </c>
      <c r="M137" s="69">
        <f t="shared" si="32"/>
        <v>0</v>
      </c>
      <c r="N137" s="65" t="str">
        <f t="shared" si="33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4"/>
        <v/>
      </c>
      <c r="U137" s="1">
        <f t="shared" si="35"/>
        <v>0</v>
      </c>
      <c r="V137" s="1">
        <f t="shared" si="36"/>
        <v>2958465</v>
      </c>
      <c r="W137" s="1">
        <f t="shared" si="37"/>
        <v>0</v>
      </c>
      <c r="X137" s="1">
        <f t="shared" si="38"/>
        <v>0</v>
      </c>
      <c r="Y137" s="1">
        <f t="shared" si="39"/>
        <v>97200</v>
      </c>
      <c r="Z137" s="1">
        <f t="shared" si="40"/>
        <v>1</v>
      </c>
      <c r="AA137" s="1">
        <f t="shared" si="41"/>
        <v>0</v>
      </c>
    </row>
    <row r="138" spans="1:27" ht="18" customHeight="1" x14ac:dyDescent="0.3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8"/>
        <v>0</v>
      </c>
      <c r="J138" s="68">
        <f t="shared" ca="1" si="29"/>
        <v>0</v>
      </c>
      <c r="K138" s="68">
        <f t="shared" ca="1" si="30"/>
        <v>0</v>
      </c>
      <c r="L138" s="68">
        <f t="shared" ca="1" si="31"/>
        <v>0</v>
      </c>
      <c r="M138" s="69">
        <f t="shared" si="32"/>
        <v>0</v>
      </c>
      <c r="N138" s="65" t="str">
        <f t="shared" si="33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4"/>
        <v/>
      </c>
      <c r="U138" s="1">
        <f t="shared" si="35"/>
        <v>0</v>
      </c>
      <c r="V138" s="1">
        <f t="shared" si="36"/>
        <v>2958465</v>
      </c>
      <c r="W138" s="1">
        <f t="shared" si="37"/>
        <v>0</v>
      </c>
      <c r="X138" s="1">
        <f t="shared" si="38"/>
        <v>0</v>
      </c>
      <c r="Y138" s="1">
        <f t="shared" si="39"/>
        <v>97200</v>
      </c>
      <c r="Z138" s="1">
        <f t="shared" si="40"/>
        <v>1</v>
      </c>
      <c r="AA138" s="1">
        <f t="shared" si="41"/>
        <v>0</v>
      </c>
    </row>
    <row r="139" spans="1:27" ht="18" customHeight="1" x14ac:dyDescent="0.3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8"/>
        <v>0</v>
      </c>
      <c r="J139" s="68">
        <f t="shared" ca="1" si="29"/>
        <v>0</v>
      </c>
      <c r="K139" s="68">
        <f t="shared" ca="1" si="30"/>
        <v>0</v>
      </c>
      <c r="L139" s="68">
        <f t="shared" ca="1" si="31"/>
        <v>0</v>
      </c>
      <c r="M139" s="69">
        <f t="shared" si="32"/>
        <v>0</v>
      </c>
      <c r="N139" s="65" t="str">
        <f t="shared" si="33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4"/>
        <v/>
      </c>
      <c r="U139" s="1">
        <f t="shared" si="35"/>
        <v>0</v>
      </c>
      <c r="V139" s="1">
        <f t="shared" si="36"/>
        <v>2958465</v>
      </c>
      <c r="W139" s="1">
        <f t="shared" si="37"/>
        <v>0</v>
      </c>
      <c r="X139" s="1">
        <f t="shared" si="38"/>
        <v>0</v>
      </c>
      <c r="Y139" s="1">
        <f t="shared" si="39"/>
        <v>97200</v>
      </c>
      <c r="Z139" s="1">
        <f t="shared" si="40"/>
        <v>1</v>
      </c>
      <c r="AA139" s="1">
        <f t="shared" si="41"/>
        <v>0</v>
      </c>
    </row>
    <row r="140" spans="1:27" ht="18" customHeight="1" x14ac:dyDescent="0.3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8"/>
        <v>0</v>
      </c>
      <c r="J140" s="68">
        <f t="shared" ca="1" si="29"/>
        <v>0</v>
      </c>
      <c r="K140" s="68">
        <f t="shared" ca="1" si="30"/>
        <v>0</v>
      </c>
      <c r="L140" s="68">
        <f t="shared" ca="1" si="31"/>
        <v>0</v>
      </c>
      <c r="M140" s="69">
        <f t="shared" si="32"/>
        <v>0</v>
      </c>
      <c r="N140" s="65" t="str">
        <f t="shared" si="33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4"/>
        <v/>
      </c>
      <c r="U140" s="1">
        <f t="shared" si="35"/>
        <v>0</v>
      </c>
      <c r="V140" s="1">
        <f t="shared" si="36"/>
        <v>2958465</v>
      </c>
      <c r="W140" s="1">
        <f t="shared" si="37"/>
        <v>0</v>
      </c>
      <c r="X140" s="1">
        <f t="shared" si="38"/>
        <v>0</v>
      </c>
      <c r="Y140" s="1">
        <f t="shared" si="39"/>
        <v>97200</v>
      </c>
      <c r="Z140" s="1">
        <f t="shared" si="40"/>
        <v>1</v>
      </c>
      <c r="AA140" s="1">
        <f t="shared" si="41"/>
        <v>0</v>
      </c>
    </row>
    <row r="141" spans="1:27" ht="18" customHeight="1" x14ac:dyDescent="0.3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8"/>
        <v>0</v>
      </c>
      <c r="J141" s="68">
        <f t="shared" ca="1" si="29"/>
        <v>0</v>
      </c>
      <c r="K141" s="68">
        <f t="shared" ca="1" si="30"/>
        <v>0</v>
      </c>
      <c r="L141" s="68">
        <f t="shared" ca="1" si="31"/>
        <v>0</v>
      </c>
      <c r="M141" s="69">
        <f t="shared" si="32"/>
        <v>0</v>
      </c>
      <c r="N141" s="65" t="str">
        <f t="shared" si="33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4"/>
        <v/>
      </c>
      <c r="U141" s="1">
        <f t="shared" si="35"/>
        <v>0</v>
      </c>
      <c r="V141" s="1">
        <f t="shared" si="36"/>
        <v>2958465</v>
      </c>
      <c r="W141" s="1">
        <f t="shared" si="37"/>
        <v>0</v>
      </c>
      <c r="X141" s="1">
        <f t="shared" si="38"/>
        <v>0</v>
      </c>
      <c r="Y141" s="1">
        <f t="shared" si="39"/>
        <v>97200</v>
      </c>
      <c r="Z141" s="1">
        <f t="shared" si="40"/>
        <v>1</v>
      </c>
      <c r="AA141" s="1">
        <f t="shared" si="41"/>
        <v>0</v>
      </c>
    </row>
    <row r="142" spans="1:27" ht="18" customHeight="1" x14ac:dyDescent="0.3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8"/>
        <v>0</v>
      </c>
      <c r="J142" s="68">
        <f t="shared" ca="1" si="29"/>
        <v>0</v>
      </c>
      <c r="K142" s="68">
        <f t="shared" ca="1" si="30"/>
        <v>0</v>
      </c>
      <c r="L142" s="68">
        <f t="shared" ca="1" si="31"/>
        <v>0</v>
      </c>
      <c r="M142" s="69">
        <f t="shared" si="32"/>
        <v>0</v>
      </c>
      <c r="N142" s="65" t="str">
        <f t="shared" si="33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4"/>
        <v/>
      </c>
      <c r="U142" s="1">
        <f t="shared" si="35"/>
        <v>0</v>
      </c>
      <c r="V142" s="1">
        <f t="shared" si="36"/>
        <v>2958465</v>
      </c>
      <c r="W142" s="1">
        <f t="shared" si="37"/>
        <v>0</v>
      </c>
      <c r="X142" s="1">
        <f t="shared" si="38"/>
        <v>0</v>
      </c>
      <c r="Y142" s="1">
        <f t="shared" si="39"/>
        <v>97200</v>
      </c>
      <c r="Z142" s="1">
        <f t="shared" si="40"/>
        <v>1</v>
      </c>
      <c r="AA142" s="1">
        <f t="shared" si="41"/>
        <v>0</v>
      </c>
    </row>
    <row r="143" spans="1:27" ht="18" customHeight="1" x14ac:dyDescent="0.3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8"/>
        <v>0</v>
      </c>
      <c r="J143" s="68">
        <f t="shared" ca="1" si="29"/>
        <v>0</v>
      </c>
      <c r="K143" s="68">
        <f t="shared" ca="1" si="30"/>
        <v>0</v>
      </c>
      <c r="L143" s="68">
        <f t="shared" ca="1" si="31"/>
        <v>0</v>
      </c>
      <c r="M143" s="69">
        <f t="shared" si="32"/>
        <v>0</v>
      </c>
      <c r="N143" s="65" t="str">
        <f t="shared" si="33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4"/>
        <v/>
      </c>
      <c r="U143" s="1">
        <f t="shared" si="35"/>
        <v>0</v>
      </c>
      <c r="V143" s="1">
        <f t="shared" si="36"/>
        <v>2958465</v>
      </c>
      <c r="W143" s="1">
        <f t="shared" si="37"/>
        <v>0</v>
      </c>
      <c r="X143" s="1">
        <f t="shared" si="38"/>
        <v>0</v>
      </c>
      <c r="Y143" s="1">
        <f t="shared" si="39"/>
        <v>97200</v>
      </c>
      <c r="Z143" s="1">
        <f t="shared" si="40"/>
        <v>1</v>
      </c>
      <c r="AA143" s="1">
        <f t="shared" si="41"/>
        <v>0</v>
      </c>
    </row>
    <row r="144" spans="1:27" ht="18" customHeight="1" x14ac:dyDescent="0.3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8"/>
        <v>0</v>
      </c>
      <c r="J144" s="68">
        <f t="shared" ca="1" si="29"/>
        <v>0</v>
      </c>
      <c r="K144" s="68">
        <f t="shared" ca="1" si="30"/>
        <v>0</v>
      </c>
      <c r="L144" s="68">
        <f t="shared" ca="1" si="31"/>
        <v>0</v>
      </c>
      <c r="M144" s="69">
        <f t="shared" si="32"/>
        <v>0</v>
      </c>
      <c r="N144" s="65" t="str">
        <f t="shared" si="33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4"/>
        <v/>
      </c>
      <c r="U144" s="1">
        <f t="shared" si="35"/>
        <v>0</v>
      </c>
      <c r="V144" s="1">
        <f t="shared" si="36"/>
        <v>2958465</v>
      </c>
      <c r="W144" s="1">
        <f t="shared" si="37"/>
        <v>0</v>
      </c>
      <c r="X144" s="1">
        <f t="shared" si="38"/>
        <v>0</v>
      </c>
      <c r="Y144" s="1">
        <f t="shared" si="39"/>
        <v>97200</v>
      </c>
      <c r="Z144" s="1">
        <f t="shared" si="40"/>
        <v>1</v>
      </c>
      <c r="AA144" s="1">
        <f t="shared" si="41"/>
        <v>0</v>
      </c>
    </row>
    <row r="145" spans="1:27" ht="18" customHeight="1" x14ac:dyDescent="0.3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8"/>
        <v>0</v>
      </c>
      <c r="J145" s="68">
        <f t="shared" ca="1" si="29"/>
        <v>0</v>
      </c>
      <c r="K145" s="68">
        <f t="shared" ca="1" si="30"/>
        <v>0</v>
      </c>
      <c r="L145" s="68">
        <f t="shared" ca="1" si="31"/>
        <v>0</v>
      </c>
      <c r="M145" s="69">
        <f t="shared" si="32"/>
        <v>0</v>
      </c>
      <c r="N145" s="65" t="str">
        <f t="shared" si="33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4"/>
        <v/>
      </c>
      <c r="U145" s="1">
        <f t="shared" si="35"/>
        <v>0</v>
      </c>
      <c r="V145" s="1">
        <f t="shared" si="36"/>
        <v>2958465</v>
      </c>
      <c r="W145" s="1">
        <f t="shared" si="37"/>
        <v>0</v>
      </c>
      <c r="X145" s="1">
        <f t="shared" si="38"/>
        <v>0</v>
      </c>
      <c r="Y145" s="1">
        <f t="shared" si="39"/>
        <v>97200</v>
      </c>
      <c r="Z145" s="1">
        <f t="shared" si="40"/>
        <v>1</v>
      </c>
      <c r="AA145" s="1">
        <f t="shared" si="41"/>
        <v>0</v>
      </c>
    </row>
    <row r="146" spans="1:27" ht="18" customHeight="1" x14ac:dyDescent="0.3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8"/>
        <v>0</v>
      </c>
      <c r="J146" s="68">
        <f t="shared" ca="1" si="29"/>
        <v>0</v>
      </c>
      <c r="K146" s="68">
        <f t="shared" ca="1" si="30"/>
        <v>0</v>
      </c>
      <c r="L146" s="68">
        <f t="shared" ca="1" si="31"/>
        <v>0</v>
      </c>
      <c r="M146" s="69">
        <f t="shared" si="32"/>
        <v>0</v>
      </c>
      <c r="N146" s="65" t="str">
        <f t="shared" si="33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4"/>
        <v/>
      </c>
      <c r="U146" s="1">
        <f t="shared" si="35"/>
        <v>0</v>
      </c>
      <c r="V146" s="1">
        <f t="shared" si="36"/>
        <v>2958465</v>
      </c>
      <c r="W146" s="1">
        <f t="shared" si="37"/>
        <v>0</v>
      </c>
      <c r="X146" s="1">
        <f t="shared" si="38"/>
        <v>0</v>
      </c>
      <c r="Y146" s="1">
        <f t="shared" si="39"/>
        <v>97200</v>
      </c>
      <c r="Z146" s="1">
        <f t="shared" si="40"/>
        <v>1</v>
      </c>
      <c r="AA146" s="1">
        <f t="shared" si="41"/>
        <v>0</v>
      </c>
    </row>
    <row r="147" spans="1:27" ht="18" customHeight="1" x14ac:dyDescent="0.3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8"/>
        <v>0</v>
      </c>
      <c r="J147" s="68">
        <f t="shared" ca="1" si="29"/>
        <v>0</v>
      </c>
      <c r="K147" s="68">
        <f t="shared" ca="1" si="30"/>
        <v>0</v>
      </c>
      <c r="L147" s="68">
        <f t="shared" ca="1" si="31"/>
        <v>0</v>
      </c>
      <c r="M147" s="69">
        <f t="shared" si="32"/>
        <v>0</v>
      </c>
      <c r="N147" s="65" t="str">
        <f t="shared" si="33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4"/>
        <v/>
      </c>
      <c r="U147" s="1">
        <f t="shared" si="35"/>
        <v>0</v>
      </c>
      <c r="V147" s="1">
        <f t="shared" si="36"/>
        <v>2958465</v>
      </c>
      <c r="W147" s="1">
        <f t="shared" si="37"/>
        <v>0</v>
      </c>
      <c r="X147" s="1">
        <f t="shared" si="38"/>
        <v>0</v>
      </c>
      <c r="Y147" s="1">
        <f t="shared" si="39"/>
        <v>97200</v>
      </c>
      <c r="Z147" s="1">
        <f t="shared" si="40"/>
        <v>1</v>
      </c>
      <c r="AA147" s="1">
        <f t="shared" si="41"/>
        <v>0</v>
      </c>
    </row>
    <row r="148" spans="1:27" ht="18" customHeight="1" x14ac:dyDescent="0.3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8"/>
        <v>0</v>
      </c>
      <c r="J148" s="68">
        <f t="shared" ca="1" si="29"/>
        <v>0</v>
      </c>
      <c r="K148" s="68">
        <f t="shared" ca="1" si="30"/>
        <v>0</v>
      </c>
      <c r="L148" s="68">
        <f t="shared" ca="1" si="31"/>
        <v>0</v>
      </c>
      <c r="M148" s="69">
        <f t="shared" si="32"/>
        <v>0</v>
      </c>
      <c r="N148" s="65" t="str">
        <f t="shared" si="33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4"/>
        <v/>
      </c>
      <c r="U148" s="1">
        <f t="shared" si="35"/>
        <v>0</v>
      </c>
      <c r="V148" s="1">
        <f t="shared" si="36"/>
        <v>2958465</v>
      </c>
      <c r="W148" s="1">
        <f t="shared" si="37"/>
        <v>0</v>
      </c>
      <c r="X148" s="1">
        <f t="shared" si="38"/>
        <v>0</v>
      </c>
      <c r="Y148" s="1">
        <f t="shared" si="39"/>
        <v>97200</v>
      </c>
      <c r="Z148" s="1">
        <f t="shared" si="40"/>
        <v>1</v>
      </c>
      <c r="AA148" s="1">
        <f t="shared" si="41"/>
        <v>0</v>
      </c>
    </row>
    <row r="149" spans="1:27" ht="18" customHeight="1" x14ac:dyDescent="0.3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8"/>
        <v>0</v>
      </c>
      <c r="J149" s="68">
        <f t="shared" ca="1" si="29"/>
        <v>0</v>
      </c>
      <c r="K149" s="68">
        <f t="shared" ca="1" si="30"/>
        <v>0</v>
      </c>
      <c r="L149" s="68">
        <f t="shared" ca="1" si="31"/>
        <v>0</v>
      </c>
      <c r="M149" s="69">
        <f t="shared" si="32"/>
        <v>0</v>
      </c>
      <c r="N149" s="65" t="str">
        <f t="shared" si="33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4"/>
        <v/>
      </c>
      <c r="U149" s="1">
        <f t="shared" si="35"/>
        <v>0</v>
      </c>
      <c r="V149" s="1">
        <f t="shared" si="36"/>
        <v>2958465</v>
      </c>
      <c r="W149" s="1">
        <f t="shared" si="37"/>
        <v>0</v>
      </c>
      <c r="X149" s="1">
        <f t="shared" si="38"/>
        <v>0</v>
      </c>
      <c r="Y149" s="1">
        <f t="shared" si="39"/>
        <v>97200</v>
      </c>
      <c r="Z149" s="1">
        <f t="shared" si="40"/>
        <v>1</v>
      </c>
      <c r="AA149" s="1">
        <f t="shared" si="41"/>
        <v>0</v>
      </c>
    </row>
    <row r="150" spans="1:27" ht="18" customHeight="1" x14ac:dyDescent="0.3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8"/>
        <v>0</v>
      </c>
      <c r="J150" s="68">
        <f t="shared" ca="1" si="29"/>
        <v>0</v>
      </c>
      <c r="K150" s="68">
        <f t="shared" ca="1" si="30"/>
        <v>0</v>
      </c>
      <c r="L150" s="68">
        <f t="shared" ca="1" si="31"/>
        <v>0</v>
      </c>
      <c r="M150" s="69">
        <f t="shared" si="32"/>
        <v>0</v>
      </c>
      <c r="N150" s="65" t="str">
        <f t="shared" si="33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4"/>
        <v/>
      </c>
      <c r="U150" s="1">
        <f t="shared" si="35"/>
        <v>0</v>
      </c>
      <c r="V150" s="1">
        <f t="shared" si="36"/>
        <v>2958465</v>
      </c>
      <c r="W150" s="1">
        <f t="shared" si="37"/>
        <v>0</v>
      </c>
      <c r="X150" s="1">
        <f t="shared" si="38"/>
        <v>0</v>
      </c>
      <c r="Y150" s="1">
        <f t="shared" si="39"/>
        <v>97200</v>
      </c>
      <c r="Z150" s="1">
        <f t="shared" si="40"/>
        <v>1</v>
      </c>
      <c r="AA150" s="1">
        <f t="shared" si="41"/>
        <v>0</v>
      </c>
    </row>
    <row r="151" spans="1:27" ht="18" customHeight="1" x14ac:dyDescent="0.3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8"/>
        <v>0</v>
      </c>
      <c r="J151" s="68">
        <f t="shared" ca="1" si="29"/>
        <v>0</v>
      </c>
      <c r="K151" s="68">
        <f t="shared" ca="1" si="30"/>
        <v>0</v>
      </c>
      <c r="L151" s="68">
        <f t="shared" ca="1" si="31"/>
        <v>0</v>
      </c>
      <c r="M151" s="69">
        <f t="shared" si="32"/>
        <v>0</v>
      </c>
      <c r="N151" s="65" t="str">
        <f t="shared" si="33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4"/>
        <v/>
      </c>
      <c r="U151" s="1">
        <f t="shared" si="35"/>
        <v>0</v>
      </c>
      <c r="V151" s="1">
        <f t="shared" si="36"/>
        <v>2958465</v>
      </c>
      <c r="W151" s="1">
        <f t="shared" si="37"/>
        <v>0</v>
      </c>
      <c r="X151" s="1">
        <f t="shared" si="38"/>
        <v>0</v>
      </c>
      <c r="Y151" s="1">
        <f t="shared" si="39"/>
        <v>97200</v>
      </c>
      <c r="Z151" s="1">
        <f t="shared" si="40"/>
        <v>1</v>
      </c>
      <c r="AA151" s="1">
        <f t="shared" si="41"/>
        <v>0</v>
      </c>
    </row>
    <row r="152" spans="1:27" ht="18" customHeight="1" x14ac:dyDescent="0.3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8"/>
        <v>0</v>
      </c>
      <c r="J152" s="68">
        <f t="shared" ca="1" si="29"/>
        <v>0</v>
      </c>
      <c r="K152" s="68">
        <f t="shared" ca="1" si="30"/>
        <v>0</v>
      </c>
      <c r="L152" s="68">
        <f t="shared" ca="1" si="31"/>
        <v>0</v>
      </c>
      <c r="M152" s="69">
        <f t="shared" si="32"/>
        <v>0</v>
      </c>
      <c r="N152" s="65" t="str">
        <f t="shared" si="33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4"/>
        <v/>
      </c>
      <c r="U152" s="1">
        <f t="shared" si="35"/>
        <v>0</v>
      </c>
      <c r="V152" s="1">
        <f t="shared" si="36"/>
        <v>2958465</v>
      </c>
      <c r="W152" s="1">
        <f t="shared" si="37"/>
        <v>0</v>
      </c>
      <c r="X152" s="1">
        <f t="shared" si="38"/>
        <v>0</v>
      </c>
      <c r="Y152" s="1">
        <f t="shared" si="39"/>
        <v>97200</v>
      </c>
      <c r="Z152" s="1">
        <f t="shared" si="40"/>
        <v>1</v>
      </c>
      <c r="AA152" s="1">
        <f t="shared" si="41"/>
        <v>0</v>
      </c>
    </row>
    <row r="153" spans="1:27" ht="18" customHeight="1" x14ac:dyDescent="0.3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8"/>
        <v>0</v>
      </c>
      <c r="J153" s="68">
        <f t="shared" ca="1" si="29"/>
        <v>0</v>
      </c>
      <c r="K153" s="68">
        <f t="shared" ca="1" si="30"/>
        <v>0</v>
      </c>
      <c r="L153" s="68">
        <f t="shared" ca="1" si="31"/>
        <v>0</v>
      </c>
      <c r="M153" s="69">
        <f t="shared" si="32"/>
        <v>0</v>
      </c>
      <c r="N153" s="65" t="str">
        <f t="shared" si="33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4"/>
        <v/>
      </c>
      <c r="U153" s="1">
        <f t="shared" si="35"/>
        <v>0</v>
      </c>
      <c r="V153" s="1">
        <f t="shared" si="36"/>
        <v>2958465</v>
      </c>
      <c r="W153" s="1">
        <f t="shared" si="37"/>
        <v>0</v>
      </c>
      <c r="X153" s="1">
        <f t="shared" si="38"/>
        <v>0</v>
      </c>
      <c r="Y153" s="1">
        <f t="shared" si="39"/>
        <v>97200</v>
      </c>
      <c r="Z153" s="1">
        <f t="shared" si="40"/>
        <v>1</v>
      </c>
      <c r="AA153" s="1">
        <f t="shared" si="41"/>
        <v>0</v>
      </c>
    </row>
    <row r="154" spans="1:27" ht="18" customHeight="1" x14ac:dyDescent="0.3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8"/>
        <v>0</v>
      </c>
      <c r="J154" s="68">
        <f t="shared" ca="1" si="29"/>
        <v>0</v>
      </c>
      <c r="K154" s="68">
        <f t="shared" ca="1" si="30"/>
        <v>0</v>
      </c>
      <c r="L154" s="68">
        <f t="shared" ca="1" si="31"/>
        <v>0</v>
      </c>
      <c r="M154" s="69">
        <f t="shared" si="32"/>
        <v>0</v>
      </c>
      <c r="N154" s="65" t="str">
        <f t="shared" si="33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4"/>
        <v/>
      </c>
      <c r="U154" s="1">
        <f t="shared" si="35"/>
        <v>0</v>
      </c>
      <c r="V154" s="1">
        <f t="shared" si="36"/>
        <v>2958465</v>
      </c>
      <c r="W154" s="1">
        <f t="shared" si="37"/>
        <v>0</v>
      </c>
      <c r="X154" s="1">
        <f t="shared" si="38"/>
        <v>0</v>
      </c>
      <c r="Y154" s="1">
        <f t="shared" si="39"/>
        <v>97200</v>
      </c>
      <c r="Z154" s="1">
        <f t="shared" si="40"/>
        <v>1</v>
      </c>
      <c r="AA154" s="1">
        <f t="shared" si="41"/>
        <v>0</v>
      </c>
    </row>
    <row r="155" spans="1:27" ht="18" customHeight="1" x14ac:dyDescent="0.3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8"/>
        <v>0</v>
      </c>
      <c r="J155" s="68">
        <f t="shared" ca="1" si="29"/>
        <v>0</v>
      </c>
      <c r="K155" s="68">
        <f t="shared" ca="1" si="30"/>
        <v>0</v>
      </c>
      <c r="L155" s="68">
        <f t="shared" ca="1" si="31"/>
        <v>0</v>
      </c>
      <c r="M155" s="69">
        <f t="shared" si="32"/>
        <v>0</v>
      </c>
      <c r="N155" s="65" t="str">
        <f t="shared" si="33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4"/>
        <v/>
      </c>
      <c r="U155" s="1">
        <f t="shared" si="35"/>
        <v>0</v>
      </c>
      <c r="V155" s="1">
        <f t="shared" si="36"/>
        <v>2958465</v>
      </c>
      <c r="W155" s="1">
        <f t="shared" si="37"/>
        <v>0</v>
      </c>
      <c r="X155" s="1">
        <f t="shared" si="38"/>
        <v>0</v>
      </c>
      <c r="Y155" s="1">
        <f t="shared" si="39"/>
        <v>97200</v>
      </c>
      <c r="Z155" s="1">
        <f t="shared" si="40"/>
        <v>1</v>
      </c>
      <c r="AA155" s="1">
        <f t="shared" si="41"/>
        <v>0</v>
      </c>
    </row>
    <row r="156" spans="1:27" ht="18" customHeight="1" x14ac:dyDescent="0.3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8"/>
        <v>0</v>
      </c>
      <c r="J156" s="68">
        <f t="shared" ca="1" si="29"/>
        <v>0</v>
      </c>
      <c r="K156" s="68">
        <f t="shared" ca="1" si="30"/>
        <v>0</v>
      </c>
      <c r="L156" s="68">
        <f t="shared" ca="1" si="31"/>
        <v>0</v>
      </c>
      <c r="M156" s="69">
        <f t="shared" si="32"/>
        <v>0</v>
      </c>
      <c r="N156" s="65" t="str">
        <f t="shared" si="33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4"/>
        <v/>
      </c>
      <c r="U156" s="1">
        <f t="shared" si="35"/>
        <v>0</v>
      </c>
      <c r="V156" s="1">
        <f t="shared" si="36"/>
        <v>2958465</v>
      </c>
      <c r="W156" s="1">
        <f t="shared" si="37"/>
        <v>0</v>
      </c>
      <c r="X156" s="1">
        <f t="shared" si="38"/>
        <v>0</v>
      </c>
      <c r="Y156" s="1">
        <f t="shared" si="39"/>
        <v>97200</v>
      </c>
      <c r="Z156" s="1">
        <f t="shared" si="40"/>
        <v>1</v>
      </c>
      <c r="AA156" s="1">
        <f t="shared" si="41"/>
        <v>0</v>
      </c>
    </row>
    <row r="157" spans="1:27" ht="18" customHeight="1" x14ac:dyDescent="0.3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8"/>
        <v>0</v>
      </c>
      <c r="J157" s="68">
        <f t="shared" ca="1" si="29"/>
        <v>0</v>
      </c>
      <c r="K157" s="68">
        <f t="shared" ca="1" si="30"/>
        <v>0</v>
      </c>
      <c r="L157" s="68">
        <f t="shared" ca="1" si="31"/>
        <v>0</v>
      </c>
      <c r="M157" s="69">
        <f t="shared" si="32"/>
        <v>0</v>
      </c>
      <c r="N157" s="65" t="str">
        <f t="shared" si="33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4"/>
        <v/>
      </c>
      <c r="U157" s="1">
        <f t="shared" si="35"/>
        <v>0</v>
      </c>
      <c r="V157" s="1">
        <f t="shared" si="36"/>
        <v>2958465</v>
      </c>
      <c r="W157" s="1">
        <f t="shared" si="37"/>
        <v>0</v>
      </c>
      <c r="X157" s="1">
        <f t="shared" si="38"/>
        <v>0</v>
      </c>
      <c r="Y157" s="1">
        <f t="shared" si="39"/>
        <v>97200</v>
      </c>
      <c r="Z157" s="1">
        <f t="shared" si="40"/>
        <v>1</v>
      </c>
      <c r="AA157" s="1">
        <f t="shared" si="41"/>
        <v>0</v>
      </c>
    </row>
    <row r="158" spans="1:27" ht="18" customHeight="1" x14ac:dyDescent="0.3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8"/>
        <v>0</v>
      </c>
      <c r="J158" s="68">
        <f t="shared" ca="1" si="29"/>
        <v>0</v>
      </c>
      <c r="K158" s="68">
        <f t="shared" ca="1" si="30"/>
        <v>0</v>
      </c>
      <c r="L158" s="68">
        <f t="shared" ca="1" si="31"/>
        <v>0</v>
      </c>
      <c r="M158" s="69">
        <f t="shared" si="32"/>
        <v>0</v>
      </c>
      <c r="N158" s="65" t="str">
        <f t="shared" si="33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4"/>
        <v/>
      </c>
      <c r="U158" s="1">
        <f t="shared" si="35"/>
        <v>0</v>
      </c>
      <c r="V158" s="1">
        <f t="shared" si="36"/>
        <v>2958465</v>
      </c>
      <c r="W158" s="1">
        <f t="shared" si="37"/>
        <v>0</v>
      </c>
      <c r="X158" s="1">
        <f t="shared" si="38"/>
        <v>0</v>
      </c>
      <c r="Y158" s="1">
        <f t="shared" si="39"/>
        <v>97200</v>
      </c>
      <c r="Z158" s="1">
        <f t="shared" si="40"/>
        <v>1</v>
      </c>
      <c r="AA158" s="1">
        <f t="shared" si="41"/>
        <v>0</v>
      </c>
    </row>
    <row r="159" spans="1:27" ht="18" customHeight="1" x14ac:dyDescent="0.3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8"/>
        <v>0</v>
      </c>
      <c r="J159" s="68">
        <f t="shared" ca="1" si="29"/>
        <v>0</v>
      </c>
      <c r="K159" s="68">
        <f t="shared" ca="1" si="30"/>
        <v>0</v>
      </c>
      <c r="L159" s="68">
        <f t="shared" ca="1" si="31"/>
        <v>0</v>
      </c>
      <c r="M159" s="69">
        <f t="shared" si="32"/>
        <v>0</v>
      </c>
      <c r="N159" s="65" t="str">
        <f t="shared" si="33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4"/>
        <v/>
      </c>
      <c r="U159" s="1">
        <f t="shared" si="35"/>
        <v>0</v>
      </c>
      <c r="V159" s="1">
        <f t="shared" si="36"/>
        <v>2958465</v>
      </c>
      <c r="W159" s="1">
        <f t="shared" si="37"/>
        <v>0</v>
      </c>
      <c r="X159" s="1">
        <f t="shared" si="38"/>
        <v>0</v>
      </c>
      <c r="Y159" s="1">
        <f t="shared" si="39"/>
        <v>97200</v>
      </c>
      <c r="Z159" s="1">
        <f t="shared" si="40"/>
        <v>1</v>
      </c>
      <c r="AA159" s="1">
        <f t="shared" si="41"/>
        <v>0</v>
      </c>
    </row>
    <row r="160" spans="1:27" ht="18" customHeight="1" x14ac:dyDescent="0.3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8"/>
        <v>0</v>
      </c>
      <c r="J160" s="68">
        <f t="shared" ca="1" si="29"/>
        <v>0</v>
      </c>
      <c r="K160" s="68">
        <f t="shared" ca="1" si="30"/>
        <v>0</v>
      </c>
      <c r="L160" s="68">
        <f t="shared" ca="1" si="31"/>
        <v>0</v>
      </c>
      <c r="M160" s="69">
        <f t="shared" si="32"/>
        <v>0</v>
      </c>
      <c r="N160" s="65" t="str">
        <f t="shared" si="33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4"/>
        <v/>
      </c>
      <c r="U160" s="1">
        <f t="shared" si="35"/>
        <v>0</v>
      </c>
      <c r="V160" s="1">
        <f t="shared" si="36"/>
        <v>2958465</v>
      </c>
      <c r="W160" s="1">
        <f t="shared" si="37"/>
        <v>0</v>
      </c>
      <c r="X160" s="1">
        <f t="shared" si="38"/>
        <v>0</v>
      </c>
      <c r="Y160" s="1">
        <f t="shared" si="39"/>
        <v>97200</v>
      </c>
      <c r="Z160" s="1">
        <f t="shared" si="40"/>
        <v>1</v>
      </c>
      <c r="AA160" s="1">
        <f t="shared" si="41"/>
        <v>0</v>
      </c>
    </row>
    <row r="161" spans="1:27" ht="18" customHeight="1" x14ac:dyDescent="0.3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8"/>
        <v>0</v>
      </c>
      <c r="J161" s="68">
        <f t="shared" ca="1" si="29"/>
        <v>0</v>
      </c>
      <c r="K161" s="68">
        <f t="shared" ca="1" si="30"/>
        <v>0</v>
      </c>
      <c r="L161" s="68">
        <f t="shared" ca="1" si="31"/>
        <v>0</v>
      </c>
      <c r="M161" s="69">
        <f t="shared" si="32"/>
        <v>0</v>
      </c>
      <c r="N161" s="65" t="str">
        <f t="shared" si="33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4"/>
        <v/>
      </c>
      <c r="U161" s="1">
        <f t="shared" si="35"/>
        <v>0</v>
      </c>
      <c r="V161" s="1">
        <f t="shared" si="36"/>
        <v>2958465</v>
      </c>
      <c r="W161" s="1">
        <f t="shared" si="37"/>
        <v>0</v>
      </c>
      <c r="X161" s="1">
        <f t="shared" si="38"/>
        <v>0</v>
      </c>
      <c r="Y161" s="1">
        <f t="shared" si="39"/>
        <v>97200</v>
      </c>
      <c r="Z161" s="1">
        <f t="shared" si="40"/>
        <v>1</v>
      </c>
      <c r="AA161" s="1">
        <f t="shared" si="41"/>
        <v>0</v>
      </c>
    </row>
    <row r="162" spans="1:27" ht="18" customHeight="1" x14ac:dyDescent="0.3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8"/>
        <v>0</v>
      </c>
      <c r="J162" s="68">
        <f t="shared" ca="1" si="29"/>
        <v>0</v>
      </c>
      <c r="K162" s="68">
        <f t="shared" ca="1" si="30"/>
        <v>0</v>
      </c>
      <c r="L162" s="68">
        <f t="shared" ca="1" si="31"/>
        <v>0</v>
      </c>
      <c r="M162" s="69">
        <f t="shared" si="32"/>
        <v>0</v>
      </c>
      <c r="N162" s="65" t="str">
        <f t="shared" si="33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4"/>
        <v/>
      </c>
      <c r="U162" s="1">
        <f t="shared" si="35"/>
        <v>0</v>
      </c>
      <c r="V162" s="1">
        <f t="shared" si="36"/>
        <v>2958465</v>
      </c>
      <c r="W162" s="1">
        <f t="shared" si="37"/>
        <v>0</v>
      </c>
      <c r="X162" s="1">
        <f t="shared" si="38"/>
        <v>0</v>
      </c>
      <c r="Y162" s="1">
        <f t="shared" si="39"/>
        <v>97200</v>
      </c>
      <c r="Z162" s="1">
        <f t="shared" si="40"/>
        <v>1</v>
      </c>
      <c r="AA162" s="1">
        <f t="shared" si="41"/>
        <v>0</v>
      </c>
    </row>
    <row r="163" spans="1:27" ht="18" customHeight="1" x14ac:dyDescent="0.3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8"/>
        <v>0</v>
      </c>
      <c r="J163" s="68">
        <f t="shared" ca="1" si="29"/>
        <v>0</v>
      </c>
      <c r="K163" s="68">
        <f t="shared" ca="1" si="30"/>
        <v>0</v>
      </c>
      <c r="L163" s="68">
        <f t="shared" ca="1" si="31"/>
        <v>0</v>
      </c>
      <c r="M163" s="69">
        <f t="shared" si="32"/>
        <v>0</v>
      </c>
      <c r="N163" s="65" t="str">
        <f t="shared" si="33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4"/>
        <v/>
      </c>
      <c r="U163" s="1">
        <f t="shared" si="35"/>
        <v>0</v>
      </c>
      <c r="V163" s="1">
        <f t="shared" si="36"/>
        <v>2958465</v>
      </c>
      <c r="W163" s="1">
        <f t="shared" si="37"/>
        <v>0</v>
      </c>
      <c r="X163" s="1">
        <f t="shared" si="38"/>
        <v>0</v>
      </c>
      <c r="Y163" s="1">
        <f t="shared" si="39"/>
        <v>97200</v>
      </c>
      <c r="Z163" s="1">
        <f t="shared" si="40"/>
        <v>1</v>
      </c>
      <c r="AA163" s="1">
        <f t="shared" si="41"/>
        <v>0</v>
      </c>
    </row>
    <row r="164" spans="1:27" ht="18" customHeight="1" x14ac:dyDescent="0.3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8"/>
        <v>0</v>
      </c>
      <c r="J164" s="68">
        <f t="shared" ca="1" si="29"/>
        <v>0</v>
      </c>
      <c r="K164" s="68">
        <f t="shared" ca="1" si="30"/>
        <v>0</v>
      </c>
      <c r="L164" s="68">
        <f t="shared" ca="1" si="31"/>
        <v>0</v>
      </c>
      <c r="M164" s="69">
        <f t="shared" si="32"/>
        <v>0</v>
      </c>
      <c r="N164" s="65" t="str">
        <f t="shared" si="33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4"/>
        <v/>
      </c>
      <c r="U164" s="1">
        <f t="shared" si="35"/>
        <v>0</v>
      </c>
      <c r="V164" s="1">
        <f t="shared" si="36"/>
        <v>2958465</v>
      </c>
      <c r="W164" s="1">
        <f t="shared" si="37"/>
        <v>0</v>
      </c>
      <c r="X164" s="1">
        <f t="shared" si="38"/>
        <v>0</v>
      </c>
      <c r="Y164" s="1">
        <f t="shared" si="39"/>
        <v>97200</v>
      </c>
      <c r="Z164" s="1">
        <f t="shared" si="40"/>
        <v>1</v>
      </c>
      <c r="AA164" s="1">
        <f t="shared" si="41"/>
        <v>0</v>
      </c>
    </row>
    <row r="165" spans="1:27" ht="18" customHeight="1" x14ac:dyDescent="0.3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8"/>
        <v>0</v>
      </c>
      <c r="J165" s="68">
        <f t="shared" ca="1" si="29"/>
        <v>0</v>
      </c>
      <c r="K165" s="68">
        <f t="shared" ca="1" si="30"/>
        <v>0</v>
      </c>
      <c r="L165" s="68">
        <f t="shared" ca="1" si="31"/>
        <v>0</v>
      </c>
      <c r="M165" s="69">
        <f t="shared" si="32"/>
        <v>0</v>
      </c>
      <c r="N165" s="65" t="str">
        <f t="shared" si="33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4"/>
        <v/>
      </c>
      <c r="U165" s="1">
        <f t="shared" si="35"/>
        <v>0</v>
      </c>
      <c r="V165" s="1">
        <f t="shared" si="36"/>
        <v>2958465</v>
      </c>
      <c r="W165" s="1">
        <f t="shared" si="37"/>
        <v>0</v>
      </c>
      <c r="X165" s="1">
        <f t="shared" si="38"/>
        <v>0</v>
      </c>
      <c r="Y165" s="1">
        <f t="shared" si="39"/>
        <v>97200</v>
      </c>
      <c r="Z165" s="1">
        <f t="shared" si="40"/>
        <v>1</v>
      </c>
      <c r="AA165" s="1">
        <f t="shared" si="41"/>
        <v>0</v>
      </c>
    </row>
    <row r="166" spans="1:27" ht="18" customHeight="1" x14ac:dyDescent="0.3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8"/>
        <v>0</v>
      </c>
      <c r="J166" s="68">
        <f t="shared" ca="1" si="29"/>
        <v>0</v>
      </c>
      <c r="K166" s="68">
        <f t="shared" ca="1" si="30"/>
        <v>0</v>
      </c>
      <c r="L166" s="68">
        <f t="shared" ca="1" si="31"/>
        <v>0</v>
      </c>
      <c r="M166" s="69">
        <f t="shared" si="32"/>
        <v>0</v>
      </c>
      <c r="N166" s="65" t="str">
        <f t="shared" si="33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4"/>
        <v/>
      </c>
      <c r="U166" s="1">
        <f t="shared" si="35"/>
        <v>0</v>
      </c>
      <c r="V166" s="1">
        <f t="shared" si="36"/>
        <v>2958465</v>
      </c>
      <c r="W166" s="1">
        <f t="shared" si="37"/>
        <v>0</v>
      </c>
      <c r="X166" s="1">
        <f t="shared" si="38"/>
        <v>0</v>
      </c>
      <c r="Y166" s="1">
        <f t="shared" si="39"/>
        <v>97200</v>
      </c>
      <c r="Z166" s="1">
        <f t="shared" si="40"/>
        <v>1</v>
      </c>
      <c r="AA166" s="1">
        <f t="shared" si="41"/>
        <v>0</v>
      </c>
    </row>
    <row r="167" spans="1:27" ht="18" customHeight="1" x14ac:dyDescent="0.3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8"/>
        <v>0</v>
      </c>
      <c r="J167" s="68">
        <f t="shared" ca="1" si="29"/>
        <v>0</v>
      </c>
      <c r="K167" s="68">
        <f t="shared" ca="1" si="30"/>
        <v>0</v>
      </c>
      <c r="L167" s="68">
        <f t="shared" ca="1" si="31"/>
        <v>0</v>
      </c>
      <c r="M167" s="69">
        <f t="shared" si="32"/>
        <v>0</v>
      </c>
      <c r="N167" s="65" t="str">
        <f t="shared" si="33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4"/>
        <v/>
      </c>
      <c r="U167" s="1">
        <f t="shared" si="35"/>
        <v>0</v>
      </c>
      <c r="V167" s="1">
        <f t="shared" si="36"/>
        <v>2958465</v>
      </c>
      <c r="W167" s="1">
        <f t="shared" si="37"/>
        <v>0</v>
      </c>
      <c r="X167" s="1">
        <f t="shared" si="38"/>
        <v>0</v>
      </c>
      <c r="Y167" s="1">
        <f t="shared" si="39"/>
        <v>97200</v>
      </c>
      <c r="Z167" s="1">
        <f t="shared" si="40"/>
        <v>1</v>
      </c>
      <c r="AA167" s="1">
        <f t="shared" si="41"/>
        <v>0</v>
      </c>
    </row>
    <row r="168" spans="1:27" ht="18" customHeight="1" x14ac:dyDescent="0.3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8"/>
        <v>0</v>
      </c>
      <c r="J168" s="68">
        <f t="shared" ca="1" si="29"/>
        <v>0</v>
      </c>
      <c r="K168" s="68">
        <f t="shared" ca="1" si="30"/>
        <v>0</v>
      </c>
      <c r="L168" s="68">
        <f t="shared" ca="1" si="31"/>
        <v>0</v>
      </c>
      <c r="M168" s="69">
        <f t="shared" si="32"/>
        <v>0</v>
      </c>
      <c r="N168" s="65" t="str">
        <f t="shared" si="33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4"/>
        <v/>
      </c>
      <c r="U168" s="1">
        <f t="shared" si="35"/>
        <v>0</v>
      </c>
      <c r="V168" s="1">
        <f t="shared" si="36"/>
        <v>2958465</v>
      </c>
      <c r="W168" s="1">
        <f t="shared" si="37"/>
        <v>0</v>
      </c>
      <c r="X168" s="1">
        <f t="shared" si="38"/>
        <v>0</v>
      </c>
      <c r="Y168" s="1">
        <f t="shared" si="39"/>
        <v>97200</v>
      </c>
      <c r="Z168" s="1">
        <f t="shared" si="40"/>
        <v>1</v>
      </c>
      <c r="AA168" s="1">
        <f t="shared" si="41"/>
        <v>0</v>
      </c>
    </row>
    <row r="169" spans="1:27" ht="18" customHeight="1" x14ac:dyDescent="0.3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8"/>
        <v>0</v>
      </c>
      <c r="J169" s="68">
        <f t="shared" ca="1" si="29"/>
        <v>0</v>
      </c>
      <c r="K169" s="68">
        <f t="shared" ca="1" si="30"/>
        <v>0</v>
      </c>
      <c r="L169" s="68">
        <f t="shared" ca="1" si="31"/>
        <v>0</v>
      </c>
      <c r="M169" s="69">
        <f t="shared" si="32"/>
        <v>0</v>
      </c>
      <c r="N169" s="65" t="str">
        <f t="shared" si="33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4"/>
        <v/>
      </c>
      <c r="U169" s="1">
        <f t="shared" si="35"/>
        <v>0</v>
      </c>
      <c r="V169" s="1">
        <f t="shared" si="36"/>
        <v>2958465</v>
      </c>
      <c r="W169" s="1">
        <f t="shared" si="37"/>
        <v>0</v>
      </c>
      <c r="X169" s="1">
        <f t="shared" si="38"/>
        <v>0</v>
      </c>
      <c r="Y169" s="1">
        <f t="shared" si="39"/>
        <v>97200</v>
      </c>
      <c r="Z169" s="1">
        <f t="shared" si="40"/>
        <v>1</v>
      </c>
      <c r="AA169" s="1">
        <f t="shared" si="41"/>
        <v>0</v>
      </c>
    </row>
    <row r="170" spans="1:27" ht="18" customHeight="1" x14ac:dyDescent="0.3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8"/>
        <v>0</v>
      </c>
      <c r="J170" s="68">
        <f t="shared" ca="1" si="29"/>
        <v>0</v>
      </c>
      <c r="K170" s="68">
        <f t="shared" ca="1" si="30"/>
        <v>0</v>
      </c>
      <c r="L170" s="68">
        <f t="shared" ca="1" si="31"/>
        <v>0</v>
      </c>
      <c r="M170" s="69">
        <f t="shared" si="32"/>
        <v>0</v>
      </c>
      <c r="N170" s="65" t="str">
        <f t="shared" si="33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4"/>
        <v/>
      </c>
      <c r="U170" s="1">
        <f t="shared" si="35"/>
        <v>0</v>
      </c>
      <c r="V170" s="1">
        <f t="shared" si="36"/>
        <v>2958465</v>
      </c>
      <c r="W170" s="1">
        <f t="shared" si="37"/>
        <v>0</v>
      </c>
      <c r="X170" s="1">
        <f t="shared" si="38"/>
        <v>0</v>
      </c>
      <c r="Y170" s="1">
        <f t="shared" si="39"/>
        <v>97200</v>
      </c>
      <c r="Z170" s="1">
        <f t="shared" si="40"/>
        <v>1</v>
      </c>
      <c r="AA170" s="1">
        <f t="shared" si="41"/>
        <v>0</v>
      </c>
    </row>
    <row r="171" spans="1:27" ht="18" customHeight="1" x14ac:dyDescent="0.3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8"/>
        <v>0</v>
      </c>
      <c r="J171" s="68">
        <f t="shared" ca="1" si="29"/>
        <v>0</v>
      </c>
      <c r="K171" s="68">
        <f t="shared" ca="1" si="30"/>
        <v>0</v>
      </c>
      <c r="L171" s="68">
        <f t="shared" ca="1" si="31"/>
        <v>0</v>
      </c>
      <c r="M171" s="69">
        <f t="shared" si="32"/>
        <v>0</v>
      </c>
      <c r="N171" s="65" t="str">
        <f t="shared" si="33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4"/>
        <v/>
      </c>
      <c r="U171" s="1">
        <f t="shared" si="35"/>
        <v>0</v>
      </c>
      <c r="V171" s="1">
        <f t="shared" si="36"/>
        <v>2958465</v>
      </c>
      <c r="W171" s="1">
        <f t="shared" si="37"/>
        <v>0</v>
      </c>
      <c r="X171" s="1">
        <f t="shared" si="38"/>
        <v>0</v>
      </c>
      <c r="Y171" s="1">
        <f t="shared" si="39"/>
        <v>97200</v>
      </c>
      <c r="Z171" s="1">
        <f t="shared" si="40"/>
        <v>1</v>
      </c>
      <c r="AA171" s="1">
        <f t="shared" si="41"/>
        <v>0</v>
      </c>
    </row>
    <row r="172" spans="1:27" ht="18" customHeight="1" x14ac:dyDescent="0.3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8"/>
        <v>0</v>
      </c>
      <c r="J172" s="68">
        <f t="shared" ca="1" si="29"/>
        <v>0</v>
      </c>
      <c r="K172" s="68">
        <f t="shared" ca="1" si="30"/>
        <v>0</v>
      </c>
      <c r="L172" s="68">
        <f t="shared" ca="1" si="31"/>
        <v>0</v>
      </c>
      <c r="M172" s="69">
        <f t="shared" si="32"/>
        <v>0</v>
      </c>
      <c r="N172" s="65" t="str">
        <f t="shared" si="33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4"/>
        <v/>
      </c>
      <c r="U172" s="1">
        <f t="shared" si="35"/>
        <v>0</v>
      </c>
      <c r="V172" s="1">
        <f t="shared" si="36"/>
        <v>2958465</v>
      </c>
      <c r="W172" s="1">
        <f t="shared" si="37"/>
        <v>0</v>
      </c>
      <c r="X172" s="1">
        <f t="shared" si="38"/>
        <v>0</v>
      </c>
      <c r="Y172" s="1">
        <f t="shared" si="39"/>
        <v>97200</v>
      </c>
      <c r="Z172" s="1">
        <f t="shared" si="40"/>
        <v>1</v>
      </c>
      <c r="AA172" s="1">
        <f t="shared" si="41"/>
        <v>0</v>
      </c>
    </row>
    <row r="173" spans="1:27" ht="18" customHeight="1" x14ac:dyDescent="0.3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8"/>
        <v>0</v>
      </c>
      <c r="J173" s="68">
        <f t="shared" ca="1" si="29"/>
        <v>0</v>
      </c>
      <c r="K173" s="68">
        <f t="shared" ca="1" si="30"/>
        <v>0</v>
      </c>
      <c r="L173" s="68">
        <f t="shared" ca="1" si="31"/>
        <v>0</v>
      </c>
      <c r="M173" s="69">
        <f t="shared" si="32"/>
        <v>0</v>
      </c>
      <c r="N173" s="65" t="str">
        <f t="shared" si="33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4"/>
        <v/>
      </c>
      <c r="U173" s="1">
        <f t="shared" si="35"/>
        <v>0</v>
      </c>
      <c r="V173" s="1">
        <f t="shared" si="36"/>
        <v>2958465</v>
      </c>
      <c r="W173" s="1">
        <f t="shared" si="37"/>
        <v>0</v>
      </c>
      <c r="X173" s="1">
        <f t="shared" si="38"/>
        <v>0</v>
      </c>
      <c r="Y173" s="1">
        <f t="shared" si="39"/>
        <v>97200</v>
      </c>
      <c r="Z173" s="1">
        <f t="shared" si="40"/>
        <v>1</v>
      </c>
      <c r="AA173" s="1">
        <f t="shared" si="41"/>
        <v>0</v>
      </c>
    </row>
    <row r="174" spans="1:27" ht="18" customHeight="1" x14ac:dyDescent="0.3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8"/>
        <v>0</v>
      </c>
      <c r="J174" s="68">
        <f t="shared" ca="1" si="29"/>
        <v>0</v>
      </c>
      <c r="K174" s="68">
        <f t="shared" ca="1" si="30"/>
        <v>0</v>
      </c>
      <c r="L174" s="68">
        <f t="shared" ca="1" si="31"/>
        <v>0</v>
      </c>
      <c r="M174" s="69">
        <f t="shared" si="32"/>
        <v>0</v>
      </c>
      <c r="N174" s="65" t="str">
        <f t="shared" si="33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4"/>
        <v/>
      </c>
      <c r="U174" s="1">
        <f t="shared" si="35"/>
        <v>0</v>
      </c>
      <c r="V174" s="1">
        <f t="shared" si="36"/>
        <v>2958465</v>
      </c>
      <c r="W174" s="1">
        <f t="shared" si="37"/>
        <v>0</v>
      </c>
      <c r="X174" s="1">
        <f t="shared" si="38"/>
        <v>0</v>
      </c>
      <c r="Y174" s="1">
        <f t="shared" si="39"/>
        <v>97200</v>
      </c>
      <c r="Z174" s="1">
        <f t="shared" si="40"/>
        <v>1</v>
      </c>
      <c r="AA174" s="1">
        <f t="shared" si="41"/>
        <v>0</v>
      </c>
    </row>
    <row r="175" spans="1:27" ht="18" customHeight="1" x14ac:dyDescent="0.3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8"/>
        <v>0</v>
      </c>
      <c r="J175" s="68">
        <f t="shared" ca="1" si="29"/>
        <v>0</v>
      </c>
      <c r="K175" s="68">
        <f t="shared" ca="1" si="30"/>
        <v>0</v>
      </c>
      <c r="L175" s="68">
        <f t="shared" ca="1" si="31"/>
        <v>0</v>
      </c>
      <c r="M175" s="69">
        <f t="shared" si="32"/>
        <v>0</v>
      </c>
      <c r="N175" s="65" t="str">
        <f t="shared" si="33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4"/>
        <v/>
      </c>
      <c r="U175" s="1">
        <f t="shared" si="35"/>
        <v>0</v>
      </c>
      <c r="V175" s="1">
        <f t="shared" si="36"/>
        <v>2958465</v>
      </c>
      <c r="W175" s="1">
        <f t="shared" si="37"/>
        <v>0</v>
      </c>
      <c r="X175" s="1">
        <f t="shared" si="38"/>
        <v>0</v>
      </c>
      <c r="Y175" s="1">
        <f t="shared" si="39"/>
        <v>97200</v>
      </c>
      <c r="Z175" s="1">
        <f t="shared" si="40"/>
        <v>1</v>
      </c>
      <c r="AA175" s="1">
        <f t="shared" si="41"/>
        <v>0</v>
      </c>
    </row>
    <row r="176" spans="1:27" ht="18" customHeight="1" x14ac:dyDescent="0.3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8"/>
        <v>0</v>
      </c>
      <c r="J176" s="68">
        <f t="shared" ca="1" si="29"/>
        <v>0</v>
      </c>
      <c r="K176" s="68">
        <f t="shared" ca="1" si="30"/>
        <v>0</v>
      </c>
      <c r="L176" s="68">
        <f t="shared" ca="1" si="31"/>
        <v>0</v>
      </c>
      <c r="M176" s="69">
        <f t="shared" si="32"/>
        <v>0</v>
      </c>
      <c r="N176" s="65" t="str">
        <f t="shared" si="33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4"/>
        <v/>
      </c>
      <c r="U176" s="1">
        <f t="shared" si="35"/>
        <v>0</v>
      </c>
      <c r="V176" s="1">
        <f t="shared" si="36"/>
        <v>2958465</v>
      </c>
      <c r="W176" s="1">
        <f t="shared" si="37"/>
        <v>0</v>
      </c>
      <c r="X176" s="1">
        <f t="shared" si="38"/>
        <v>0</v>
      </c>
      <c r="Y176" s="1">
        <f t="shared" si="39"/>
        <v>97200</v>
      </c>
      <c r="Z176" s="1">
        <f t="shared" si="40"/>
        <v>1</v>
      </c>
      <c r="AA176" s="1">
        <f t="shared" si="41"/>
        <v>0</v>
      </c>
    </row>
    <row r="177" spans="1:27" ht="18" customHeight="1" x14ac:dyDescent="0.3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8"/>
        <v>0</v>
      </c>
      <c r="J177" s="68">
        <f t="shared" ca="1" si="29"/>
        <v>0</v>
      </c>
      <c r="K177" s="68">
        <f t="shared" ca="1" si="30"/>
        <v>0</v>
      </c>
      <c r="L177" s="68">
        <f t="shared" ca="1" si="31"/>
        <v>0</v>
      </c>
      <c r="M177" s="69">
        <f t="shared" si="32"/>
        <v>0</v>
      </c>
      <c r="N177" s="65" t="str">
        <f t="shared" si="33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4"/>
        <v/>
      </c>
      <c r="U177" s="1">
        <f t="shared" si="35"/>
        <v>0</v>
      </c>
      <c r="V177" s="1">
        <f t="shared" si="36"/>
        <v>2958465</v>
      </c>
      <c r="W177" s="1">
        <f t="shared" si="37"/>
        <v>0</v>
      </c>
      <c r="X177" s="1">
        <f t="shared" si="38"/>
        <v>0</v>
      </c>
      <c r="Y177" s="1">
        <f t="shared" si="39"/>
        <v>97200</v>
      </c>
      <c r="Z177" s="1">
        <f t="shared" si="40"/>
        <v>1</v>
      </c>
      <c r="AA177" s="1">
        <f t="shared" si="41"/>
        <v>0</v>
      </c>
    </row>
    <row r="178" spans="1:27" ht="18" customHeight="1" x14ac:dyDescent="0.3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8"/>
        <v>0</v>
      </c>
      <c r="J178" s="68">
        <f t="shared" ca="1" si="29"/>
        <v>0</v>
      </c>
      <c r="K178" s="68">
        <f t="shared" ca="1" si="30"/>
        <v>0</v>
      </c>
      <c r="L178" s="68">
        <f t="shared" ca="1" si="31"/>
        <v>0</v>
      </c>
      <c r="M178" s="69">
        <f t="shared" si="32"/>
        <v>0</v>
      </c>
      <c r="N178" s="65" t="str">
        <f t="shared" si="33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4"/>
        <v/>
      </c>
      <c r="U178" s="1">
        <f t="shared" si="35"/>
        <v>0</v>
      </c>
      <c r="V178" s="1">
        <f t="shared" si="36"/>
        <v>2958465</v>
      </c>
      <c r="W178" s="1">
        <f t="shared" si="37"/>
        <v>0</v>
      </c>
      <c r="X178" s="1">
        <f t="shared" si="38"/>
        <v>0</v>
      </c>
      <c r="Y178" s="1">
        <f t="shared" si="39"/>
        <v>97200</v>
      </c>
      <c r="Z178" s="1">
        <f t="shared" si="40"/>
        <v>1</v>
      </c>
      <c r="AA178" s="1">
        <f t="shared" si="41"/>
        <v>0</v>
      </c>
    </row>
    <row r="179" spans="1:27" ht="18" customHeight="1" x14ac:dyDescent="0.3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8"/>
        <v>0</v>
      </c>
      <c r="J179" s="68">
        <f t="shared" ca="1" si="29"/>
        <v>0</v>
      </c>
      <c r="K179" s="68">
        <f t="shared" ca="1" si="30"/>
        <v>0</v>
      </c>
      <c r="L179" s="68">
        <f t="shared" ca="1" si="31"/>
        <v>0</v>
      </c>
      <c r="M179" s="69">
        <f t="shared" si="32"/>
        <v>0</v>
      </c>
      <c r="N179" s="65" t="str">
        <f t="shared" si="33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4"/>
        <v/>
      </c>
      <c r="U179" s="1">
        <f t="shared" si="35"/>
        <v>0</v>
      </c>
      <c r="V179" s="1">
        <f t="shared" si="36"/>
        <v>2958465</v>
      </c>
      <c r="W179" s="1">
        <f t="shared" si="37"/>
        <v>0</v>
      </c>
      <c r="X179" s="1">
        <f t="shared" si="38"/>
        <v>0</v>
      </c>
      <c r="Y179" s="1">
        <f t="shared" si="39"/>
        <v>97200</v>
      </c>
      <c r="Z179" s="1">
        <f t="shared" si="40"/>
        <v>1</v>
      </c>
      <c r="AA179" s="1">
        <f t="shared" si="41"/>
        <v>0</v>
      </c>
    </row>
    <row r="180" spans="1:27" ht="18" customHeight="1" x14ac:dyDescent="0.3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8"/>
        <v>0</v>
      </c>
      <c r="J180" s="68">
        <f t="shared" ca="1" si="29"/>
        <v>0</v>
      </c>
      <c r="K180" s="68">
        <f t="shared" ca="1" si="30"/>
        <v>0</v>
      </c>
      <c r="L180" s="68">
        <f t="shared" ca="1" si="31"/>
        <v>0</v>
      </c>
      <c r="M180" s="69">
        <f t="shared" si="32"/>
        <v>0</v>
      </c>
      <c r="N180" s="65" t="str">
        <f t="shared" si="33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4"/>
        <v/>
      </c>
      <c r="U180" s="1">
        <f t="shared" si="35"/>
        <v>0</v>
      </c>
      <c r="V180" s="1">
        <f t="shared" si="36"/>
        <v>2958465</v>
      </c>
      <c r="W180" s="1">
        <f t="shared" si="37"/>
        <v>0</v>
      </c>
      <c r="X180" s="1">
        <f t="shared" si="38"/>
        <v>0</v>
      </c>
      <c r="Y180" s="1">
        <f t="shared" si="39"/>
        <v>97200</v>
      </c>
      <c r="Z180" s="1">
        <f t="shared" si="40"/>
        <v>1</v>
      </c>
      <c r="AA180" s="1">
        <f t="shared" si="41"/>
        <v>0</v>
      </c>
    </row>
    <row r="181" spans="1:27" ht="18" customHeight="1" x14ac:dyDescent="0.3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8"/>
        <v>0</v>
      </c>
      <c r="J181" s="68">
        <f t="shared" ca="1" si="29"/>
        <v>0</v>
      </c>
      <c r="K181" s="68">
        <f t="shared" ca="1" si="30"/>
        <v>0</v>
      </c>
      <c r="L181" s="68">
        <f t="shared" ca="1" si="31"/>
        <v>0</v>
      </c>
      <c r="M181" s="69">
        <f t="shared" si="32"/>
        <v>0</v>
      </c>
      <c r="N181" s="65" t="str">
        <f t="shared" si="33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4"/>
        <v/>
      </c>
      <c r="U181" s="1">
        <f t="shared" si="35"/>
        <v>0</v>
      </c>
      <c r="V181" s="1">
        <f t="shared" si="36"/>
        <v>2958465</v>
      </c>
      <c r="W181" s="1">
        <f t="shared" si="37"/>
        <v>0</v>
      </c>
      <c r="X181" s="1">
        <f t="shared" si="38"/>
        <v>0</v>
      </c>
      <c r="Y181" s="1">
        <f t="shared" si="39"/>
        <v>97200</v>
      </c>
      <c r="Z181" s="1">
        <f t="shared" si="40"/>
        <v>1</v>
      </c>
      <c r="AA181" s="1">
        <f t="shared" si="41"/>
        <v>0</v>
      </c>
    </row>
    <row r="182" spans="1:27" ht="18" customHeight="1" x14ac:dyDescent="0.3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8"/>
        <v>0</v>
      </c>
      <c r="J182" s="68">
        <f t="shared" ca="1" si="29"/>
        <v>0</v>
      </c>
      <c r="K182" s="68">
        <f t="shared" ca="1" si="30"/>
        <v>0</v>
      </c>
      <c r="L182" s="68">
        <f t="shared" ca="1" si="31"/>
        <v>0</v>
      </c>
      <c r="M182" s="69">
        <f t="shared" si="32"/>
        <v>0</v>
      </c>
      <c r="N182" s="65" t="str">
        <f t="shared" si="33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4"/>
        <v/>
      </c>
      <c r="U182" s="1">
        <f t="shared" si="35"/>
        <v>0</v>
      </c>
      <c r="V182" s="1">
        <f t="shared" si="36"/>
        <v>2958465</v>
      </c>
      <c r="W182" s="1">
        <f t="shared" si="37"/>
        <v>0</v>
      </c>
      <c r="X182" s="1">
        <f t="shared" si="38"/>
        <v>0</v>
      </c>
      <c r="Y182" s="1">
        <f t="shared" si="39"/>
        <v>97200</v>
      </c>
      <c r="Z182" s="1">
        <f t="shared" si="40"/>
        <v>1</v>
      </c>
      <c r="AA182" s="1">
        <f t="shared" si="41"/>
        <v>0</v>
      </c>
    </row>
    <row r="183" spans="1:27" ht="18" customHeight="1" x14ac:dyDescent="0.3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8"/>
        <v>0</v>
      </c>
      <c r="J183" s="68">
        <f t="shared" ca="1" si="29"/>
        <v>0</v>
      </c>
      <c r="K183" s="68">
        <f t="shared" ca="1" si="30"/>
        <v>0</v>
      </c>
      <c r="L183" s="68">
        <f t="shared" ca="1" si="31"/>
        <v>0</v>
      </c>
      <c r="M183" s="69">
        <f t="shared" si="32"/>
        <v>0</v>
      </c>
      <c r="N183" s="65" t="str">
        <f t="shared" si="33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4"/>
        <v/>
      </c>
      <c r="U183" s="1">
        <f t="shared" si="35"/>
        <v>0</v>
      </c>
      <c r="V183" s="1">
        <f t="shared" si="36"/>
        <v>2958465</v>
      </c>
      <c r="W183" s="1">
        <f t="shared" si="37"/>
        <v>0</v>
      </c>
      <c r="X183" s="1">
        <f t="shared" si="38"/>
        <v>0</v>
      </c>
      <c r="Y183" s="1">
        <f t="shared" si="39"/>
        <v>97200</v>
      </c>
      <c r="Z183" s="1">
        <f t="shared" si="40"/>
        <v>1</v>
      </c>
      <c r="AA183" s="1">
        <f t="shared" si="41"/>
        <v>0</v>
      </c>
    </row>
    <row r="184" spans="1:27" ht="18" customHeight="1" x14ac:dyDescent="0.3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8"/>
        <v>0</v>
      </c>
      <c r="J184" s="68">
        <f t="shared" ca="1" si="29"/>
        <v>0</v>
      </c>
      <c r="K184" s="68">
        <f t="shared" ca="1" si="30"/>
        <v>0</v>
      </c>
      <c r="L184" s="68">
        <f t="shared" ca="1" si="31"/>
        <v>0</v>
      </c>
      <c r="M184" s="69">
        <f t="shared" si="32"/>
        <v>0</v>
      </c>
      <c r="N184" s="65" t="str">
        <f t="shared" si="33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4"/>
        <v/>
      </c>
      <c r="U184" s="1">
        <f t="shared" si="35"/>
        <v>0</v>
      </c>
      <c r="V184" s="1">
        <f t="shared" si="36"/>
        <v>2958465</v>
      </c>
      <c r="W184" s="1">
        <f t="shared" si="37"/>
        <v>0</v>
      </c>
      <c r="X184" s="1">
        <f t="shared" si="38"/>
        <v>0</v>
      </c>
      <c r="Y184" s="1">
        <f t="shared" si="39"/>
        <v>97200</v>
      </c>
      <c r="Z184" s="1">
        <f t="shared" si="40"/>
        <v>1</v>
      </c>
      <c r="AA184" s="1">
        <f t="shared" si="41"/>
        <v>0</v>
      </c>
    </row>
    <row r="185" spans="1:27" ht="18" customHeight="1" x14ac:dyDescent="0.3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8"/>
        <v>0</v>
      </c>
      <c r="J185" s="68">
        <f t="shared" ca="1" si="29"/>
        <v>0</v>
      </c>
      <c r="K185" s="68">
        <f t="shared" ca="1" si="30"/>
        <v>0</v>
      </c>
      <c r="L185" s="68">
        <f t="shared" ca="1" si="31"/>
        <v>0</v>
      </c>
      <c r="M185" s="69">
        <f t="shared" si="32"/>
        <v>0</v>
      </c>
      <c r="N185" s="65" t="str">
        <f t="shared" si="33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4"/>
        <v/>
      </c>
      <c r="U185" s="1">
        <f t="shared" si="35"/>
        <v>0</v>
      </c>
      <c r="V185" s="1">
        <f t="shared" si="36"/>
        <v>2958465</v>
      </c>
      <c r="W185" s="1">
        <f t="shared" si="37"/>
        <v>0</v>
      </c>
      <c r="X185" s="1">
        <f t="shared" si="38"/>
        <v>0</v>
      </c>
      <c r="Y185" s="1">
        <f t="shared" si="39"/>
        <v>97200</v>
      </c>
      <c r="Z185" s="1">
        <f t="shared" si="40"/>
        <v>1</v>
      </c>
      <c r="AA185" s="1">
        <f t="shared" si="41"/>
        <v>0</v>
      </c>
    </row>
    <row r="186" spans="1:27" ht="18" customHeight="1" x14ac:dyDescent="0.3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8"/>
        <v>0</v>
      </c>
      <c r="J186" s="68">
        <f t="shared" ca="1" si="29"/>
        <v>0</v>
      </c>
      <c r="K186" s="68">
        <f t="shared" ca="1" si="30"/>
        <v>0</v>
      </c>
      <c r="L186" s="68">
        <f t="shared" ca="1" si="31"/>
        <v>0</v>
      </c>
      <c r="M186" s="69">
        <f t="shared" si="32"/>
        <v>0</v>
      </c>
      <c r="N186" s="65" t="str">
        <f t="shared" si="33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4"/>
        <v/>
      </c>
      <c r="U186" s="1">
        <f t="shared" si="35"/>
        <v>0</v>
      </c>
      <c r="V186" s="1">
        <f t="shared" si="36"/>
        <v>2958465</v>
      </c>
      <c r="W186" s="1">
        <f t="shared" si="37"/>
        <v>0</v>
      </c>
      <c r="X186" s="1">
        <f t="shared" si="38"/>
        <v>0</v>
      </c>
      <c r="Y186" s="1">
        <f t="shared" si="39"/>
        <v>97200</v>
      </c>
      <c r="Z186" s="1">
        <f t="shared" si="40"/>
        <v>1</v>
      </c>
      <c r="AA186" s="1">
        <f t="shared" si="41"/>
        <v>0</v>
      </c>
    </row>
    <row r="187" spans="1:27" ht="18" customHeight="1" x14ac:dyDescent="0.3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8"/>
        <v>0</v>
      </c>
      <c r="J187" s="68">
        <f t="shared" ca="1" si="29"/>
        <v>0</v>
      </c>
      <c r="K187" s="68">
        <f t="shared" ca="1" si="30"/>
        <v>0</v>
      </c>
      <c r="L187" s="68">
        <f t="shared" ca="1" si="31"/>
        <v>0</v>
      </c>
      <c r="M187" s="69">
        <f t="shared" si="32"/>
        <v>0</v>
      </c>
      <c r="N187" s="65" t="str">
        <f t="shared" si="33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4"/>
        <v/>
      </c>
      <c r="U187" s="1">
        <f t="shared" si="35"/>
        <v>0</v>
      </c>
      <c r="V187" s="1">
        <f t="shared" si="36"/>
        <v>2958465</v>
      </c>
      <c r="W187" s="1">
        <f t="shared" si="37"/>
        <v>0</v>
      </c>
      <c r="X187" s="1">
        <f t="shared" si="38"/>
        <v>0</v>
      </c>
      <c r="Y187" s="1">
        <f t="shared" si="39"/>
        <v>97200</v>
      </c>
      <c r="Z187" s="1">
        <f t="shared" si="40"/>
        <v>1</v>
      </c>
      <c r="AA187" s="1">
        <f t="shared" si="41"/>
        <v>0</v>
      </c>
    </row>
    <row r="188" spans="1:27" ht="18" customHeight="1" x14ac:dyDescent="0.3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8"/>
        <v>0</v>
      </c>
      <c r="J188" s="68">
        <f t="shared" ca="1" si="29"/>
        <v>0</v>
      </c>
      <c r="K188" s="68">
        <f t="shared" ca="1" si="30"/>
        <v>0</v>
      </c>
      <c r="L188" s="68">
        <f t="shared" ca="1" si="31"/>
        <v>0</v>
      </c>
      <c r="M188" s="69">
        <f t="shared" si="32"/>
        <v>0</v>
      </c>
      <c r="N188" s="65" t="str">
        <f t="shared" si="33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4"/>
        <v/>
      </c>
      <c r="U188" s="1">
        <f t="shared" si="35"/>
        <v>0</v>
      </c>
      <c r="V188" s="1">
        <f t="shared" si="36"/>
        <v>2958465</v>
      </c>
      <c r="W188" s="1">
        <f t="shared" si="37"/>
        <v>0</v>
      </c>
      <c r="X188" s="1">
        <f t="shared" si="38"/>
        <v>0</v>
      </c>
      <c r="Y188" s="1">
        <f t="shared" si="39"/>
        <v>97200</v>
      </c>
      <c r="Z188" s="1">
        <f t="shared" si="40"/>
        <v>1</v>
      </c>
      <c r="AA188" s="1">
        <f t="shared" si="41"/>
        <v>0</v>
      </c>
    </row>
    <row r="189" spans="1:27" ht="18" customHeight="1" x14ac:dyDescent="0.3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8"/>
        <v>0</v>
      </c>
      <c r="J189" s="68">
        <f t="shared" ca="1" si="29"/>
        <v>0</v>
      </c>
      <c r="K189" s="68">
        <f t="shared" ca="1" si="30"/>
        <v>0</v>
      </c>
      <c r="L189" s="68">
        <f t="shared" ca="1" si="31"/>
        <v>0</v>
      </c>
      <c r="M189" s="69">
        <f t="shared" si="32"/>
        <v>0</v>
      </c>
      <c r="N189" s="65" t="str">
        <f t="shared" si="33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4"/>
        <v/>
      </c>
      <c r="U189" s="1">
        <f t="shared" si="35"/>
        <v>0</v>
      </c>
      <c r="V189" s="1">
        <f t="shared" si="36"/>
        <v>2958465</v>
      </c>
      <c r="W189" s="1">
        <f t="shared" si="37"/>
        <v>0</v>
      </c>
      <c r="X189" s="1">
        <f t="shared" si="38"/>
        <v>0</v>
      </c>
      <c r="Y189" s="1">
        <f t="shared" si="39"/>
        <v>97200</v>
      </c>
      <c r="Z189" s="1">
        <f t="shared" si="40"/>
        <v>1</v>
      </c>
      <c r="AA189" s="1">
        <f t="shared" si="41"/>
        <v>0</v>
      </c>
    </row>
    <row r="190" spans="1:27" ht="18" customHeight="1" x14ac:dyDescent="0.3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8"/>
        <v>0</v>
      </c>
      <c r="J190" s="68">
        <f t="shared" ca="1" si="29"/>
        <v>0</v>
      </c>
      <c r="K190" s="68">
        <f t="shared" ca="1" si="30"/>
        <v>0</v>
      </c>
      <c r="L190" s="68">
        <f t="shared" ca="1" si="31"/>
        <v>0</v>
      </c>
      <c r="M190" s="69">
        <f t="shared" si="32"/>
        <v>0</v>
      </c>
      <c r="N190" s="65" t="str">
        <f t="shared" si="33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4"/>
        <v/>
      </c>
      <c r="U190" s="1">
        <f t="shared" si="35"/>
        <v>0</v>
      </c>
      <c r="V190" s="1">
        <f t="shared" si="36"/>
        <v>2958465</v>
      </c>
      <c r="W190" s="1">
        <f t="shared" si="37"/>
        <v>0</v>
      </c>
      <c r="X190" s="1">
        <f t="shared" si="38"/>
        <v>0</v>
      </c>
      <c r="Y190" s="1">
        <f t="shared" si="39"/>
        <v>97200</v>
      </c>
      <c r="Z190" s="1">
        <f t="shared" si="40"/>
        <v>1</v>
      </c>
      <c r="AA190" s="1">
        <f t="shared" si="41"/>
        <v>0</v>
      </c>
    </row>
    <row r="191" spans="1:27" ht="18" customHeight="1" x14ac:dyDescent="0.3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8"/>
        <v>0</v>
      </c>
      <c r="J191" s="68">
        <f t="shared" ca="1" si="29"/>
        <v>0</v>
      </c>
      <c r="K191" s="68">
        <f t="shared" ca="1" si="30"/>
        <v>0</v>
      </c>
      <c r="L191" s="68">
        <f t="shared" ca="1" si="31"/>
        <v>0</v>
      </c>
      <c r="M191" s="69">
        <f t="shared" si="32"/>
        <v>0</v>
      </c>
      <c r="N191" s="65" t="str">
        <f t="shared" si="33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4"/>
        <v/>
      </c>
      <c r="U191" s="1">
        <f t="shared" si="35"/>
        <v>0</v>
      </c>
      <c r="V191" s="1">
        <f t="shared" si="36"/>
        <v>2958465</v>
      </c>
      <c r="W191" s="1">
        <f t="shared" si="37"/>
        <v>0</v>
      </c>
      <c r="X191" s="1">
        <f t="shared" si="38"/>
        <v>0</v>
      </c>
      <c r="Y191" s="1">
        <f t="shared" si="39"/>
        <v>97200</v>
      </c>
      <c r="Z191" s="1">
        <f t="shared" si="40"/>
        <v>1</v>
      </c>
      <c r="AA191" s="1">
        <f t="shared" si="41"/>
        <v>0</v>
      </c>
    </row>
    <row r="192" spans="1:27" ht="18" customHeight="1" x14ac:dyDescent="0.3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8"/>
        <v>0</v>
      </c>
      <c r="J192" s="68">
        <f t="shared" ca="1" si="29"/>
        <v>0</v>
      </c>
      <c r="K192" s="68">
        <f t="shared" ca="1" si="30"/>
        <v>0</v>
      </c>
      <c r="L192" s="68">
        <f t="shared" ca="1" si="31"/>
        <v>0</v>
      </c>
      <c r="M192" s="69">
        <f t="shared" si="32"/>
        <v>0</v>
      </c>
      <c r="N192" s="65" t="str">
        <f t="shared" si="33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4"/>
        <v/>
      </c>
      <c r="U192" s="1">
        <f t="shared" si="35"/>
        <v>0</v>
      </c>
      <c r="V192" s="1">
        <f t="shared" si="36"/>
        <v>2958465</v>
      </c>
      <c r="W192" s="1">
        <f t="shared" si="37"/>
        <v>0</v>
      </c>
      <c r="X192" s="1">
        <f t="shared" si="38"/>
        <v>0</v>
      </c>
      <c r="Y192" s="1">
        <f t="shared" si="39"/>
        <v>97200</v>
      </c>
      <c r="Z192" s="1">
        <f t="shared" si="40"/>
        <v>1</v>
      </c>
      <c r="AA192" s="1">
        <f t="shared" si="41"/>
        <v>0</v>
      </c>
    </row>
    <row r="193" spans="1:27" ht="18" customHeight="1" x14ac:dyDescent="0.3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8"/>
        <v>0</v>
      </c>
      <c r="J193" s="68">
        <f t="shared" ca="1" si="29"/>
        <v>0</v>
      </c>
      <c r="K193" s="68">
        <f t="shared" ca="1" si="30"/>
        <v>0</v>
      </c>
      <c r="L193" s="68">
        <f t="shared" ca="1" si="31"/>
        <v>0</v>
      </c>
      <c r="M193" s="69">
        <f t="shared" si="32"/>
        <v>0</v>
      </c>
      <c r="N193" s="65" t="str">
        <f t="shared" si="33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4"/>
        <v/>
      </c>
      <c r="U193" s="1">
        <f t="shared" si="35"/>
        <v>0</v>
      </c>
      <c r="V193" s="1">
        <f t="shared" si="36"/>
        <v>2958465</v>
      </c>
      <c r="W193" s="1">
        <f t="shared" si="37"/>
        <v>0</v>
      </c>
      <c r="X193" s="1">
        <f t="shared" si="38"/>
        <v>0</v>
      </c>
      <c r="Y193" s="1">
        <f t="shared" si="39"/>
        <v>97200</v>
      </c>
      <c r="Z193" s="1">
        <f t="shared" si="40"/>
        <v>1</v>
      </c>
      <c r="AA193" s="1">
        <f t="shared" si="41"/>
        <v>0</v>
      </c>
    </row>
    <row r="194" spans="1:27" ht="18" customHeight="1" x14ac:dyDescent="0.3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8"/>
        <v>0</v>
      </c>
      <c r="J194" s="68">
        <f t="shared" ca="1" si="29"/>
        <v>0</v>
      </c>
      <c r="K194" s="68">
        <f t="shared" ca="1" si="30"/>
        <v>0</v>
      </c>
      <c r="L194" s="68">
        <f t="shared" ca="1" si="31"/>
        <v>0</v>
      </c>
      <c r="M194" s="69">
        <f t="shared" si="32"/>
        <v>0</v>
      </c>
      <c r="N194" s="65" t="str">
        <f t="shared" si="33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4"/>
        <v/>
      </c>
      <c r="U194" s="1">
        <f t="shared" si="35"/>
        <v>0</v>
      </c>
      <c r="V194" s="1">
        <f t="shared" si="36"/>
        <v>2958465</v>
      </c>
      <c r="W194" s="1">
        <f t="shared" si="37"/>
        <v>0</v>
      </c>
      <c r="X194" s="1">
        <f t="shared" si="38"/>
        <v>0</v>
      </c>
      <c r="Y194" s="1">
        <f t="shared" si="39"/>
        <v>97200</v>
      </c>
      <c r="Z194" s="1">
        <f t="shared" si="40"/>
        <v>1</v>
      </c>
      <c r="AA194" s="1">
        <f t="shared" si="41"/>
        <v>0</v>
      </c>
    </row>
    <row r="195" spans="1:27" ht="18" customHeight="1" x14ac:dyDescent="0.3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8"/>
        <v>0</v>
      </c>
      <c r="J195" s="68">
        <f t="shared" ca="1" si="29"/>
        <v>0</v>
      </c>
      <c r="K195" s="68">
        <f t="shared" ca="1" si="30"/>
        <v>0</v>
      </c>
      <c r="L195" s="68">
        <f t="shared" ca="1" si="31"/>
        <v>0</v>
      </c>
      <c r="M195" s="69">
        <f t="shared" si="32"/>
        <v>0</v>
      </c>
      <c r="N195" s="65" t="str">
        <f t="shared" si="33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4"/>
        <v/>
      </c>
      <c r="U195" s="1">
        <f t="shared" si="35"/>
        <v>0</v>
      </c>
      <c r="V195" s="1">
        <f t="shared" si="36"/>
        <v>2958465</v>
      </c>
      <c r="W195" s="1">
        <f t="shared" si="37"/>
        <v>0</v>
      </c>
      <c r="X195" s="1">
        <f t="shared" si="38"/>
        <v>0</v>
      </c>
      <c r="Y195" s="1">
        <f t="shared" si="39"/>
        <v>97200</v>
      </c>
      <c r="Z195" s="1">
        <f t="shared" si="40"/>
        <v>1</v>
      </c>
      <c r="AA195" s="1">
        <f t="shared" si="41"/>
        <v>0</v>
      </c>
    </row>
    <row r="196" spans="1:27" ht="18" customHeight="1" x14ac:dyDescent="0.3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8"/>
        <v>0</v>
      </c>
      <c r="J196" s="68">
        <f t="shared" ca="1" si="29"/>
        <v>0</v>
      </c>
      <c r="K196" s="68">
        <f t="shared" ca="1" si="30"/>
        <v>0</v>
      </c>
      <c r="L196" s="68">
        <f t="shared" ca="1" si="31"/>
        <v>0</v>
      </c>
      <c r="M196" s="69">
        <f t="shared" si="32"/>
        <v>0</v>
      </c>
      <c r="N196" s="65" t="str">
        <f t="shared" si="33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4"/>
        <v/>
      </c>
      <c r="U196" s="1">
        <f t="shared" si="35"/>
        <v>0</v>
      </c>
      <c r="V196" s="1">
        <f t="shared" si="36"/>
        <v>2958465</v>
      </c>
      <c r="W196" s="1">
        <f t="shared" si="37"/>
        <v>0</v>
      </c>
      <c r="X196" s="1">
        <f t="shared" si="38"/>
        <v>0</v>
      </c>
      <c r="Y196" s="1">
        <f t="shared" si="39"/>
        <v>97200</v>
      </c>
      <c r="Z196" s="1">
        <f t="shared" si="40"/>
        <v>1</v>
      </c>
      <c r="AA196" s="1">
        <f t="shared" si="41"/>
        <v>0</v>
      </c>
    </row>
    <row r="197" spans="1:27" ht="18" customHeight="1" x14ac:dyDescent="0.3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8"/>
        <v>0</v>
      </c>
      <c r="J197" s="68">
        <f t="shared" ca="1" si="29"/>
        <v>0</v>
      </c>
      <c r="K197" s="68">
        <f t="shared" ca="1" si="30"/>
        <v>0</v>
      </c>
      <c r="L197" s="68">
        <f t="shared" ca="1" si="31"/>
        <v>0</v>
      </c>
      <c r="M197" s="69">
        <f t="shared" si="32"/>
        <v>0</v>
      </c>
      <c r="N197" s="65" t="str">
        <f t="shared" si="33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4"/>
        <v/>
      </c>
      <c r="U197" s="1">
        <f t="shared" si="35"/>
        <v>0</v>
      </c>
      <c r="V197" s="1">
        <f t="shared" si="36"/>
        <v>2958465</v>
      </c>
      <c r="W197" s="1">
        <f t="shared" si="37"/>
        <v>0</v>
      </c>
      <c r="X197" s="1">
        <f t="shared" si="38"/>
        <v>0</v>
      </c>
      <c r="Y197" s="1">
        <f t="shared" si="39"/>
        <v>97200</v>
      </c>
      <c r="Z197" s="1">
        <f t="shared" si="40"/>
        <v>1</v>
      </c>
      <c r="AA197" s="1">
        <f t="shared" si="41"/>
        <v>0</v>
      </c>
    </row>
    <row r="198" spans="1:27" ht="18" customHeight="1" x14ac:dyDescent="0.3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8"/>
        <v>0</v>
      </c>
      <c r="J198" s="68">
        <f t="shared" ca="1" si="29"/>
        <v>0</v>
      </c>
      <c r="K198" s="68">
        <f t="shared" ca="1" si="30"/>
        <v>0</v>
      </c>
      <c r="L198" s="68">
        <f t="shared" ca="1" si="31"/>
        <v>0</v>
      </c>
      <c r="M198" s="69">
        <f t="shared" si="32"/>
        <v>0</v>
      </c>
      <c r="N198" s="65" t="str">
        <f t="shared" si="33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4"/>
        <v/>
      </c>
      <c r="U198" s="1">
        <f t="shared" si="35"/>
        <v>0</v>
      </c>
      <c r="V198" s="1">
        <f t="shared" si="36"/>
        <v>2958465</v>
      </c>
      <c r="W198" s="1">
        <f t="shared" si="37"/>
        <v>0</v>
      </c>
      <c r="X198" s="1">
        <f t="shared" si="38"/>
        <v>0</v>
      </c>
      <c r="Y198" s="1">
        <f t="shared" si="39"/>
        <v>97200</v>
      </c>
      <c r="Z198" s="1">
        <f t="shared" si="40"/>
        <v>1</v>
      </c>
      <c r="AA198" s="1">
        <f t="shared" si="41"/>
        <v>0</v>
      </c>
    </row>
    <row r="199" spans="1:27" ht="18" customHeight="1" x14ac:dyDescent="0.3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42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3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4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5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6">IF($G199&gt;0,$I199/$G199,0)</f>
        <v>0</v>
      </c>
      <c r="N199" s="65" t="str">
        <f t="shared" ref="N199:N262" si="47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8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9">IF($O199="",0,$O199)</f>
        <v>0</v>
      </c>
      <c r="V199" s="1">
        <f t="shared" ref="V199:V262" si="50">IF($E199="",2958465,$E199)</f>
        <v>2958465</v>
      </c>
      <c r="W199" s="1">
        <f t="shared" ref="W199:W262" si="51">IF($F199="Haftalık",1,IF($F199="Aylık",2,0))</f>
        <v>0</v>
      </c>
      <c r="X199" s="1">
        <f t="shared" ref="X199:X262" si="52">IF($U199=0,0,(YEAR($U199)-1900)*12+MONTH($U199))</f>
        <v>0</v>
      </c>
      <c r="Y199" s="1">
        <f t="shared" ref="Y199:Y262" si="53">(YEAR($V199)-1900)*12+MONTH($V199)</f>
        <v>97200</v>
      </c>
      <c r="Z199" s="1">
        <f t="shared" ref="Z199:Z262" si="54">IF($V199=EOMONTH($V199,0),1,0)</f>
        <v>1</v>
      </c>
      <c r="AA199" s="1">
        <f t="shared" ref="AA199:AA262" si="55">IF(OR($B199="",$H199&lt;&gt;"Aktif"),0,COUNTIFS($B$7:$B$606,$B199,$H$7:$H$606,"Aktif"))</f>
        <v>0</v>
      </c>
    </row>
    <row r="200" spans="1:27" ht="18" customHeight="1" x14ac:dyDescent="0.3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42"/>
        <v>0</v>
      </c>
      <c r="J200" s="68">
        <f t="shared" ca="1" si="43"/>
        <v>0</v>
      </c>
      <c r="K200" s="68">
        <f t="shared" ca="1" si="44"/>
        <v>0</v>
      </c>
      <c r="L200" s="68">
        <f t="shared" ca="1" si="45"/>
        <v>0</v>
      </c>
      <c r="M200" s="69">
        <f t="shared" si="46"/>
        <v>0</v>
      </c>
      <c r="N200" s="65" t="str">
        <f t="shared" si="47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8"/>
        <v/>
      </c>
      <c r="U200" s="1">
        <f t="shared" si="49"/>
        <v>0</v>
      </c>
      <c r="V200" s="1">
        <f t="shared" si="50"/>
        <v>2958465</v>
      </c>
      <c r="W200" s="1">
        <f t="shared" si="51"/>
        <v>0</v>
      </c>
      <c r="X200" s="1">
        <f t="shared" si="52"/>
        <v>0</v>
      </c>
      <c r="Y200" s="1">
        <f t="shared" si="53"/>
        <v>97200</v>
      </c>
      <c r="Z200" s="1">
        <f t="shared" si="54"/>
        <v>1</v>
      </c>
      <c r="AA200" s="1">
        <f t="shared" si="55"/>
        <v>0</v>
      </c>
    </row>
    <row r="201" spans="1:27" ht="18" customHeight="1" x14ac:dyDescent="0.3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42"/>
        <v>0</v>
      </c>
      <c r="J201" s="68">
        <f t="shared" ca="1" si="43"/>
        <v>0</v>
      </c>
      <c r="K201" s="68">
        <f t="shared" ca="1" si="44"/>
        <v>0</v>
      </c>
      <c r="L201" s="68">
        <f t="shared" ca="1" si="45"/>
        <v>0</v>
      </c>
      <c r="M201" s="69">
        <f t="shared" si="46"/>
        <v>0</v>
      </c>
      <c r="N201" s="65" t="str">
        <f t="shared" si="47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8"/>
        <v/>
      </c>
      <c r="U201" s="1">
        <f t="shared" si="49"/>
        <v>0</v>
      </c>
      <c r="V201" s="1">
        <f t="shared" si="50"/>
        <v>2958465</v>
      </c>
      <c r="W201" s="1">
        <f t="shared" si="51"/>
        <v>0</v>
      </c>
      <c r="X201" s="1">
        <f t="shared" si="52"/>
        <v>0</v>
      </c>
      <c r="Y201" s="1">
        <f t="shared" si="53"/>
        <v>97200</v>
      </c>
      <c r="Z201" s="1">
        <f t="shared" si="54"/>
        <v>1</v>
      </c>
      <c r="AA201" s="1">
        <f t="shared" si="55"/>
        <v>0</v>
      </c>
    </row>
    <row r="202" spans="1:27" ht="18" customHeight="1" x14ac:dyDescent="0.3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42"/>
        <v>0</v>
      </c>
      <c r="J202" s="68">
        <f t="shared" ca="1" si="43"/>
        <v>0</v>
      </c>
      <c r="K202" s="68">
        <f t="shared" ca="1" si="44"/>
        <v>0</v>
      </c>
      <c r="L202" s="68">
        <f t="shared" ca="1" si="45"/>
        <v>0</v>
      </c>
      <c r="M202" s="69">
        <f t="shared" si="46"/>
        <v>0</v>
      </c>
      <c r="N202" s="65" t="str">
        <f t="shared" si="47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8"/>
        <v/>
      </c>
      <c r="U202" s="1">
        <f t="shared" si="49"/>
        <v>0</v>
      </c>
      <c r="V202" s="1">
        <f t="shared" si="50"/>
        <v>2958465</v>
      </c>
      <c r="W202" s="1">
        <f t="shared" si="51"/>
        <v>0</v>
      </c>
      <c r="X202" s="1">
        <f t="shared" si="52"/>
        <v>0</v>
      </c>
      <c r="Y202" s="1">
        <f t="shared" si="53"/>
        <v>97200</v>
      </c>
      <c r="Z202" s="1">
        <f t="shared" si="54"/>
        <v>1</v>
      </c>
      <c r="AA202" s="1">
        <f t="shared" si="55"/>
        <v>0</v>
      </c>
    </row>
    <row r="203" spans="1:27" ht="18" customHeight="1" x14ac:dyDescent="0.3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42"/>
        <v>0</v>
      </c>
      <c r="J203" s="68">
        <f t="shared" ca="1" si="43"/>
        <v>0</v>
      </c>
      <c r="K203" s="68">
        <f t="shared" ca="1" si="44"/>
        <v>0</v>
      </c>
      <c r="L203" s="68">
        <f t="shared" ca="1" si="45"/>
        <v>0</v>
      </c>
      <c r="M203" s="69">
        <f t="shared" si="46"/>
        <v>0</v>
      </c>
      <c r="N203" s="65" t="str">
        <f t="shared" si="47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8"/>
        <v/>
      </c>
      <c r="U203" s="1">
        <f t="shared" si="49"/>
        <v>0</v>
      </c>
      <c r="V203" s="1">
        <f t="shared" si="50"/>
        <v>2958465</v>
      </c>
      <c r="W203" s="1">
        <f t="shared" si="51"/>
        <v>0</v>
      </c>
      <c r="X203" s="1">
        <f t="shared" si="52"/>
        <v>0</v>
      </c>
      <c r="Y203" s="1">
        <f t="shared" si="53"/>
        <v>97200</v>
      </c>
      <c r="Z203" s="1">
        <f t="shared" si="54"/>
        <v>1</v>
      </c>
      <c r="AA203" s="1">
        <f t="shared" si="55"/>
        <v>0</v>
      </c>
    </row>
    <row r="204" spans="1:27" ht="18" customHeight="1" x14ac:dyDescent="0.3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42"/>
        <v>0</v>
      </c>
      <c r="J204" s="68">
        <f t="shared" ca="1" si="43"/>
        <v>0</v>
      </c>
      <c r="K204" s="68">
        <f t="shared" ca="1" si="44"/>
        <v>0</v>
      </c>
      <c r="L204" s="68">
        <f t="shared" ca="1" si="45"/>
        <v>0</v>
      </c>
      <c r="M204" s="69">
        <f t="shared" si="46"/>
        <v>0</v>
      </c>
      <c r="N204" s="65" t="str">
        <f t="shared" si="47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8"/>
        <v/>
      </c>
      <c r="U204" s="1">
        <f t="shared" si="49"/>
        <v>0</v>
      </c>
      <c r="V204" s="1">
        <f t="shared" si="50"/>
        <v>2958465</v>
      </c>
      <c r="W204" s="1">
        <f t="shared" si="51"/>
        <v>0</v>
      </c>
      <c r="X204" s="1">
        <f t="shared" si="52"/>
        <v>0</v>
      </c>
      <c r="Y204" s="1">
        <f t="shared" si="53"/>
        <v>97200</v>
      </c>
      <c r="Z204" s="1">
        <f t="shared" si="54"/>
        <v>1</v>
      </c>
      <c r="AA204" s="1">
        <f t="shared" si="55"/>
        <v>0</v>
      </c>
    </row>
    <row r="205" spans="1:27" ht="18" customHeight="1" x14ac:dyDescent="0.3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42"/>
        <v>0</v>
      </c>
      <c r="J205" s="68">
        <f t="shared" ca="1" si="43"/>
        <v>0</v>
      </c>
      <c r="K205" s="68">
        <f t="shared" ca="1" si="44"/>
        <v>0</v>
      </c>
      <c r="L205" s="68">
        <f t="shared" ca="1" si="45"/>
        <v>0</v>
      </c>
      <c r="M205" s="69">
        <f t="shared" si="46"/>
        <v>0</v>
      </c>
      <c r="N205" s="65" t="str">
        <f t="shared" si="47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8"/>
        <v/>
      </c>
      <c r="U205" s="1">
        <f t="shared" si="49"/>
        <v>0</v>
      </c>
      <c r="V205" s="1">
        <f t="shared" si="50"/>
        <v>2958465</v>
      </c>
      <c r="W205" s="1">
        <f t="shared" si="51"/>
        <v>0</v>
      </c>
      <c r="X205" s="1">
        <f t="shared" si="52"/>
        <v>0</v>
      </c>
      <c r="Y205" s="1">
        <f t="shared" si="53"/>
        <v>97200</v>
      </c>
      <c r="Z205" s="1">
        <f t="shared" si="54"/>
        <v>1</v>
      </c>
      <c r="AA205" s="1">
        <f t="shared" si="55"/>
        <v>0</v>
      </c>
    </row>
    <row r="206" spans="1:27" ht="18" customHeight="1" x14ac:dyDescent="0.3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42"/>
        <v>0</v>
      </c>
      <c r="J206" s="68">
        <f t="shared" ca="1" si="43"/>
        <v>0</v>
      </c>
      <c r="K206" s="68">
        <f t="shared" ca="1" si="44"/>
        <v>0</v>
      </c>
      <c r="L206" s="68">
        <f t="shared" ca="1" si="45"/>
        <v>0</v>
      </c>
      <c r="M206" s="69">
        <f t="shared" si="46"/>
        <v>0</v>
      </c>
      <c r="N206" s="65" t="str">
        <f t="shared" si="47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8"/>
        <v/>
      </c>
      <c r="U206" s="1">
        <f t="shared" si="49"/>
        <v>0</v>
      </c>
      <c r="V206" s="1">
        <f t="shared" si="50"/>
        <v>2958465</v>
      </c>
      <c r="W206" s="1">
        <f t="shared" si="51"/>
        <v>0</v>
      </c>
      <c r="X206" s="1">
        <f t="shared" si="52"/>
        <v>0</v>
      </c>
      <c r="Y206" s="1">
        <f t="shared" si="53"/>
        <v>97200</v>
      </c>
      <c r="Z206" s="1">
        <f t="shared" si="54"/>
        <v>1</v>
      </c>
      <c r="AA206" s="1">
        <f t="shared" si="55"/>
        <v>0</v>
      </c>
    </row>
    <row r="207" spans="1:27" ht="18" customHeight="1" x14ac:dyDescent="0.3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42"/>
        <v>0</v>
      </c>
      <c r="J207" s="68">
        <f t="shared" ca="1" si="43"/>
        <v>0</v>
      </c>
      <c r="K207" s="68">
        <f t="shared" ca="1" si="44"/>
        <v>0</v>
      </c>
      <c r="L207" s="68">
        <f t="shared" ca="1" si="45"/>
        <v>0</v>
      </c>
      <c r="M207" s="69">
        <f t="shared" si="46"/>
        <v>0</v>
      </c>
      <c r="N207" s="65" t="str">
        <f t="shared" si="47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8"/>
        <v/>
      </c>
      <c r="U207" s="1">
        <f t="shared" si="49"/>
        <v>0</v>
      </c>
      <c r="V207" s="1">
        <f t="shared" si="50"/>
        <v>2958465</v>
      </c>
      <c r="W207" s="1">
        <f t="shared" si="51"/>
        <v>0</v>
      </c>
      <c r="X207" s="1">
        <f t="shared" si="52"/>
        <v>0</v>
      </c>
      <c r="Y207" s="1">
        <f t="shared" si="53"/>
        <v>97200</v>
      </c>
      <c r="Z207" s="1">
        <f t="shared" si="54"/>
        <v>1</v>
      </c>
      <c r="AA207" s="1">
        <f t="shared" si="55"/>
        <v>0</v>
      </c>
    </row>
    <row r="208" spans="1:27" ht="18" customHeight="1" x14ac:dyDescent="0.3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42"/>
        <v>0</v>
      </c>
      <c r="J208" s="68">
        <f t="shared" ca="1" si="43"/>
        <v>0</v>
      </c>
      <c r="K208" s="68">
        <f t="shared" ca="1" si="44"/>
        <v>0</v>
      </c>
      <c r="L208" s="68">
        <f t="shared" ca="1" si="45"/>
        <v>0</v>
      </c>
      <c r="M208" s="69">
        <f t="shared" si="46"/>
        <v>0</v>
      </c>
      <c r="N208" s="65" t="str">
        <f t="shared" si="47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8"/>
        <v/>
      </c>
      <c r="U208" s="1">
        <f t="shared" si="49"/>
        <v>0</v>
      </c>
      <c r="V208" s="1">
        <f t="shared" si="50"/>
        <v>2958465</v>
      </c>
      <c r="W208" s="1">
        <f t="shared" si="51"/>
        <v>0</v>
      </c>
      <c r="X208" s="1">
        <f t="shared" si="52"/>
        <v>0</v>
      </c>
      <c r="Y208" s="1">
        <f t="shared" si="53"/>
        <v>97200</v>
      </c>
      <c r="Z208" s="1">
        <f t="shared" si="54"/>
        <v>1</v>
      </c>
      <c r="AA208" s="1">
        <f t="shared" si="55"/>
        <v>0</v>
      </c>
    </row>
    <row r="209" spans="1:27" ht="18" customHeight="1" x14ac:dyDescent="0.3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42"/>
        <v>0</v>
      </c>
      <c r="J209" s="68">
        <f t="shared" ca="1" si="43"/>
        <v>0</v>
      </c>
      <c r="K209" s="68">
        <f t="shared" ca="1" si="44"/>
        <v>0</v>
      </c>
      <c r="L209" s="68">
        <f t="shared" ca="1" si="45"/>
        <v>0</v>
      </c>
      <c r="M209" s="69">
        <f t="shared" si="46"/>
        <v>0</v>
      </c>
      <c r="N209" s="65" t="str">
        <f t="shared" si="47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8"/>
        <v/>
      </c>
      <c r="U209" s="1">
        <f t="shared" si="49"/>
        <v>0</v>
      </c>
      <c r="V209" s="1">
        <f t="shared" si="50"/>
        <v>2958465</v>
      </c>
      <c r="W209" s="1">
        <f t="shared" si="51"/>
        <v>0</v>
      </c>
      <c r="X209" s="1">
        <f t="shared" si="52"/>
        <v>0</v>
      </c>
      <c r="Y209" s="1">
        <f t="shared" si="53"/>
        <v>97200</v>
      </c>
      <c r="Z209" s="1">
        <f t="shared" si="54"/>
        <v>1</v>
      </c>
      <c r="AA209" s="1">
        <f t="shared" si="55"/>
        <v>0</v>
      </c>
    </row>
    <row r="210" spans="1:27" ht="18" customHeight="1" x14ac:dyDescent="0.3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42"/>
        <v>0</v>
      </c>
      <c r="J210" s="68">
        <f t="shared" ca="1" si="43"/>
        <v>0</v>
      </c>
      <c r="K210" s="68">
        <f t="shared" ca="1" si="44"/>
        <v>0</v>
      </c>
      <c r="L210" s="68">
        <f t="shared" ca="1" si="45"/>
        <v>0</v>
      </c>
      <c r="M210" s="69">
        <f t="shared" si="46"/>
        <v>0</v>
      </c>
      <c r="N210" s="65" t="str">
        <f t="shared" si="47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8"/>
        <v/>
      </c>
      <c r="U210" s="1">
        <f t="shared" si="49"/>
        <v>0</v>
      </c>
      <c r="V210" s="1">
        <f t="shared" si="50"/>
        <v>2958465</v>
      </c>
      <c r="W210" s="1">
        <f t="shared" si="51"/>
        <v>0</v>
      </c>
      <c r="X210" s="1">
        <f t="shared" si="52"/>
        <v>0</v>
      </c>
      <c r="Y210" s="1">
        <f t="shared" si="53"/>
        <v>97200</v>
      </c>
      <c r="Z210" s="1">
        <f t="shared" si="54"/>
        <v>1</v>
      </c>
      <c r="AA210" s="1">
        <f t="shared" si="55"/>
        <v>0</v>
      </c>
    </row>
    <row r="211" spans="1:27" ht="18" customHeight="1" x14ac:dyDescent="0.3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42"/>
        <v>0</v>
      </c>
      <c r="J211" s="68">
        <f t="shared" ca="1" si="43"/>
        <v>0</v>
      </c>
      <c r="K211" s="68">
        <f t="shared" ca="1" si="44"/>
        <v>0</v>
      </c>
      <c r="L211" s="68">
        <f t="shared" ca="1" si="45"/>
        <v>0</v>
      </c>
      <c r="M211" s="69">
        <f t="shared" si="46"/>
        <v>0</v>
      </c>
      <c r="N211" s="65" t="str">
        <f t="shared" si="47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8"/>
        <v/>
      </c>
      <c r="U211" s="1">
        <f t="shared" si="49"/>
        <v>0</v>
      </c>
      <c r="V211" s="1">
        <f t="shared" si="50"/>
        <v>2958465</v>
      </c>
      <c r="W211" s="1">
        <f t="shared" si="51"/>
        <v>0</v>
      </c>
      <c r="X211" s="1">
        <f t="shared" si="52"/>
        <v>0</v>
      </c>
      <c r="Y211" s="1">
        <f t="shared" si="53"/>
        <v>97200</v>
      </c>
      <c r="Z211" s="1">
        <f t="shared" si="54"/>
        <v>1</v>
      </c>
      <c r="AA211" s="1">
        <f t="shared" si="55"/>
        <v>0</v>
      </c>
    </row>
    <row r="212" spans="1:27" ht="18" customHeight="1" x14ac:dyDescent="0.3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42"/>
        <v>0</v>
      </c>
      <c r="J212" s="68">
        <f t="shared" ca="1" si="43"/>
        <v>0</v>
      </c>
      <c r="K212" s="68">
        <f t="shared" ca="1" si="44"/>
        <v>0</v>
      </c>
      <c r="L212" s="68">
        <f t="shared" ca="1" si="45"/>
        <v>0</v>
      </c>
      <c r="M212" s="69">
        <f t="shared" si="46"/>
        <v>0</v>
      </c>
      <c r="N212" s="65" t="str">
        <f t="shared" si="47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8"/>
        <v/>
      </c>
      <c r="U212" s="1">
        <f t="shared" si="49"/>
        <v>0</v>
      </c>
      <c r="V212" s="1">
        <f t="shared" si="50"/>
        <v>2958465</v>
      </c>
      <c r="W212" s="1">
        <f t="shared" si="51"/>
        <v>0</v>
      </c>
      <c r="X212" s="1">
        <f t="shared" si="52"/>
        <v>0</v>
      </c>
      <c r="Y212" s="1">
        <f t="shared" si="53"/>
        <v>97200</v>
      </c>
      <c r="Z212" s="1">
        <f t="shared" si="54"/>
        <v>1</v>
      </c>
      <c r="AA212" s="1">
        <f t="shared" si="55"/>
        <v>0</v>
      </c>
    </row>
    <row r="213" spans="1:27" ht="18" customHeight="1" x14ac:dyDescent="0.3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42"/>
        <v>0</v>
      </c>
      <c r="J213" s="68">
        <f t="shared" ca="1" si="43"/>
        <v>0</v>
      </c>
      <c r="K213" s="68">
        <f t="shared" ca="1" si="44"/>
        <v>0</v>
      </c>
      <c r="L213" s="68">
        <f t="shared" ca="1" si="45"/>
        <v>0</v>
      </c>
      <c r="M213" s="69">
        <f t="shared" si="46"/>
        <v>0</v>
      </c>
      <c r="N213" s="65" t="str">
        <f t="shared" si="47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8"/>
        <v/>
      </c>
      <c r="U213" s="1">
        <f t="shared" si="49"/>
        <v>0</v>
      </c>
      <c r="V213" s="1">
        <f t="shared" si="50"/>
        <v>2958465</v>
      </c>
      <c r="W213" s="1">
        <f t="shared" si="51"/>
        <v>0</v>
      </c>
      <c r="X213" s="1">
        <f t="shared" si="52"/>
        <v>0</v>
      </c>
      <c r="Y213" s="1">
        <f t="shared" si="53"/>
        <v>97200</v>
      </c>
      <c r="Z213" s="1">
        <f t="shared" si="54"/>
        <v>1</v>
      </c>
      <c r="AA213" s="1">
        <f t="shared" si="55"/>
        <v>0</v>
      </c>
    </row>
    <row r="214" spans="1:27" ht="18" customHeight="1" x14ac:dyDescent="0.3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42"/>
        <v>0</v>
      </c>
      <c r="J214" s="68">
        <f t="shared" ca="1" si="43"/>
        <v>0</v>
      </c>
      <c r="K214" s="68">
        <f t="shared" ca="1" si="44"/>
        <v>0</v>
      </c>
      <c r="L214" s="68">
        <f t="shared" ca="1" si="45"/>
        <v>0</v>
      </c>
      <c r="M214" s="69">
        <f t="shared" si="46"/>
        <v>0</v>
      </c>
      <c r="N214" s="65" t="str">
        <f t="shared" si="47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8"/>
        <v/>
      </c>
      <c r="U214" s="1">
        <f t="shared" si="49"/>
        <v>0</v>
      </c>
      <c r="V214" s="1">
        <f t="shared" si="50"/>
        <v>2958465</v>
      </c>
      <c r="W214" s="1">
        <f t="shared" si="51"/>
        <v>0</v>
      </c>
      <c r="X214" s="1">
        <f t="shared" si="52"/>
        <v>0</v>
      </c>
      <c r="Y214" s="1">
        <f t="shared" si="53"/>
        <v>97200</v>
      </c>
      <c r="Z214" s="1">
        <f t="shared" si="54"/>
        <v>1</v>
      </c>
      <c r="AA214" s="1">
        <f t="shared" si="55"/>
        <v>0</v>
      </c>
    </row>
    <row r="215" spans="1:27" ht="18" customHeight="1" x14ac:dyDescent="0.3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42"/>
        <v>0</v>
      </c>
      <c r="J215" s="68">
        <f t="shared" ca="1" si="43"/>
        <v>0</v>
      </c>
      <c r="K215" s="68">
        <f t="shared" ca="1" si="44"/>
        <v>0</v>
      </c>
      <c r="L215" s="68">
        <f t="shared" ca="1" si="45"/>
        <v>0</v>
      </c>
      <c r="M215" s="69">
        <f t="shared" si="46"/>
        <v>0</v>
      </c>
      <c r="N215" s="65" t="str">
        <f t="shared" si="47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8"/>
        <v/>
      </c>
      <c r="U215" s="1">
        <f t="shared" si="49"/>
        <v>0</v>
      </c>
      <c r="V215" s="1">
        <f t="shared" si="50"/>
        <v>2958465</v>
      </c>
      <c r="W215" s="1">
        <f t="shared" si="51"/>
        <v>0</v>
      </c>
      <c r="X215" s="1">
        <f t="shared" si="52"/>
        <v>0</v>
      </c>
      <c r="Y215" s="1">
        <f t="shared" si="53"/>
        <v>97200</v>
      </c>
      <c r="Z215" s="1">
        <f t="shared" si="54"/>
        <v>1</v>
      </c>
      <c r="AA215" s="1">
        <f t="shared" si="55"/>
        <v>0</v>
      </c>
    </row>
    <row r="216" spans="1:27" ht="18" customHeight="1" x14ac:dyDescent="0.3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42"/>
        <v>0</v>
      </c>
      <c r="J216" s="68">
        <f t="shared" ca="1" si="43"/>
        <v>0</v>
      </c>
      <c r="K216" s="68">
        <f t="shared" ca="1" si="44"/>
        <v>0</v>
      </c>
      <c r="L216" s="68">
        <f t="shared" ca="1" si="45"/>
        <v>0</v>
      </c>
      <c r="M216" s="69">
        <f t="shared" si="46"/>
        <v>0</v>
      </c>
      <c r="N216" s="65" t="str">
        <f t="shared" si="47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8"/>
        <v/>
      </c>
      <c r="U216" s="1">
        <f t="shared" si="49"/>
        <v>0</v>
      </c>
      <c r="V216" s="1">
        <f t="shared" si="50"/>
        <v>2958465</v>
      </c>
      <c r="W216" s="1">
        <f t="shared" si="51"/>
        <v>0</v>
      </c>
      <c r="X216" s="1">
        <f t="shared" si="52"/>
        <v>0</v>
      </c>
      <c r="Y216" s="1">
        <f t="shared" si="53"/>
        <v>97200</v>
      </c>
      <c r="Z216" s="1">
        <f t="shared" si="54"/>
        <v>1</v>
      </c>
      <c r="AA216" s="1">
        <f t="shared" si="55"/>
        <v>0</v>
      </c>
    </row>
    <row r="217" spans="1:27" ht="18" customHeight="1" x14ac:dyDescent="0.3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42"/>
        <v>0</v>
      </c>
      <c r="J217" s="68">
        <f t="shared" ca="1" si="43"/>
        <v>0</v>
      </c>
      <c r="K217" s="68">
        <f t="shared" ca="1" si="44"/>
        <v>0</v>
      </c>
      <c r="L217" s="68">
        <f t="shared" ca="1" si="45"/>
        <v>0</v>
      </c>
      <c r="M217" s="69">
        <f t="shared" si="46"/>
        <v>0</v>
      </c>
      <c r="N217" s="65" t="str">
        <f t="shared" si="47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8"/>
        <v/>
      </c>
      <c r="U217" s="1">
        <f t="shared" si="49"/>
        <v>0</v>
      </c>
      <c r="V217" s="1">
        <f t="shared" si="50"/>
        <v>2958465</v>
      </c>
      <c r="W217" s="1">
        <f t="shared" si="51"/>
        <v>0</v>
      </c>
      <c r="X217" s="1">
        <f t="shared" si="52"/>
        <v>0</v>
      </c>
      <c r="Y217" s="1">
        <f t="shared" si="53"/>
        <v>97200</v>
      </c>
      <c r="Z217" s="1">
        <f t="shared" si="54"/>
        <v>1</v>
      </c>
      <c r="AA217" s="1">
        <f t="shared" si="55"/>
        <v>0</v>
      </c>
    </row>
    <row r="218" spans="1:27" ht="18" customHeight="1" x14ac:dyDescent="0.3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42"/>
        <v>0</v>
      </c>
      <c r="J218" s="68">
        <f t="shared" ca="1" si="43"/>
        <v>0</v>
      </c>
      <c r="K218" s="68">
        <f t="shared" ca="1" si="44"/>
        <v>0</v>
      </c>
      <c r="L218" s="68">
        <f t="shared" ca="1" si="45"/>
        <v>0</v>
      </c>
      <c r="M218" s="69">
        <f t="shared" si="46"/>
        <v>0</v>
      </c>
      <c r="N218" s="65" t="str">
        <f t="shared" si="47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8"/>
        <v/>
      </c>
      <c r="U218" s="1">
        <f t="shared" si="49"/>
        <v>0</v>
      </c>
      <c r="V218" s="1">
        <f t="shared" si="50"/>
        <v>2958465</v>
      </c>
      <c r="W218" s="1">
        <f t="shared" si="51"/>
        <v>0</v>
      </c>
      <c r="X218" s="1">
        <f t="shared" si="52"/>
        <v>0</v>
      </c>
      <c r="Y218" s="1">
        <f t="shared" si="53"/>
        <v>97200</v>
      </c>
      <c r="Z218" s="1">
        <f t="shared" si="54"/>
        <v>1</v>
      </c>
      <c r="AA218" s="1">
        <f t="shared" si="55"/>
        <v>0</v>
      </c>
    </row>
    <row r="219" spans="1:27" ht="18" customHeight="1" x14ac:dyDescent="0.3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42"/>
        <v>0</v>
      </c>
      <c r="J219" s="68">
        <f t="shared" ca="1" si="43"/>
        <v>0</v>
      </c>
      <c r="K219" s="68">
        <f t="shared" ca="1" si="44"/>
        <v>0</v>
      </c>
      <c r="L219" s="68">
        <f t="shared" ca="1" si="45"/>
        <v>0</v>
      </c>
      <c r="M219" s="69">
        <f t="shared" si="46"/>
        <v>0</v>
      </c>
      <c r="N219" s="65" t="str">
        <f t="shared" si="47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8"/>
        <v/>
      </c>
      <c r="U219" s="1">
        <f t="shared" si="49"/>
        <v>0</v>
      </c>
      <c r="V219" s="1">
        <f t="shared" si="50"/>
        <v>2958465</v>
      </c>
      <c r="W219" s="1">
        <f t="shared" si="51"/>
        <v>0</v>
      </c>
      <c r="X219" s="1">
        <f t="shared" si="52"/>
        <v>0</v>
      </c>
      <c r="Y219" s="1">
        <f t="shared" si="53"/>
        <v>97200</v>
      </c>
      <c r="Z219" s="1">
        <f t="shared" si="54"/>
        <v>1</v>
      </c>
      <c r="AA219" s="1">
        <f t="shared" si="55"/>
        <v>0</v>
      </c>
    </row>
    <row r="220" spans="1:27" ht="18" customHeight="1" x14ac:dyDescent="0.3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42"/>
        <v>0</v>
      </c>
      <c r="J220" s="68">
        <f t="shared" ca="1" si="43"/>
        <v>0</v>
      </c>
      <c r="K220" s="68">
        <f t="shared" ca="1" si="44"/>
        <v>0</v>
      </c>
      <c r="L220" s="68">
        <f t="shared" ca="1" si="45"/>
        <v>0</v>
      </c>
      <c r="M220" s="69">
        <f t="shared" si="46"/>
        <v>0</v>
      </c>
      <c r="N220" s="65" t="str">
        <f t="shared" si="47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8"/>
        <v/>
      </c>
      <c r="U220" s="1">
        <f t="shared" si="49"/>
        <v>0</v>
      </c>
      <c r="V220" s="1">
        <f t="shared" si="50"/>
        <v>2958465</v>
      </c>
      <c r="W220" s="1">
        <f t="shared" si="51"/>
        <v>0</v>
      </c>
      <c r="X220" s="1">
        <f t="shared" si="52"/>
        <v>0</v>
      </c>
      <c r="Y220" s="1">
        <f t="shared" si="53"/>
        <v>97200</v>
      </c>
      <c r="Z220" s="1">
        <f t="shared" si="54"/>
        <v>1</v>
      </c>
      <c r="AA220" s="1">
        <f t="shared" si="55"/>
        <v>0</v>
      </c>
    </row>
    <row r="221" spans="1:27" ht="18" customHeight="1" x14ac:dyDescent="0.3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42"/>
        <v>0</v>
      </c>
      <c r="J221" s="68">
        <f t="shared" ca="1" si="43"/>
        <v>0</v>
      </c>
      <c r="K221" s="68">
        <f t="shared" ca="1" si="44"/>
        <v>0</v>
      </c>
      <c r="L221" s="68">
        <f t="shared" ca="1" si="45"/>
        <v>0</v>
      </c>
      <c r="M221" s="69">
        <f t="shared" si="46"/>
        <v>0</v>
      </c>
      <c r="N221" s="65" t="str">
        <f t="shared" si="47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8"/>
        <v/>
      </c>
      <c r="U221" s="1">
        <f t="shared" si="49"/>
        <v>0</v>
      </c>
      <c r="V221" s="1">
        <f t="shared" si="50"/>
        <v>2958465</v>
      </c>
      <c r="W221" s="1">
        <f t="shared" si="51"/>
        <v>0</v>
      </c>
      <c r="X221" s="1">
        <f t="shared" si="52"/>
        <v>0</v>
      </c>
      <c r="Y221" s="1">
        <f t="shared" si="53"/>
        <v>97200</v>
      </c>
      <c r="Z221" s="1">
        <f t="shared" si="54"/>
        <v>1</v>
      </c>
      <c r="AA221" s="1">
        <f t="shared" si="55"/>
        <v>0</v>
      </c>
    </row>
    <row r="222" spans="1:27" ht="18" customHeight="1" x14ac:dyDescent="0.3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42"/>
        <v>0</v>
      </c>
      <c r="J222" s="68">
        <f t="shared" ca="1" si="43"/>
        <v>0</v>
      </c>
      <c r="K222" s="68">
        <f t="shared" ca="1" si="44"/>
        <v>0</v>
      </c>
      <c r="L222" s="68">
        <f t="shared" ca="1" si="45"/>
        <v>0</v>
      </c>
      <c r="M222" s="69">
        <f t="shared" si="46"/>
        <v>0</v>
      </c>
      <c r="N222" s="65" t="str">
        <f t="shared" si="47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8"/>
        <v/>
      </c>
      <c r="U222" s="1">
        <f t="shared" si="49"/>
        <v>0</v>
      </c>
      <c r="V222" s="1">
        <f t="shared" si="50"/>
        <v>2958465</v>
      </c>
      <c r="W222" s="1">
        <f t="shared" si="51"/>
        <v>0</v>
      </c>
      <c r="X222" s="1">
        <f t="shared" si="52"/>
        <v>0</v>
      </c>
      <c r="Y222" s="1">
        <f t="shared" si="53"/>
        <v>97200</v>
      </c>
      <c r="Z222" s="1">
        <f t="shared" si="54"/>
        <v>1</v>
      </c>
      <c r="AA222" s="1">
        <f t="shared" si="55"/>
        <v>0</v>
      </c>
    </row>
    <row r="223" spans="1:27" ht="18" customHeight="1" x14ac:dyDescent="0.3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42"/>
        <v>0</v>
      </c>
      <c r="J223" s="68">
        <f t="shared" ca="1" si="43"/>
        <v>0</v>
      </c>
      <c r="K223" s="68">
        <f t="shared" ca="1" si="44"/>
        <v>0</v>
      </c>
      <c r="L223" s="68">
        <f t="shared" ca="1" si="45"/>
        <v>0</v>
      </c>
      <c r="M223" s="69">
        <f t="shared" si="46"/>
        <v>0</v>
      </c>
      <c r="N223" s="65" t="str">
        <f t="shared" si="47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8"/>
        <v/>
      </c>
      <c r="U223" s="1">
        <f t="shared" si="49"/>
        <v>0</v>
      </c>
      <c r="V223" s="1">
        <f t="shared" si="50"/>
        <v>2958465</v>
      </c>
      <c r="W223" s="1">
        <f t="shared" si="51"/>
        <v>0</v>
      </c>
      <c r="X223" s="1">
        <f t="shared" si="52"/>
        <v>0</v>
      </c>
      <c r="Y223" s="1">
        <f t="shared" si="53"/>
        <v>97200</v>
      </c>
      <c r="Z223" s="1">
        <f t="shared" si="54"/>
        <v>1</v>
      </c>
      <c r="AA223" s="1">
        <f t="shared" si="55"/>
        <v>0</v>
      </c>
    </row>
    <row r="224" spans="1:27" ht="18" customHeight="1" x14ac:dyDescent="0.3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42"/>
        <v>0</v>
      </c>
      <c r="J224" s="68">
        <f t="shared" ca="1" si="43"/>
        <v>0</v>
      </c>
      <c r="K224" s="68">
        <f t="shared" ca="1" si="44"/>
        <v>0</v>
      </c>
      <c r="L224" s="68">
        <f t="shared" ca="1" si="45"/>
        <v>0</v>
      </c>
      <c r="M224" s="69">
        <f t="shared" si="46"/>
        <v>0</v>
      </c>
      <c r="N224" s="65" t="str">
        <f t="shared" si="47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8"/>
        <v/>
      </c>
      <c r="U224" s="1">
        <f t="shared" si="49"/>
        <v>0</v>
      </c>
      <c r="V224" s="1">
        <f t="shared" si="50"/>
        <v>2958465</v>
      </c>
      <c r="W224" s="1">
        <f t="shared" si="51"/>
        <v>0</v>
      </c>
      <c r="X224" s="1">
        <f t="shared" si="52"/>
        <v>0</v>
      </c>
      <c r="Y224" s="1">
        <f t="shared" si="53"/>
        <v>97200</v>
      </c>
      <c r="Z224" s="1">
        <f t="shared" si="54"/>
        <v>1</v>
      </c>
      <c r="AA224" s="1">
        <f t="shared" si="55"/>
        <v>0</v>
      </c>
    </row>
    <row r="225" spans="1:27" ht="18" customHeight="1" x14ac:dyDescent="0.3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42"/>
        <v>0</v>
      </c>
      <c r="J225" s="68">
        <f t="shared" ca="1" si="43"/>
        <v>0</v>
      </c>
      <c r="K225" s="68">
        <f t="shared" ca="1" si="44"/>
        <v>0</v>
      </c>
      <c r="L225" s="68">
        <f t="shared" ca="1" si="45"/>
        <v>0</v>
      </c>
      <c r="M225" s="69">
        <f t="shared" si="46"/>
        <v>0</v>
      </c>
      <c r="N225" s="65" t="str">
        <f t="shared" si="47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8"/>
        <v/>
      </c>
      <c r="U225" s="1">
        <f t="shared" si="49"/>
        <v>0</v>
      </c>
      <c r="V225" s="1">
        <f t="shared" si="50"/>
        <v>2958465</v>
      </c>
      <c r="W225" s="1">
        <f t="shared" si="51"/>
        <v>0</v>
      </c>
      <c r="X225" s="1">
        <f t="shared" si="52"/>
        <v>0</v>
      </c>
      <c r="Y225" s="1">
        <f t="shared" si="53"/>
        <v>97200</v>
      </c>
      <c r="Z225" s="1">
        <f t="shared" si="54"/>
        <v>1</v>
      </c>
      <c r="AA225" s="1">
        <f t="shared" si="55"/>
        <v>0</v>
      </c>
    </row>
    <row r="226" spans="1:27" ht="18" customHeight="1" x14ac:dyDescent="0.3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42"/>
        <v>0</v>
      </c>
      <c r="J226" s="68">
        <f t="shared" ca="1" si="43"/>
        <v>0</v>
      </c>
      <c r="K226" s="68">
        <f t="shared" ca="1" si="44"/>
        <v>0</v>
      </c>
      <c r="L226" s="68">
        <f t="shared" ca="1" si="45"/>
        <v>0</v>
      </c>
      <c r="M226" s="69">
        <f t="shared" si="46"/>
        <v>0</v>
      </c>
      <c r="N226" s="65" t="str">
        <f t="shared" si="47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8"/>
        <v/>
      </c>
      <c r="U226" s="1">
        <f t="shared" si="49"/>
        <v>0</v>
      </c>
      <c r="V226" s="1">
        <f t="shared" si="50"/>
        <v>2958465</v>
      </c>
      <c r="W226" s="1">
        <f t="shared" si="51"/>
        <v>0</v>
      </c>
      <c r="X226" s="1">
        <f t="shared" si="52"/>
        <v>0</v>
      </c>
      <c r="Y226" s="1">
        <f t="shared" si="53"/>
        <v>97200</v>
      </c>
      <c r="Z226" s="1">
        <f t="shared" si="54"/>
        <v>1</v>
      </c>
      <c r="AA226" s="1">
        <f t="shared" si="55"/>
        <v>0</v>
      </c>
    </row>
    <row r="227" spans="1:27" ht="18" customHeight="1" x14ac:dyDescent="0.3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42"/>
        <v>0</v>
      </c>
      <c r="J227" s="68">
        <f t="shared" ca="1" si="43"/>
        <v>0</v>
      </c>
      <c r="K227" s="68">
        <f t="shared" ca="1" si="44"/>
        <v>0</v>
      </c>
      <c r="L227" s="68">
        <f t="shared" ca="1" si="45"/>
        <v>0</v>
      </c>
      <c r="M227" s="69">
        <f t="shared" si="46"/>
        <v>0</v>
      </c>
      <c r="N227" s="65" t="str">
        <f t="shared" si="47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8"/>
        <v/>
      </c>
      <c r="U227" s="1">
        <f t="shared" si="49"/>
        <v>0</v>
      </c>
      <c r="V227" s="1">
        <f t="shared" si="50"/>
        <v>2958465</v>
      </c>
      <c r="W227" s="1">
        <f t="shared" si="51"/>
        <v>0</v>
      </c>
      <c r="X227" s="1">
        <f t="shared" si="52"/>
        <v>0</v>
      </c>
      <c r="Y227" s="1">
        <f t="shared" si="53"/>
        <v>97200</v>
      </c>
      <c r="Z227" s="1">
        <f t="shared" si="54"/>
        <v>1</v>
      </c>
      <c r="AA227" s="1">
        <f t="shared" si="55"/>
        <v>0</v>
      </c>
    </row>
    <row r="228" spans="1:27" ht="18" customHeight="1" x14ac:dyDescent="0.3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42"/>
        <v>0</v>
      </c>
      <c r="J228" s="68">
        <f t="shared" ca="1" si="43"/>
        <v>0</v>
      </c>
      <c r="K228" s="68">
        <f t="shared" ca="1" si="44"/>
        <v>0</v>
      </c>
      <c r="L228" s="68">
        <f t="shared" ca="1" si="45"/>
        <v>0</v>
      </c>
      <c r="M228" s="69">
        <f t="shared" si="46"/>
        <v>0</v>
      </c>
      <c r="N228" s="65" t="str">
        <f t="shared" si="47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8"/>
        <v/>
      </c>
      <c r="U228" s="1">
        <f t="shared" si="49"/>
        <v>0</v>
      </c>
      <c r="V228" s="1">
        <f t="shared" si="50"/>
        <v>2958465</v>
      </c>
      <c r="W228" s="1">
        <f t="shared" si="51"/>
        <v>0</v>
      </c>
      <c r="X228" s="1">
        <f t="shared" si="52"/>
        <v>0</v>
      </c>
      <c r="Y228" s="1">
        <f t="shared" si="53"/>
        <v>97200</v>
      </c>
      <c r="Z228" s="1">
        <f t="shared" si="54"/>
        <v>1</v>
      </c>
      <c r="AA228" s="1">
        <f t="shared" si="55"/>
        <v>0</v>
      </c>
    </row>
    <row r="229" spans="1:27" ht="18" customHeight="1" x14ac:dyDescent="0.3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42"/>
        <v>0</v>
      </c>
      <c r="J229" s="68">
        <f t="shared" ca="1" si="43"/>
        <v>0</v>
      </c>
      <c r="K229" s="68">
        <f t="shared" ca="1" si="44"/>
        <v>0</v>
      </c>
      <c r="L229" s="68">
        <f t="shared" ca="1" si="45"/>
        <v>0</v>
      </c>
      <c r="M229" s="69">
        <f t="shared" si="46"/>
        <v>0</v>
      </c>
      <c r="N229" s="65" t="str">
        <f t="shared" si="47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8"/>
        <v/>
      </c>
      <c r="U229" s="1">
        <f t="shared" si="49"/>
        <v>0</v>
      </c>
      <c r="V229" s="1">
        <f t="shared" si="50"/>
        <v>2958465</v>
      </c>
      <c r="W229" s="1">
        <f t="shared" si="51"/>
        <v>0</v>
      </c>
      <c r="X229" s="1">
        <f t="shared" si="52"/>
        <v>0</v>
      </c>
      <c r="Y229" s="1">
        <f t="shared" si="53"/>
        <v>97200</v>
      </c>
      <c r="Z229" s="1">
        <f t="shared" si="54"/>
        <v>1</v>
      </c>
      <c r="AA229" s="1">
        <f t="shared" si="55"/>
        <v>0</v>
      </c>
    </row>
    <row r="230" spans="1:27" ht="18" customHeight="1" x14ac:dyDescent="0.3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42"/>
        <v>0</v>
      </c>
      <c r="J230" s="68">
        <f t="shared" ca="1" si="43"/>
        <v>0</v>
      </c>
      <c r="K230" s="68">
        <f t="shared" ca="1" si="44"/>
        <v>0</v>
      </c>
      <c r="L230" s="68">
        <f t="shared" ca="1" si="45"/>
        <v>0</v>
      </c>
      <c r="M230" s="69">
        <f t="shared" si="46"/>
        <v>0</v>
      </c>
      <c r="N230" s="65" t="str">
        <f t="shared" si="47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8"/>
        <v/>
      </c>
      <c r="U230" s="1">
        <f t="shared" si="49"/>
        <v>0</v>
      </c>
      <c r="V230" s="1">
        <f t="shared" si="50"/>
        <v>2958465</v>
      </c>
      <c r="W230" s="1">
        <f t="shared" si="51"/>
        <v>0</v>
      </c>
      <c r="X230" s="1">
        <f t="shared" si="52"/>
        <v>0</v>
      </c>
      <c r="Y230" s="1">
        <f t="shared" si="53"/>
        <v>97200</v>
      </c>
      <c r="Z230" s="1">
        <f t="shared" si="54"/>
        <v>1</v>
      </c>
      <c r="AA230" s="1">
        <f t="shared" si="55"/>
        <v>0</v>
      </c>
    </row>
    <row r="231" spans="1:27" ht="18" customHeight="1" x14ac:dyDescent="0.3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42"/>
        <v>0</v>
      </c>
      <c r="J231" s="68">
        <f t="shared" ca="1" si="43"/>
        <v>0</v>
      </c>
      <c r="K231" s="68">
        <f t="shared" ca="1" si="44"/>
        <v>0</v>
      </c>
      <c r="L231" s="68">
        <f t="shared" ca="1" si="45"/>
        <v>0</v>
      </c>
      <c r="M231" s="69">
        <f t="shared" si="46"/>
        <v>0</v>
      </c>
      <c r="N231" s="65" t="str">
        <f t="shared" si="47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8"/>
        <v/>
      </c>
      <c r="U231" s="1">
        <f t="shared" si="49"/>
        <v>0</v>
      </c>
      <c r="V231" s="1">
        <f t="shared" si="50"/>
        <v>2958465</v>
      </c>
      <c r="W231" s="1">
        <f t="shared" si="51"/>
        <v>0</v>
      </c>
      <c r="X231" s="1">
        <f t="shared" si="52"/>
        <v>0</v>
      </c>
      <c r="Y231" s="1">
        <f t="shared" si="53"/>
        <v>97200</v>
      </c>
      <c r="Z231" s="1">
        <f t="shared" si="54"/>
        <v>1</v>
      </c>
      <c r="AA231" s="1">
        <f t="shared" si="55"/>
        <v>0</v>
      </c>
    </row>
    <row r="232" spans="1:27" ht="18" customHeight="1" x14ac:dyDescent="0.3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42"/>
        <v>0</v>
      </c>
      <c r="J232" s="68">
        <f t="shared" ca="1" si="43"/>
        <v>0</v>
      </c>
      <c r="K232" s="68">
        <f t="shared" ca="1" si="44"/>
        <v>0</v>
      </c>
      <c r="L232" s="68">
        <f t="shared" ca="1" si="45"/>
        <v>0</v>
      </c>
      <c r="M232" s="69">
        <f t="shared" si="46"/>
        <v>0</v>
      </c>
      <c r="N232" s="65" t="str">
        <f t="shared" si="47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8"/>
        <v/>
      </c>
      <c r="U232" s="1">
        <f t="shared" si="49"/>
        <v>0</v>
      </c>
      <c r="V232" s="1">
        <f t="shared" si="50"/>
        <v>2958465</v>
      </c>
      <c r="W232" s="1">
        <f t="shared" si="51"/>
        <v>0</v>
      </c>
      <c r="X232" s="1">
        <f t="shared" si="52"/>
        <v>0</v>
      </c>
      <c r="Y232" s="1">
        <f t="shared" si="53"/>
        <v>97200</v>
      </c>
      <c r="Z232" s="1">
        <f t="shared" si="54"/>
        <v>1</v>
      </c>
      <c r="AA232" s="1">
        <f t="shared" si="55"/>
        <v>0</v>
      </c>
    </row>
    <row r="233" spans="1:27" ht="18" customHeight="1" x14ac:dyDescent="0.3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42"/>
        <v>0</v>
      </c>
      <c r="J233" s="68">
        <f t="shared" ca="1" si="43"/>
        <v>0</v>
      </c>
      <c r="K233" s="68">
        <f t="shared" ca="1" si="44"/>
        <v>0</v>
      </c>
      <c r="L233" s="68">
        <f t="shared" ca="1" si="45"/>
        <v>0</v>
      </c>
      <c r="M233" s="69">
        <f t="shared" si="46"/>
        <v>0</v>
      </c>
      <c r="N233" s="65" t="str">
        <f t="shared" si="47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8"/>
        <v/>
      </c>
      <c r="U233" s="1">
        <f t="shared" si="49"/>
        <v>0</v>
      </c>
      <c r="V233" s="1">
        <f t="shared" si="50"/>
        <v>2958465</v>
      </c>
      <c r="W233" s="1">
        <f t="shared" si="51"/>
        <v>0</v>
      </c>
      <c r="X233" s="1">
        <f t="shared" si="52"/>
        <v>0</v>
      </c>
      <c r="Y233" s="1">
        <f t="shared" si="53"/>
        <v>97200</v>
      </c>
      <c r="Z233" s="1">
        <f t="shared" si="54"/>
        <v>1</v>
      </c>
      <c r="AA233" s="1">
        <f t="shared" si="55"/>
        <v>0</v>
      </c>
    </row>
    <row r="234" spans="1:27" ht="18" customHeight="1" x14ac:dyDescent="0.3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42"/>
        <v>0</v>
      </c>
      <c r="J234" s="68">
        <f t="shared" ca="1" si="43"/>
        <v>0</v>
      </c>
      <c r="K234" s="68">
        <f t="shared" ca="1" si="44"/>
        <v>0</v>
      </c>
      <c r="L234" s="68">
        <f t="shared" ca="1" si="45"/>
        <v>0</v>
      </c>
      <c r="M234" s="69">
        <f t="shared" si="46"/>
        <v>0</v>
      </c>
      <c r="N234" s="65" t="str">
        <f t="shared" si="47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8"/>
        <v/>
      </c>
      <c r="U234" s="1">
        <f t="shared" si="49"/>
        <v>0</v>
      </c>
      <c r="V234" s="1">
        <f t="shared" si="50"/>
        <v>2958465</v>
      </c>
      <c r="W234" s="1">
        <f t="shared" si="51"/>
        <v>0</v>
      </c>
      <c r="X234" s="1">
        <f t="shared" si="52"/>
        <v>0</v>
      </c>
      <c r="Y234" s="1">
        <f t="shared" si="53"/>
        <v>97200</v>
      </c>
      <c r="Z234" s="1">
        <f t="shared" si="54"/>
        <v>1</v>
      </c>
      <c r="AA234" s="1">
        <f t="shared" si="55"/>
        <v>0</v>
      </c>
    </row>
    <row r="235" spans="1:27" ht="18" customHeight="1" x14ac:dyDescent="0.3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42"/>
        <v>0</v>
      </c>
      <c r="J235" s="68">
        <f t="shared" ca="1" si="43"/>
        <v>0</v>
      </c>
      <c r="K235" s="68">
        <f t="shared" ca="1" si="44"/>
        <v>0</v>
      </c>
      <c r="L235" s="68">
        <f t="shared" ca="1" si="45"/>
        <v>0</v>
      </c>
      <c r="M235" s="69">
        <f t="shared" si="46"/>
        <v>0</v>
      </c>
      <c r="N235" s="65" t="str">
        <f t="shared" si="47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8"/>
        <v/>
      </c>
      <c r="U235" s="1">
        <f t="shared" si="49"/>
        <v>0</v>
      </c>
      <c r="V235" s="1">
        <f t="shared" si="50"/>
        <v>2958465</v>
      </c>
      <c r="W235" s="1">
        <f t="shared" si="51"/>
        <v>0</v>
      </c>
      <c r="X235" s="1">
        <f t="shared" si="52"/>
        <v>0</v>
      </c>
      <c r="Y235" s="1">
        <f t="shared" si="53"/>
        <v>97200</v>
      </c>
      <c r="Z235" s="1">
        <f t="shared" si="54"/>
        <v>1</v>
      </c>
      <c r="AA235" s="1">
        <f t="shared" si="55"/>
        <v>0</v>
      </c>
    </row>
    <row r="236" spans="1:27" ht="18" customHeight="1" x14ac:dyDescent="0.3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42"/>
        <v>0</v>
      </c>
      <c r="J236" s="68">
        <f t="shared" ca="1" si="43"/>
        <v>0</v>
      </c>
      <c r="K236" s="68">
        <f t="shared" ca="1" si="44"/>
        <v>0</v>
      </c>
      <c r="L236" s="68">
        <f t="shared" ca="1" si="45"/>
        <v>0</v>
      </c>
      <c r="M236" s="69">
        <f t="shared" si="46"/>
        <v>0</v>
      </c>
      <c r="N236" s="65" t="str">
        <f t="shared" si="47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8"/>
        <v/>
      </c>
      <c r="U236" s="1">
        <f t="shared" si="49"/>
        <v>0</v>
      </c>
      <c r="V236" s="1">
        <f t="shared" si="50"/>
        <v>2958465</v>
      </c>
      <c r="W236" s="1">
        <f t="shared" si="51"/>
        <v>0</v>
      </c>
      <c r="X236" s="1">
        <f t="shared" si="52"/>
        <v>0</v>
      </c>
      <c r="Y236" s="1">
        <f t="shared" si="53"/>
        <v>97200</v>
      </c>
      <c r="Z236" s="1">
        <f t="shared" si="54"/>
        <v>1</v>
      </c>
      <c r="AA236" s="1">
        <f t="shared" si="55"/>
        <v>0</v>
      </c>
    </row>
    <row r="237" spans="1:27" ht="18" customHeight="1" x14ac:dyDescent="0.3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42"/>
        <v>0</v>
      </c>
      <c r="J237" s="68">
        <f t="shared" ca="1" si="43"/>
        <v>0</v>
      </c>
      <c r="K237" s="68">
        <f t="shared" ca="1" si="44"/>
        <v>0</v>
      </c>
      <c r="L237" s="68">
        <f t="shared" ca="1" si="45"/>
        <v>0</v>
      </c>
      <c r="M237" s="69">
        <f t="shared" si="46"/>
        <v>0</v>
      </c>
      <c r="N237" s="65" t="str">
        <f t="shared" si="47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8"/>
        <v/>
      </c>
      <c r="U237" s="1">
        <f t="shared" si="49"/>
        <v>0</v>
      </c>
      <c r="V237" s="1">
        <f t="shared" si="50"/>
        <v>2958465</v>
      </c>
      <c r="W237" s="1">
        <f t="shared" si="51"/>
        <v>0</v>
      </c>
      <c r="X237" s="1">
        <f t="shared" si="52"/>
        <v>0</v>
      </c>
      <c r="Y237" s="1">
        <f t="shared" si="53"/>
        <v>97200</v>
      </c>
      <c r="Z237" s="1">
        <f t="shared" si="54"/>
        <v>1</v>
      </c>
      <c r="AA237" s="1">
        <f t="shared" si="55"/>
        <v>0</v>
      </c>
    </row>
    <row r="238" spans="1:27" ht="18" customHeight="1" x14ac:dyDescent="0.3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42"/>
        <v>0</v>
      </c>
      <c r="J238" s="68">
        <f t="shared" ca="1" si="43"/>
        <v>0</v>
      </c>
      <c r="K238" s="68">
        <f t="shared" ca="1" si="44"/>
        <v>0</v>
      </c>
      <c r="L238" s="68">
        <f t="shared" ca="1" si="45"/>
        <v>0</v>
      </c>
      <c r="M238" s="69">
        <f t="shared" si="46"/>
        <v>0</v>
      </c>
      <c r="N238" s="65" t="str">
        <f t="shared" si="47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8"/>
        <v/>
      </c>
      <c r="U238" s="1">
        <f t="shared" si="49"/>
        <v>0</v>
      </c>
      <c r="V238" s="1">
        <f t="shared" si="50"/>
        <v>2958465</v>
      </c>
      <c r="W238" s="1">
        <f t="shared" si="51"/>
        <v>0</v>
      </c>
      <c r="X238" s="1">
        <f t="shared" si="52"/>
        <v>0</v>
      </c>
      <c r="Y238" s="1">
        <f t="shared" si="53"/>
        <v>97200</v>
      </c>
      <c r="Z238" s="1">
        <f t="shared" si="54"/>
        <v>1</v>
      </c>
      <c r="AA238" s="1">
        <f t="shared" si="55"/>
        <v>0</v>
      </c>
    </row>
    <row r="239" spans="1:27" ht="18" customHeight="1" x14ac:dyDescent="0.3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42"/>
        <v>0</v>
      </c>
      <c r="J239" s="68">
        <f t="shared" ca="1" si="43"/>
        <v>0</v>
      </c>
      <c r="K239" s="68">
        <f t="shared" ca="1" si="44"/>
        <v>0</v>
      </c>
      <c r="L239" s="68">
        <f t="shared" ca="1" si="45"/>
        <v>0</v>
      </c>
      <c r="M239" s="69">
        <f t="shared" si="46"/>
        <v>0</v>
      </c>
      <c r="N239" s="65" t="str">
        <f t="shared" si="47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8"/>
        <v/>
      </c>
      <c r="U239" s="1">
        <f t="shared" si="49"/>
        <v>0</v>
      </c>
      <c r="V239" s="1">
        <f t="shared" si="50"/>
        <v>2958465</v>
      </c>
      <c r="W239" s="1">
        <f t="shared" si="51"/>
        <v>0</v>
      </c>
      <c r="X239" s="1">
        <f t="shared" si="52"/>
        <v>0</v>
      </c>
      <c r="Y239" s="1">
        <f t="shared" si="53"/>
        <v>97200</v>
      </c>
      <c r="Z239" s="1">
        <f t="shared" si="54"/>
        <v>1</v>
      </c>
      <c r="AA239" s="1">
        <f t="shared" si="55"/>
        <v>0</v>
      </c>
    </row>
    <row r="240" spans="1:27" ht="18" customHeight="1" x14ac:dyDescent="0.3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42"/>
        <v>0</v>
      </c>
      <c r="J240" s="68">
        <f t="shared" ca="1" si="43"/>
        <v>0</v>
      </c>
      <c r="K240" s="68">
        <f t="shared" ca="1" si="44"/>
        <v>0</v>
      </c>
      <c r="L240" s="68">
        <f t="shared" ca="1" si="45"/>
        <v>0</v>
      </c>
      <c r="M240" s="69">
        <f t="shared" si="46"/>
        <v>0</v>
      </c>
      <c r="N240" s="65" t="str">
        <f t="shared" si="47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8"/>
        <v/>
      </c>
      <c r="U240" s="1">
        <f t="shared" si="49"/>
        <v>0</v>
      </c>
      <c r="V240" s="1">
        <f t="shared" si="50"/>
        <v>2958465</v>
      </c>
      <c r="W240" s="1">
        <f t="shared" si="51"/>
        <v>0</v>
      </c>
      <c r="X240" s="1">
        <f t="shared" si="52"/>
        <v>0</v>
      </c>
      <c r="Y240" s="1">
        <f t="shared" si="53"/>
        <v>97200</v>
      </c>
      <c r="Z240" s="1">
        <f t="shared" si="54"/>
        <v>1</v>
      </c>
      <c r="AA240" s="1">
        <f t="shared" si="55"/>
        <v>0</v>
      </c>
    </row>
    <row r="241" spans="1:27" ht="18" customHeight="1" x14ac:dyDescent="0.3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42"/>
        <v>0</v>
      </c>
      <c r="J241" s="68">
        <f t="shared" ca="1" si="43"/>
        <v>0</v>
      </c>
      <c r="K241" s="68">
        <f t="shared" ca="1" si="44"/>
        <v>0</v>
      </c>
      <c r="L241" s="68">
        <f t="shared" ca="1" si="45"/>
        <v>0</v>
      </c>
      <c r="M241" s="69">
        <f t="shared" si="46"/>
        <v>0</v>
      </c>
      <c r="N241" s="65" t="str">
        <f t="shared" si="47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8"/>
        <v/>
      </c>
      <c r="U241" s="1">
        <f t="shared" si="49"/>
        <v>0</v>
      </c>
      <c r="V241" s="1">
        <f t="shared" si="50"/>
        <v>2958465</v>
      </c>
      <c r="W241" s="1">
        <f t="shared" si="51"/>
        <v>0</v>
      </c>
      <c r="X241" s="1">
        <f t="shared" si="52"/>
        <v>0</v>
      </c>
      <c r="Y241" s="1">
        <f t="shared" si="53"/>
        <v>97200</v>
      </c>
      <c r="Z241" s="1">
        <f t="shared" si="54"/>
        <v>1</v>
      </c>
      <c r="AA241" s="1">
        <f t="shared" si="55"/>
        <v>0</v>
      </c>
    </row>
    <row r="242" spans="1:27" ht="18" customHeight="1" x14ac:dyDescent="0.3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42"/>
        <v>0</v>
      </c>
      <c r="J242" s="68">
        <f t="shared" ca="1" si="43"/>
        <v>0</v>
      </c>
      <c r="K242" s="68">
        <f t="shared" ca="1" si="44"/>
        <v>0</v>
      </c>
      <c r="L242" s="68">
        <f t="shared" ca="1" si="45"/>
        <v>0</v>
      </c>
      <c r="M242" s="69">
        <f t="shared" si="46"/>
        <v>0</v>
      </c>
      <c r="N242" s="65" t="str">
        <f t="shared" si="47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8"/>
        <v/>
      </c>
      <c r="U242" s="1">
        <f t="shared" si="49"/>
        <v>0</v>
      </c>
      <c r="V242" s="1">
        <f t="shared" si="50"/>
        <v>2958465</v>
      </c>
      <c r="W242" s="1">
        <f t="shared" si="51"/>
        <v>0</v>
      </c>
      <c r="X242" s="1">
        <f t="shared" si="52"/>
        <v>0</v>
      </c>
      <c r="Y242" s="1">
        <f t="shared" si="53"/>
        <v>97200</v>
      </c>
      <c r="Z242" s="1">
        <f t="shared" si="54"/>
        <v>1</v>
      </c>
      <c r="AA242" s="1">
        <f t="shared" si="55"/>
        <v>0</v>
      </c>
    </row>
    <row r="243" spans="1:27" ht="18" customHeight="1" x14ac:dyDescent="0.3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42"/>
        <v>0</v>
      </c>
      <c r="J243" s="68">
        <f t="shared" ca="1" si="43"/>
        <v>0</v>
      </c>
      <c r="K243" s="68">
        <f t="shared" ca="1" si="44"/>
        <v>0</v>
      </c>
      <c r="L243" s="68">
        <f t="shared" ca="1" si="45"/>
        <v>0</v>
      </c>
      <c r="M243" s="69">
        <f t="shared" si="46"/>
        <v>0</v>
      </c>
      <c r="N243" s="65" t="str">
        <f t="shared" si="47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8"/>
        <v/>
      </c>
      <c r="U243" s="1">
        <f t="shared" si="49"/>
        <v>0</v>
      </c>
      <c r="V243" s="1">
        <f t="shared" si="50"/>
        <v>2958465</v>
      </c>
      <c r="W243" s="1">
        <f t="shared" si="51"/>
        <v>0</v>
      </c>
      <c r="X243" s="1">
        <f t="shared" si="52"/>
        <v>0</v>
      </c>
      <c r="Y243" s="1">
        <f t="shared" si="53"/>
        <v>97200</v>
      </c>
      <c r="Z243" s="1">
        <f t="shared" si="54"/>
        <v>1</v>
      </c>
      <c r="AA243" s="1">
        <f t="shared" si="55"/>
        <v>0</v>
      </c>
    </row>
    <row r="244" spans="1:27" ht="18" customHeight="1" x14ac:dyDescent="0.3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42"/>
        <v>0</v>
      </c>
      <c r="J244" s="68">
        <f t="shared" ca="1" si="43"/>
        <v>0</v>
      </c>
      <c r="K244" s="68">
        <f t="shared" ca="1" si="44"/>
        <v>0</v>
      </c>
      <c r="L244" s="68">
        <f t="shared" ca="1" si="45"/>
        <v>0</v>
      </c>
      <c r="M244" s="69">
        <f t="shared" si="46"/>
        <v>0</v>
      </c>
      <c r="N244" s="65" t="str">
        <f t="shared" si="47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8"/>
        <v/>
      </c>
      <c r="U244" s="1">
        <f t="shared" si="49"/>
        <v>0</v>
      </c>
      <c r="V244" s="1">
        <f t="shared" si="50"/>
        <v>2958465</v>
      </c>
      <c r="W244" s="1">
        <f t="shared" si="51"/>
        <v>0</v>
      </c>
      <c r="X244" s="1">
        <f t="shared" si="52"/>
        <v>0</v>
      </c>
      <c r="Y244" s="1">
        <f t="shared" si="53"/>
        <v>97200</v>
      </c>
      <c r="Z244" s="1">
        <f t="shared" si="54"/>
        <v>1</v>
      </c>
      <c r="AA244" s="1">
        <f t="shared" si="55"/>
        <v>0</v>
      </c>
    </row>
    <row r="245" spans="1:27" ht="18" customHeight="1" x14ac:dyDescent="0.3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42"/>
        <v>0</v>
      </c>
      <c r="J245" s="68">
        <f t="shared" ca="1" si="43"/>
        <v>0</v>
      </c>
      <c r="K245" s="68">
        <f t="shared" ca="1" si="44"/>
        <v>0</v>
      </c>
      <c r="L245" s="68">
        <f t="shared" ca="1" si="45"/>
        <v>0</v>
      </c>
      <c r="M245" s="69">
        <f t="shared" si="46"/>
        <v>0</v>
      </c>
      <c r="N245" s="65" t="str">
        <f t="shared" si="47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8"/>
        <v/>
      </c>
      <c r="U245" s="1">
        <f t="shared" si="49"/>
        <v>0</v>
      </c>
      <c r="V245" s="1">
        <f t="shared" si="50"/>
        <v>2958465</v>
      </c>
      <c r="W245" s="1">
        <f t="shared" si="51"/>
        <v>0</v>
      </c>
      <c r="X245" s="1">
        <f t="shared" si="52"/>
        <v>0</v>
      </c>
      <c r="Y245" s="1">
        <f t="shared" si="53"/>
        <v>97200</v>
      </c>
      <c r="Z245" s="1">
        <f t="shared" si="54"/>
        <v>1</v>
      </c>
      <c r="AA245" s="1">
        <f t="shared" si="55"/>
        <v>0</v>
      </c>
    </row>
    <row r="246" spans="1:27" ht="18" customHeight="1" x14ac:dyDescent="0.3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42"/>
        <v>0</v>
      </c>
      <c r="J246" s="68">
        <f t="shared" ca="1" si="43"/>
        <v>0</v>
      </c>
      <c r="K246" s="68">
        <f t="shared" ca="1" si="44"/>
        <v>0</v>
      </c>
      <c r="L246" s="68">
        <f t="shared" ca="1" si="45"/>
        <v>0</v>
      </c>
      <c r="M246" s="69">
        <f t="shared" si="46"/>
        <v>0</v>
      </c>
      <c r="N246" s="65" t="str">
        <f t="shared" si="47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8"/>
        <v/>
      </c>
      <c r="U246" s="1">
        <f t="shared" si="49"/>
        <v>0</v>
      </c>
      <c r="V246" s="1">
        <f t="shared" si="50"/>
        <v>2958465</v>
      </c>
      <c r="W246" s="1">
        <f t="shared" si="51"/>
        <v>0</v>
      </c>
      <c r="X246" s="1">
        <f t="shared" si="52"/>
        <v>0</v>
      </c>
      <c r="Y246" s="1">
        <f t="shared" si="53"/>
        <v>97200</v>
      </c>
      <c r="Z246" s="1">
        <f t="shared" si="54"/>
        <v>1</v>
      </c>
      <c r="AA246" s="1">
        <f t="shared" si="55"/>
        <v>0</v>
      </c>
    </row>
    <row r="247" spans="1:27" ht="18" customHeight="1" x14ac:dyDescent="0.3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42"/>
        <v>0</v>
      </c>
      <c r="J247" s="68">
        <f t="shared" ca="1" si="43"/>
        <v>0</v>
      </c>
      <c r="K247" s="68">
        <f t="shared" ca="1" si="44"/>
        <v>0</v>
      </c>
      <c r="L247" s="68">
        <f t="shared" ca="1" si="45"/>
        <v>0</v>
      </c>
      <c r="M247" s="69">
        <f t="shared" si="46"/>
        <v>0</v>
      </c>
      <c r="N247" s="65" t="str">
        <f t="shared" si="47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8"/>
        <v/>
      </c>
      <c r="U247" s="1">
        <f t="shared" si="49"/>
        <v>0</v>
      </c>
      <c r="V247" s="1">
        <f t="shared" si="50"/>
        <v>2958465</v>
      </c>
      <c r="W247" s="1">
        <f t="shared" si="51"/>
        <v>0</v>
      </c>
      <c r="X247" s="1">
        <f t="shared" si="52"/>
        <v>0</v>
      </c>
      <c r="Y247" s="1">
        <f t="shared" si="53"/>
        <v>97200</v>
      </c>
      <c r="Z247" s="1">
        <f t="shared" si="54"/>
        <v>1</v>
      </c>
      <c r="AA247" s="1">
        <f t="shared" si="55"/>
        <v>0</v>
      </c>
    </row>
    <row r="248" spans="1:27" ht="18" customHeight="1" x14ac:dyDescent="0.3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42"/>
        <v>0</v>
      </c>
      <c r="J248" s="68">
        <f t="shared" ca="1" si="43"/>
        <v>0</v>
      </c>
      <c r="K248" s="68">
        <f t="shared" ca="1" si="44"/>
        <v>0</v>
      </c>
      <c r="L248" s="68">
        <f t="shared" ca="1" si="45"/>
        <v>0</v>
      </c>
      <c r="M248" s="69">
        <f t="shared" si="46"/>
        <v>0</v>
      </c>
      <c r="N248" s="65" t="str">
        <f t="shared" si="47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8"/>
        <v/>
      </c>
      <c r="U248" s="1">
        <f t="shared" si="49"/>
        <v>0</v>
      </c>
      <c r="V248" s="1">
        <f t="shared" si="50"/>
        <v>2958465</v>
      </c>
      <c r="W248" s="1">
        <f t="shared" si="51"/>
        <v>0</v>
      </c>
      <c r="X248" s="1">
        <f t="shared" si="52"/>
        <v>0</v>
      </c>
      <c r="Y248" s="1">
        <f t="shared" si="53"/>
        <v>97200</v>
      </c>
      <c r="Z248" s="1">
        <f t="shared" si="54"/>
        <v>1</v>
      </c>
      <c r="AA248" s="1">
        <f t="shared" si="55"/>
        <v>0</v>
      </c>
    </row>
    <row r="249" spans="1:27" ht="18" customHeight="1" x14ac:dyDescent="0.3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42"/>
        <v>0</v>
      </c>
      <c r="J249" s="68">
        <f t="shared" ca="1" si="43"/>
        <v>0</v>
      </c>
      <c r="K249" s="68">
        <f t="shared" ca="1" si="44"/>
        <v>0</v>
      </c>
      <c r="L249" s="68">
        <f t="shared" ca="1" si="45"/>
        <v>0</v>
      </c>
      <c r="M249" s="69">
        <f t="shared" si="46"/>
        <v>0</v>
      </c>
      <c r="N249" s="65" t="str">
        <f t="shared" si="47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8"/>
        <v/>
      </c>
      <c r="U249" s="1">
        <f t="shared" si="49"/>
        <v>0</v>
      </c>
      <c r="V249" s="1">
        <f t="shared" si="50"/>
        <v>2958465</v>
      </c>
      <c r="W249" s="1">
        <f t="shared" si="51"/>
        <v>0</v>
      </c>
      <c r="X249" s="1">
        <f t="shared" si="52"/>
        <v>0</v>
      </c>
      <c r="Y249" s="1">
        <f t="shared" si="53"/>
        <v>97200</v>
      </c>
      <c r="Z249" s="1">
        <f t="shared" si="54"/>
        <v>1</v>
      </c>
      <c r="AA249" s="1">
        <f t="shared" si="55"/>
        <v>0</v>
      </c>
    </row>
    <row r="250" spans="1:27" ht="18" customHeight="1" x14ac:dyDescent="0.3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42"/>
        <v>0</v>
      </c>
      <c r="J250" s="68">
        <f t="shared" ca="1" si="43"/>
        <v>0</v>
      </c>
      <c r="K250" s="68">
        <f t="shared" ca="1" si="44"/>
        <v>0</v>
      </c>
      <c r="L250" s="68">
        <f t="shared" ca="1" si="45"/>
        <v>0</v>
      </c>
      <c r="M250" s="69">
        <f t="shared" si="46"/>
        <v>0</v>
      </c>
      <c r="N250" s="65" t="str">
        <f t="shared" si="47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8"/>
        <v/>
      </c>
      <c r="U250" s="1">
        <f t="shared" si="49"/>
        <v>0</v>
      </c>
      <c r="V250" s="1">
        <f t="shared" si="50"/>
        <v>2958465</v>
      </c>
      <c r="W250" s="1">
        <f t="shared" si="51"/>
        <v>0</v>
      </c>
      <c r="X250" s="1">
        <f t="shared" si="52"/>
        <v>0</v>
      </c>
      <c r="Y250" s="1">
        <f t="shared" si="53"/>
        <v>97200</v>
      </c>
      <c r="Z250" s="1">
        <f t="shared" si="54"/>
        <v>1</v>
      </c>
      <c r="AA250" s="1">
        <f t="shared" si="55"/>
        <v>0</v>
      </c>
    </row>
    <row r="251" spans="1:27" ht="18" customHeight="1" x14ac:dyDescent="0.3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42"/>
        <v>0</v>
      </c>
      <c r="J251" s="68">
        <f t="shared" ca="1" si="43"/>
        <v>0</v>
      </c>
      <c r="K251" s="68">
        <f t="shared" ca="1" si="44"/>
        <v>0</v>
      </c>
      <c r="L251" s="68">
        <f t="shared" ca="1" si="45"/>
        <v>0</v>
      </c>
      <c r="M251" s="69">
        <f t="shared" si="46"/>
        <v>0</v>
      </c>
      <c r="N251" s="65" t="str">
        <f t="shared" si="47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8"/>
        <v/>
      </c>
      <c r="U251" s="1">
        <f t="shared" si="49"/>
        <v>0</v>
      </c>
      <c r="V251" s="1">
        <f t="shared" si="50"/>
        <v>2958465</v>
      </c>
      <c r="W251" s="1">
        <f t="shared" si="51"/>
        <v>0</v>
      </c>
      <c r="X251" s="1">
        <f t="shared" si="52"/>
        <v>0</v>
      </c>
      <c r="Y251" s="1">
        <f t="shared" si="53"/>
        <v>97200</v>
      </c>
      <c r="Z251" s="1">
        <f t="shared" si="54"/>
        <v>1</v>
      </c>
      <c r="AA251" s="1">
        <f t="shared" si="55"/>
        <v>0</v>
      </c>
    </row>
    <row r="252" spans="1:27" ht="18" customHeight="1" x14ac:dyDescent="0.3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42"/>
        <v>0</v>
      </c>
      <c r="J252" s="68">
        <f t="shared" ca="1" si="43"/>
        <v>0</v>
      </c>
      <c r="K252" s="68">
        <f t="shared" ca="1" si="44"/>
        <v>0</v>
      </c>
      <c r="L252" s="68">
        <f t="shared" ca="1" si="45"/>
        <v>0</v>
      </c>
      <c r="M252" s="69">
        <f t="shared" si="46"/>
        <v>0</v>
      </c>
      <c r="N252" s="65" t="str">
        <f t="shared" si="47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8"/>
        <v/>
      </c>
      <c r="U252" s="1">
        <f t="shared" si="49"/>
        <v>0</v>
      </c>
      <c r="V252" s="1">
        <f t="shared" si="50"/>
        <v>2958465</v>
      </c>
      <c r="W252" s="1">
        <f t="shared" si="51"/>
        <v>0</v>
      </c>
      <c r="X252" s="1">
        <f t="shared" si="52"/>
        <v>0</v>
      </c>
      <c r="Y252" s="1">
        <f t="shared" si="53"/>
        <v>97200</v>
      </c>
      <c r="Z252" s="1">
        <f t="shared" si="54"/>
        <v>1</v>
      </c>
      <c r="AA252" s="1">
        <f t="shared" si="55"/>
        <v>0</v>
      </c>
    </row>
    <row r="253" spans="1:27" ht="18" customHeight="1" x14ac:dyDescent="0.3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42"/>
        <v>0</v>
      </c>
      <c r="J253" s="68">
        <f t="shared" ca="1" si="43"/>
        <v>0</v>
      </c>
      <c r="K253" s="68">
        <f t="shared" ca="1" si="44"/>
        <v>0</v>
      </c>
      <c r="L253" s="68">
        <f t="shared" ca="1" si="45"/>
        <v>0</v>
      </c>
      <c r="M253" s="69">
        <f t="shared" si="46"/>
        <v>0</v>
      </c>
      <c r="N253" s="65" t="str">
        <f t="shared" si="47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8"/>
        <v/>
      </c>
      <c r="U253" s="1">
        <f t="shared" si="49"/>
        <v>0</v>
      </c>
      <c r="V253" s="1">
        <f t="shared" si="50"/>
        <v>2958465</v>
      </c>
      <c r="W253" s="1">
        <f t="shared" si="51"/>
        <v>0</v>
      </c>
      <c r="X253" s="1">
        <f t="shared" si="52"/>
        <v>0</v>
      </c>
      <c r="Y253" s="1">
        <f t="shared" si="53"/>
        <v>97200</v>
      </c>
      <c r="Z253" s="1">
        <f t="shared" si="54"/>
        <v>1</v>
      </c>
      <c r="AA253" s="1">
        <f t="shared" si="55"/>
        <v>0</v>
      </c>
    </row>
    <row r="254" spans="1:27" ht="18" customHeight="1" x14ac:dyDescent="0.3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42"/>
        <v>0</v>
      </c>
      <c r="J254" s="68">
        <f t="shared" ca="1" si="43"/>
        <v>0</v>
      </c>
      <c r="K254" s="68">
        <f t="shared" ca="1" si="44"/>
        <v>0</v>
      </c>
      <c r="L254" s="68">
        <f t="shared" ca="1" si="45"/>
        <v>0</v>
      </c>
      <c r="M254" s="69">
        <f t="shared" si="46"/>
        <v>0</v>
      </c>
      <c r="N254" s="65" t="str">
        <f t="shared" si="47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8"/>
        <v/>
      </c>
      <c r="U254" s="1">
        <f t="shared" si="49"/>
        <v>0</v>
      </c>
      <c r="V254" s="1">
        <f t="shared" si="50"/>
        <v>2958465</v>
      </c>
      <c r="W254" s="1">
        <f t="shared" si="51"/>
        <v>0</v>
      </c>
      <c r="X254" s="1">
        <f t="shared" si="52"/>
        <v>0</v>
      </c>
      <c r="Y254" s="1">
        <f t="shared" si="53"/>
        <v>97200</v>
      </c>
      <c r="Z254" s="1">
        <f t="shared" si="54"/>
        <v>1</v>
      </c>
      <c r="AA254" s="1">
        <f t="shared" si="55"/>
        <v>0</v>
      </c>
    </row>
    <row r="255" spans="1:27" ht="18" customHeight="1" x14ac:dyDescent="0.3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42"/>
        <v>0</v>
      </c>
      <c r="J255" s="68">
        <f t="shared" ca="1" si="43"/>
        <v>0</v>
      </c>
      <c r="K255" s="68">
        <f t="shared" ca="1" si="44"/>
        <v>0</v>
      </c>
      <c r="L255" s="68">
        <f t="shared" ca="1" si="45"/>
        <v>0</v>
      </c>
      <c r="M255" s="69">
        <f t="shared" si="46"/>
        <v>0</v>
      </c>
      <c r="N255" s="65" t="str">
        <f t="shared" si="47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8"/>
        <v/>
      </c>
      <c r="U255" s="1">
        <f t="shared" si="49"/>
        <v>0</v>
      </c>
      <c r="V255" s="1">
        <f t="shared" si="50"/>
        <v>2958465</v>
      </c>
      <c r="W255" s="1">
        <f t="shared" si="51"/>
        <v>0</v>
      </c>
      <c r="X255" s="1">
        <f t="shared" si="52"/>
        <v>0</v>
      </c>
      <c r="Y255" s="1">
        <f t="shared" si="53"/>
        <v>97200</v>
      </c>
      <c r="Z255" s="1">
        <f t="shared" si="54"/>
        <v>1</v>
      </c>
      <c r="AA255" s="1">
        <f t="shared" si="55"/>
        <v>0</v>
      </c>
    </row>
    <row r="256" spans="1:27" ht="18" customHeight="1" x14ac:dyDescent="0.3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42"/>
        <v>0</v>
      </c>
      <c r="J256" s="68">
        <f t="shared" ca="1" si="43"/>
        <v>0</v>
      </c>
      <c r="K256" s="68">
        <f t="shared" ca="1" si="44"/>
        <v>0</v>
      </c>
      <c r="L256" s="68">
        <f t="shared" ca="1" si="45"/>
        <v>0</v>
      </c>
      <c r="M256" s="69">
        <f t="shared" si="46"/>
        <v>0</v>
      </c>
      <c r="N256" s="65" t="str">
        <f t="shared" si="47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8"/>
        <v/>
      </c>
      <c r="U256" s="1">
        <f t="shared" si="49"/>
        <v>0</v>
      </c>
      <c r="V256" s="1">
        <f t="shared" si="50"/>
        <v>2958465</v>
      </c>
      <c r="W256" s="1">
        <f t="shared" si="51"/>
        <v>0</v>
      </c>
      <c r="X256" s="1">
        <f t="shared" si="52"/>
        <v>0</v>
      </c>
      <c r="Y256" s="1">
        <f t="shared" si="53"/>
        <v>97200</v>
      </c>
      <c r="Z256" s="1">
        <f t="shared" si="54"/>
        <v>1</v>
      </c>
      <c r="AA256" s="1">
        <f t="shared" si="55"/>
        <v>0</v>
      </c>
    </row>
    <row r="257" spans="1:27" ht="18" customHeight="1" x14ac:dyDescent="0.3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42"/>
        <v>0</v>
      </c>
      <c r="J257" s="68">
        <f t="shared" ca="1" si="43"/>
        <v>0</v>
      </c>
      <c r="K257" s="68">
        <f t="shared" ca="1" si="44"/>
        <v>0</v>
      </c>
      <c r="L257" s="68">
        <f t="shared" ca="1" si="45"/>
        <v>0</v>
      </c>
      <c r="M257" s="69">
        <f t="shared" si="46"/>
        <v>0</v>
      </c>
      <c r="N257" s="65" t="str">
        <f t="shared" si="47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8"/>
        <v/>
      </c>
      <c r="U257" s="1">
        <f t="shared" si="49"/>
        <v>0</v>
      </c>
      <c r="V257" s="1">
        <f t="shared" si="50"/>
        <v>2958465</v>
      </c>
      <c r="W257" s="1">
        <f t="shared" si="51"/>
        <v>0</v>
      </c>
      <c r="X257" s="1">
        <f t="shared" si="52"/>
        <v>0</v>
      </c>
      <c r="Y257" s="1">
        <f t="shared" si="53"/>
        <v>97200</v>
      </c>
      <c r="Z257" s="1">
        <f t="shared" si="54"/>
        <v>1</v>
      </c>
      <c r="AA257" s="1">
        <f t="shared" si="55"/>
        <v>0</v>
      </c>
    </row>
    <row r="258" spans="1:27" ht="18" customHeight="1" x14ac:dyDescent="0.3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42"/>
        <v>0</v>
      </c>
      <c r="J258" s="68">
        <f t="shared" ca="1" si="43"/>
        <v>0</v>
      </c>
      <c r="K258" s="68">
        <f t="shared" ca="1" si="44"/>
        <v>0</v>
      </c>
      <c r="L258" s="68">
        <f t="shared" ca="1" si="45"/>
        <v>0</v>
      </c>
      <c r="M258" s="69">
        <f t="shared" si="46"/>
        <v>0</v>
      </c>
      <c r="N258" s="65" t="str">
        <f t="shared" si="47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8"/>
        <v/>
      </c>
      <c r="U258" s="1">
        <f t="shared" si="49"/>
        <v>0</v>
      </c>
      <c r="V258" s="1">
        <f t="shared" si="50"/>
        <v>2958465</v>
      </c>
      <c r="W258" s="1">
        <f t="shared" si="51"/>
        <v>0</v>
      </c>
      <c r="X258" s="1">
        <f t="shared" si="52"/>
        <v>0</v>
      </c>
      <c r="Y258" s="1">
        <f t="shared" si="53"/>
        <v>97200</v>
      </c>
      <c r="Z258" s="1">
        <f t="shared" si="54"/>
        <v>1</v>
      </c>
      <c r="AA258" s="1">
        <f t="shared" si="55"/>
        <v>0</v>
      </c>
    </row>
    <row r="259" spans="1:27" ht="18" customHeight="1" x14ac:dyDescent="0.3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42"/>
        <v>0</v>
      </c>
      <c r="J259" s="68">
        <f t="shared" ca="1" si="43"/>
        <v>0</v>
      </c>
      <c r="K259" s="68">
        <f t="shared" ca="1" si="44"/>
        <v>0</v>
      </c>
      <c r="L259" s="68">
        <f t="shared" ca="1" si="45"/>
        <v>0</v>
      </c>
      <c r="M259" s="69">
        <f t="shared" si="46"/>
        <v>0</v>
      </c>
      <c r="N259" s="65" t="str">
        <f t="shared" si="47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8"/>
        <v/>
      </c>
      <c r="U259" s="1">
        <f t="shared" si="49"/>
        <v>0</v>
      </c>
      <c r="V259" s="1">
        <f t="shared" si="50"/>
        <v>2958465</v>
      </c>
      <c r="W259" s="1">
        <f t="shared" si="51"/>
        <v>0</v>
      </c>
      <c r="X259" s="1">
        <f t="shared" si="52"/>
        <v>0</v>
      </c>
      <c r="Y259" s="1">
        <f t="shared" si="53"/>
        <v>97200</v>
      </c>
      <c r="Z259" s="1">
        <f t="shared" si="54"/>
        <v>1</v>
      </c>
      <c r="AA259" s="1">
        <f t="shared" si="55"/>
        <v>0</v>
      </c>
    </row>
    <row r="260" spans="1:27" ht="18" customHeight="1" x14ac:dyDescent="0.3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42"/>
        <v>0</v>
      </c>
      <c r="J260" s="68">
        <f t="shared" ca="1" si="43"/>
        <v>0</v>
      </c>
      <c r="K260" s="68">
        <f t="shared" ca="1" si="44"/>
        <v>0</v>
      </c>
      <c r="L260" s="68">
        <f t="shared" ca="1" si="45"/>
        <v>0</v>
      </c>
      <c r="M260" s="69">
        <f t="shared" si="46"/>
        <v>0</v>
      </c>
      <c r="N260" s="65" t="str">
        <f t="shared" si="47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8"/>
        <v/>
      </c>
      <c r="U260" s="1">
        <f t="shared" si="49"/>
        <v>0</v>
      </c>
      <c r="V260" s="1">
        <f t="shared" si="50"/>
        <v>2958465</v>
      </c>
      <c r="W260" s="1">
        <f t="shared" si="51"/>
        <v>0</v>
      </c>
      <c r="X260" s="1">
        <f t="shared" si="52"/>
        <v>0</v>
      </c>
      <c r="Y260" s="1">
        <f t="shared" si="53"/>
        <v>97200</v>
      </c>
      <c r="Z260" s="1">
        <f t="shared" si="54"/>
        <v>1</v>
      </c>
      <c r="AA260" s="1">
        <f t="shared" si="55"/>
        <v>0</v>
      </c>
    </row>
    <row r="261" spans="1:27" ht="18" customHeight="1" x14ac:dyDescent="0.3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42"/>
        <v>0</v>
      </c>
      <c r="J261" s="68">
        <f t="shared" ca="1" si="43"/>
        <v>0</v>
      </c>
      <c r="K261" s="68">
        <f t="shared" ca="1" si="44"/>
        <v>0</v>
      </c>
      <c r="L261" s="68">
        <f t="shared" ca="1" si="45"/>
        <v>0</v>
      </c>
      <c r="M261" s="69">
        <f t="shared" si="46"/>
        <v>0</v>
      </c>
      <c r="N261" s="65" t="str">
        <f t="shared" si="47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8"/>
        <v/>
      </c>
      <c r="U261" s="1">
        <f t="shared" si="49"/>
        <v>0</v>
      </c>
      <c r="V261" s="1">
        <f t="shared" si="50"/>
        <v>2958465</v>
      </c>
      <c r="W261" s="1">
        <f t="shared" si="51"/>
        <v>0</v>
      </c>
      <c r="X261" s="1">
        <f t="shared" si="52"/>
        <v>0</v>
      </c>
      <c r="Y261" s="1">
        <f t="shared" si="53"/>
        <v>97200</v>
      </c>
      <c r="Z261" s="1">
        <f t="shared" si="54"/>
        <v>1</v>
      </c>
      <c r="AA261" s="1">
        <f t="shared" si="55"/>
        <v>0</v>
      </c>
    </row>
    <row r="262" spans="1:27" ht="18" customHeight="1" x14ac:dyDescent="0.3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42"/>
        <v>0</v>
      </c>
      <c r="J262" s="68">
        <f t="shared" ca="1" si="43"/>
        <v>0</v>
      </c>
      <c r="K262" s="68">
        <f t="shared" ca="1" si="44"/>
        <v>0</v>
      </c>
      <c r="L262" s="68">
        <f t="shared" ca="1" si="45"/>
        <v>0</v>
      </c>
      <c r="M262" s="69">
        <f t="shared" si="46"/>
        <v>0</v>
      </c>
      <c r="N262" s="65" t="str">
        <f t="shared" si="47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8"/>
        <v/>
      </c>
      <c r="U262" s="1">
        <f t="shared" si="49"/>
        <v>0</v>
      </c>
      <c r="V262" s="1">
        <f t="shared" si="50"/>
        <v>2958465</v>
      </c>
      <c r="W262" s="1">
        <f t="shared" si="51"/>
        <v>0</v>
      </c>
      <c r="X262" s="1">
        <f t="shared" si="52"/>
        <v>0</v>
      </c>
      <c r="Y262" s="1">
        <f t="shared" si="53"/>
        <v>97200</v>
      </c>
      <c r="Z262" s="1">
        <f t="shared" si="54"/>
        <v>1</v>
      </c>
      <c r="AA262" s="1">
        <f t="shared" si="55"/>
        <v>0</v>
      </c>
    </row>
    <row r="263" spans="1:27" ht="18" customHeight="1" x14ac:dyDescent="0.3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6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7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8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9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60">IF($G263&gt;0,$I263/$G263,0)</f>
        <v>0</v>
      </c>
      <c r="N263" s="65" t="str">
        <f t="shared" ref="N263:N326" si="61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62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63">IF($O263="",0,$O263)</f>
        <v>0</v>
      </c>
      <c r="V263" s="1">
        <f t="shared" ref="V263:V326" si="64">IF($E263="",2958465,$E263)</f>
        <v>2958465</v>
      </c>
      <c r="W263" s="1">
        <f t="shared" ref="W263:W326" si="65">IF($F263="Haftalık",1,IF($F263="Aylık",2,0))</f>
        <v>0</v>
      </c>
      <c r="X263" s="1">
        <f t="shared" ref="X263:X326" si="66">IF($U263=0,0,(YEAR($U263)-1900)*12+MONTH($U263))</f>
        <v>0</v>
      </c>
      <c r="Y263" s="1">
        <f t="shared" ref="Y263:Y326" si="67">(YEAR($V263)-1900)*12+MONTH($V263)</f>
        <v>97200</v>
      </c>
      <c r="Z263" s="1">
        <f t="shared" ref="Z263:Z326" si="68">IF($V263=EOMONTH($V263,0),1,0)</f>
        <v>1</v>
      </c>
      <c r="AA263" s="1">
        <f t="shared" ref="AA263:AA326" si="69">IF(OR($B263="",$H263&lt;&gt;"Aktif"),0,COUNTIFS($B$7:$B$606,$B263,$H$7:$H$606,"Aktif"))</f>
        <v>0</v>
      </c>
    </row>
    <row r="264" spans="1:27" ht="18" customHeight="1" x14ac:dyDescent="0.3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6"/>
        <v>0</v>
      </c>
      <c r="J264" s="68">
        <f t="shared" ca="1" si="57"/>
        <v>0</v>
      </c>
      <c r="K264" s="68">
        <f t="shared" ca="1" si="58"/>
        <v>0</v>
      </c>
      <c r="L264" s="68">
        <f t="shared" ca="1" si="59"/>
        <v>0</v>
      </c>
      <c r="M264" s="69">
        <f t="shared" si="60"/>
        <v>0</v>
      </c>
      <c r="N264" s="65" t="str">
        <f t="shared" si="61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62"/>
        <v/>
      </c>
      <c r="U264" s="1">
        <f t="shared" si="63"/>
        <v>0</v>
      </c>
      <c r="V264" s="1">
        <f t="shared" si="64"/>
        <v>2958465</v>
      </c>
      <c r="W264" s="1">
        <f t="shared" si="65"/>
        <v>0</v>
      </c>
      <c r="X264" s="1">
        <f t="shared" si="66"/>
        <v>0</v>
      </c>
      <c r="Y264" s="1">
        <f t="shared" si="67"/>
        <v>97200</v>
      </c>
      <c r="Z264" s="1">
        <f t="shared" si="68"/>
        <v>1</v>
      </c>
      <c r="AA264" s="1">
        <f t="shared" si="69"/>
        <v>0</v>
      </c>
    </row>
    <row r="265" spans="1:27" ht="18" customHeight="1" x14ac:dyDescent="0.3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6"/>
        <v>0</v>
      </c>
      <c r="J265" s="68">
        <f t="shared" ca="1" si="57"/>
        <v>0</v>
      </c>
      <c r="K265" s="68">
        <f t="shared" ca="1" si="58"/>
        <v>0</v>
      </c>
      <c r="L265" s="68">
        <f t="shared" ca="1" si="59"/>
        <v>0</v>
      </c>
      <c r="M265" s="69">
        <f t="shared" si="60"/>
        <v>0</v>
      </c>
      <c r="N265" s="65" t="str">
        <f t="shared" si="61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62"/>
        <v/>
      </c>
      <c r="U265" s="1">
        <f t="shared" si="63"/>
        <v>0</v>
      </c>
      <c r="V265" s="1">
        <f t="shared" si="64"/>
        <v>2958465</v>
      </c>
      <c r="W265" s="1">
        <f t="shared" si="65"/>
        <v>0</v>
      </c>
      <c r="X265" s="1">
        <f t="shared" si="66"/>
        <v>0</v>
      </c>
      <c r="Y265" s="1">
        <f t="shared" si="67"/>
        <v>97200</v>
      </c>
      <c r="Z265" s="1">
        <f t="shared" si="68"/>
        <v>1</v>
      </c>
      <c r="AA265" s="1">
        <f t="shared" si="69"/>
        <v>0</v>
      </c>
    </row>
    <row r="266" spans="1:27" ht="18" customHeight="1" x14ac:dyDescent="0.3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6"/>
        <v>0</v>
      </c>
      <c r="J266" s="68">
        <f t="shared" ca="1" si="57"/>
        <v>0</v>
      </c>
      <c r="K266" s="68">
        <f t="shared" ca="1" si="58"/>
        <v>0</v>
      </c>
      <c r="L266" s="68">
        <f t="shared" ca="1" si="59"/>
        <v>0</v>
      </c>
      <c r="M266" s="69">
        <f t="shared" si="60"/>
        <v>0</v>
      </c>
      <c r="N266" s="65" t="str">
        <f t="shared" si="61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62"/>
        <v/>
      </c>
      <c r="U266" s="1">
        <f t="shared" si="63"/>
        <v>0</v>
      </c>
      <c r="V266" s="1">
        <f t="shared" si="64"/>
        <v>2958465</v>
      </c>
      <c r="W266" s="1">
        <f t="shared" si="65"/>
        <v>0</v>
      </c>
      <c r="X266" s="1">
        <f t="shared" si="66"/>
        <v>0</v>
      </c>
      <c r="Y266" s="1">
        <f t="shared" si="67"/>
        <v>97200</v>
      </c>
      <c r="Z266" s="1">
        <f t="shared" si="68"/>
        <v>1</v>
      </c>
      <c r="AA266" s="1">
        <f t="shared" si="69"/>
        <v>0</v>
      </c>
    </row>
    <row r="267" spans="1:27" ht="18" customHeight="1" x14ac:dyDescent="0.3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6"/>
        <v>0</v>
      </c>
      <c r="J267" s="68">
        <f t="shared" ca="1" si="57"/>
        <v>0</v>
      </c>
      <c r="K267" s="68">
        <f t="shared" ca="1" si="58"/>
        <v>0</v>
      </c>
      <c r="L267" s="68">
        <f t="shared" ca="1" si="59"/>
        <v>0</v>
      </c>
      <c r="M267" s="69">
        <f t="shared" si="60"/>
        <v>0</v>
      </c>
      <c r="N267" s="65" t="str">
        <f t="shared" si="61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62"/>
        <v/>
      </c>
      <c r="U267" s="1">
        <f t="shared" si="63"/>
        <v>0</v>
      </c>
      <c r="V267" s="1">
        <f t="shared" si="64"/>
        <v>2958465</v>
      </c>
      <c r="W267" s="1">
        <f t="shared" si="65"/>
        <v>0</v>
      </c>
      <c r="X267" s="1">
        <f t="shared" si="66"/>
        <v>0</v>
      </c>
      <c r="Y267" s="1">
        <f t="shared" si="67"/>
        <v>97200</v>
      </c>
      <c r="Z267" s="1">
        <f t="shared" si="68"/>
        <v>1</v>
      </c>
      <c r="AA267" s="1">
        <f t="shared" si="69"/>
        <v>0</v>
      </c>
    </row>
    <row r="268" spans="1:27" ht="18" customHeight="1" x14ac:dyDescent="0.3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6"/>
        <v>0</v>
      </c>
      <c r="J268" s="68">
        <f t="shared" ca="1" si="57"/>
        <v>0</v>
      </c>
      <c r="K268" s="68">
        <f t="shared" ca="1" si="58"/>
        <v>0</v>
      </c>
      <c r="L268" s="68">
        <f t="shared" ca="1" si="59"/>
        <v>0</v>
      </c>
      <c r="M268" s="69">
        <f t="shared" si="60"/>
        <v>0</v>
      </c>
      <c r="N268" s="65" t="str">
        <f t="shared" si="61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62"/>
        <v/>
      </c>
      <c r="U268" s="1">
        <f t="shared" si="63"/>
        <v>0</v>
      </c>
      <c r="V268" s="1">
        <f t="shared" si="64"/>
        <v>2958465</v>
      </c>
      <c r="W268" s="1">
        <f t="shared" si="65"/>
        <v>0</v>
      </c>
      <c r="X268" s="1">
        <f t="shared" si="66"/>
        <v>0</v>
      </c>
      <c r="Y268" s="1">
        <f t="shared" si="67"/>
        <v>97200</v>
      </c>
      <c r="Z268" s="1">
        <f t="shared" si="68"/>
        <v>1</v>
      </c>
      <c r="AA268" s="1">
        <f t="shared" si="69"/>
        <v>0</v>
      </c>
    </row>
    <row r="269" spans="1:27" ht="18" customHeight="1" x14ac:dyDescent="0.3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6"/>
        <v>0</v>
      </c>
      <c r="J269" s="68">
        <f t="shared" ca="1" si="57"/>
        <v>0</v>
      </c>
      <c r="K269" s="68">
        <f t="shared" ca="1" si="58"/>
        <v>0</v>
      </c>
      <c r="L269" s="68">
        <f t="shared" ca="1" si="59"/>
        <v>0</v>
      </c>
      <c r="M269" s="69">
        <f t="shared" si="60"/>
        <v>0</v>
      </c>
      <c r="N269" s="65" t="str">
        <f t="shared" si="61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62"/>
        <v/>
      </c>
      <c r="U269" s="1">
        <f t="shared" si="63"/>
        <v>0</v>
      </c>
      <c r="V269" s="1">
        <f t="shared" si="64"/>
        <v>2958465</v>
      </c>
      <c r="W269" s="1">
        <f t="shared" si="65"/>
        <v>0</v>
      </c>
      <c r="X269" s="1">
        <f t="shared" si="66"/>
        <v>0</v>
      </c>
      <c r="Y269" s="1">
        <f t="shared" si="67"/>
        <v>97200</v>
      </c>
      <c r="Z269" s="1">
        <f t="shared" si="68"/>
        <v>1</v>
      </c>
      <c r="AA269" s="1">
        <f t="shared" si="69"/>
        <v>0</v>
      </c>
    </row>
    <row r="270" spans="1:27" ht="18" customHeight="1" x14ac:dyDescent="0.3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6"/>
        <v>0</v>
      </c>
      <c r="J270" s="68">
        <f t="shared" ca="1" si="57"/>
        <v>0</v>
      </c>
      <c r="K270" s="68">
        <f t="shared" ca="1" si="58"/>
        <v>0</v>
      </c>
      <c r="L270" s="68">
        <f t="shared" ca="1" si="59"/>
        <v>0</v>
      </c>
      <c r="M270" s="69">
        <f t="shared" si="60"/>
        <v>0</v>
      </c>
      <c r="N270" s="65" t="str">
        <f t="shared" si="61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62"/>
        <v/>
      </c>
      <c r="U270" s="1">
        <f t="shared" si="63"/>
        <v>0</v>
      </c>
      <c r="V270" s="1">
        <f t="shared" si="64"/>
        <v>2958465</v>
      </c>
      <c r="W270" s="1">
        <f t="shared" si="65"/>
        <v>0</v>
      </c>
      <c r="X270" s="1">
        <f t="shared" si="66"/>
        <v>0</v>
      </c>
      <c r="Y270" s="1">
        <f t="shared" si="67"/>
        <v>97200</v>
      </c>
      <c r="Z270" s="1">
        <f t="shared" si="68"/>
        <v>1</v>
      </c>
      <c r="AA270" s="1">
        <f t="shared" si="69"/>
        <v>0</v>
      </c>
    </row>
    <row r="271" spans="1:27" ht="18" customHeight="1" x14ac:dyDescent="0.3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6"/>
        <v>0</v>
      </c>
      <c r="J271" s="68">
        <f t="shared" ca="1" si="57"/>
        <v>0</v>
      </c>
      <c r="K271" s="68">
        <f t="shared" ca="1" si="58"/>
        <v>0</v>
      </c>
      <c r="L271" s="68">
        <f t="shared" ca="1" si="59"/>
        <v>0</v>
      </c>
      <c r="M271" s="69">
        <f t="shared" si="60"/>
        <v>0</v>
      </c>
      <c r="N271" s="65" t="str">
        <f t="shared" si="61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62"/>
        <v/>
      </c>
      <c r="U271" s="1">
        <f t="shared" si="63"/>
        <v>0</v>
      </c>
      <c r="V271" s="1">
        <f t="shared" si="64"/>
        <v>2958465</v>
      </c>
      <c r="W271" s="1">
        <f t="shared" si="65"/>
        <v>0</v>
      </c>
      <c r="X271" s="1">
        <f t="shared" si="66"/>
        <v>0</v>
      </c>
      <c r="Y271" s="1">
        <f t="shared" si="67"/>
        <v>97200</v>
      </c>
      <c r="Z271" s="1">
        <f t="shared" si="68"/>
        <v>1</v>
      </c>
      <c r="AA271" s="1">
        <f t="shared" si="69"/>
        <v>0</v>
      </c>
    </row>
    <row r="272" spans="1:27" ht="18" customHeight="1" x14ac:dyDescent="0.3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6"/>
        <v>0</v>
      </c>
      <c r="J272" s="68">
        <f t="shared" ca="1" si="57"/>
        <v>0</v>
      </c>
      <c r="K272" s="68">
        <f t="shared" ca="1" si="58"/>
        <v>0</v>
      </c>
      <c r="L272" s="68">
        <f t="shared" ca="1" si="59"/>
        <v>0</v>
      </c>
      <c r="M272" s="69">
        <f t="shared" si="60"/>
        <v>0</v>
      </c>
      <c r="N272" s="65" t="str">
        <f t="shared" si="61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62"/>
        <v/>
      </c>
      <c r="U272" s="1">
        <f t="shared" si="63"/>
        <v>0</v>
      </c>
      <c r="V272" s="1">
        <f t="shared" si="64"/>
        <v>2958465</v>
      </c>
      <c r="W272" s="1">
        <f t="shared" si="65"/>
        <v>0</v>
      </c>
      <c r="X272" s="1">
        <f t="shared" si="66"/>
        <v>0</v>
      </c>
      <c r="Y272" s="1">
        <f t="shared" si="67"/>
        <v>97200</v>
      </c>
      <c r="Z272" s="1">
        <f t="shared" si="68"/>
        <v>1</v>
      </c>
      <c r="AA272" s="1">
        <f t="shared" si="69"/>
        <v>0</v>
      </c>
    </row>
    <row r="273" spans="1:27" ht="18" customHeight="1" x14ac:dyDescent="0.3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6"/>
        <v>0</v>
      </c>
      <c r="J273" s="68">
        <f t="shared" ca="1" si="57"/>
        <v>0</v>
      </c>
      <c r="K273" s="68">
        <f t="shared" ca="1" si="58"/>
        <v>0</v>
      </c>
      <c r="L273" s="68">
        <f t="shared" ca="1" si="59"/>
        <v>0</v>
      </c>
      <c r="M273" s="69">
        <f t="shared" si="60"/>
        <v>0</v>
      </c>
      <c r="N273" s="65" t="str">
        <f t="shared" si="61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62"/>
        <v/>
      </c>
      <c r="U273" s="1">
        <f t="shared" si="63"/>
        <v>0</v>
      </c>
      <c r="V273" s="1">
        <f t="shared" si="64"/>
        <v>2958465</v>
      </c>
      <c r="W273" s="1">
        <f t="shared" si="65"/>
        <v>0</v>
      </c>
      <c r="X273" s="1">
        <f t="shared" si="66"/>
        <v>0</v>
      </c>
      <c r="Y273" s="1">
        <f t="shared" si="67"/>
        <v>97200</v>
      </c>
      <c r="Z273" s="1">
        <f t="shared" si="68"/>
        <v>1</v>
      </c>
      <c r="AA273" s="1">
        <f t="shared" si="69"/>
        <v>0</v>
      </c>
    </row>
    <row r="274" spans="1:27" ht="18" customHeight="1" x14ac:dyDescent="0.3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6"/>
        <v>0</v>
      </c>
      <c r="J274" s="68">
        <f t="shared" ca="1" si="57"/>
        <v>0</v>
      </c>
      <c r="K274" s="68">
        <f t="shared" ca="1" si="58"/>
        <v>0</v>
      </c>
      <c r="L274" s="68">
        <f t="shared" ca="1" si="59"/>
        <v>0</v>
      </c>
      <c r="M274" s="69">
        <f t="shared" si="60"/>
        <v>0</v>
      </c>
      <c r="N274" s="65" t="str">
        <f t="shared" si="61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62"/>
        <v/>
      </c>
      <c r="U274" s="1">
        <f t="shared" si="63"/>
        <v>0</v>
      </c>
      <c r="V274" s="1">
        <f t="shared" si="64"/>
        <v>2958465</v>
      </c>
      <c r="W274" s="1">
        <f t="shared" si="65"/>
        <v>0</v>
      </c>
      <c r="X274" s="1">
        <f t="shared" si="66"/>
        <v>0</v>
      </c>
      <c r="Y274" s="1">
        <f t="shared" si="67"/>
        <v>97200</v>
      </c>
      <c r="Z274" s="1">
        <f t="shared" si="68"/>
        <v>1</v>
      </c>
      <c r="AA274" s="1">
        <f t="shared" si="69"/>
        <v>0</v>
      </c>
    </row>
    <row r="275" spans="1:27" ht="18" customHeight="1" x14ac:dyDescent="0.3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6"/>
        <v>0</v>
      </c>
      <c r="J275" s="68">
        <f t="shared" ca="1" si="57"/>
        <v>0</v>
      </c>
      <c r="K275" s="68">
        <f t="shared" ca="1" si="58"/>
        <v>0</v>
      </c>
      <c r="L275" s="68">
        <f t="shared" ca="1" si="59"/>
        <v>0</v>
      </c>
      <c r="M275" s="69">
        <f t="shared" si="60"/>
        <v>0</v>
      </c>
      <c r="N275" s="65" t="str">
        <f t="shared" si="61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62"/>
        <v/>
      </c>
      <c r="U275" s="1">
        <f t="shared" si="63"/>
        <v>0</v>
      </c>
      <c r="V275" s="1">
        <f t="shared" si="64"/>
        <v>2958465</v>
      </c>
      <c r="W275" s="1">
        <f t="shared" si="65"/>
        <v>0</v>
      </c>
      <c r="X275" s="1">
        <f t="shared" si="66"/>
        <v>0</v>
      </c>
      <c r="Y275" s="1">
        <f t="shared" si="67"/>
        <v>97200</v>
      </c>
      <c r="Z275" s="1">
        <f t="shared" si="68"/>
        <v>1</v>
      </c>
      <c r="AA275" s="1">
        <f t="shared" si="69"/>
        <v>0</v>
      </c>
    </row>
    <row r="276" spans="1:27" ht="18" customHeight="1" x14ac:dyDescent="0.3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6"/>
        <v>0</v>
      </c>
      <c r="J276" s="68">
        <f t="shared" ca="1" si="57"/>
        <v>0</v>
      </c>
      <c r="K276" s="68">
        <f t="shared" ca="1" si="58"/>
        <v>0</v>
      </c>
      <c r="L276" s="68">
        <f t="shared" ca="1" si="59"/>
        <v>0</v>
      </c>
      <c r="M276" s="69">
        <f t="shared" si="60"/>
        <v>0</v>
      </c>
      <c r="N276" s="65" t="str">
        <f t="shared" si="61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62"/>
        <v/>
      </c>
      <c r="U276" s="1">
        <f t="shared" si="63"/>
        <v>0</v>
      </c>
      <c r="V276" s="1">
        <f t="shared" si="64"/>
        <v>2958465</v>
      </c>
      <c r="W276" s="1">
        <f t="shared" si="65"/>
        <v>0</v>
      </c>
      <c r="X276" s="1">
        <f t="shared" si="66"/>
        <v>0</v>
      </c>
      <c r="Y276" s="1">
        <f t="shared" si="67"/>
        <v>97200</v>
      </c>
      <c r="Z276" s="1">
        <f t="shared" si="68"/>
        <v>1</v>
      </c>
      <c r="AA276" s="1">
        <f t="shared" si="69"/>
        <v>0</v>
      </c>
    </row>
    <row r="277" spans="1:27" ht="18" customHeight="1" x14ac:dyDescent="0.3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6"/>
        <v>0</v>
      </c>
      <c r="J277" s="68">
        <f t="shared" ca="1" si="57"/>
        <v>0</v>
      </c>
      <c r="K277" s="68">
        <f t="shared" ca="1" si="58"/>
        <v>0</v>
      </c>
      <c r="L277" s="68">
        <f t="shared" ca="1" si="59"/>
        <v>0</v>
      </c>
      <c r="M277" s="69">
        <f t="shared" si="60"/>
        <v>0</v>
      </c>
      <c r="N277" s="65" t="str">
        <f t="shared" si="61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62"/>
        <v/>
      </c>
      <c r="U277" s="1">
        <f t="shared" si="63"/>
        <v>0</v>
      </c>
      <c r="V277" s="1">
        <f t="shared" si="64"/>
        <v>2958465</v>
      </c>
      <c r="W277" s="1">
        <f t="shared" si="65"/>
        <v>0</v>
      </c>
      <c r="X277" s="1">
        <f t="shared" si="66"/>
        <v>0</v>
      </c>
      <c r="Y277" s="1">
        <f t="shared" si="67"/>
        <v>97200</v>
      </c>
      <c r="Z277" s="1">
        <f t="shared" si="68"/>
        <v>1</v>
      </c>
      <c r="AA277" s="1">
        <f t="shared" si="69"/>
        <v>0</v>
      </c>
    </row>
    <row r="278" spans="1:27" ht="18" customHeight="1" x14ac:dyDescent="0.3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6"/>
        <v>0</v>
      </c>
      <c r="J278" s="68">
        <f t="shared" ca="1" si="57"/>
        <v>0</v>
      </c>
      <c r="K278" s="68">
        <f t="shared" ca="1" si="58"/>
        <v>0</v>
      </c>
      <c r="L278" s="68">
        <f t="shared" ca="1" si="59"/>
        <v>0</v>
      </c>
      <c r="M278" s="69">
        <f t="shared" si="60"/>
        <v>0</v>
      </c>
      <c r="N278" s="65" t="str">
        <f t="shared" si="61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62"/>
        <v/>
      </c>
      <c r="U278" s="1">
        <f t="shared" si="63"/>
        <v>0</v>
      </c>
      <c r="V278" s="1">
        <f t="shared" si="64"/>
        <v>2958465</v>
      </c>
      <c r="W278" s="1">
        <f t="shared" si="65"/>
        <v>0</v>
      </c>
      <c r="X278" s="1">
        <f t="shared" si="66"/>
        <v>0</v>
      </c>
      <c r="Y278" s="1">
        <f t="shared" si="67"/>
        <v>97200</v>
      </c>
      <c r="Z278" s="1">
        <f t="shared" si="68"/>
        <v>1</v>
      </c>
      <c r="AA278" s="1">
        <f t="shared" si="69"/>
        <v>0</v>
      </c>
    </row>
    <row r="279" spans="1:27" ht="18" customHeight="1" x14ac:dyDescent="0.3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6"/>
        <v>0</v>
      </c>
      <c r="J279" s="68">
        <f t="shared" ca="1" si="57"/>
        <v>0</v>
      </c>
      <c r="K279" s="68">
        <f t="shared" ca="1" si="58"/>
        <v>0</v>
      </c>
      <c r="L279" s="68">
        <f t="shared" ca="1" si="59"/>
        <v>0</v>
      </c>
      <c r="M279" s="69">
        <f t="shared" si="60"/>
        <v>0</v>
      </c>
      <c r="N279" s="65" t="str">
        <f t="shared" si="61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62"/>
        <v/>
      </c>
      <c r="U279" s="1">
        <f t="shared" si="63"/>
        <v>0</v>
      </c>
      <c r="V279" s="1">
        <f t="shared" si="64"/>
        <v>2958465</v>
      </c>
      <c r="W279" s="1">
        <f t="shared" si="65"/>
        <v>0</v>
      </c>
      <c r="X279" s="1">
        <f t="shared" si="66"/>
        <v>0</v>
      </c>
      <c r="Y279" s="1">
        <f t="shared" si="67"/>
        <v>97200</v>
      </c>
      <c r="Z279" s="1">
        <f t="shared" si="68"/>
        <v>1</v>
      </c>
      <c r="AA279" s="1">
        <f t="shared" si="69"/>
        <v>0</v>
      </c>
    </row>
    <row r="280" spans="1:27" ht="18" customHeight="1" x14ac:dyDescent="0.3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6"/>
        <v>0</v>
      </c>
      <c r="J280" s="68">
        <f t="shared" ca="1" si="57"/>
        <v>0</v>
      </c>
      <c r="K280" s="68">
        <f t="shared" ca="1" si="58"/>
        <v>0</v>
      </c>
      <c r="L280" s="68">
        <f t="shared" ca="1" si="59"/>
        <v>0</v>
      </c>
      <c r="M280" s="69">
        <f t="shared" si="60"/>
        <v>0</v>
      </c>
      <c r="N280" s="65" t="str">
        <f t="shared" si="61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62"/>
        <v/>
      </c>
      <c r="U280" s="1">
        <f t="shared" si="63"/>
        <v>0</v>
      </c>
      <c r="V280" s="1">
        <f t="shared" si="64"/>
        <v>2958465</v>
      </c>
      <c r="W280" s="1">
        <f t="shared" si="65"/>
        <v>0</v>
      </c>
      <c r="X280" s="1">
        <f t="shared" si="66"/>
        <v>0</v>
      </c>
      <c r="Y280" s="1">
        <f t="shared" si="67"/>
        <v>97200</v>
      </c>
      <c r="Z280" s="1">
        <f t="shared" si="68"/>
        <v>1</v>
      </c>
      <c r="AA280" s="1">
        <f t="shared" si="69"/>
        <v>0</v>
      </c>
    </row>
    <row r="281" spans="1:27" ht="18" customHeight="1" x14ac:dyDescent="0.3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6"/>
        <v>0</v>
      </c>
      <c r="J281" s="68">
        <f t="shared" ca="1" si="57"/>
        <v>0</v>
      </c>
      <c r="K281" s="68">
        <f t="shared" ca="1" si="58"/>
        <v>0</v>
      </c>
      <c r="L281" s="68">
        <f t="shared" ca="1" si="59"/>
        <v>0</v>
      </c>
      <c r="M281" s="69">
        <f t="shared" si="60"/>
        <v>0</v>
      </c>
      <c r="N281" s="65" t="str">
        <f t="shared" si="61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62"/>
        <v/>
      </c>
      <c r="U281" s="1">
        <f t="shared" si="63"/>
        <v>0</v>
      </c>
      <c r="V281" s="1">
        <f t="shared" si="64"/>
        <v>2958465</v>
      </c>
      <c r="W281" s="1">
        <f t="shared" si="65"/>
        <v>0</v>
      </c>
      <c r="X281" s="1">
        <f t="shared" si="66"/>
        <v>0</v>
      </c>
      <c r="Y281" s="1">
        <f t="shared" si="67"/>
        <v>97200</v>
      </c>
      <c r="Z281" s="1">
        <f t="shared" si="68"/>
        <v>1</v>
      </c>
      <c r="AA281" s="1">
        <f t="shared" si="69"/>
        <v>0</v>
      </c>
    </row>
    <row r="282" spans="1:27" ht="18" customHeight="1" x14ac:dyDescent="0.3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6"/>
        <v>0</v>
      </c>
      <c r="J282" s="68">
        <f t="shared" ca="1" si="57"/>
        <v>0</v>
      </c>
      <c r="K282" s="68">
        <f t="shared" ca="1" si="58"/>
        <v>0</v>
      </c>
      <c r="L282" s="68">
        <f t="shared" ca="1" si="59"/>
        <v>0</v>
      </c>
      <c r="M282" s="69">
        <f t="shared" si="60"/>
        <v>0</v>
      </c>
      <c r="N282" s="65" t="str">
        <f t="shared" si="61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62"/>
        <v/>
      </c>
      <c r="U282" s="1">
        <f t="shared" si="63"/>
        <v>0</v>
      </c>
      <c r="V282" s="1">
        <f t="shared" si="64"/>
        <v>2958465</v>
      </c>
      <c r="W282" s="1">
        <f t="shared" si="65"/>
        <v>0</v>
      </c>
      <c r="X282" s="1">
        <f t="shared" si="66"/>
        <v>0</v>
      </c>
      <c r="Y282" s="1">
        <f t="shared" si="67"/>
        <v>97200</v>
      </c>
      <c r="Z282" s="1">
        <f t="shared" si="68"/>
        <v>1</v>
      </c>
      <c r="AA282" s="1">
        <f t="shared" si="69"/>
        <v>0</v>
      </c>
    </row>
    <row r="283" spans="1:27" ht="18" customHeight="1" x14ac:dyDescent="0.3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6"/>
        <v>0</v>
      </c>
      <c r="J283" s="68">
        <f t="shared" ca="1" si="57"/>
        <v>0</v>
      </c>
      <c r="K283" s="68">
        <f t="shared" ca="1" si="58"/>
        <v>0</v>
      </c>
      <c r="L283" s="68">
        <f t="shared" ca="1" si="59"/>
        <v>0</v>
      </c>
      <c r="M283" s="69">
        <f t="shared" si="60"/>
        <v>0</v>
      </c>
      <c r="N283" s="65" t="str">
        <f t="shared" si="61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62"/>
        <v/>
      </c>
      <c r="U283" s="1">
        <f t="shared" si="63"/>
        <v>0</v>
      </c>
      <c r="V283" s="1">
        <f t="shared" si="64"/>
        <v>2958465</v>
      </c>
      <c r="W283" s="1">
        <f t="shared" si="65"/>
        <v>0</v>
      </c>
      <c r="X283" s="1">
        <f t="shared" si="66"/>
        <v>0</v>
      </c>
      <c r="Y283" s="1">
        <f t="shared" si="67"/>
        <v>97200</v>
      </c>
      <c r="Z283" s="1">
        <f t="shared" si="68"/>
        <v>1</v>
      </c>
      <c r="AA283" s="1">
        <f t="shared" si="69"/>
        <v>0</v>
      </c>
    </row>
    <row r="284" spans="1:27" ht="18" customHeight="1" x14ac:dyDescent="0.3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6"/>
        <v>0</v>
      </c>
      <c r="J284" s="68">
        <f t="shared" ca="1" si="57"/>
        <v>0</v>
      </c>
      <c r="K284" s="68">
        <f t="shared" ca="1" si="58"/>
        <v>0</v>
      </c>
      <c r="L284" s="68">
        <f t="shared" ca="1" si="59"/>
        <v>0</v>
      </c>
      <c r="M284" s="69">
        <f t="shared" si="60"/>
        <v>0</v>
      </c>
      <c r="N284" s="65" t="str">
        <f t="shared" si="61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62"/>
        <v/>
      </c>
      <c r="U284" s="1">
        <f t="shared" si="63"/>
        <v>0</v>
      </c>
      <c r="V284" s="1">
        <f t="shared" si="64"/>
        <v>2958465</v>
      </c>
      <c r="W284" s="1">
        <f t="shared" si="65"/>
        <v>0</v>
      </c>
      <c r="X284" s="1">
        <f t="shared" si="66"/>
        <v>0</v>
      </c>
      <c r="Y284" s="1">
        <f t="shared" si="67"/>
        <v>97200</v>
      </c>
      <c r="Z284" s="1">
        <f t="shared" si="68"/>
        <v>1</v>
      </c>
      <c r="AA284" s="1">
        <f t="shared" si="69"/>
        <v>0</v>
      </c>
    </row>
    <row r="285" spans="1:27" ht="18" customHeight="1" x14ac:dyDescent="0.3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6"/>
        <v>0</v>
      </c>
      <c r="J285" s="68">
        <f t="shared" ca="1" si="57"/>
        <v>0</v>
      </c>
      <c r="K285" s="68">
        <f t="shared" ca="1" si="58"/>
        <v>0</v>
      </c>
      <c r="L285" s="68">
        <f t="shared" ca="1" si="59"/>
        <v>0</v>
      </c>
      <c r="M285" s="69">
        <f t="shared" si="60"/>
        <v>0</v>
      </c>
      <c r="N285" s="65" t="str">
        <f t="shared" si="61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62"/>
        <v/>
      </c>
      <c r="U285" s="1">
        <f t="shared" si="63"/>
        <v>0</v>
      </c>
      <c r="V285" s="1">
        <f t="shared" si="64"/>
        <v>2958465</v>
      </c>
      <c r="W285" s="1">
        <f t="shared" si="65"/>
        <v>0</v>
      </c>
      <c r="X285" s="1">
        <f t="shared" si="66"/>
        <v>0</v>
      </c>
      <c r="Y285" s="1">
        <f t="shared" si="67"/>
        <v>97200</v>
      </c>
      <c r="Z285" s="1">
        <f t="shared" si="68"/>
        <v>1</v>
      </c>
      <c r="AA285" s="1">
        <f t="shared" si="69"/>
        <v>0</v>
      </c>
    </row>
    <row r="286" spans="1:27" ht="18" customHeight="1" x14ac:dyDescent="0.3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6"/>
        <v>0</v>
      </c>
      <c r="J286" s="68">
        <f t="shared" ca="1" si="57"/>
        <v>0</v>
      </c>
      <c r="K286" s="68">
        <f t="shared" ca="1" si="58"/>
        <v>0</v>
      </c>
      <c r="L286" s="68">
        <f t="shared" ca="1" si="59"/>
        <v>0</v>
      </c>
      <c r="M286" s="69">
        <f t="shared" si="60"/>
        <v>0</v>
      </c>
      <c r="N286" s="65" t="str">
        <f t="shared" si="61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62"/>
        <v/>
      </c>
      <c r="U286" s="1">
        <f t="shared" si="63"/>
        <v>0</v>
      </c>
      <c r="V286" s="1">
        <f t="shared" si="64"/>
        <v>2958465</v>
      </c>
      <c r="W286" s="1">
        <f t="shared" si="65"/>
        <v>0</v>
      </c>
      <c r="X286" s="1">
        <f t="shared" si="66"/>
        <v>0</v>
      </c>
      <c r="Y286" s="1">
        <f t="shared" si="67"/>
        <v>97200</v>
      </c>
      <c r="Z286" s="1">
        <f t="shared" si="68"/>
        <v>1</v>
      </c>
      <c r="AA286" s="1">
        <f t="shared" si="69"/>
        <v>0</v>
      </c>
    </row>
    <row r="287" spans="1:27" ht="18" customHeight="1" x14ac:dyDescent="0.3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6"/>
        <v>0</v>
      </c>
      <c r="J287" s="68">
        <f t="shared" ca="1" si="57"/>
        <v>0</v>
      </c>
      <c r="K287" s="68">
        <f t="shared" ca="1" si="58"/>
        <v>0</v>
      </c>
      <c r="L287" s="68">
        <f t="shared" ca="1" si="59"/>
        <v>0</v>
      </c>
      <c r="M287" s="69">
        <f t="shared" si="60"/>
        <v>0</v>
      </c>
      <c r="N287" s="65" t="str">
        <f t="shared" si="61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62"/>
        <v/>
      </c>
      <c r="U287" s="1">
        <f t="shared" si="63"/>
        <v>0</v>
      </c>
      <c r="V287" s="1">
        <f t="shared" si="64"/>
        <v>2958465</v>
      </c>
      <c r="W287" s="1">
        <f t="shared" si="65"/>
        <v>0</v>
      </c>
      <c r="X287" s="1">
        <f t="shared" si="66"/>
        <v>0</v>
      </c>
      <c r="Y287" s="1">
        <f t="shared" si="67"/>
        <v>97200</v>
      </c>
      <c r="Z287" s="1">
        <f t="shared" si="68"/>
        <v>1</v>
      </c>
      <c r="AA287" s="1">
        <f t="shared" si="69"/>
        <v>0</v>
      </c>
    </row>
    <row r="288" spans="1:27" ht="18" customHeight="1" x14ac:dyDescent="0.3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6"/>
        <v>0</v>
      </c>
      <c r="J288" s="68">
        <f t="shared" ca="1" si="57"/>
        <v>0</v>
      </c>
      <c r="K288" s="68">
        <f t="shared" ca="1" si="58"/>
        <v>0</v>
      </c>
      <c r="L288" s="68">
        <f t="shared" ca="1" si="59"/>
        <v>0</v>
      </c>
      <c r="M288" s="69">
        <f t="shared" si="60"/>
        <v>0</v>
      </c>
      <c r="N288" s="65" t="str">
        <f t="shared" si="61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62"/>
        <v/>
      </c>
      <c r="U288" s="1">
        <f t="shared" si="63"/>
        <v>0</v>
      </c>
      <c r="V288" s="1">
        <f t="shared" si="64"/>
        <v>2958465</v>
      </c>
      <c r="W288" s="1">
        <f t="shared" si="65"/>
        <v>0</v>
      </c>
      <c r="X288" s="1">
        <f t="shared" si="66"/>
        <v>0</v>
      </c>
      <c r="Y288" s="1">
        <f t="shared" si="67"/>
        <v>97200</v>
      </c>
      <c r="Z288" s="1">
        <f t="shared" si="68"/>
        <v>1</v>
      </c>
      <c r="AA288" s="1">
        <f t="shared" si="69"/>
        <v>0</v>
      </c>
    </row>
    <row r="289" spans="1:27" ht="18" customHeight="1" x14ac:dyDescent="0.3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6"/>
        <v>0</v>
      </c>
      <c r="J289" s="68">
        <f t="shared" ca="1" si="57"/>
        <v>0</v>
      </c>
      <c r="K289" s="68">
        <f t="shared" ca="1" si="58"/>
        <v>0</v>
      </c>
      <c r="L289" s="68">
        <f t="shared" ca="1" si="59"/>
        <v>0</v>
      </c>
      <c r="M289" s="69">
        <f t="shared" si="60"/>
        <v>0</v>
      </c>
      <c r="N289" s="65" t="str">
        <f t="shared" si="61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62"/>
        <v/>
      </c>
      <c r="U289" s="1">
        <f t="shared" si="63"/>
        <v>0</v>
      </c>
      <c r="V289" s="1">
        <f t="shared" si="64"/>
        <v>2958465</v>
      </c>
      <c r="W289" s="1">
        <f t="shared" si="65"/>
        <v>0</v>
      </c>
      <c r="X289" s="1">
        <f t="shared" si="66"/>
        <v>0</v>
      </c>
      <c r="Y289" s="1">
        <f t="shared" si="67"/>
        <v>97200</v>
      </c>
      <c r="Z289" s="1">
        <f t="shared" si="68"/>
        <v>1</v>
      </c>
      <c r="AA289" s="1">
        <f t="shared" si="69"/>
        <v>0</v>
      </c>
    </row>
    <row r="290" spans="1:27" ht="18" customHeight="1" x14ac:dyDescent="0.3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6"/>
        <v>0</v>
      </c>
      <c r="J290" s="68">
        <f t="shared" ca="1" si="57"/>
        <v>0</v>
      </c>
      <c r="K290" s="68">
        <f t="shared" ca="1" si="58"/>
        <v>0</v>
      </c>
      <c r="L290" s="68">
        <f t="shared" ca="1" si="59"/>
        <v>0</v>
      </c>
      <c r="M290" s="69">
        <f t="shared" si="60"/>
        <v>0</v>
      </c>
      <c r="N290" s="65" t="str">
        <f t="shared" si="61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62"/>
        <v/>
      </c>
      <c r="U290" s="1">
        <f t="shared" si="63"/>
        <v>0</v>
      </c>
      <c r="V290" s="1">
        <f t="shared" si="64"/>
        <v>2958465</v>
      </c>
      <c r="W290" s="1">
        <f t="shared" si="65"/>
        <v>0</v>
      </c>
      <c r="X290" s="1">
        <f t="shared" si="66"/>
        <v>0</v>
      </c>
      <c r="Y290" s="1">
        <f t="shared" si="67"/>
        <v>97200</v>
      </c>
      <c r="Z290" s="1">
        <f t="shared" si="68"/>
        <v>1</v>
      </c>
      <c r="AA290" s="1">
        <f t="shared" si="69"/>
        <v>0</v>
      </c>
    </row>
    <row r="291" spans="1:27" ht="18" customHeight="1" x14ac:dyDescent="0.3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6"/>
        <v>0</v>
      </c>
      <c r="J291" s="68">
        <f t="shared" ca="1" si="57"/>
        <v>0</v>
      </c>
      <c r="K291" s="68">
        <f t="shared" ca="1" si="58"/>
        <v>0</v>
      </c>
      <c r="L291" s="68">
        <f t="shared" ca="1" si="59"/>
        <v>0</v>
      </c>
      <c r="M291" s="69">
        <f t="shared" si="60"/>
        <v>0</v>
      </c>
      <c r="N291" s="65" t="str">
        <f t="shared" si="61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62"/>
        <v/>
      </c>
      <c r="U291" s="1">
        <f t="shared" si="63"/>
        <v>0</v>
      </c>
      <c r="V291" s="1">
        <f t="shared" si="64"/>
        <v>2958465</v>
      </c>
      <c r="W291" s="1">
        <f t="shared" si="65"/>
        <v>0</v>
      </c>
      <c r="X291" s="1">
        <f t="shared" si="66"/>
        <v>0</v>
      </c>
      <c r="Y291" s="1">
        <f t="shared" si="67"/>
        <v>97200</v>
      </c>
      <c r="Z291" s="1">
        <f t="shared" si="68"/>
        <v>1</v>
      </c>
      <c r="AA291" s="1">
        <f t="shared" si="69"/>
        <v>0</v>
      </c>
    </row>
    <row r="292" spans="1:27" ht="18" customHeight="1" x14ac:dyDescent="0.3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6"/>
        <v>0</v>
      </c>
      <c r="J292" s="68">
        <f t="shared" ca="1" si="57"/>
        <v>0</v>
      </c>
      <c r="K292" s="68">
        <f t="shared" ca="1" si="58"/>
        <v>0</v>
      </c>
      <c r="L292" s="68">
        <f t="shared" ca="1" si="59"/>
        <v>0</v>
      </c>
      <c r="M292" s="69">
        <f t="shared" si="60"/>
        <v>0</v>
      </c>
      <c r="N292" s="65" t="str">
        <f t="shared" si="61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62"/>
        <v/>
      </c>
      <c r="U292" s="1">
        <f t="shared" si="63"/>
        <v>0</v>
      </c>
      <c r="V292" s="1">
        <f t="shared" si="64"/>
        <v>2958465</v>
      </c>
      <c r="W292" s="1">
        <f t="shared" si="65"/>
        <v>0</v>
      </c>
      <c r="X292" s="1">
        <f t="shared" si="66"/>
        <v>0</v>
      </c>
      <c r="Y292" s="1">
        <f t="shared" si="67"/>
        <v>97200</v>
      </c>
      <c r="Z292" s="1">
        <f t="shared" si="68"/>
        <v>1</v>
      </c>
      <c r="AA292" s="1">
        <f t="shared" si="69"/>
        <v>0</v>
      </c>
    </row>
    <row r="293" spans="1:27" ht="18" customHeight="1" x14ac:dyDescent="0.3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6"/>
        <v>0</v>
      </c>
      <c r="J293" s="68">
        <f t="shared" ca="1" si="57"/>
        <v>0</v>
      </c>
      <c r="K293" s="68">
        <f t="shared" ca="1" si="58"/>
        <v>0</v>
      </c>
      <c r="L293" s="68">
        <f t="shared" ca="1" si="59"/>
        <v>0</v>
      </c>
      <c r="M293" s="69">
        <f t="shared" si="60"/>
        <v>0</v>
      </c>
      <c r="N293" s="65" t="str">
        <f t="shared" si="61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62"/>
        <v/>
      </c>
      <c r="U293" s="1">
        <f t="shared" si="63"/>
        <v>0</v>
      </c>
      <c r="V293" s="1">
        <f t="shared" si="64"/>
        <v>2958465</v>
      </c>
      <c r="W293" s="1">
        <f t="shared" si="65"/>
        <v>0</v>
      </c>
      <c r="X293" s="1">
        <f t="shared" si="66"/>
        <v>0</v>
      </c>
      <c r="Y293" s="1">
        <f t="shared" si="67"/>
        <v>97200</v>
      </c>
      <c r="Z293" s="1">
        <f t="shared" si="68"/>
        <v>1</v>
      </c>
      <c r="AA293" s="1">
        <f t="shared" si="69"/>
        <v>0</v>
      </c>
    </row>
    <row r="294" spans="1:27" ht="18" customHeight="1" x14ac:dyDescent="0.3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6"/>
        <v>0</v>
      </c>
      <c r="J294" s="68">
        <f t="shared" ca="1" si="57"/>
        <v>0</v>
      </c>
      <c r="K294" s="68">
        <f t="shared" ca="1" si="58"/>
        <v>0</v>
      </c>
      <c r="L294" s="68">
        <f t="shared" ca="1" si="59"/>
        <v>0</v>
      </c>
      <c r="M294" s="69">
        <f t="shared" si="60"/>
        <v>0</v>
      </c>
      <c r="N294" s="65" t="str">
        <f t="shared" si="61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62"/>
        <v/>
      </c>
      <c r="U294" s="1">
        <f t="shared" si="63"/>
        <v>0</v>
      </c>
      <c r="V294" s="1">
        <f t="shared" si="64"/>
        <v>2958465</v>
      </c>
      <c r="W294" s="1">
        <f t="shared" si="65"/>
        <v>0</v>
      </c>
      <c r="X294" s="1">
        <f t="shared" si="66"/>
        <v>0</v>
      </c>
      <c r="Y294" s="1">
        <f t="shared" si="67"/>
        <v>97200</v>
      </c>
      <c r="Z294" s="1">
        <f t="shared" si="68"/>
        <v>1</v>
      </c>
      <c r="AA294" s="1">
        <f t="shared" si="69"/>
        <v>0</v>
      </c>
    </row>
    <row r="295" spans="1:27" ht="18" customHeight="1" x14ac:dyDescent="0.3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6"/>
        <v>0</v>
      </c>
      <c r="J295" s="68">
        <f t="shared" ca="1" si="57"/>
        <v>0</v>
      </c>
      <c r="K295" s="68">
        <f t="shared" ca="1" si="58"/>
        <v>0</v>
      </c>
      <c r="L295" s="68">
        <f t="shared" ca="1" si="59"/>
        <v>0</v>
      </c>
      <c r="M295" s="69">
        <f t="shared" si="60"/>
        <v>0</v>
      </c>
      <c r="N295" s="65" t="str">
        <f t="shared" si="61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62"/>
        <v/>
      </c>
      <c r="U295" s="1">
        <f t="shared" si="63"/>
        <v>0</v>
      </c>
      <c r="V295" s="1">
        <f t="shared" si="64"/>
        <v>2958465</v>
      </c>
      <c r="W295" s="1">
        <f t="shared" si="65"/>
        <v>0</v>
      </c>
      <c r="X295" s="1">
        <f t="shared" si="66"/>
        <v>0</v>
      </c>
      <c r="Y295" s="1">
        <f t="shared" si="67"/>
        <v>97200</v>
      </c>
      <c r="Z295" s="1">
        <f t="shared" si="68"/>
        <v>1</v>
      </c>
      <c r="AA295" s="1">
        <f t="shared" si="69"/>
        <v>0</v>
      </c>
    </row>
    <row r="296" spans="1:27" ht="18" customHeight="1" x14ac:dyDescent="0.3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6"/>
        <v>0</v>
      </c>
      <c r="J296" s="68">
        <f t="shared" ca="1" si="57"/>
        <v>0</v>
      </c>
      <c r="K296" s="68">
        <f t="shared" ca="1" si="58"/>
        <v>0</v>
      </c>
      <c r="L296" s="68">
        <f t="shared" ca="1" si="59"/>
        <v>0</v>
      </c>
      <c r="M296" s="69">
        <f t="shared" si="60"/>
        <v>0</v>
      </c>
      <c r="N296" s="65" t="str">
        <f t="shared" si="61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62"/>
        <v/>
      </c>
      <c r="U296" s="1">
        <f t="shared" si="63"/>
        <v>0</v>
      </c>
      <c r="V296" s="1">
        <f t="shared" si="64"/>
        <v>2958465</v>
      </c>
      <c r="W296" s="1">
        <f t="shared" si="65"/>
        <v>0</v>
      </c>
      <c r="X296" s="1">
        <f t="shared" si="66"/>
        <v>0</v>
      </c>
      <c r="Y296" s="1">
        <f t="shared" si="67"/>
        <v>97200</v>
      </c>
      <c r="Z296" s="1">
        <f t="shared" si="68"/>
        <v>1</v>
      </c>
      <c r="AA296" s="1">
        <f t="shared" si="69"/>
        <v>0</v>
      </c>
    </row>
    <row r="297" spans="1:27" ht="18" customHeight="1" x14ac:dyDescent="0.3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6"/>
        <v>0</v>
      </c>
      <c r="J297" s="68">
        <f t="shared" ca="1" si="57"/>
        <v>0</v>
      </c>
      <c r="K297" s="68">
        <f t="shared" ca="1" si="58"/>
        <v>0</v>
      </c>
      <c r="L297" s="68">
        <f t="shared" ca="1" si="59"/>
        <v>0</v>
      </c>
      <c r="M297" s="69">
        <f t="shared" si="60"/>
        <v>0</v>
      </c>
      <c r="N297" s="65" t="str">
        <f t="shared" si="61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62"/>
        <v/>
      </c>
      <c r="U297" s="1">
        <f t="shared" si="63"/>
        <v>0</v>
      </c>
      <c r="V297" s="1">
        <f t="shared" si="64"/>
        <v>2958465</v>
      </c>
      <c r="W297" s="1">
        <f t="shared" si="65"/>
        <v>0</v>
      </c>
      <c r="X297" s="1">
        <f t="shared" si="66"/>
        <v>0</v>
      </c>
      <c r="Y297" s="1">
        <f t="shared" si="67"/>
        <v>97200</v>
      </c>
      <c r="Z297" s="1">
        <f t="shared" si="68"/>
        <v>1</v>
      </c>
      <c r="AA297" s="1">
        <f t="shared" si="69"/>
        <v>0</v>
      </c>
    </row>
    <row r="298" spans="1:27" ht="18" customHeight="1" x14ac:dyDescent="0.3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6"/>
        <v>0</v>
      </c>
      <c r="J298" s="68">
        <f t="shared" ca="1" si="57"/>
        <v>0</v>
      </c>
      <c r="K298" s="68">
        <f t="shared" ca="1" si="58"/>
        <v>0</v>
      </c>
      <c r="L298" s="68">
        <f t="shared" ca="1" si="59"/>
        <v>0</v>
      </c>
      <c r="M298" s="69">
        <f t="shared" si="60"/>
        <v>0</v>
      </c>
      <c r="N298" s="65" t="str">
        <f t="shared" si="61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62"/>
        <v/>
      </c>
      <c r="U298" s="1">
        <f t="shared" si="63"/>
        <v>0</v>
      </c>
      <c r="V298" s="1">
        <f t="shared" si="64"/>
        <v>2958465</v>
      </c>
      <c r="W298" s="1">
        <f t="shared" si="65"/>
        <v>0</v>
      </c>
      <c r="X298" s="1">
        <f t="shared" si="66"/>
        <v>0</v>
      </c>
      <c r="Y298" s="1">
        <f t="shared" si="67"/>
        <v>97200</v>
      </c>
      <c r="Z298" s="1">
        <f t="shared" si="68"/>
        <v>1</v>
      </c>
      <c r="AA298" s="1">
        <f t="shared" si="69"/>
        <v>0</v>
      </c>
    </row>
    <row r="299" spans="1:27" ht="18" customHeight="1" x14ac:dyDescent="0.3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6"/>
        <v>0</v>
      </c>
      <c r="J299" s="68">
        <f t="shared" ca="1" si="57"/>
        <v>0</v>
      </c>
      <c r="K299" s="68">
        <f t="shared" ca="1" si="58"/>
        <v>0</v>
      </c>
      <c r="L299" s="68">
        <f t="shared" ca="1" si="59"/>
        <v>0</v>
      </c>
      <c r="M299" s="69">
        <f t="shared" si="60"/>
        <v>0</v>
      </c>
      <c r="N299" s="65" t="str">
        <f t="shared" si="61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62"/>
        <v/>
      </c>
      <c r="U299" s="1">
        <f t="shared" si="63"/>
        <v>0</v>
      </c>
      <c r="V299" s="1">
        <f t="shared" si="64"/>
        <v>2958465</v>
      </c>
      <c r="W299" s="1">
        <f t="shared" si="65"/>
        <v>0</v>
      </c>
      <c r="X299" s="1">
        <f t="shared" si="66"/>
        <v>0</v>
      </c>
      <c r="Y299" s="1">
        <f t="shared" si="67"/>
        <v>97200</v>
      </c>
      <c r="Z299" s="1">
        <f t="shared" si="68"/>
        <v>1</v>
      </c>
      <c r="AA299" s="1">
        <f t="shared" si="69"/>
        <v>0</v>
      </c>
    </row>
    <row r="300" spans="1:27" ht="18" customHeight="1" x14ac:dyDescent="0.3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6"/>
        <v>0</v>
      </c>
      <c r="J300" s="68">
        <f t="shared" ca="1" si="57"/>
        <v>0</v>
      </c>
      <c r="K300" s="68">
        <f t="shared" ca="1" si="58"/>
        <v>0</v>
      </c>
      <c r="L300" s="68">
        <f t="shared" ca="1" si="59"/>
        <v>0</v>
      </c>
      <c r="M300" s="69">
        <f t="shared" si="60"/>
        <v>0</v>
      </c>
      <c r="N300" s="65" t="str">
        <f t="shared" si="61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62"/>
        <v/>
      </c>
      <c r="U300" s="1">
        <f t="shared" si="63"/>
        <v>0</v>
      </c>
      <c r="V300" s="1">
        <f t="shared" si="64"/>
        <v>2958465</v>
      </c>
      <c r="W300" s="1">
        <f t="shared" si="65"/>
        <v>0</v>
      </c>
      <c r="X300" s="1">
        <f t="shared" si="66"/>
        <v>0</v>
      </c>
      <c r="Y300" s="1">
        <f t="shared" si="67"/>
        <v>97200</v>
      </c>
      <c r="Z300" s="1">
        <f t="shared" si="68"/>
        <v>1</v>
      </c>
      <c r="AA300" s="1">
        <f t="shared" si="69"/>
        <v>0</v>
      </c>
    </row>
    <row r="301" spans="1:27" ht="18" customHeight="1" x14ac:dyDescent="0.3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6"/>
        <v>0</v>
      </c>
      <c r="J301" s="68">
        <f t="shared" ca="1" si="57"/>
        <v>0</v>
      </c>
      <c r="K301" s="68">
        <f t="shared" ca="1" si="58"/>
        <v>0</v>
      </c>
      <c r="L301" s="68">
        <f t="shared" ca="1" si="59"/>
        <v>0</v>
      </c>
      <c r="M301" s="69">
        <f t="shared" si="60"/>
        <v>0</v>
      </c>
      <c r="N301" s="65" t="str">
        <f t="shared" si="61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62"/>
        <v/>
      </c>
      <c r="U301" s="1">
        <f t="shared" si="63"/>
        <v>0</v>
      </c>
      <c r="V301" s="1">
        <f t="shared" si="64"/>
        <v>2958465</v>
      </c>
      <c r="W301" s="1">
        <f t="shared" si="65"/>
        <v>0</v>
      </c>
      <c r="X301" s="1">
        <f t="shared" si="66"/>
        <v>0</v>
      </c>
      <c r="Y301" s="1">
        <f t="shared" si="67"/>
        <v>97200</v>
      </c>
      <c r="Z301" s="1">
        <f t="shared" si="68"/>
        <v>1</v>
      </c>
      <c r="AA301" s="1">
        <f t="shared" si="69"/>
        <v>0</v>
      </c>
    </row>
    <row r="302" spans="1:27" ht="18" customHeight="1" x14ac:dyDescent="0.3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6"/>
        <v>0</v>
      </c>
      <c r="J302" s="68">
        <f t="shared" ca="1" si="57"/>
        <v>0</v>
      </c>
      <c r="K302" s="68">
        <f t="shared" ca="1" si="58"/>
        <v>0</v>
      </c>
      <c r="L302" s="68">
        <f t="shared" ca="1" si="59"/>
        <v>0</v>
      </c>
      <c r="M302" s="69">
        <f t="shared" si="60"/>
        <v>0</v>
      </c>
      <c r="N302" s="65" t="str">
        <f t="shared" si="61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62"/>
        <v/>
      </c>
      <c r="U302" s="1">
        <f t="shared" si="63"/>
        <v>0</v>
      </c>
      <c r="V302" s="1">
        <f t="shared" si="64"/>
        <v>2958465</v>
      </c>
      <c r="W302" s="1">
        <f t="shared" si="65"/>
        <v>0</v>
      </c>
      <c r="X302" s="1">
        <f t="shared" si="66"/>
        <v>0</v>
      </c>
      <c r="Y302" s="1">
        <f t="shared" si="67"/>
        <v>97200</v>
      </c>
      <c r="Z302" s="1">
        <f t="shared" si="68"/>
        <v>1</v>
      </c>
      <c r="AA302" s="1">
        <f t="shared" si="69"/>
        <v>0</v>
      </c>
    </row>
    <row r="303" spans="1:27" ht="18" customHeight="1" x14ac:dyDescent="0.3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6"/>
        <v>0</v>
      </c>
      <c r="J303" s="68">
        <f t="shared" ca="1" si="57"/>
        <v>0</v>
      </c>
      <c r="K303" s="68">
        <f t="shared" ca="1" si="58"/>
        <v>0</v>
      </c>
      <c r="L303" s="68">
        <f t="shared" ca="1" si="59"/>
        <v>0</v>
      </c>
      <c r="M303" s="69">
        <f t="shared" si="60"/>
        <v>0</v>
      </c>
      <c r="N303" s="65" t="str">
        <f t="shared" si="61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62"/>
        <v/>
      </c>
      <c r="U303" s="1">
        <f t="shared" si="63"/>
        <v>0</v>
      </c>
      <c r="V303" s="1">
        <f t="shared" si="64"/>
        <v>2958465</v>
      </c>
      <c r="W303" s="1">
        <f t="shared" si="65"/>
        <v>0</v>
      </c>
      <c r="X303" s="1">
        <f t="shared" si="66"/>
        <v>0</v>
      </c>
      <c r="Y303" s="1">
        <f t="shared" si="67"/>
        <v>97200</v>
      </c>
      <c r="Z303" s="1">
        <f t="shared" si="68"/>
        <v>1</v>
      </c>
      <c r="AA303" s="1">
        <f t="shared" si="69"/>
        <v>0</v>
      </c>
    </row>
    <row r="304" spans="1:27" ht="18" customHeight="1" x14ac:dyDescent="0.3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6"/>
        <v>0</v>
      </c>
      <c r="J304" s="68">
        <f t="shared" ca="1" si="57"/>
        <v>0</v>
      </c>
      <c r="K304" s="68">
        <f t="shared" ca="1" si="58"/>
        <v>0</v>
      </c>
      <c r="L304" s="68">
        <f t="shared" ca="1" si="59"/>
        <v>0</v>
      </c>
      <c r="M304" s="69">
        <f t="shared" si="60"/>
        <v>0</v>
      </c>
      <c r="N304" s="65" t="str">
        <f t="shared" si="61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62"/>
        <v/>
      </c>
      <c r="U304" s="1">
        <f t="shared" si="63"/>
        <v>0</v>
      </c>
      <c r="V304" s="1">
        <f t="shared" si="64"/>
        <v>2958465</v>
      </c>
      <c r="W304" s="1">
        <f t="shared" si="65"/>
        <v>0</v>
      </c>
      <c r="X304" s="1">
        <f t="shared" si="66"/>
        <v>0</v>
      </c>
      <c r="Y304" s="1">
        <f t="shared" si="67"/>
        <v>97200</v>
      </c>
      <c r="Z304" s="1">
        <f t="shared" si="68"/>
        <v>1</v>
      </c>
      <c r="AA304" s="1">
        <f t="shared" si="69"/>
        <v>0</v>
      </c>
    </row>
    <row r="305" spans="1:27" ht="18" customHeight="1" x14ac:dyDescent="0.3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6"/>
        <v>0</v>
      </c>
      <c r="J305" s="68">
        <f t="shared" ca="1" si="57"/>
        <v>0</v>
      </c>
      <c r="K305" s="68">
        <f t="shared" ca="1" si="58"/>
        <v>0</v>
      </c>
      <c r="L305" s="68">
        <f t="shared" ca="1" si="59"/>
        <v>0</v>
      </c>
      <c r="M305" s="69">
        <f t="shared" si="60"/>
        <v>0</v>
      </c>
      <c r="N305" s="65" t="str">
        <f t="shared" si="61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62"/>
        <v/>
      </c>
      <c r="U305" s="1">
        <f t="shared" si="63"/>
        <v>0</v>
      </c>
      <c r="V305" s="1">
        <f t="shared" si="64"/>
        <v>2958465</v>
      </c>
      <c r="W305" s="1">
        <f t="shared" si="65"/>
        <v>0</v>
      </c>
      <c r="X305" s="1">
        <f t="shared" si="66"/>
        <v>0</v>
      </c>
      <c r="Y305" s="1">
        <f t="shared" si="67"/>
        <v>97200</v>
      </c>
      <c r="Z305" s="1">
        <f t="shared" si="68"/>
        <v>1</v>
      </c>
      <c r="AA305" s="1">
        <f t="shared" si="69"/>
        <v>0</v>
      </c>
    </row>
    <row r="306" spans="1:27" ht="18" customHeight="1" x14ac:dyDescent="0.3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6"/>
        <v>0</v>
      </c>
      <c r="J306" s="68">
        <f t="shared" ca="1" si="57"/>
        <v>0</v>
      </c>
      <c r="K306" s="68">
        <f t="shared" ca="1" si="58"/>
        <v>0</v>
      </c>
      <c r="L306" s="68">
        <f t="shared" ca="1" si="59"/>
        <v>0</v>
      </c>
      <c r="M306" s="69">
        <f t="shared" si="60"/>
        <v>0</v>
      </c>
      <c r="N306" s="65" t="str">
        <f t="shared" si="61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62"/>
        <v/>
      </c>
      <c r="U306" s="1">
        <f t="shared" si="63"/>
        <v>0</v>
      </c>
      <c r="V306" s="1">
        <f t="shared" si="64"/>
        <v>2958465</v>
      </c>
      <c r="W306" s="1">
        <f t="shared" si="65"/>
        <v>0</v>
      </c>
      <c r="X306" s="1">
        <f t="shared" si="66"/>
        <v>0</v>
      </c>
      <c r="Y306" s="1">
        <f t="shared" si="67"/>
        <v>97200</v>
      </c>
      <c r="Z306" s="1">
        <f t="shared" si="68"/>
        <v>1</v>
      </c>
      <c r="AA306" s="1">
        <f t="shared" si="69"/>
        <v>0</v>
      </c>
    </row>
    <row r="307" spans="1:27" ht="18" customHeight="1" x14ac:dyDescent="0.3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6"/>
        <v>0</v>
      </c>
      <c r="J307" s="68">
        <f t="shared" ca="1" si="57"/>
        <v>0</v>
      </c>
      <c r="K307" s="68">
        <f t="shared" ca="1" si="58"/>
        <v>0</v>
      </c>
      <c r="L307" s="68">
        <f t="shared" ca="1" si="59"/>
        <v>0</v>
      </c>
      <c r="M307" s="69">
        <f t="shared" si="60"/>
        <v>0</v>
      </c>
      <c r="N307" s="65" t="str">
        <f t="shared" si="61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62"/>
        <v/>
      </c>
      <c r="U307" s="1">
        <f t="shared" si="63"/>
        <v>0</v>
      </c>
      <c r="V307" s="1">
        <f t="shared" si="64"/>
        <v>2958465</v>
      </c>
      <c r="W307" s="1">
        <f t="shared" si="65"/>
        <v>0</v>
      </c>
      <c r="X307" s="1">
        <f t="shared" si="66"/>
        <v>0</v>
      </c>
      <c r="Y307" s="1">
        <f t="shared" si="67"/>
        <v>97200</v>
      </c>
      <c r="Z307" s="1">
        <f t="shared" si="68"/>
        <v>1</v>
      </c>
      <c r="AA307" s="1">
        <f t="shared" si="69"/>
        <v>0</v>
      </c>
    </row>
    <row r="308" spans="1:27" ht="18" customHeight="1" x14ac:dyDescent="0.3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6"/>
        <v>0</v>
      </c>
      <c r="J308" s="68">
        <f t="shared" ca="1" si="57"/>
        <v>0</v>
      </c>
      <c r="K308" s="68">
        <f t="shared" ca="1" si="58"/>
        <v>0</v>
      </c>
      <c r="L308" s="68">
        <f t="shared" ca="1" si="59"/>
        <v>0</v>
      </c>
      <c r="M308" s="69">
        <f t="shared" si="60"/>
        <v>0</v>
      </c>
      <c r="N308" s="65" t="str">
        <f t="shared" si="61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62"/>
        <v/>
      </c>
      <c r="U308" s="1">
        <f t="shared" si="63"/>
        <v>0</v>
      </c>
      <c r="V308" s="1">
        <f t="shared" si="64"/>
        <v>2958465</v>
      </c>
      <c r="W308" s="1">
        <f t="shared" si="65"/>
        <v>0</v>
      </c>
      <c r="X308" s="1">
        <f t="shared" si="66"/>
        <v>0</v>
      </c>
      <c r="Y308" s="1">
        <f t="shared" si="67"/>
        <v>97200</v>
      </c>
      <c r="Z308" s="1">
        <f t="shared" si="68"/>
        <v>1</v>
      </c>
      <c r="AA308" s="1">
        <f t="shared" si="69"/>
        <v>0</v>
      </c>
    </row>
    <row r="309" spans="1:27" ht="18" customHeight="1" x14ac:dyDescent="0.3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6"/>
        <v>0</v>
      </c>
      <c r="J309" s="68">
        <f t="shared" ca="1" si="57"/>
        <v>0</v>
      </c>
      <c r="K309" s="68">
        <f t="shared" ca="1" si="58"/>
        <v>0</v>
      </c>
      <c r="L309" s="68">
        <f t="shared" ca="1" si="59"/>
        <v>0</v>
      </c>
      <c r="M309" s="69">
        <f t="shared" si="60"/>
        <v>0</v>
      </c>
      <c r="N309" s="65" t="str">
        <f t="shared" si="61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62"/>
        <v/>
      </c>
      <c r="U309" s="1">
        <f t="shared" si="63"/>
        <v>0</v>
      </c>
      <c r="V309" s="1">
        <f t="shared" si="64"/>
        <v>2958465</v>
      </c>
      <c r="W309" s="1">
        <f t="shared" si="65"/>
        <v>0</v>
      </c>
      <c r="X309" s="1">
        <f t="shared" si="66"/>
        <v>0</v>
      </c>
      <c r="Y309" s="1">
        <f t="shared" si="67"/>
        <v>97200</v>
      </c>
      <c r="Z309" s="1">
        <f t="shared" si="68"/>
        <v>1</v>
      </c>
      <c r="AA309" s="1">
        <f t="shared" si="69"/>
        <v>0</v>
      </c>
    </row>
    <row r="310" spans="1:27" ht="18" customHeight="1" x14ac:dyDescent="0.3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6"/>
        <v>0</v>
      </c>
      <c r="J310" s="68">
        <f t="shared" ca="1" si="57"/>
        <v>0</v>
      </c>
      <c r="K310" s="68">
        <f t="shared" ca="1" si="58"/>
        <v>0</v>
      </c>
      <c r="L310" s="68">
        <f t="shared" ca="1" si="59"/>
        <v>0</v>
      </c>
      <c r="M310" s="69">
        <f t="shared" si="60"/>
        <v>0</v>
      </c>
      <c r="N310" s="65" t="str">
        <f t="shared" si="61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62"/>
        <v/>
      </c>
      <c r="U310" s="1">
        <f t="shared" si="63"/>
        <v>0</v>
      </c>
      <c r="V310" s="1">
        <f t="shared" si="64"/>
        <v>2958465</v>
      </c>
      <c r="W310" s="1">
        <f t="shared" si="65"/>
        <v>0</v>
      </c>
      <c r="X310" s="1">
        <f t="shared" si="66"/>
        <v>0</v>
      </c>
      <c r="Y310" s="1">
        <f t="shared" si="67"/>
        <v>97200</v>
      </c>
      <c r="Z310" s="1">
        <f t="shared" si="68"/>
        <v>1</v>
      </c>
      <c r="AA310" s="1">
        <f t="shared" si="69"/>
        <v>0</v>
      </c>
    </row>
    <row r="311" spans="1:27" ht="18" customHeight="1" x14ac:dyDescent="0.3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6"/>
        <v>0</v>
      </c>
      <c r="J311" s="68">
        <f t="shared" ca="1" si="57"/>
        <v>0</v>
      </c>
      <c r="K311" s="68">
        <f t="shared" ca="1" si="58"/>
        <v>0</v>
      </c>
      <c r="L311" s="68">
        <f t="shared" ca="1" si="59"/>
        <v>0</v>
      </c>
      <c r="M311" s="69">
        <f t="shared" si="60"/>
        <v>0</v>
      </c>
      <c r="N311" s="65" t="str">
        <f t="shared" si="61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62"/>
        <v/>
      </c>
      <c r="U311" s="1">
        <f t="shared" si="63"/>
        <v>0</v>
      </c>
      <c r="V311" s="1">
        <f t="shared" si="64"/>
        <v>2958465</v>
      </c>
      <c r="W311" s="1">
        <f t="shared" si="65"/>
        <v>0</v>
      </c>
      <c r="X311" s="1">
        <f t="shared" si="66"/>
        <v>0</v>
      </c>
      <c r="Y311" s="1">
        <f t="shared" si="67"/>
        <v>97200</v>
      </c>
      <c r="Z311" s="1">
        <f t="shared" si="68"/>
        <v>1</v>
      </c>
      <c r="AA311" s="1">
        <f t="shared" si="69"/>
        <v>0</v>
      </c>
    </row>
    <row r="312" spans="1:27" ht="18" customHeight="1" x14ac:dyDescent="0.3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6"/>
        <v>0</v>
      </c>
      <c r="J312" s="68">
        <f t="shared" ca="1" si="57"/>
        <v>0</v>
      </c>
      <c r="K312" s="68">
        <f t="shared" ca="1" si="58"/>
        <v>0</v>
      </c>
      <c r="L312" s="68">
        <f t="shared" ca="1" si="59"/>
        <v>0</v>
      </c>
      <c r="M312" s="69">
        <f t="shared" si="60"/>
        <v>0</v>
      </c>
      <c r="N312" s="65" t="str">
        <f t="shared" si="61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62"/>
        <v/>
      </c>
      <c r="U312" s="1">
        <f t="shared" si="63"/>
        <v>0</v>
      </c>
      <c r="V312" s="1">
        <f t="shared" si="64"/>
        <v>2958465</v>
      </c>
      <c r="W312" s="1">
        <f t="shared" si="65"/>
        <v>0</v>
      </c>
      <c r="X312" s="1">
        <f t="shared" si="66"/>
        <v>0</v>
      </c>
      <c r="Y312" s="1">
        <f t="shared" si="67"/>
        <v>97200</v>
      </c>
      <c r="Z312" s="1">
        <f t="shared" si="68"/>
        <v>1</v>
      </c>
      <c r="AA312" s="1">
        <f t="shared" si="69"/>
        <v>0</v>
      </c>
    </row>
    <row r="313" spans="1:27" ht="18" customHeight="1" x14ac:dyDescent="0.3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6"/>
        <v>0</v>
      </c>
      <c r="J313" s="68">
        <f t="shared" ca="1" si="57"/>
        <v>0</v>
      </c>
      <c r="K313" s="68">
        <f t="shared" ca="1" si="58"/>
        <v>0</v>
      </c>
      <c r="L313" s="68">
        <f t="shared" ca="1" si="59"/>
        <v>0</v>
      </c>
      <c r="M313" s="69">
        <f t="shared" si="60"/>
        <v>0</v>
      </c>
      <c r="N313" s="65" t="str">
        <f t="shared" si="61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62"/>
        <v/>
      </c>
      <c r="U313" s="1">
        <f t="shared" si="63"/>
        <v>0</v>
      </c>
      <c r="V313" s="1">
        <f t="shared" si="64"/>
        <v>2958465</v>
      </c>
      <c r="W313" s="1">
        <f t="shared" si="65"/>
        <v>0</v>
      </c>
      <c r="X313" s="1">
        <f t="shared" si="66"/>
        <v>0</v>
      </c>
      <c r="Y313" s="1">
        <f t="shared" si="67"/>
        <v>97200</v>
      </c>
      <c r="Z313" s="1">
        <f t="shared" si="68"/>
        <v>1</v>
      </c>
      <c r="AA313" s="1">
        <f t="shared" si="69"/>
        <v>0</v>
      </c>
    </row>
    <row r="314" spans="1:27" ht="18" customHeight="1" x14ac:dyDescent="0.3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6"/>
        <v>0</v>
      </c>
      <c r="J314" s="68">
        <f t="shared" ca="1" si="57"/>
        <v>0</v>
      </c>
      <c r="K314" s="68">
        <f t="shared" ca="1" si="58"/>
        <v>0</v>
      </c>
      <c r="L314" s="68">
        <f t="shared" ca="1" si="59"/>
        <v>0</v>
      </c>
      <c r="M314" s="69">
        <f t="shared" si="60"/>
        <v>0</v>
      </c>
      <c r="N314" s="65" t="str">
        <f t="shared" si="61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62"/>
        <v/>
      </c>
      <c r="U314" s="1">
        <f t="shared" si="63"/>
        <v>0</v>
      </c>
      <c r="V314" s="1">
        <f t="shared" si="64"/>
        <v>2958465</v>
      </c>
      <c r="W314" s="1">
        <f t="shared" si="65"/>
        <v>0</v>
      </c>
      <c r="X314" s="1">
        <f t="shared" si="66"/>
        <v>0</v>
      </c>
      <c r="Y314" s="1">
        <f t="shared" si="67"/>
        <v>97200</v>
      </c>
      <c r="Z314" s="1">
        <f t="shared" si="68"/>
        <v>1</v>
      </c>
      <c r="AA314" s="1">
        <f t="shared" si="69"/>
        <v>0</v>
      </c>
    </row>
    <row r="315" spans="1:27" ht="18" customHeight="1" x14ac:dyDescent="0.3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6"/>
        <v>0</v>
      </c>
      <c r="J315" s="68">
        <f t="shared" ca="1" si="57"/>
        <v>0</v>
      </c>
      <c r="K315" s="68">
        <f t="shared" ca="1" si="58"/>
        <v>0</v>
      </c>
      <c r="L315" s="68">
        <f t="shared" ca="1" si="59"/>
        <v>0</v>
      </c>
      <c r="M315" s="69">
        <f t="shared" si="60"/>
        <v>0</v>
      </c>
      <c r="N315" s="65" t="str">
        <f t="shared" si="61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62"/>
        <v/>
      </c>
      <c r="U315" s="1">
        <f t="shared" si="63"/>
        <v>0</v>
      </c>
      <c r="V315" s="1">
        <f t="shared" si="64"/>
        <v>2958465</v>
      </c>
      <c r="W315" s="1">
        <f t="shared" si="65"/>
        <v>0</v>
      </c>
      <c r="X315" s="1">
        <f t="shared" si="66"/>
        <v>0</v>
      </c>
      <c r="Y315" s="1">
        <f t="shared" si="67"/>
        <v>97200</v>
      </c>
      <c r="Z315" s="1">
        <f t="shared" si="68"/>
        <v>1</v>
      </c>
      <c r="AA315" s="1">
        <f t="shared" si="69"/>
        <v>0</v>
      </c>
    </row>
    <row r="316" spans="1:27" ht="18" customHeight="1" x14ac:dyDescent="0.3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6"/>
        <v>0</v>
      </c>
      <c r="J316" s="68">
        <f t="shared" ca="1" si="57"/>
        <v>0</v>
      </c>
      <c r="K316" s="68">
        <f t="shared" ca="1" si="58"/>
        <v>0</v>
      </c>
      <c r="L316" s="68">
        <f t="shared" ca="1" si="59"/>
        <v>0</v>
      </c>
      <c r="M316" s="69">
        <f t="shared" si="60"/>
        <v>0</v>
      </c>
      <c r="N316" s="65" t="str">
        <f t="shared" si="61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62"/>
        <v/>
      </c>
      <c r="U316" s="1">
        <f t="shared" si="63"/>
        <v>0</v>
      </c>
      <c r="V316" s="1">
        <f t="shared" si="64"/>
        <v>2958465</v>
      </c>
      <c r="W316" s="1">
        <f t="shared" si="65"/>
        <v>0</v>
      </c>
      <c r="X316" s="1">
        <f t="shared" si="66"/>
        <v>0</v>
      </c>
      <c r="Y316" s="1">
        <f t="shared" si="67"/>
        <v>97200</v>
      </c>
      <c r="Z316" s="1">
        <f t="shared" si="68"/>
        <v>1</v>
      </c>
      <c r="AA316" s="1">
        <f t="shared" si="69"/>
        <v>0</v>
      </c>
    </row>
    <row r="317" spans="1:27" ht="18" customHeight="1" x14ac:dyDescent="0.3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6"/>
        <v>0</v>
      </c>
      <c r="J317" s="68">
        <f t="shared" ca="1" si="57"/>
        <v>0</v>
      </c>
      <c r="K317" s="68">
        <f t="shared" ca="1" si="58"/>
        <v>0</v>
      </c>
      <c r="L317" s="68">
        <f t="shared" ca="1" si="59"/>
        <v>0</v>
      </c>
      <c r="M317" s="69">
        <f t="shared" si="60"/>
        <v>0</v>
      </c>
      <c r="N317" s="65" t="str">
        <f t="shared" si="61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62"/>
        <v/>
      </c>
      <c r="U317" s="1">
        <f t="shared" si="63"/>
        <v>0</v>
      </c>
      <c r="V317" s="1">
        <f t="shared" si="64"/>
        <v>2958465</v>
      </c>
      <c r="W317" s="1">
        <f t="shared" si="65"/>
        <v>0</v>
      </c>
      <c r="X317" s="1">
        <f t="shared" si="66"/>
        <v>0</v>
      </c>
      <c r="Y317" s="1">
        <f t="shared" si="67"/>
        <v>97200</v>
      </c>
      <c r="Z317" s="1">
        <f t="shared" si="68"/>
        <v>1</v>
      </c>
      <c r="AA317" s="1">
        <f t="shared" si="69"/>
        <v>0</v>
      </c>
    </row>
    <row r="318" spans="1:27" ht="18" customHeight="1" x14ac:dyDescent="0.3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6"/>
        <v>0</v>
      </c>
      <c r="J318" s="68">
        <f t="shared" ca="1" si="57"/>
        <v>0</v>
      </c>
      <c r="K318" s="68">
        <f t="shared" ca="1" si="58"/>
        <v>0</v>
      </c>
      <c r="L318" s="68">
        <f t="shared" ca="1" si="59"/>
        <v>0</v>
      </c>
      <c r="M318" s="69">
        <f t="shared" si="60"/>
        <v>0</v>
      </c>
      <c r="N318" s="65" t="str">
        <f t="shared" si="61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62"/>
        <v/>
      </c>
      <c r="U318" s="1">
        <f t="shared" si="63"/>
        <v>0</v>
      </c>
      <c r="V318" s="1">
        <f t="shared" si="64"/>
        <v>2958465</v>
      </c>
      <c r="W318" s="1">
        <f t="shared" si="65"/>
        <v>0</v>
      </c>
      <c r="X318" s="1">
        <f t="shared" si="66"/>
        <v>0</v>
      </c>
      <c r="Y318" s="1">
        <f t="shared" si="67"/>
        <v>97200</v>
      </c>
      <c r="Z318" s="1">
        <f t="shared" si="68"/>
        <v>1</v>
      </c>
      <c r="AA318" s="1">
        <f t="shared" si="69"/>
        <v>0</v>
      </c>
    </row>
    <row r="319" spans="1:27" ht="18" customHeight="1" x14ac:dyDescent="0.3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6"/>
        <v>0</v>
      </c>
      <c r="J319" s="68">
        <f t="shared" ca="1" si="57"/>
        <v>0</v>
      </c>
      <c r="K319" s="68">
        <f t="shared" ca="1" si="58"/>
        <v>0</v>
      </c>
      <c r="L319" s="68">
        <f t="shared" ca="1" si="59"/>
        <v>0</v>
      </c>
      <c r="M319" s="69">
        <f t="shared" si="60"/>
        <v>0</v>
      </c>
      <c r="N319" s="65" t="str">
        <f t="shared" si="61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62"/>
        <v/>
      </c>
      <c r="U319" s="1">
        <f t="shared" si="63"/>
        <v>0</v>
      </c>
      <c r="V319" s="1">
        <f t="shared" si="64"/>
        <v>2958465</v>
      </c>
      <c r="W319" s="1">
        <f t="shared" si="65"/>
        <v>0</v>
      </c>
      <c r="X319" s="1">
        <f t="shared" si="66"/>
        <v>0</v>
      </c>
      <c r="Y319" s="1">
        <f t="shared" si="67"/>
        <v>97200</v>
      </c>
      <c r="Z319" s="1">
        <f t="shared" si="68"/>
        <v>1</v>
      </c>
      <c r="AA319" s="1">
        <f t="shared" si="69"/>
        <v>0</v>
      </c>
    </row>
    <row r="320" spans="1:27" ht="18" customHeight="1" x14ac:dyDescent="0.3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6"/>
        <v>0</v>
      </c>
      <c r="J320" s="68">
        <f t="shared" ca="1" si="57"/>
        <v>0</v>
      </c>
      <c r="K320" s="68">
        <f t="shared" ca="1" si="58"/>
        <v>0</v>
      </c>
      <c r="L320" s="68">
        <f t="shared" ca="1" si="59"/>
        <v>0</v>
      </c>
      <c r="M320" s="69">
        <f t="shared" si="60"/>
        <v>0</v>
      </c>
      <c r="N320" s="65" t="str">
        <f t="shared" si="61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62"/>
        <v/>
      </c>
      <c r="U320" s="1">
        <f t="shared" si="63"/>
        <v>0</v>
      </c>
      <c r="V320" s="1">
        <f t="shared" si="64"/>
        <v>2958465</v>
      </c>
      <c r="W320" s="1">
        <f t="shared" si="65"/>
        <v>0</v>
      </c>
      <c r="X320" s="1">
        <f t="shared" si="66"/>
        <v>0</v>
      </c>
      <c r="Y320" s="1">
        <f t="shared" si="67"/>
        <v>97200</v>
      </c>
      <c r="Z320" s="1">
        <f t="shared" si="68"/>
        <v>1</v>
      </c>
      <c r="AA320" s="1">
        <f t="shared" si="69"/>
        <v>0</v>
      </c>
    </row>
    <row r="321" spans="1:27" ht="18" customHeight="1" x14ac:dyDescent="0.3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6"/>
        <v>0</v>
      </c>
      <c r="J321" s="68">
        <f t="shared" ca="1" si="57"/>
        <v>0</v>
      </c>
      <c r="K321" s="68">
        <f t="shared" ca="1" si="58"/>
        <v>0</v>
      </c>
      <c r="L321" s="68">
        <f t="shared" ca="1" si="59"/>
        <v>0</v>
      </c>
      <c r="M321" s="69">
        <f t="shared" si="60"/>
        <v>0</v>
      </c>
      <c r="N321" s="65" t="str">
        <f t="shared" si="61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62"/>
        <v/>
      </c>
      <c r="U321" s="1">
        <f t="shared" si="63"/>
        <v>0</v>
      </c>
      <c r="V321" s="1">
        <f t="shared" si="64"/>
        <v>2958465</v>
      </c>
      <c r="W321" s="1">
        <f t="shared" si="65"/>
        <v>0</v>
      </c>
      <c r="X321" s="1">
        <f t="shared" si="66"/>
        <v>0</v>
      </c>
      <c r="Y321" s="1">
        <f t="shared" si="67"/>
        <v>97200</v>
      </c>
      <c r="Z321" s="1">
        <f t="shared" si="68"/>
        <v>1</v>
      </c>
      <c r="AA321" s="1">
        <f t="shared" si="69"/>
        <v>0</v>
      </c>
    </row>
    <row r="322" spans="1:27" ht="18" customHeight="1" x14ac:dyDescent="0.3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6"/>
        <v>0</v>
      </c>
      <c r="J322" s="68">
        <f t="shared" ca="1" si="57"/>
        <v>0</v>
      </c>
      <c r="K322" s="68">
        <f t="shared" ca="1" si="58"/>
        <v>0</v>
      </c>
      <c r="L322" s="68">
        <f t="shared" ca="1" si="59"/>
        <v>0</v>
      </c>
      <c r="M322" s="69">
        <f t="shared" si="60"/>
        <v>0</v>
      </c>
      <c r="N322" s="65" t="str">
        <f t="shared" si="61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62"/>
        <v/>
      </c>
      <c r="U322" s="1">
        <f t="shared" si="63"/>
        <v>0</v>
      </c>
      <c r="V322" s="1">
        <f t="shared" si="64"/>
        <v>2958465</v>
      </c>
      <c r="W322" s="1">
        <f t="shared" si="65"/>
        <v>0</v>
      </c>
      <c r="X322" s="1">
        <f t="shared" si="66"/>
        <v>0</v>
      </c>
      <c r="Y322" s="1">
        <f t="shared" si="67"/>
        <v>97200</v>
      </c>
      <c r="Z322" s="1">
        <f t="shared" si="68"/>
        <v>1</v>
      </c>
      <c r="AA322" s="1">
        <f t="shared" si="69"/>
        <v>0</v>
      </c>
    </row>
    <row r="323" spans="1:27" ht="18" customHeight="1" x14ac:dyDescent="0.3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6"/>
        <v>0</v>
      </c>
      <c r="J323" s="68">
        <f t="shared" ca="1" si="57"/>
        <v>0</v>
      </c>
      <c r="K323" s="68">
        <f t="shared" ca="1" si="58"/>
        <v>0</v>
      </c>
      <c r="L323" s="68">
        <f t="shared" ca="1" si="59"/>
        <v>0</v>
      </c>
      <c r="M323" s="69">
        <f t="shared" si="60"/>
        <v>0</v>
      </c>
      <c r="N323" s="65" t="str">
        <f t="shared" si="61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62"/>
        <v/>
      </c>
      <c r="U323" s="1">
        <f t="shared" si="63"/>
        <v>0</v>
      </c>
      <c r="V323" s="1">
        <f t="shared" si="64"/>
        <v>2958465</v>
      </c>
      <c r="W323" s="1">
        <f t="shared" si="65"/>
        <v>0</v>
      </c>
      <c r="X323" s="1">
        <f t="shared" si="66"/>
        <v>0</v>
      </c>
      <c r="Y323" s="1">
        <f t="shared" si="67"/>
        <v>97200</v>
      </c>
      <c r="Z323" s="1">
        <f t="shared" si="68"/>
        <v>1</v>
      </c>
      <c r="AA323" s="1">
        <f t="shared" si="69"/>
        <v>0</v>
      </c>
    </row>
    <row r="324" spans="1:27" ht="18" customHeight="1" x14ac:dyDescent="0.3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6"/>
        <v>0</v>
      </c>
      <c r="J324" s="68">
        <f t="shared" ca="1" si="57"/>
        <v>0</v>
      </c>
      <c r="K324" s="68">
        <f t="shared" ca="1" si="58"/>
        <v>0</v>
      </c>
      <c r="L324" s="68">
        <f t="shared" ca="1" si="59"/>
        <v>0</v>
      </c>
      <c r="M324" s="69">
        <f t="shared" si="60"/>
        <v>0</v>
      </c>
      <c r="N324" s="65" t="str">
        <f t="shared" si="61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62"/>
        <v/>
      </c>
      <c r="U324" s="1">
        <f t="shared" si="63"/>
        <v>0</v>
      </c>
      <c r="V324" s="1">
        <f t="shared" si="64"/>
        <v>2958465</v>
      </c>
      <c r="W324" s="1">
        <f t="shared" si="65"/>
        <v>0</v>
      </c>
      <c r="X324" s="1">
        <f t="shared" si="66"/>
        <v>0</v>
      </c>
      <c r="Y324" s="1">
        <f t="shared" si="67"/>
        <v>97200</v>
      </c>
      <c r="Z324" s="1">
        <f t="shared" si="68"/>
        <v>1</v>
      </c>
      <c r="AA324" s="1">
        <f t="shared" si="69"/>
        <v>0</v>
      </c>
    </row>
    <row r="325" spans="1:27" ht="18" customHeight="1" x14ac:dyDescent="0.3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6"/>
        <v>0</v>
      </c>
      <c r="J325" s="68">
        <f t="shared" ca="1" si="57"/>
        <v>0</v>
      </c>
      <c r="K325" s="68">
        <f t="shared" ca="1" si="58"/>
        <v>0</v>
      </c>
      <c r="L325" s="68">
        <f t="shared" ca="1" si="59"/>
        <v>0</v>
      </c>
      <c r="M325" s="69">
        <f t="shared" si="60"/>
        <v>0</v>
      </c>
      <c r="N325" s="65" t="str">
        <f t="shared" si="61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62"/>
        <v/>
      </c>
      <c r="U325" s="1">
        <f t="shared" si="63"/>
        <v>0</v>
      </c>
      <c r="V325" s="1">
        <f t="shared" si="64"/>
        <v>2958465</v>
      </c>
      <c r="W325" s="1">
        <f t="shared" si="65"/>
        <v>0</v>
      </c>
      <c r="X325" s="1">
        <f t="shared" si="66"/>
        <v>0</v>
      </c>
      <c r="Y325" s="1">
        <f t="shared" si="67"/>
        <v>97200</v>
      </c>
      <c r="Z325" s="1">
        <f t="shared" si="68"/>
        <v>1</v>
      </c>
      <c r="AA325" s="1">
        <f t="shared" si="69"/>
        <v>0</v>
      </c>
    </row>
    <row r="326" spans="1:27" ht="18" customHeight="1" x14ac:dyDescent="0.3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6"/>
        <v>0</v>
      </c>
      <c r="J326" s="68">
        <f t="shared" ca="1" si="57"/>
        <v>0</v>
      </c>
      <c r="K326" s="68">
        <f t="shared" ca="1" si="58"/>
        <v>0</v>
      </c>
      <c r="L326" s="68">
        <f t="shared" ca="1" si="59"/>
        <v>0</v>
      </c>
      <c r="M326" s="69">
        <f t="shared" si="60"/>
        <v>0</v>
      </c>
      <c r="N326" s="65" t="str">
        <f t="shared" si="61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62"/>
        <v/>
      </c>
      <c r="U326" s="1">
        <f t="shared" si="63"/>
        <v>0</v>
      </c>
      <c r="V326" s="1">
        <f t="shared" si="64"/>
        <v>2958465</v>
      </c>
      <c r="W326" s="1">
        <f t="shared" si="65"/>
        <v>0</v>
      </c>
      <c r="X326" s="1">
        <f t="shared" si="66"/>
        <v>0</v>
      </c>
      <c r="Y326" s="1">
        <f t="shared" si="67"/>
        <v>97200</v>
      </c>
      <c r="Z326" s="1">
        <f t="shared" si="68"/>
        <v>1</v>
      </c>
      <c r="AA326" s="1">
        <f t="shared" si="69"/>
        <v>0</v>
      </c>
    </row>
    <row r="327" spans="1:27" ht="18" customHeight="1" x14ac:dyDescent="0.3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70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71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72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73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74">IF($G327&gt;0,$I327/$G327,0)</f>
        <v>0</v>
      </c>
      <c r="N327" s="65" t="str">
        <f t="shared" ref="N327:N390" si="75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6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7">IF($O327="",0,$O327)</f>
        <v>0</v>
      </c>
      <c r="V327" s="1">
        <f t="shared" ref="V327:V390" si="78">IF($E327="",2958465,$E327)</f>
        <v>2958465</v>
      </c>
      <c r="W327" s="1">
        <f t="shared" ref="W327:W390" si="79">IF($F327="Haftalık",1,IF($F327="Aylık",2,0))</f>
        <v>0</v>
      </c>
      <c r="X327" s="1">
        <f t="shared" ref="X327:X390" si="80">IF($U327=0,0,(YEAR($U327)-1900)*12+MONTH($U327))</f>
        <v>0</v>
      </c>
      <c r="Y327" s="1">
        <f t="shared" ref="Y327:Y390" si="81">(YEAR($V327)-1900)*12+MONTH($V327)</f>
        <v>97200</v>
      </c>
      <c r="Z327" s="1">
        <f t="shared" ref="Z327:Z390" si="82">IF($V327=EOMONTH($V327,0),1,0)</f>
        <v>1</v>
      </c>
      <c r="AA327" s="1">
        <f t="shared" ref="AA327:AA390" si="83">IF(OR($B327="",$H327&lt;&gt;"Aktif"),0,COUNTIFS($B$7:$B$606,$B327,$H$7:$H$606,"Aktif"))</f>
        <v>0</v>
      </c>
    </row>
    <row r="328" spans="1:27" ht="18" customHeight="1" x14ac:dyDescent="0.3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70"/>
        <v>0</v>
      </c>
      <c r="J328" s="68">
        <f t="shared" ca="1" si="71"/>
        <v>0</v>
      </c>
      <c r="K328" s="68">
        <f t="shared" ca="1" si="72"/>
        <v>0</v>
      </c>
      <c r="L328" s="68">
        <f t="shared" ca="1" si="73"/>
        <v>0</v>
      </c>
      <c r="M328" s="69">
        <f t="shared" si="74"/>
        <v>0</v>
      </c>
      <c r="N328" s="65" t="str">
        <f t="shared" si="75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6"/>
        <v/>
      </c>
      <c r="U328" s="1">
        <f t="shared" si="77"/>
        <v>0</v>
      </c>
      <c r="V328" s="1">
        <f t="shared" si="78"/>
        <v>2958465</v>
      </c>
      <c r="W328" s="1">
        <f t="shared" si="79"/>
        <v>0</v>
      </c>
      <c r="X328" s="1">
        <f t="shared" si="80"/>
        <v>0</v>
      </c>
      <c r="Y328" s="1">
        <f t="shared" si="81"/>
        <v>97200</v>
      </c>
      <c r="Z328" s="1">
        <f t="shared" si="82"/>
        <v>1</v>
      </c>
      <c r="AA328" s="1">
        <f t="shared" si="83"/>
        <v>0</v>
      </c>
    </row>
    <row r="329" spans="1:27" ht="18" customHeight="1" x14ac:dyDescent="0.3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70"/>
        <v>0</v>
      </c>
      <c r="J329" s="68">
        <f t="shared" ca="1" si="71"/>
        <v>0</v>
      </c>
      <c r="K329" s="68">
        <f t="shared" ca="1" si="72"/>
        <v>0</v>
      </c>
      <c r="L329" s="68">
        <f t="shared" ca="1" si="73"/>
        <v>0</v>
      </c>
      <c r="M329" s="69">
        <f t="shared" si="74"/>
        <v>0</v>
      </c>
      <c r="N329" s="65" t="str">
        <f t="shared" si="75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6"/>
        <v/>
      </c>
      <c r="U329" s="1">
        <f t="shared" si="77"/>
        <v>0</v>
      </c>
      <c r="V329" s="1">
        <f t="shared" si="78"/>
        <v>2958465</v>
      </c>
      <c r="W329" s="1">
        <f t="shared" si="79"/>
        <v>0</v>
      </c>
      <c r="X329" s="1">
        <f t="shared" si="80"/>
        <v>0</v>
      </c>
      <c r="Y329" s="1">
        <f t="shared" si="81"/>
        <v>97200</v>
      </c>
      <c r="Z329" s="1">
        <f t="shared" si="82"/>
        <v>1</v>
      </c>
      <c r="AA329" s="1">
        <f t="shared" si="83"/>
        <v>0</v>
      </c>
    </row>
    <row r="330" spans="1:27" ht="18" customHeight="1" x14ac:dyDescent="0.3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70"/>
        <v>0</v>
      </c>
      <c r="J330" s="68">
        <f t="shared" ca="1" si="71"/>
        <v>0</v>
      </c>
      <c r="K330" s="68">
        <f t="shared" ca="1" si="72"/>
        <v>0</v>
      </c>
      <c r="L330" s="68">
        <f t="shared" ca="1" si="73"/>
        <v>0</v>
      </c>
      <c r="M330" s="69">
        <f t="shared" si="74"/>
        <v>0</v>
      </c>
      <c r="N330" s="65" t="str">
        <f t="shared" si="75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6"/>
        <v/>
      </c>
      <c r="U330" s="1">
        <f t="shared" si="77"/>
        <v>0</v>
      </c>
      <c r="V330" s="1">
        <f t="shared" si="78"/>
        <v>2958465</v>
      </c>
      <c r="W330" s="1">
        <f t="shared" si="79"/>
        <v>0</v>
      </c>
      <c r="X330" s="1">
        <f t="shared" si="80"/>
        <v>0</v>
      </c>
      <c r="Y330" s="1">
        <f t="shared" si="81"/>
        <v>97200</v>
      </c>
      <c r="Z330" s="1">
        <f t="shared" si="82"/>
        <v>1</v>
      </c>
      <c r="AA330" s="1">
        <f t="shared" si="83"/>
        <v>0</v>
      </c>
    </row>
    <row r="331" spans="1:27" ht="18" customHeight="1" x14ac:dyDescent="0.3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70"/>
        <v>0</v>
      </c>
      <c r="J331" s="68">
        <f t="shared" ca="1" si="71"/>
        <v>0</v>
      </c>
      <c r="K331" s="68">
        <f t="shared" ca="1" si="72"/>
        <v>0</v>
      </c>
      <c r="L331" s="68">
        <f t="shared" ca="1" si="73"/>
        <v>0</v>
      </c>
      <c r="M331" s="69">
        <f t="shared" si="74"/>
        <v>0</v>
      </c>
      <c r="N331" s="65" t="str">
        <f t="shared" si="75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6"/>
        <v/>
      </c>
      <c r="U331" s="1">
        <f t="shared" si="77"/>
        <v>0</v>
      </c>
      <c r="V331" s="1">
        <f t="shared" si="78"/>
        <v>2958465</v>
      </c>
      <c r="W331" s="1">
        <f t="shared" si="79"/>
        <v>0</v>
      </c>
      <c r="X331" s="1">
        <f t="shared" si="80"/>
        <v>0</v>
      </c>
      <c r="Y331" s="1">
        <f t="shared" si="81"/>
        <v>97200</v>
      </c>
      <c r="Z331" s="1">
        <f t="shared" si="82"/>
        <v>1</v>
      </c>
      <c r="AA331" s="1">
        <f t="shared" si="83"/>
        <v>0</v>
      </c>
    </row>
    <row r="332" spans="1:27" ht="18" customHeight="1" x14ac:dyDescent="0.3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70"/>
        <v>0</v>
      </c>
      <c r="J332" s="68">
        <f t="shared" ca="1" si="71"/>
        <v>0</v>
      </c>
      <c r="K332" s="68">
        <f t="shared" ca="1" si="72"/>
        <v>0</v>
      </c>
      <c r="L332" s="68">
        <f t="shared" ca="1" si="73"/>
        <v>0</v>
      </c>
      <c r="M332" s="69">
        <f t="shared" si="74"/>
        <v>0</v>
      </c>
      <c r="N332" s="65" t="str">
        <f t="shared" si="75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6"/>
        <v/>
      </c>
      <c r="U332" s="1">
        <f t="shared" si="77"/>
        <v>0</v>
      </c>
      <c r="V332" s="1">
        <f t="shared" si="78"/>
        <v>2958465</v>
      </c>
      <c r="W332" s="1">
        <f t="shared" si="79"/>
        <v>0</v>
      </c>
      <c r="X332" s="1">
        <f t="shared" si="80"/>
        <v>0</v>
      </c>
      <c r="Y332" s="1">
        <f t="shared" si="81"/>
        <v>97200</v>
      </c>
      <c r="Z332" s="1">
        <f t="shared" si="82"/>
        <v>1</v>
      </c>
      <c r="AA332" s="1">
        <f t="shared" si="83"/>
        <v>0</v>
      </c>
    </row>
    <row r="333" spans="1:27" ht="18" customHeight="1" x14ac:dyDescent="0.3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70"/>
        <v>0</v>
      </c>
      <c r="J333" s="68">
        <f t="shared" ca="1" si="71"/>
        <v>0</v>
      </c>
      <c r="K333" s="68">
        <f t="shared" ca="1" si="72"/>
        <v>0</v>
      </c>
      <c r="L333" s="68">
        <f t="shared" ca="1" si="73"/>
        <v>0</v>
      </c>
      <c r="M333" s="69">
        <f t="shared" si="74"/>
        <v>0</v>
      </c>
      <c r="N333" s="65" t="str">
        <f t="shared" si="75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6"/>
        <v/>
      </c>
      <c r="U333" s="1">
        <f t="shared" si="77"/>
        <v>0</v>
      </c>
      <c r="V333" s="1">
        <f t="shared" si="78"/>
        <v>2958465</v>
      </c>
      <c r="W333" s="1">
        <f t="shared" si="79"/>
        <v>0</v>
      </c>
      <c r="X333" s="1">
        <f t="shared" si="80"/>
        <v>0</v>
      </c>
      <c r="Y333" s="1">
        <f t="shared" si="81"/>
        <v>97200</v>
      </c>
      <c r="Z333" s="1">
        <f t="shared" si="82"/>
        <v>1</v>
      </c>
      <c r="AA333" s="1">
        <f t="shared" si="83"/>
        <v>0</v>
      </c>
    </row>
    <row r="334" spans="1:27" ht="18" customHeight="1" x14ac:dyDescent="0.3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70"/>
        <v>0</v>
      </c>
      <c r="J334" s="68">
        <f t="shared" ca="1" si="71"/>
        <v>0</v>
      </c>
      <c r="K334" s="68">
        <f t="shared" ca="1" si="72"/>
        <v>0</v>
      </c>
      <c r="L334" s="68">
        <f t="shared" ca="1" si="73"/>
        <v>0</v>
      </c>
      <c r="M334" s="69">
        <f t="shared" si="74"/>
        <v>0</v>
      </c>
      <c r="N334" s="65" t="str">
        <f t="shared" si="75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6"/>
        <v/>
      </c>
      <c r="U334" s="1">
        <f t="shared" si="77"/>
        <v>0</v>
      </c>
      <c r="V334" s="1">
        <f t="shared" si="78"/>
        <v>2958465</v>
      </c>
      <c r="W334" s="1">
        <f t="shared" si="79"/>
        <v>0</v>
      </c>
      <c r="X334" s="1">
        <f t="shared" si="80"/>
        <v>0</v>
      </c>
      <c r="Y334" s="1">
        <f t="shared" si="81"/>
        <v>97200</v>
      </c>
      <c r="Z334" s="1">
        <f t="shared" si="82"/>
        <v>1</v>
      </c>
      <c r="AA334" s="1">
        <f t="shared" si="83"/>
        <v>0</v>
      </c>
    </row>
    <row r="335" spans="1:27" ht="18" customHeight="1" x14ac:dyDescent="0.3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70"/>
        <v>0</v>
      </c>
      <c r="J335" s="68">
        <f t="shared" ca="1" si="71"/>
        <v>0</v>
      </c>
      <c r="K335" s="68">
        <f t="shared" ca="1" si="72"/>
        <v>0</v>
      </c>
      <c r="L335" s="68">
        <f t="shared" ca="1" si="73"/>
        <v>0</v>
      </c>
      <c r="M335" s="69">
        <f t="shared" si="74"/>
        <v>0</v>
      </c>
      <c r="N335" s="65" t="str">
        <f t="shared" si="75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6"/>
        <v/>
      </c>
      <c r="U335" s="1">
        <f t="shared" si="77"/>
        <v>0</v>
      </c>
      <c r="V335" s="1">
        <f t="shared" si="78"/>
        <v>2958465</v>
      </c>
      <c r="W335" s="1">
        <f t="shared" si="79"/>
        <v>0</v>
      </c>
      <c r="X335" s="1">
        <f t="shared" si="80"/>
        <v>0</v>
      </c>
      <c r="Y335" s="1">
        <f t="shared" si="81"/>
        <v>97200</v>
      </c>
      <c r="Z335" s="1">
        <f t="shared" si="82"/>
        <v>1</v>
      </c>
      <c r="AA335" s="1">
        <f t="shared" si="83"/>
        <v>0</v>
      </c>
    </row>
    <row r="336" spans="1:27" ht="18" customHeight="1" x14ac:dyDescent="0.3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70"/>
        <v>0</v>
      </c>
      <c r="J336" s="68">
        <f t="shared" ca="1" si="71"/>
        <v>0</v>
      </c>
      <c r="K336" s="68">
        <f t="shared" ca="1" si="72"/>
        <v>0</v>
      </c>
      <c r="L336" s="68">
        <f t="shared" ca="1" si="73"/>
        <v>0</v>
      </c>
      <c r="M336" s="69">
        <f t="shared" si="74"/>
        <v>0</v>
      </c>
      <c r="N336" s="65" t="str">
        <f t="shared" si="75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6"/>
        <v/>
      </c>
      <c r="U336" s="1">
        <f t="shared" si="77"/>
        <v>0</v>
      </c>
      <c r="V336" s="1">
        <f t="shared" si="78"/>
        <v>2958465</v>
      </c>
      <c r="W336" s="1">
        <f t="shared" si="79"/>
        <v>0</v>
      </c>
      <c r="X336" s="1">
        <f t="shared" si="80"/>
        <v>0</v>
      </c>
      <c r="Y336" s="1">
        <f t="shared" si="81"/>
        <v>97200</v>
      </c>
      <c r="Z336" s="1">
        <f t="shared" si="82"/>
        <v>1</v>
      </c>
      <c r="AA336" s="1">
        <f t="shared" si="83"/>
        <v>0</v>
      </c>
    </row>
    <row r="337" spans="1:27" ht="18" customHeight="1" x14ac:dyDescent="0.3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70"/>
        <v>0</v>
      </c>
      <c r="J337" s="68">
        <f t="shared" ca="1" si="71"/>
        <v>0</v>
      </c>
      <c r="K337" s="68">
        <f t="shared" ca="1" si="72"/>
        <v>0</v>
      </c>
      <c r="L337" s="68">
        <f t="shared" ca="1" si="73"/>
        <v>0</v>
      </c>
      <c r="M337" s="69">
        <f t="shared" si="74"/>
        <v>0</v>
      </c>
      <c r="N337" s="65" t="str">
        <f t="shared" si="75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6"/>
        <v/>
      </c>
      <c r="U337" s="1">
        <f t="shared" si="77"/>
        <v>0</v>
      </c>
      <c r="V337" s="1">
        <f t="shared" si="78"/>
        <v>2958465</v>
      </c>
      <c r="W337" s="1">
        <f t="shared" si="79"/>
        <v>0</v>
      </c>
      <c r="X337" s="1">
        <f t="shared" si="80"/>
        <v>0</v>
      </c>
      <c r="Y337" s="1">
        <f t="shared" si="81"/>
        <v>97200</v>
      </c>
      <c r="Z337" s="1">
        <f t="shared" si="82"/>
        <v>1</v>
      </c>
      <c r="AA337" s="1">
        <f t="shared" si="83"/>
        <v>0</v>
      </c>
    </row>
    <row r="338" spans="1:27" ht="18" customHeight="1" x14ac:dyDescent="0.3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70"/>
        <v>0</v>
      </c>
      <c r="J338" s="68">
        <f t="shared" ca="1" si="71"/>
        <v>0</v>
      </c>
      <c r="K338" s="68">
        <f t="shared" ca="1" si="72"/>
        <v>0</v>
      </c>
      <c r="L338" s="68">
        <f t="shared" ca="1" si="73"/>
        <v>0</v>
      </c>
      <c r="M338" s="69">
        <f t="shared" si="74"/>
        <v>0</v>
      </c>
      <c r="N338" s="65" t="str">
        <f t="shared" si="75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6"/>
        <v/>
      </c>
      <c r="U338" s="1">
        <f t="shared" si="77"/>
        <v>0</v>
      </c>
      <c r="V338" s="1">
        <f t="shared" si="78"/>
        <v>2958465</v>
      </c>
      <c r="W338" s="1">
        <f t="shared" si="79"/>
        <v>0</v>
      </c>
      <c r="X338" s="1">
        <f t="shared" si="80"/>
        <v>0</v>
      </c>
      <c r="Y338" s="1">
        <f t="shared" si="81"/>
        <v>97200</v>
      </c>
      <c r="Z338" s="1">
        <f t="shared" si="82"/>
        <v>1</v>
      </c>
      <c r="AA338" s="1">
        <f t="shared" si="83"/>
        <v>0</v>
      </c>
    </row>
    <row r="339" spans="1:27" ht="18" customHeight="1" x14ac:dyDescent="0.3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70"/>
        <v>0</v>
      </c>
      <c r="J339" s="68">
        <f t="shared" ca="1" si="71"/>
        <v>0</v>
      </c>
      <c r="K339" s="68">
        <f t="shared" ca="1" si="72"/>
        <v>0</v>
      </c>
      <c r="L339" s="68">
        <f t="shared" ca="1" si="73"/>
        <v>0</v>
      </c>
      <c r="M339" s="69">
        <f t="shared" si="74"/>
        <v>0</v>
      </c>
      <c r="N339" s="65" t="str">
        <f t="shared" si="75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6"/>
        <v/>
      </c>
      <c r="U339" s="1">
        <f t="shared" si="77"/>
        <v>0</v>
      </c>
      <c r="V339" s="1">
        <f t="shared" si="78"/>
        <v>2958465</v>
      </c>
      <c r="W339" s="1">
        <f t="shared" si="79"/>
        <v>0</v>
      </c>
      <c r="X339" s="1">
        <f t="shared" si="80"/>
        <v>0</v>
      </c>
      <c r="Y339" s="1">
        <f t="shared" si="81"/>
        <v>97200</v>
      </c>
      <c r="Z339" s="1">
        <f t="shared" si="82"/>
        <v>1</v>
      </c>
      <c r="AA339" s="1">
        <f t="shared" si="83"/>
        <v>0</v>
      </c>
    </row>
    <row r="340" spans="1:27" ht="18" customHeight="1" x14ac:dyDescent="0.3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70"/>
        <v>0</v>
      </c>
      <c r="J340" s="68">
        <f t="shared" ca="1" si="71"/>
        <v>0</v>
      </c>
      <c r="K340" s="68">
        <f t="shared" ca="1" si="72"/>
        <v>0</v>
      </c>
      <c r="L340" s="68">
        <f t="shared" ca="1" si="73"/>
        <v>0</v>
      </c>
      <c r="M340" s="69">
        <f t="shared" si="74"/>
        <v>0</v>
      </c>
      <c r="N340" s="65" t="str">
        <f t="shared" si="75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6"/>
        <v/>
      </c>
      <c r="U340" s="1">
        <f t="shared" si="77"/>
        <v>0</v>
      </c>
      <c r="V340" s="1">
        <f t="shared" si="78"/>
        <v>2958465</v>
      </c>
      <c r="W340" s="1">
        <f t="shared" si="79"/>
        <v>0</v>
      </c>
      <c r="X340" s="1">
        <f t="shared" si="80"/>
        <v>0</v>
      </c>
      <c r="Y340" s="1">
        <f t="shared" si="81"/>
        <v>97200</v>
      </c>
      <c r="Z340" s="1">
        <f t="shared" si="82"/>
        <v>1</v>
      </c>
      <c r="AA340" s="1">
        <f t="shared" si="83"/>
        <v>0</v>
      </c>
    </row>
    <row r="341" spans="1:27" ht="18" customHeight="1" x14ac:dyDescent="0.3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70"/>
        <v>0</v>
      </c>
      <c r="J341" s="68">
        <f t="shared" ca="1" si="71"/>
        <v>0</v>
      </c>
      <c r="K341" s="68">
        <f t="shared" ca="1" si="72"/>
        <v>0</v>
      </c>
      <c r="L341" s="68">
        <f t="shared" ca="1" si="73"/>
        <v>0</v>
      </c>
      <c r="M341" s="69">
        <f t="shared" si="74"/>
        <v>0</v>
      </c>
      <c r="N341" s="65" t="str">
        <f t="shared" si="75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6"/>
        <v/>
      </c>
      <c r="U341" s="1">
        <f t="shared" si="77"/>
        <v>0</v>
      </c>
      <c r="V341" s="1">
        <f t="shared" si="78"/>
        <v>2958465</v>
      </c>
      <c r="W341" s="1">
        <f t="shared" si="79"/>
        <v>0</v>
      </c>
      <c r="X341" s="1">
        <f t="shared" si="80"/>
        <v>0</v>
      </c>
      <c r="Y341" s="1">
        <f t="shared" si="81"/>
        <v>97200</v>
      </c>
      <c r="Z341" s="1">
        <f t="shared" si="82"/>
        <v>1</v>
      </c>
      <c r="AA341" s="1">
        <f t="shared" si="83"/>
        <v>0</v>
      </c>
    </row>
    <row r="342" spans="1:27" ht="18" customHeight="1" x14ac:dyDescent="0.3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70"/>
        <v>0</v>
      </c>
      <c r="J342" s="68">
        <f t="shared" ca="1" si="71"/>
        <v>0</v>
      </c>
      <c r="K342" s="68">
        <f t="shared" ca="1" si="72"/>
        <v>0</v>
      </c>
      <c r="L342" s="68">
        <f t="shared" ca="1" si="73"/>
        <v>0</v>
      </c>
      <c r="M342" s="69">
        <f t="shared" si="74"/>
        <v>0</v>
      </c>
      <c r="N342" s="65" t="str">
        <f t="shared" si="75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6"/>
        <v/>
      </c>
      <c r="U342" s="1">
        <f t="shared" si="77"/>
        <v>0</v>
      </c>
      <c r="V342" s="1">
        <f t="shared" si="78"/>
        <v>2958465</v>
      </c>
      <c r="W342" s="1">
        <f t="shared" si="79"/>
        <v>0</v>
      </c>
      <c r="X342" s="1">
        <f t="shared" si="80"/>
        <v>0</v>
      </c>
      <c r="Y342" s="1">
        <f t="shared" si="81"/>
        <v>97200</v>
      </c>
      <c r="Z342" s="1">
        <f t="shared" si="82"/>
        <v>1</v>
      </c>
      <c r="AA342" s="1">
        <f t="shared" si="83"/>
        <v>0</v>
      </c>
    </row>
    <row r="343" spans="1:27" ht="18" customHeight="1" x14ac:dyDescent="0.3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70"/>
        <v>0</v>
      </c>
      <c r="J343" s="68">
        <f t="shared" ca="1" si="71"/>
        <v>0</v>
      </c>
      <c r="K343" s="68">
        <f t="shared" ca="1" si="72"/>
        <v>0</v>
      </c>
      <c r="L343" s="68">
        <f t="shared" ca="1" si="73"/>
        <v>0</v>
      </c>
      <c r="M343" s="69">
        <f t="shared" si="74"/>
        <v>0</v>
      </c>
      <c r="N343" s="65" t="str">
        <f t="shared" si="75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6"/>
        <v/>
      </c>
      <c r="U343" s="1">
        <f t="shared" si="77"/>
        <v>0</v>
      </c>
      <c r="V343" s="1">
        <f t="shared" si="78"/>
        <v>2958465</v>
      </c>
      <c r="W343" s="1">
        <f t="shared" si="79"/>
        <v>0</v>
      </c>
      <c r="X343" s="1">
        <f t="shared" si="80"/>
        <v>0</v>
      </c>
      <c r="Y343" s="1">
        <f t="shared" si="81"/>
        <v>97200</v>
      </c>
      <c r="Z343" s="1">
        <f t="shared" si="82"/>
        <v>1</v>
      </c>
      <c r="AA343" s="1">
        <f t="shared" si="83"/>
        <v>0</v>
      </c>
    </row>
    <row r="344" spans="1:27" ht="18" customHeight="1" x14ac:dyDescent="0.3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70"/>
        <v>0</v>
      </c>
      <c r="J344" s="68">
        <f t="shared" ca="1" si="71"/>
        <v>0</v>
      </c>
      <c r="K344" s="68">
        <f t="shared" ca="1" si="72"/>
        <v>0</v>
      </c>
      <c r="L344" s="68">
        <f t="shared" ca="1" si="73"/>
        <v>0</v>
      </c>
      <c r="M344" s="69">
        <f t="shared" si="74"/>
        <v>0</v>
      </c>
      <c r="N344" s="65" t="str">
        <f t="shared" si="75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6"/>
        <v/>
      </c>
      <c r="U344" s="1">
        <f t="shared" si="77"/>
        <v>0</v>
      </c>
      <c r="V344" s="1">
        <f t="shared" si="78"/>
        <v>2958465</v>
      </c>
      <c r="W344" s="1">
        <f t="shared" si="79"/>
        <v>0</v>
      </c>
      <c r="X344" s="1">
        <f t="shared" si="80"/>
        <v>0</v>
      </c>
      <c r="Y344" s="1">
        <f t="shared" si="81"/>
        <v>97200</v>
      </c>
      <c r="Z344" s="1">
        <f t="shared" si="82"/>
        <v>1</v>
      </c>
      <c r="AA344" s="1">
        <f t="shared" si="83"/>
        <v>0</v>
      </c>
    </row>
    <row r="345" spans="1:27" ht="18" customHeight="1" x14ac:dyDescent="0.3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70"/>
        <v>0</v>
      </c>
      <c r="J345" s="68">
        <f t="shared" ca="1" si="71"/>
        <v>0</v>
      </c>
      <c r="K345" s="68">
        <f t="shared" ca="1" si="72"/>
        <v>0</v>
      </c>
      <c r="L345" s="68">
        <f t="shared" ca="1" si="73"/>
        <v>0</v>
      </c>
      <c r="M345" s="69">
        <f t="shared" si="74"/>
        <v>0</v>
      </c>
      <c r="N345" s="65" t="str">
        <f t="shared" si="75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6"/>
        <v/>
      </c>
      <c r="U345" s="1">
        <f t="shared" si="77"/>
        <v>0</v>
      </c>
      <c r="V345" s="1">
        <f t="shared" si="78"/>
        <v>2958465</v>
      </c>
      <c r="W345" s="1">
        <f t="shared" si="79"/>
        <v>0</v>
      </c>
      <c r="X345" s="1">
        <f t="shared" si="80"/>
        <v>0</v>
      </c>
      <c r="Y345" s="1">
        <f t="shared" si="81"/>
        <v>97200</v>
      </c>
      <c r="Z345" s="1">
        <f t="shared" si="82"/>
        <v>1</v>
      </c>
      <c r="AA345" s="1">
        <f t="shared" si="83"/>
        <v>0</v>
      </c>
    </row>
    <row r="346" spans="1:27" ht="18" customHeight="1" x14ac:dyDescent="0.3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70"/>
        <v>0</v>
      </c>
      <c r="J346" s="68">
        <f t="shared" ca="1" si="71"/>
        <v>0</v>
      </c>
      <c r="K346" s="68">
        <f t="shared" ca="1" si="72"/>
        <v>0</v>
      </c>
      <c r="L346" s="68">
        <f t="shared" ca="1" si="73"/>
        <v>0</v>
      </c>
      <c r="M346" s="69">
        <f t="shared" si="74"/>
        <v>0</v>
      </c>
      <c r="N346" s="65" t="str">
        <f t="shared" si="75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6"/>
        <v/>
      </c>
      <c r="U346" s="1">
        <f t="shared" si="77"/>
        <v>0</v>
      </c>
      <c r="V346" s="1">
        <f t="shared" si="78"/>
        <v>2958465</v>
      </c>
      <c r="W346" s="1">
        <f t="shared" si="79"/>
        <v>0</v>
      </c>
      <c r="X346" s="1">
        <f t="shared" si="80"/>
        <v>0</v>
      </c>
      <c r="Y346" s="1">
        <f t="shared" si="81"/>
        <v>97200</v>
      </c>
      <c r="Z346" s="1">
        <f t="shared" si="82"/>
        <v>1</v>
      </c>
      <c r="AA346" s="1">
        <f t="shared" si="83"/>
        <v>0</v>
      </c>
    </row>
    <row r="347" spans="1:27" ht="18" customHeight="1" x14ac:dyDescent="0.3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70"/>
        <v>0</v>
      </c>
      <c r="J347" s="68">
        <f t="shared" ca="1" si="71"/>
        <v>0</v>
      </c>
      <c r="K347" s="68">
        <f t="shared" ca="1" si="72"/>
        <v>0</v>
      </c>
      <c r="L347" s="68">
        <f t="shared" ca="1" si="73"/>
        <v>0</v>
      </c>
      <c r="M347" s="69">
        <f t="shared" si="74"/>
        <v>0</v>
      </c>
      <c r="N347" s="65" t="str">
        <f t="shared" si="75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6"/>
        <v/>
      </c>
      <c r="U347" s="1">
        <f t="shared" si="77"/>
        <v>0</v>
      </c>
      <c r="V347" s="1">
        <f t="shared" si="78"/>
        <v>2958465</v>
      </c>
      <c r="W347" s="1">
        <f t="shared" si="79"/>
        <v>0</v>
      </c>
      <c r="X347" s="1">
        <f t="shared" si="80"/>
        <v>0</v>
      </c>
      <c r="Y347" s="1">
        <f t="shared" si="81"/>
        <v>97200</v>
      </c>
      <c r="Z347" s="1">
        <f t="shared" si="82"/>
        <v>1</v>
      </c>
      <c r="AA347" s="1">
        <f t="shared" si="83"/>
        <v>0</v>
      </c>
    </row>
    <row r="348" spans="1:27" ht="18" customHeight="1" x14ac:dyDescent="0.3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70"/>
        <v>0</v>
      </c>
      <c r="J348" s="68">
        <f t="shared" ca="1" si="71"/>
        <v>0</v>
      </c>
      <c r="K348" s="68">
        <f t="shared" ca="1" si="72"/>
        <v>0</v>
      </c>
      <c r="L348" s="68">
        <f t="shared" ca="1" si="73"/>
        <v>0</v>
      </c>
      <c r="M348" s="69">
        <f t="shared" si="74"/>
        <v>0</v>
      </c>
      <c r="N348" s="65" t="str">
        <f t="shared" si="75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6"/>
        <v/>
      </c>
      <c r="U348" s="1">
        <f t="shared" si="77"/>
        <v>0</v>
      </c>
      <c r="V348" s="1">
        <f t="shared" si="78"/>
        <v>2958465</v>
      </c>
      <c r="W348" s="1">
        <f t="shared" si="79"/>
        <v>0</v>
      </c>
      <c r="X348" s="1">
        <f t="shared" si="80"/>
        <v>0</v>
      </c>
      <c r="Y348" s="1">
        <f t="shared" si="81"/>
        <v>97200</v>
      </c>
      <c r="Z348" s="1">
        <f t="shared" si="82"/>
        <v>1</v>
      </c>
      <c r="AA348" s="1">
        <f t="shared" si="83"/>
        <v>0</v>
      </c>
    </row>
    <row r="349" spans="1:27" ht="18" customHeight="1" x14ac:dyDescent="0.3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70"/>
        <v>0</v>
      </c>
      <c r="J349" s="68">
        <f t="shared" ca="1" si="71"/>
        <v>0</v>
      </c>
      <c r="K349" s="68">
        <f t="shared" ca="1" si="72"/>
        <v>0</v>
      </c>
      <c r="L349" s="68">
        <f t="shared" ca="1" si="73"/>
        <v>0</v>
      </c>
      <c r="M349" s="69">
        <f t="shared" si="74"/>
        <v>0</v>
      </c>
      <c r="N349" s="65" t="str">
        <f t="shared" si="75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6"/>
        <v/>
      </c>
      <c r="U349" s="1">
        <f t="shared" si="77"/>
        <v>0</v>
      </c>
      <c r="V349" s="1">
        <f t="shared" si="78"/>
        <v>2958465</v>
      </c>
      <c r="W349" s="1">
        <f t="shared" si="79"/>
        <v>0</v>
      </c>
      <c r="X349" s="1">
        <f t="shared" si="80"/>
        <v>0</v>
      </c>
      <c r="Y349" s="1">
        <f t="shared" si="81"/>
        <v>97200</v>
      </c>
      <c r="Z349" s="1">
        <f t="shared" si="82"/>
        <v>1</v>
      </c>
      <c r="AA349" s="1">
        <f t="shared" si="83"/>
        <v>0</v>
      </c>
    </row>
    <row r="350" spans="1:27" ht="18" customHeight="1" x14ac:dyDescent="0.3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70"/>
        <v>0</v>
      </c>
      <c r="J350" s="68">
        <f t="shared" ca="1" si="71"/>
        <v>0</v>
      </c>
      <c r="K350" s="68">
        <f t="shared" ca="1" si="72"/>
        <v>0</v>
      </c>
      <c r="L350" s="68">
        <f t="shared" ca="1" si="73"/>
        <v>0</v>
      </c>
      <c r="M350" s="69">
        <f t="shared" si="74"/>
        <v>0</v>
      </c>
      <c r="N350" s="65" t="str">
        <f t="shared" si="75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6"/>
        <v/>
      </c>
      <c r="U350" s="1">
        <f t="shared" si="77"/>
        <v>0</v>
      </c>
      <c r="V350" s="1">
        <f t="shared" si="78"/>
        <v>2958465</v>
      </c>
      <c r="W350" s="1">
        <f t="shared" si="79"/>
        <v>0</v>
      </c>
      <c r="X350" s="1">
        <f t="shared" si="80"/>
        <v>0</v>
      </c>
      <c r="Y350" s="1">
        <f t="shared" si="81"/>
        <v>97200</v>
      </c>
      <c r="Z350" s="1">
        <f t="shared" si="82"/>
        <v>1</v>
      </c>
      <c r="AA350" s="1">
        <f t="shared" si="83"/>
        <v>0</v>
      </c>
    </row>
    <row r="351" spans="1:27" ht="18" customHeight="1" x14ac:dyDescent="0.3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70"/>
        <v>0</v>
      </c>
      <c r="J351" s="68">
        <f t="shared" ca="1" si="71"/>
        <v>0</v>
      </c>
      <c r="K351" s="68">
        <f t="shared" ca="1" si="72"/>
        <v>0</v>
      </c>
      <c r="L351" s="68">
        <f t="shared" ca="1" si="73"/>
        <v>0</v>
      </c>
      <c r="M351" s="69">
        <f t="shared" si="74"/>
        <v>0</v>
      </c>
      <c r="N351" s="65" t="str">
        <f t="shared" si="75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6"/>
        <v/>
      </c>
      <c r="U351" s="1">
        <f t="shared" si="77"/>
        <v>0</v>
      </c>
      <c r="V351" s="1">
        <f t="shared" si="78"/>
        <v>2958465</v>
      </c>
      <c r="W351" s="1">
        <f t="shared" si="79"/>
        <v>0</v>
      </c>
      <c r="X351" s="1">
        <f t="shared" si="80"/>
        <v>0</v>
      </c>
      <c r="Y351" s="1">
        <f t="shared" si="81"/>
        <v>97200</v>
      </c>
      <c r="Z351" s="1">
        <f t="shared" si="82"/>
        <v>1</v>
      </c>
      <c r="AA351" s="1">
        <f t="shared" si="83"/>
        <v>0</v>
      </c>
    </row>
    <row r="352" spans="1:27" ht="18" customHeight="1" x14ac:dyDescent="0.3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70"/>
        <v>0</v>
      </c>
      <c r="J352" s="68">
        <f t="shared" ca="1" si="71"/>
        <v>0</v>
      </c>
      <c r="K352" s="68">
        <f t="shared" ca="1" si="72"/>
        <v>0</v>
      </c>
      <c r="L352" s="68">
        <f t="shared" ca="1" si="73"/>
        <v>0</v>
      </c>
      <c r="M352" s="69">
        <f t="shared" si="74"/>
        <v>0</v>
      </c>
      <c r="N352" s="65" t="str">
        <f t="shared" si="75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6"/>
        <v/>
      </c>
      <c r="U352" s="1">
        <f t="shared" si="77"/>
        <v>0</v>
      </c>
      <c r="V352" s="1">
        <f t="shared" si="78"/>
        <v>2958465</v>
      </c>
      <c r="W352" s="1">
        <f t="shared" si="79"/>
        <v>0</v>
      </c>
      <c r="X352" s="1">
        <f t="shared" si="80"/>
        <v>0</v>
      </c>
      <c r="Y352" s="1">
        <f t="shared" si="81"/>
        <v>97200</v>
      </c>
      <c r="Z352" s="1">
        <f t="shared" si="82"/>
        <v>1</v>
      </c>
      <c r="AA352" s="1">
        <f t="shared" si="83"/>
        <v>0</v>
      </c>
    </row>
    <row r="353" spans="1:27" ht="18" customHeight="1" x14ac:dyDescent="0.3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70"/>
        <v>0</v>
      </c>
      <c r="J353" s="68">
        <f t="shared" ca="1" si="71"/>
        <v>0</v>
      </c>
      <c r="K353" s="68">
        <f t="shared" ca="1" si="72"/>
        <v>0</v>
      </c>
      <c r="L353" s="68">
        <f t="shared" ca="1" si="73"/>
        <v>0</v>
      </c>
      <c r="M353" s="69">
        <f t="shared" si="74"/>
        <v>0</v>
      </c>
      <c r="N353" s="65" t="str">
        <f t="shared" si="75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6"/>
        <v/>
      </c>
      <c r="U353" s="1">
        <f t="shared" si="77"/>
        <v>0</v>
      </c>
      <c r="V353" s="1">
        <f t="shared" si="78"/>
        <v>2958465</v>
      </c>
      <c r="W353" s="1">
        <f t="shared" si="79"/>
        <v>0</v>
      </c>
      <c r="X353" s="1">
        <f t="shared" si="80"/>
        <v>0</v>
      </c>
      <c r="Y353" s="1">
        <f t="shared" si="81"/>
        <v>97200</v>
      </c>
      <c r="Z353" s="1">
        <f t="shared" si="82"/>
        <v>1</v>
      </c>
      <c r="AA353" s="1">
        <f t="shared" si="83"/>
        <v>0</v>
      </c>
    </row>
    <row r="354" spans="1:27" ht="18" customHeight="1" x14ac:dyDescent="0.3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70"/>
        <v>0</v>
      </c>
      <c r="J354" s="68">
        <f t="shared" ca="1" si="71"/>
        <v>0</v>
      </c>
      <c r="K354" s="68">
        <f t="shared" ca="1" si="72"/>
        <v>0</v>
      </c>
      <c r="L354" s="68">
        <f t="shared" ca="1" si="73"/>
        <v>0</v>
      </c>
      <c r="M354" s="69">
        <f t="shared" si="74"/>
        <v>0</v>
      </c>
      <c r="N354" s="65" t="str">
        <f t="shared" si="75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6"/>
        <v/>
      </c>
      <c r="U354" s="1">
        <f t="shared" si="77"/>
        <v>0</v>
      </c>
      <c r="V354" s="1">
        <f t="shared" si="78"/>
        <v>2958465</v>
      </c>
      <c r="W354" s="1">
        <f t="shared" si="79"/>
        <v>0</v>
      </c>
      <c r="X354" s="1">
        <f t="shared" si="80"/>
        <v>0</v>
      </c>
      <c r="Y354" s="1">
        <f t="shared" si="81"/>
        <v>97200</v>
      </c>
      <c r="Z354" s="1">
        <f t="shared" si="82"/>
        <v>1</v>
      </c>
      <c r="AA354" s="1">
        <f t="shared" si="83"/>
        <v>0</v>
      </c>
    </row>
    <row r="355" spans="1:27" ht="18" customHeight="1" x14ac:dyDescent="0.3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70"/>
        <v>0</v>
      </c>
      <c r="J355" s="68">
        <f t="shared" ca="1" si="71"/>
        <v>0</v>
      </c>
      <c r="K355" s="68">
        <f t="shared" ca="1" si="72"/>
        <v>0</v>
      </c>
      <c r="L355" s="68">
        <f t="shared" ca="1" si="73"/>
        <v>0</v>
      </c>
      <c r="M355" s="69">
        <f t="shared" si="74"/>
        <v>0</v>
      </c>
      <c r="N355" s="65" t="str">
        <f t="shared" si="75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6"/>
        <v/>
      </c>
      <c r="U355" s="1">
        <f t="shared" si="77"/>
        <v>0</v>
      </c>
      <c r="V355" s="1">
        <f t="shared" si="78"/>
        <v>2958465</v>
      </c>
      <c r="W355" s="1">
        <f t="shared" si="79"/>
        <v>0</v>
      </c>
      <c r="X355" s="1">
        <f t="shared" si="80"/>
        <v>0</v>
      </c>
      <c r="Y355" s="1">
        <f t="shared" si="81"/>
        <v>97200</v>
      </c>
      <c r="Z355" s="1">
        <f t="shared" si="82"/>
        <v>1</v>
      </c>
      <c r="AA355" s="1">
        <f t="shared" si="83"/>
        <v>0</v>
      </c>
    </row>
    <row r="356" spans="1:27" ht="18" customHeight="1" x14ac:dyDescent="0.3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70"/>
        <v>0</v>
      </c>
      <c r="J356" s="68">
        <f t="shared" ca="1" si="71"/>
        <v>0</v>
      </c>
      <c r="K356" s="68">
        <f t="shared" ca="1" si="72"/>
        <v>0</v>
      </c>
      <c r="L356" s="68">
        <f t="shared" ca="1" si="73"/>
        <v>0</v>
      </c>
      <c r="M356" s="69">
        <f t="shared" si="74"/>
        <v>0</v>
      </c>
      <c r="N356" s="65" t="str">
        <f t="shared" si="75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6"/>
        <v/>
      </c>
      <c r="U356" s="1">
        <f t="shared" si="77"/>
        <v>0</v>
      </c>
      <c r="V356" s="1">
        <f t="shared" si="78"/>
        <v>2958465</v>
      </c>
      <c r="W356" s="1">
        <f t="shared" si="79"/>
        <v>0</v>
      </c>
      <c r="X356" s="1">
        <f t="shared" si="80"/>
        <v>0</v>
      </c>
      <c r="Y356" s="1">
        <f t="shared" si="81"/>
        <v>97200</v>
      </c>
      <c r="Z356" s="1">
        <f t="shared" si="82"/>
        <v>1</v>
      </c>
      <c r="AA356" s="1">
        <f t="shared" si="83"/>
        <v>0</v>
      </c>
    </row>
    <row r="357" spans="1:27" ht="18" customHeight="1" x14ac:dyDescent="0.3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70"/>
        <v>0</v>
      </c>
      <c r="J357" s="68">
        <f t="shared" ca="1" si="71"/>
        <v>0</v>
      </c>
      <c r="K357" s="68">
        <f t="shared" ca="1" si="72"/>
        <v>0</v>
      </c>
      <c r="L357" s="68">
        <f t="shared" ca="1" si="73"/>
        <v>0</v>
      </c>
      <c r="M357" s="69">
        <f t="shared" si="74"/>
        <v>0</v>
      </c>
      <c r="N357" s="65" t="str">
        <f t="shared" si="75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6"/>
        <v/>
      </c>
      <c r="U357" s="1">
        <f t="shared" si="77"/>
        <v>0</v>
      </c>
      <c r="V357" s="1">
        <f t="shared" si="78"/>
        <v>2958465</v>
      </c>
      <c r="W357" s="1">
        <f t="shared" si="79"/>
        <v>0</v>
      </c>
      <c r="X357" s="1">
        <f t="shared" si="80"/>
        <v>0</v>
      </c>
      <c r="Y357" s="1">
        <f t="shared" si="81"/>
        <v>97200</v>
      </c>
      <c r="Z357" s="1">
        <f t="shared" si="82"/>
        <v>1</v>
      </c>
      <c r="AA357" s="1">
        <f t="shared" si="83"/>
        <v>0</v>
      </c>
    </row>
    <row r="358" spans="1:27" ht="18" customHeight="1" x14ac:dyDescent="0.3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70"/>
        <v>0</v>
      </c>
      <c r="J358" s="68">
        <f t="shared" ca="1" si="71"/>
        <v>0</v>
      </c>
      <c r="K358" s="68">
        <f t="shared" ca="1" si="72"/>
        <v>0</v>
      </c>
      <c r="L358" s="68">
        <f t="shared" ca="1" si="73"/>
        <v>0</v>
      </c>
      <c r="M358" s="69">
        <f t="shared" si="74"/>
        <v>0</v>
      </c>
      <c r="N358" s="65" t="str">
        <f t="shared" si="75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6"/>
        <v/>
      </c>
      <c r="U358" s="1">
        <f t="shared" si="77"/>
        <v>0</v>
      </c>
      <c r="V358" s="1">
        <f t="shared" si="78"/>
        <v>2958465</v>
      </c>
      <c r="W358" s="1">
        <f t="shared" si="79"/>
        <v>0</v>
      </c>
      <c r="X358" s="1">
        <f t="shared" si="80"/>
        <v>0</v>
      </c>
      <c r="Y358" s="1">
        <f t="shared" si="81"/>
        <v>97200</v>
      </c>
      <c r="Z358" s="1">
        <f t="shared" si="82"/>
        <v>1</v>
      </c>
      <c r="AA358" s="1">
        <f t="shared" si="83"/>
        <v>0</v>
      </c>
    </row>
    <row r="359" spans="1:27" ht="18" customHeight="1" x14ac:dyDescent="0.3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70"/>
        <v>0</v>
      </c>
      <c r="J359" s="68">
        <f t="shared" ca="1" si="71"/>
        <v>0</v>
      </c>
      <c r="K359" s="68">
        <f t="shared" ca="1" si="72"/>
        <v>0</v>
      </c>
      <c r="L359" s="68">
        <f t="shared" ca="1" si="73"/>
        <v>0</v>
      </c>
      <c r="M359" s="69">
        <f t="shared" si="74"/>
        <v>0</v>
      </c>
      <c r="N359" s="65" t="str">
        <f t="shared" si="75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6"/>
        <v/>
      </c>
      <c r="U359" s="1">
        <f t="shared" si="77"/>
        <v>0</v>
      </c>
      <c r="V359" s="1">
        <f t="shared" si="78"/>
        <v>2958465</v>
      </c>
      <c r="W359" s="1">
        <f t="shared" si="79"/>
        <v>0</v>
      </c>
      <c r="X359" s="1">
        <f t="shared" si="80"/>
        <v>0</v>
      </c>
      <c r="Y359" s="1">
        <f t="shared" si="81"/>
        <v>97200</v>
      </c>
      <c r="Z359" s="1">
        <f t="shared" si="82"/>
        <v>1</v>
      </c>
      <c r="AA359" s="1">
        <f t="shared" si="83"/>
        <v>0</v>
      </c>
    </row>
    <row r="360" spans="1:27" ht="18" customHeight="1" x14ac:dyDescent="0.3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70"/>
        <v>0</v>
      </c>
      <c r="J360" s="68">
        <f t="shared" ca="1" si="71"/>
        <v>0</v>
      </c>
      <c r="K360" s="68">
        <f t="shared" ca="1" si="72"/>
        <v>0</v>
      </c>
      <c r="L360" s="68">
        <f t="shared" ca="1" si="73"/>
        <v>0</v>
      </c>
      <c r="M360" s="69">
        <f t="shared" si="74"/>
        <v>0</v>
      </c>
      <c r="N360" s="65" t="str">
        <f t="shared" si="75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6"/>
        <v/>
      </c>
      <c r="U360" s="1">
        <f t="shared" si="77"/>
        <v>0</v>
      </c>
      <c r="V360" s="1">
        <f t="shared" si="78"/>
        <v>2958465</v>
      </c>
      <c r="W360" s="1">
        <f t="shared" si="79"/>
        <v>0</v>
      </c>
      <c r="X360" s="1">
        <f t="shared" si="80"/>
        <v>0</v>
      </c>
      <c r="Y360" s="1">
        <f t="shared" si="81"/>
        <v>97200</v>
      </c>
      <c r="Z360" s="1">
        <f t="shared" si="82"/>
        <v>1</v>
      </c>
      <c r="AA360" s="1">
        <f t="shared" si="83"/>
        <v>0</v>
      </c>
    </row>
    <row r="361" spans="1:27" ht="18" customHeight="1" x14ac:dyDescent="0.3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70"/>
        <v>0</v>
      </c>
      <c r="J361" s="68">
        <f t="shared" ca="1" si="71"/>
        <v>0</v>
      </c>
      <c r="K361" s="68">
        <f t="shared" ca="1" si="72"/>
        <v>0</v>
      </c>
      <c r="L361" s="68">
        <f t="shared" ca="1" si="73"/>
        <v>0</v>
      </c>
      <c r="M361" s="69">
        <f t="shared" si="74"/>
        <v>0</v>
      </c>
      <c r="N361" s="65" t="str">
        <f t="shared" si="75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6"/>
        <v/>
      </c>
      <c r="U361" s="1">
        <f t="shared" si="77"/>
        <v>0</v>
      </c>
      <c r="V361" s="1">
        <f t="shared" si="78"/>
        <v>2958465</v>
      </c>
      <c r="W361" s="1">
        <f t="shared" si="79"/>
        <v>0</v>
      </c>
      <c r="X361" s="1">
        <f t="shared" si="80"/>
        <v>0</v>
      </c>
      <c r="Y361" s="1">
        <f t="shared" si="81"/>
        <v>97200</v>
      </c>
      <c r="Z361" s="1">
        <f t="shared" si="82"/>
        <v>1</v>
      </c>
      <c r="AA361" s="1">
        <f t="shared" si="83"/>
        <v>0</v>
      </c>
    </row>
    <row r="362" spans="1:27" ht="18" customHeight="1" x14ac:dyDescent="0.3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70"/>
        <v>0</v>
      </c>
      <c r="J362" s="68">
        <f t="shared" ca="1" si="71"/>
        <v>0</v>
      </c>
      <c r="K362" s="68">
        <f t="shared" ca="1" si="72"/>
        <v>0</v>
      </c>
      <c r="L362" s="68">
        <f t="shared" ca="1" si="73"/>
        <v>0</v>
      </c>
      <c r="M362" s="69">
        <f t="shared" si="74"/>
        <v>0</v>
      </c>
      <c r="N362" s="65" t="str">
        <f t="shared" si="75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6"/>
        <v/>
      </c>
      <c r="U362" s="1">
        <f t="shared" si="77"/>
        <v>0</v>
      </c>
      <c r="V362" s="1">
        <f t="shared" si="78"/>
        <v>2958465</v>
      </c>
      <c r="W362" s="1">
        <f t="shared" si="79"/>
        <v>0</v>
      </c>
      <c r="X362" s="1">
        <f t="shared" si="80"/>
        <v>0</v>
      </c>
      <c r="Y362" s="1">
        <f t="shared" si="81"/>
        <v>97200</v>
      </c>
      <c r="Z362" s="1">
        <f t="shared" si="82"/>
        <v>1</v>
      </c>
      <c r="AA362" s="1">
        <f t="shared" si="83"/>
        <v>0</v>
      </c>
    </row>
    <row r="363" spans="1:27" ht="18" customHeight="1" x14ac:dyDescent="0.3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70"/>
        <v>0</v>
      </c>
      <c r="J363" s="68">
        <f t="shared" ca="1" si="71"/>
        <v>0</v>
      </c>
      <c r="K363" s="68">
        <f t="shared" ca="1" si="72"/>
        <v>0</v>
      </c>
      <c r="L363" s="68">
        <f t="shared" ca="1" si="73"/>
        <v>0</v>
      </c>
      <c r="M363" s="69">
        <f t="shared" si="74"/>
        <v>0</v>
      </c>
      <c r="N363" s="65" t="str">
        <f t="shared" si="75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6"/>
        <v/>
      </c>
      <c r="U363" s="1">
        <f t="shared" si="77"/>
        <v>0</v>
      </c>
      <c r="V363" s="1">
        <f t="shared" si="78"/>
        <v>2958465</v>
      </c>
      <c r="W363" s="1">
        <f t="shared" si="79"/>
        <v>0</v>
      </c>
      <c r="X363" s="1">
        <f t="shared" si="80"/>
        <v>0</v>
      </c>
      <c r="Y363" s="1">
        <f t="shared" si="81"/>
        <v>97200</v>
      </c>
      <c r="Z363" s="1">
        <f t="shared" si="82"/>
        <v>1</v>
      </c>
      <c r="AA363" s="1">
        <f t="shared" si="83"/>
        <v>0</v>
      </c>
    </row>
    <row r="364" spans="1:27" ht="18" customHeight="1" x14ac:dyDescent="0.3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70"/>
        <v>0</v>
      </c>
      <c r="J364" s="68">
        <f t="shared" ca="1" si="71"/>
        <v>0</v>
      </c>
      <c r="K364" s="68">
        <f t="shared" ca="1" si="72"/>
        <v>0</v>
      </c>
      <c r="L364" s="68">
        <f t="shared" ca="1" si="73"/>
        <v>0</v>
      </c>
      <c r="M364" s="69">
        <f t="shared" si="74"/>
        <v>0</v>
      </c>
      <c r="N364" s="65" t="str">
        <f t="shared" si="75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6"/>
        <v/>
      </c>
      <c r="U364" s="1">
        <f t="shared" si="77"/>
        <v>0</v>
      </c>
      <c r="V364" s="1">
        <f t="shared" si="78"/>
        <v>2958465</v>
      </c>
      <c r="W364" s="1">
        <f t="shared" si="79"/>
        <v>0</v>
      </c>
      <c r="X364" s="1">
        <f t="shared" si="80"/>
        <v>0</v>
      </c>
      <c r="Y364" s="1">
        <f t="shared" si="81"/>
        <v>97200</v>
      </c>
      <c r="Z364" s="1">
        <f t="shared" si="82"/>
        <v>1</v>
      </c>
      <c r="AA364" s="1">
        <f t="shared" si="83"/>
        <v>0</v>
      </c>
    </row>
    <row r="365" spans="1:27" ht="18" customHeight="1" x14ac:dyDescent="0.3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70"/>
        <v>0</v>
      </c>
      <c r="J365" s="68">
        <f t="shared" ca="1" si="71"/>
        <v>0</v>
      </c>
      <c r="K365" s="68">
        <f t="shared" ca="1" si="72"/>
        <v>0</v>
      </c>
      <c r="L365" s="68">
        <f t="shared" ca="1" si="73"/>
        <v>0</v>
      </c>
      <c r="M365" s="69">
        <f t="shared" si="74"/>
        <v>0</v>
      </c>
      <c r="N365" s="65" t="str">
        <f t="shared" si="75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6"/>
        <v/>
      </c>
      <c r="U365" s="1">
        <f t="shared" si="77"/>
        <v>0</v>
      </c>
      <c r="V365" s="1">
        <f t="shared" si="78"/>
        <v>2958465</v>
      </c>
      <c r="W365" s="1">
        <f t="shared" si="79"/>
        <v>0</v>
      </c>
      <c r="X365" s="1">
        <f t="shared" si="80"/>
        <v>0</v>
      </c>
      <c r="Y365" s="1">
        <f t="shared" si="81"/>
        <v>97200</v>
      </c>
      <c r="Z365" s="1">
        <f t="shared" si="82"/>
        <v>1</v>
      </c>
      <c r="AA365" s="1">
        <f t="shared" si="83"/>
        <v>0</v>
      </c>
    </row>
    <row r="366" spans="1:27" ht="18" customHeight="1" x14ac:dyDescent="0.3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70"/>
        <v>0</v>
      </c>
      <c r="J366" s="68">
        <f t="shared" ca="1" si="71"/>
        <v>0</v>
      </c>
      <c r="K366" s="68">
        <f t="shared" ca="1" si="72"/>
        <v>0</v>
      </c>
      <c r="L366" s="68">
        <f t="shared" ca="1" si="73"/>
        <v>0</v>
      </c>
      <c r="M366" s="69">
        <f t="shared" si="74"/>
        <v>0</v>
      </c>
      <c r="N366" s="65" t="str">
        <f t="shared" si="75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6"/>
        <v/>
      </c>
      <c r="U366" s="1">
        <f t="shared" si="77"/>
        <v>0</v>
      </c>
      <c r="V366" s="1">
        <f t="shared" si="78"/>
        <v>2958465</v>
      </c>
      <c r="W366" s="1">
        <f t="shared" si="79"/>
        <v>0</v>
      </c>
      <c r="X366" s="1">
        <f t="shared" si="80"/>
        <v>0</v>
      </c>
      <c r="Y366" s="1">
        <f t="shared" si="81"/>
        <v>97200</v>
      </c>
      <c r="Z366" s="1">
        <f t="shared" si="82"/>
        <v>1</v>
      </c>
      <c r="AA366" s="1">
        <f t="shared" si="83"/>
        <v>0</v>
      </c>
    </row>
    <row r="367" spans="1:27" ht="18" customHeight="1" x14ac:dyDescent="0.3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70"/>
        <v>0</v>
      </c>
      <c r="J367" s="68">
        <f t="shared" ca="1" si="71"/>
        <v>0</v>
      </c>
      <c r="K367" s="68">
        <f t="shared" ca="1" si="72"/>
        <v>0</v>
      </c>
      <c r="L367" s="68">
        <f t="shared" ca="1" si="73"/>
        <v>0</v>
      </c>
      <c r="M367" s="69">
        <f t="shared" si="74"/>
        <v>0</v>
      </c>
      <c r="N367" s="65" t="str">
        <f t="shared" si="75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6"/>
        <v/>
      </c>
      <c r="U367" s="1">
        <f t="shared" si="77"/>
        <v>0</v>
      </c>
      <c r="V367" s="1">
        <f t="shared" si="78"/>
        <v>2958465</v>
      </c>
      <c r="W367" s="1">
        <f t="shared" si="79"/>
        <v>0</v>
      </c>
      <c r="X367" s="1">
        <f t="shared" si="80"/>
        <v>0</v>
      </c>
      <c r="Y367" s="1">
        <f t="shared" si="81"/>
        <v>97200</v>
      </c>
      <c r="Z367" s="1">
        <f t="shared" si="82"/>
        <v>1</v>
      </c>
      <c r="AA367" s="1">
        <f t="shared" si="83"/>
        <v>0</v>
      </c>
    </row>
    <row r="368" spans="1:27" ht="18" customHeight="1" x14ac:dyDescent="0.3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70"/>
        <v>0</v>
      </c>
      <c r="J368" s="68">
        <f t="shared" ca="1" si="71"/>
        <v>0</v>
      </c>
      <c r="K368" s="68">
        <f t="shared" ca="1" si="72"/>
        <v>0</v>
      </c>
      <c r="L368" s="68">
        <f t="shared" ca="1" si="73"/>
        <v>0</v>
      </c>
      <c r="M368" s="69">
        <f t="shared" si="74"/>
        <v>0</v>
      </c>
      <c r="N368" s="65" t="str">
        <f t="shared" si="75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6"/>
        <v/>
      </c>
      <c r="U368" s="1">
        <f t="shared" si="77"/>
        <v>0</v>
      </c>
      <c r="V368" s="1">
        <f t="shared" si="78"/>
        <v>2958465</v>
      </c>
      <c r="W368" s="1">
        <f t="shared" si="79"/>
        <v>0</v>
      </c>
      <c r="X368" s="1">
        <f t="shared" si="80"/>
        <v>0</v>
      </c>
      <c r="Y368" s="1">
        <f t="shared" si="81"/>
        <v>97200</v>
      </c>
      <c r="Z368" s="1">
        <f t="shared" si="82"/>
        <v>1</v>
      </c>
      <c r="AA368" s="1">
        <f t="shared" si="83"/>
        <v>0</v>
      </c>
    </row>
    <row r="369" spans="1:27" ht="18" customHeight="1" x14ac:dyDescent="0.3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70"/>
        <v>0</v>
      </c>
      <c r="J369" s="68">
        <f t="shared" ca="1" si="71"/>
        <v>0</v>
      </c>
      <c r="K369" s="68">
        <f t="shared" ca="1" si="72"/>
        <v>0</v>
      </c>
      <c r="L369" s="68">
        <f t="shared" ca="1" si="73"/>
        <v>0</v>
      </c>
      <c r="M369" s="69">
        <f t="shared" si="74"/>
        <v>0</v>
      </c>
      <c r="N369" s="65" t="str">
        <f t="shared" si="75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6"/>
        <v/>
      </c>
      <c r="U369" s="1">
        <f t="shared" si="77"/>
        <v>0</v>
      </c>
      <c r="V369" s="1">
        <f t="shared" si="78"/>
        <v>2958465</v>
      </c>
      <c r="W369" s="1">
        <f t="shared" si="79"/>
        <v>0</v>
      </c>
      <c r="X369" s="1">
        <f t="shared" si="80"/>
        <v>0</v>
      </c>
      <c r="Y369" s="1">
        <f t="shared" si="81"/>
        <v>97200</v>
      </c>
      <c r="Z369" s="1">
        <f t="shared" si="82"/>
        <v>1</v>
      </c>
      <c r="AA369" s="1">
        <f t="shared" si="83"/>
        <v>0</v>
      </c>
    </row>
    <row r="370" spans="1:27" ht="18" customHeight="1" x14ac:dyDescent="0.3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70"/>
        <v>0</v>
      </c>
      <c r="J370" s="68">
        <f t="shared" ca="1" si="71"/>
        <v>0</v>
      </c>
      <c r="K370" s="68">
        <f t="shared" ca="1" si="72"/>
        <v>0</v>
      </c>
      <c r="L370" s="68">
        <f t="shared" ca="1" si="73"/>
        <v>0</v>
      </c>
      <c r="M370" s="69">
        <f t="shared" si="74"/>
        <v>0</v>
      </c>
      <c r="N370" s="65" t="str">
        <f t="shared" si="75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6"/>
        <v/>
      </c>
      <c r="U370" s="1">
        <f t="shared" si="77"/>
        <v>0</v>
      </c>
      <c r="V370" s="1">
        <f t="shared" si="78"/>
        <v>2958465</v>
      </c>
      <c r="W370" s="1">
        <f t="shared" si="79"/>
        <v>0</v>
      </c>
      <c r="X370" s="1">
        <f t="shared" si="80"/>
        <v>0</v>
      </c>
      <c r="Y370" s="1">
        <f t="shared" si="81"/>
        <v>97200</v>
      </c>
      <c r="Z370" s="1">
        <f t="shared" si="82"/>
        <v>1</v>
      </c>
      <c r="AA370" s="1">
        <f t="shared" si="83"/>
        <v>0</v>
      </c>
    </row>
    <row r="371" spans="1:27" ht="18" customHeight="1" x14ac:dyDescent="0.3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70"/>
        <v>0</v>
      </c>
      <c r="J371" s="68">
        <f t="shared" ca="1" si="71"/>
        <v>0</v>
      </c>
      <c r="K371" s="68">
        <f t="shared" ca="1" si="72"/>
        <v>0</v>
      </c>
      <c r="L371" s="68">
        <f t="shared" ca="1" si="73"/>
        <v>0</v>
      </c>
      <c r="M371" s="69">
        <f t="shared" si="74"/>
        <v>0</v>
      </c>
      <c r="N371" s="65" t="str">
        <f t="shared" si="75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6"/>
        <v/>
      </c>
      <c r="U371" s="1">
        <f t="shared" si="77"/>
        <v>0</v>
      </c>
      <c r="V371" s="1">
        <f t="shared" si="78"/>
        <v>2958465</v>
      </c>
      <c r="W371" s="1">
        <f t="shared" si="79"/>
        <v>0</v>
      </c>
      <c r="X371" s="1">
        <f t="shared" si="80"/>
        <v>0</v>
      </c>
      <c r="Y371" s="1">
        <f t="shared" si="81"/>
        <v>97200</v>
      </c>
      <c r="Z371" s="1">
        <f t="shared" si="82"/>
        <v>1</v>
      </c>
      <c r="AA371" s="1">
        <f t="shared" si="83"/>
        <v>0</v>
      </c>
    </row>
    <row r="372" spans="1:27" ht="18" customHeight="1" x14ac:dyDescent="0.3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70"/>
        <v>0</v>
      </c>
      <c r="J372" s="68">
        <f t="shared" ca="1" si="71"/>
        <v>0</v>
      </c>
      <c r="K372" s="68">
        <f t="shared" ca="1" si="72"/>
        <v>0</v>
      </c>
      <c r="L372" s="68">
        <f t="shared" ca="1" si="73"/>
        <v>0</v>
      </c>
      <c r="M372" s="69">
        <f t="shared" si="74"/>
        <v>0</v>
      </c>
      <c r="N372" s="65" t="str">
        <f t="shared" si="75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6"/>
        <v/>
      </c>
      <c r="U372" s="1">
        <f t="shared" si="77"/>
        <v>0</v>
      </c>
      <c r="V372" s="1">
        <f t="shared" si="78"/>
        <v>2958465</v>
      </c>
      <c r="W372" s="1">
        <f t="shared" si="79"/>
        <v>0</v>
      </c>
      <c r="X372" s="1">
        <f t="shared" si="80"/>
        <v>0</v>
      </c>
      <c r="Y372" s="1">
        <f t="shared" si="81"/>
        <v>97200</v>
      </c>
      <c r="Z372" s="1">
        <f t="shared" si="82"/>
        <v>1</v>
      </c>
      <c r="AA372" s="1">
        <f t="shared" si="83"/>
        <v>0</v>
      </c>
    </row>
    <row r="373" spans="1:27" ht="18" customHeight="1" x14ac:dyDescent="0.3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70"/>
        <v>0</v>
      </c>
      <c r="J373" s="68">
        <f t="shared" ca="1" si="71"/>
        <v>0</v>
      </c>
      <c r="K373" s="68">
        <f t="shared" ca="1" si="72"/>
        <v>0</v>
      </c>
      <c r="L373" s="68">
        <f t="shared" ca="1" si="73"/>
        <v>0</v>
      </c>
      <c r="M373" s="69">
        <f t="shared" si="74"/>
        <v>0</v>
      </c>
      <c r="N373" s="65" t="str">
        <f t="shared" si="75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6"/>
        <v/>
      </c>
      <c r="U373" s="1">
        <f t="shared" si="77"/>
        <v>0</v>
      </c>
      <c r="V373" s="1">
        <f t="shared" si="78"/>
        <v>2958465</v>
      </c>
      <c r="W373" s="1">
        <f t="shared" si="79"/>
        <v>0</v>
      </c>
      <c r="X373" s="1">
        <f t="shared" si="80"/>
        <v>0</v>
      </c>
      <c r="Y373" s="1">
        <f t="shared" si="81"/>
        <v>97200</v>
      </c>
      <c r="Z373" s="1">
        <f t="shared" si="82"/>
        <v>1</v>
      </c>
      <c r="AA373" s="1">
        <f t="shared" si="83"/>
        <v>0</v>
      </c>
    </row>
    <row r="374" spans="1:27" ht="18" customHeight="1" x14ac:dyDescent="0.3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70"/>
        <v>0</v>
      </c>
      <c r="J374" s="68">
        <f t="shared" ca="1" si="71"/>
        <v>0</v>
      </c>
      <c r="K374" s="68">
        <f t="shared" ca="1" si="72"/>
        <v>0</v>
      </c>
      <c r="L374" s="68">
        <f t="shared" ca="1" si="73"/>
        <v>0</v>
      </c>
      <c r="M374" s="69">
        <f t="shared" si="74"/>
        <v>0</v>
      </c>
      <c r="N374" s="65" t="str">
        <f t="shared" si="75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6"/>
        <v/>
      </c>
      <c r="U374" s="1">
        <f t="shared" si="77"/>
        <v>0</v>
      </c>
      <c r="V374" s="1">
        <f t="shared" si="78"/>
        <v>2958465</v>
      </c>
      <c r="W374" s="1">
        <f t="shared" si="79"/>
        <v>0</v>
      </c>
      <c r="X374" s="1">
        <f t="shared" si="80"/>
        <v>0</v>
      </c>
      <c r="Y374" s="1">
        <f t="shared" si="81"/>
        <v>97200</v>
      </c>
      <c r="Z374" s="1">
        <f t="shared" si="82"/>
        <v>1</v>
      </c>
      <c r="AA374" s="1">
        <f t="shared" si="83"/>
        <v>0</v>
      </c>
    </row>
    <row r="375" spans="1:27" ht="18" customHeight="1" x14ac:dyDescent="0.3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70"/>
        <v>0</v>
      </c>
      <c r="J375" s="68">
        <f t="shared" ca="1" si="71"/>
        <v>0</v>
      </c>
      <c r="K375" s="68">
        <f t="shared" ca="1" si="72"/>
        <v>0</v>
      </c>
      <c r="L375" s="68">
        <f t="shared" ca="1" si="73"/>
        <v>0</v>
      </c>
      <c r="M375" s="69">
        <f t="shared" si="74"/>
        <v>0</v>
      </c>
      <c r="N375" s="65" t="str">
        <f t="shared" si="75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6"/>
        <v/>
      </c>
      <c r="U375" s="1">
        <f t="shared" si="77"/>
        <v>0</v>
      </c>
      <c r="V375" s="1">
        <f t="shared" si="78"/>
        <v>2958465</v>
      </c>
      <c r="W375" s="1">
        <f t="shared" si="79"/>
        <v>0</v>
      </c>
      <c r="X375" s="1">
        <f t="shared" si="80"/>
        <v>0</v>
      </c>
      <c r="Y375" s="1">
        <f t="shared" si="81"/>
        <v>97200</v>
      </c>
      <c r="Z375" s="1">
        <f t="shared" si="82"/>
        <v>1</v>
      </c>
      <c r="AA375" s="1">
        <f t="shared" si="83"/>
        <v>0</v>
      </c>
    </row>
    <row r="376" spans="1:27" ht="18" customHeight="1" x14ac:dyDescent="0.3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70"/>
        <v>0</v>
      </c>
      <c r="J376" s="68">
        <f t="shared" ca="1" si="71"/>
        <v>0</v>
      </c>
      <c r="K376" s="68">
        <f t="shared" ca="1" si="72"/>
        <v>0</v>
      </c>
      <c r="L376" s="68">
        <f t="shared" ca="1" si="73"/>
        <v>0</v>
      </c>
      <c r="M376" s="69">
        <f t="shared" si="74"/>
        <v>0</v>
      </c>
      <c r="N376" s="65" t="str">
        <f t="shared" si="75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6"/>
        <v/>
      </c>
      <c r="U376" s="1">
        <f t="shared" si="77"/>
        <v>0</v>
      </c>
      <c r="V376" s="1">
        <f t="shared" si="78"/>
        <v>2958465</v>
      </c>
      <c r="W376" s="1">
        <f t="shared" si="79"/>
        <v>0</v>
      </c>
      <c r="X376" s="1">
        <f t="shared" si="80"/>
        <v>0</v>
      </c>
      <c r="Y376" s="1">
        <f t="shared" si="81"/>
        <v>97200</v>
      </c>
      <c r="Z376" s="1">
        <f t="shared" si="82"/>
        <v>1</v>
      </c>
      <c r="AA376" s="1">
        <f t="shared" si="83"/>
        <v>0</v>
      </c>
    </row>
    <row r="377" spans="1:27" ht="18" customHeight="1" x14ac:dyDescent="0.3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70"/>
        <v>0</v>
      </c>
      <c r="J377" s="68">
        <f t="shared" ca="1" si="71"/>
        <v>0</v>
      </c>
      <c r="K377" s="68">
        <f t="shared" ca="1" si="72"/>
        <v>0</v>
      </c>
      <c r="L377" s="68">
        <f t="shared" ca="1" si="73"/>
        <v>0</v>
      </c>
      <c r="M377" s="69">
        <f t="shared" si="74"/>
        <v>0</v>
      </c>
      <c r="N377" s="65" t="str">
        <f t="shared" si="75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6"/>
        <v/>
      </c>
      <c r="U377" s="1">
        <f t="shared" si="77"/>
        <v>0</v>
      </c>
      <c r="V377" s="1">
        <f t="shared" si="78"/>
        <v>2958465</v>
      </c>
      <c r="W377" s="1">
        <f t="shared" si="79"/>
        <v>0</v>
      </c>
      <c r="X377" s="1">
        <f t="shared" si="80"/>
        <v>0</v>
      </c>
      <c r="Y377" s="1">
        <f t="shared" si="81"/>
        <v>97200</v>
      </c>
      <c r="Z377" s="1">
        <f t="shared" si="82"/>
        <v>1</v>
      </c>
      <c r="AA377" s="1">
        <f t="shared" si="83"/>
        <v>0</v>
      </c>
    </row>
    <row r="378" spans="1:27" ht="18" customHeight="1" x14ac:dyDescent="0.3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70"/>
        <v>0</v>
      </c>
      <c r="J378" s="68">
        <f t="shared" ca="1" si="71"/>
        <v>0</v>
      </c>
      <c r="K378" s="68">
        <f t="shared" ca="1" si="72"/>
        <v>0</v>
      </c>
      <c r="L378" s="68">
        <f t="shared" ca="1" si="73"/>
        <v>0</v>
      </c>
      <c r="M378" s="69">
        <f t="shared" si="74"/>
        <v>0</v>
      </c>
      <c r="N378" s="65" t="str">
        <f t="shared" si="75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6"/>
        <v/>
      </c>
      <c r="U378" s="1">
        <f t="shared" si="77"/>
        <v>0</v>
      </c>
      <c r="V378" s="1">
        <f t="shared" si="78"/>
        <v>2958465</v>
      </c>
      <c r="W378" s="1">
        <f t="shared" si="79"/>
        <v>0</v>
      </c>
      <c r="X378" s="1">
        <f t="shared" si="80"/>
        <v>0</v>
      </c>
      <c r="Y378" s="1">
        <f t="shared" si="81"/>
        <v>97200</v>
      </c>
      <c r="Z378" s="1">
        <f t="shared" si="82"/>
        <v>1</v>
      </c>
      <c r="AA378" s="1">
        <f t="shared" si="83"/>
        <v>0</v>
      </c>
    </row>
    <row r="379" spans="1:27" ht="18" customHeight="1" x14ac:dyDescent="0.3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70"/>
        <v>0</v>
      </c>
      <c r="J379" s="68">
        <f t="shared" ca="1" si="71"/>
        <v>0</v>
      </c>
      <c r="K379" s="68">
        <f t="shared" ca="1" si="72"/>
        <v>0</v>
      </c>
      <c r="L379" s="68">
        <f t="shared" ca="1" si="73"/>
        <v>0</v>
      </c>
      <c r="M379" s="69">
        <f t="shared" si="74"/>
        <v>0</v>
      </c>
      <c r="N379" s="65" t="str">
        <f t="shared" si="75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6"/>
        <v/>
      </c>
      <c r="U379" s="1">
        <f t="shared" si="77"/>
        <v>0</v>
      </c>
      <c r="V379" s="1">
        <f t="shared" si="78"/>
        <v>2958465</v>
      </c>
      <c r="W379" s="1">
        <f t="shared" si="79"/>
        <v>0</v>
      </c>
      <c r="X379" s="1">
        <f t="shared" si="80"/>
        <v>0</v>
      </c>
      <c r="Y379" s="1">
        <f t="shared" si="81"/>
        <v>97200</v>
      </c>
      <c r="Z379" s="1">
        <f t="shared" si="82"/>
        <v>1</v>
      </c>
      <c r="AA379" s="1">
        <f t="shared" si="83"/>
        <v>0</v>
      </c>
    </row>
    <row r="380" spans="1:27" ht="18" customHeight="1" x14ac:dyDescent="0.3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70"/>
        <v>0</v>
      </c>
      <c r="J380" s="68">
        <f t="shared" ca="1" si="71"/>
        <v>0</v>
      </c>
      <c r="K380" s="68">
        <f t="shared" ca="1" si="72"/>
        <v>0</v>
      </c>
      <c r="L380" s="68">
        <f t="shared" ca="1" si="73"/>
        <v>0</v>
      </c>
      <c r="M380" s="69">
        <f t="shared" si="74"/>
        <v>0</v>
      </c>
      <c r="N380" s="65" t="str">
        <f t="shared" si="75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6"/>
        <v/>
      </c>
      <c r="U380" s="1">
        <f t="shared" si="77"/>
        <v>0</v>
      </c>
      <c r="V380" s="1">
        <f t="shared" si="78"/>
        <v>2958465</v>
      </c>
      <c r="W380" s="1">
        <f t="shared" si="79"/>
        <v>0</v>
      </c>
      <c r="X380" s="1">
        <f t="shared" si="80"/>
        <v>0</v>
      </c>
      <c r="Y380" s="1">
        <f t="shared" si="81"/>
        <v>97200</v>
      </c>
      <c r="Z380" s="1">
        <f t="shared" si="82"/>
        <v>1</v>
      </c>
      <c r="AA380" s="1">
        <f t="shared" si="83"/>
        <v>0</v>
      </c>
    </row>
    <row r="381" spans="1:27" ht="18" customHeight="1" x14ac:dyDescent="0.3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70"/>
        <v>0</v>
      </c>
      <c r="J381" s="68">
        <f t="shared" ca="1" si="71"/>
        <v>0</v>
      </c>
      <c r="K381" s="68">
        <f t="shared" ca="1" si="72"/>
        <v>0</v>
      </c>
      <c r="L381" s="68">
        <f t="shared" ca="1" si="73"/>
        <v>0</v>
      </c>
      <c r="M381" s="69">
        <f t="shared" si="74"/>
        <v>0</v>
      </c>
      <c r="N381" s="65" t="str">
        <f t="shared" si="75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6"/>
        <v/>
      </c>
      <c r="U381" s="1">
        <f t="shared" si="77"/>
        <v>0</v>
      </c>
      <c r="V381" s="1">
        <f t="shared" si="78"/>
        <v>2958465</v>
      </c>
      <c r="W381" s="1">
        <f t="shared" si="79"/>
        <v>0</v>
      </c>
      <c r="X381" s="1">
        <f t="shared" si="80"/>
        <v>0</v>
      </c>
      <c r="Y381" s="1">
        <f t="shared" si="81"/>
        <v>97200</v>
      </c>
      <c r="Z381" s="1">
        <f t="shared" si="82"/>
        <v>1</v>
      </c>
      <c r="AA381" s="1">
        <f t="shared" si="83"/>
        <v>0</v>
      </c>
    </row>
    <row r="382" spans="1:27" ht="18" customHeight="1" x14ac:dyDescent="0.3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70"/>
        <v>0</v>
      </c>
      <c r="J382" s="68">
        <f t="shared" ca="1" si="71"/>
        <v>0</v>
      </c>
      <c r="K382" s="68">
        <f t="shared" ca="1" si="72"/>
        <v>0</v>
      </c>
      <c r="L382" s="68">
        <f t="shared" ca="1" si="73"/>
        <v>0</v>
      </c>
      <c r="M382" s="69">
        <f t="shared" si="74"/>
        <v>0</v>
      </c>
      <c r="N382" s="65" t="str">
        <f t="shared" si="75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6"/>
        <v/>
      </c>
      <c r="U382" s="1">
        <f t="shared" si="77"/>
        <v>0</v>
      </c>
      <c r="V382" s="1">
        <f t="shared" si="78"/>
        <v>2958465</v>
      </c>
      <c r="W382" s="1">
        <f t="shared" si="79"/>
        <v>0</v>
      </c>
      <c r="X382" s="1">
        <f t="shared" si="80"/>
        <v>0</v>
      </c>
      <c r="Y382" s="1">
        <f t="shared" si="81"/>
        <v>97200</v>
      </c>
      <c r="Z382" s="1">
        <f t="shared" si="82"/>
        <v>1</v>
      </c>
      <c r="AA382" s="1">
        <f t="shared" si="83"/>
        <v>0</v>
      </c>
    </row>
    <row r="383" spans="1:27" ht="18" customHeight="1" x14ac:dyDescent="0.3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70"/>
        <v>0</v>
      </c>
      <c r="J383" s="68">
        <f t="shared" ca="1" si="71"/>
        <v>0</v>
      </c>
      <c r="K383" s="68">
        <f t="shared" ca="1" si="72"/>
        <v>0</v>
      </c>
      <c r="L383" s="68">
        <f t="shared" ca="1" si="73"/>
        <v>0</v>
      </c>
      <c r="M383" s="69">
        <f t="shared" si="74"/>
        <v>0</v>
      </c>
      <c r="N383" s="65" t="str">
        <f t="shared" si="75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6"/>
        <v/>
      </c>
      <c r="U383" s="1">
        <f t="shared" si="77"/>
        <v>0</v>
      </c>
      <c r="V383" s="1">
        <f t="shared" si="78"/>
        <v>2958465</v>
      </c>
      <c r="W383" s="1">
        <f t="shared" si="79"/>
        <v>0</v>
      </c>
      <c r="X383" s="1">
        <f t="shared" si="80"/>
        <v>0</v>
      </c>
      <c r="Y383" s="1">
        <f t="shared" si="81"/>
        <v>97200</v>
      </c>
      <c r="Z383" s="1">
        <f t="shared" si="82"/>
        <v>1</v>
      </c>
      <c r="AA383" s="1">
        <f t="shared" si="83"/>
        <v>0</v>
      </c>
    </row>
    <row r="384" spans="1:27" ht="18" customHeight="1" x14ac:dyDescent="0.3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70"/>
        <v>0</v>
      </c>
      <c r="J384" s="68">
        <f t="shared" ca="1" si="71"/>
        <v>0</v>
      </c>
      <c r="K384" s="68">
        <f t="shared" ca="1" si="72"/>
        <v>0</v>
      </c>
      <c r="L384" s="68">
        <f t="shared" ca="1" si="73"/>
        <v>0</v>
      </c>
      <c r="M384" s="69">
        <f t="shared" si="74"/>
        <v>0</v>
      </c>
      <c r="N384" s="65" t="str">
        <f t="shared" si="75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6"/>
        <v/>
      </c>
      <c r="U384" s="1">
        <f t="shared" si="77"/>
        <v>0</v>
      </c>
      <c r="V384" s="1">
        <f t="shared" si="78"/>
        <v>2958465</v>
      </c>
      <c r="W384" s="1">
        <f t="shared" si="79"/>
        <v>0</v>
      </c>
      <c r="X384" s="1">
        <f t="shared" si="80"/>
        <v>0</v>
      </c>
      <c r="Y384" s="1">
        <f t="shared" si="81"/>
        <v>97200</v>
      </c>
      <c r="Z384" s="1">
        <f t="shared" si="82"/>
        <v>1</v>
      </c>
      <c r="AA384" s="1">
        <f t="shared" si="83"/>
        <v>0</v>
      </c>
    </row>
    <row r="385" spans="1:27" ht="18" customHeight="1" x14ac:dyDescent="0.3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70"/>
        <v>0</v>
      </c>
      <c r="J385" s="68">
        <f t="shared" ca="1" si="71"/>
        <v>0</v>
      </c>
      <c r="K385" s="68">
        <f t="shared" ca="1" si="72"/>
        <v>0</v>
      </c>
      <c r="L385" s="68">
        <f t="shared" ca="1" si="73"/>
        <v>0</v>
      </c>
      <c r="M385" s="69">
        <f t="shared" si="74"/>
        <v>0</v>
      </c>
      <c r="N385" s="65" t="str">
        <f t="shared" si="75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6"/>
        <v/>
      </c>
      <c r="U385" s="1">
        <f t="shared" si="77"/>
        <v>0</v>
      </c>
      <c r="V385" s="1">
        <f t="shared" si="78"/>
        <v>2958465</v>
      </c>
      <c r="W385" s="1">
        <f t="shared" si="79"/>
        <v>0</v>
      </c>
      <c r="X385" s="1">
        <f t="shared" si="80"/>
        <v>0</v>
      </c>
      <c r="Y385" s="1">
        <f t="shared" si="81"/>
        <v>97200</v>
      </c>
      <c r="Z385" s="1">
        <f t="shared" si="82"/>
        <v>1</v>
      </c>
      <c r="AA385" s="1">
        <f t="shared" si="83"/>
        <v>0</v>
      </c>
    </row>
    <row r="386" spans="1:27" ht="18" customHeight="1" x14ac:dyDescent="0.3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70"/>
        <v>0</v>
      </c>
      <c r="J386" s="68">
        <f t="shared" ca="1" si="71"/>
        <v>0</v>
      </c>
      <c r="K386" s="68">
        <f t="shared" ca="1" si="72"/>
        <v>0</v>
      </c>
      <c r="L386" s="68">
        <f t="shared" ca="1" si="73"/>
        <v>0</v>
      </c>
      <c r="M386" s="69">
        <f t="shared" si="74"/>
        <v>0</v>
      </c>
      <c r="N386" s="65" t="str">
        <f t="shared" si="75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6"/>
        <v/>
      </c>
      <c r="U386" s="1">
        <f t="shared" si="77"/>
        <v>0</v>
      </c>
      <c r="V386" s="1">
        <f t="shared" si="78"/>
        <v>2958465</v>
      </c>
      <c r="W386" s="1">
        <f t="shared" si="79"/>
        <v>0</v>
      </c>
      <c r="X386" s="1">
        <f t="shared" si="80"/>
        <v>0</v>
      </c>
      <c r="Y386" s="1">
        <f t="shared" si="81"/>
        <v>97200</v>
      </c>
      <c r="Z386" s="1">
        <f t="shared" si="82"/>
        <v>1</v>
      </c>
      <c r="AA386" s="1">
        <f t="shared" si="83"/>
        <v>0</v>
      </c>
    </row>
    <row r="387" spans="1:27" ht="18" customHeight="1" x14ac:dyDescent="0.3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70"/>
        <v>0</v>
      </c>
      <c r="J387" s="68">
        <f t="shared" ca="1" si="71"/>
        <v>0</v>
      </c>
      <c r="K387" s="68">
        <f t="shared" ca="1" si="72"/>
        <v>0</v>
      </c>
      <c r="L387" s="68">
        <f t="shared" ca="1" si="73"/>
        <v>0</v>
      </c>
      <c r="M387" s="69">
        <f t="shared" si="74"/>
        <v>0</v>
      </c>
      <c r="N387" s="65" t="str">
        <f t="shared" si="75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6"/>
        <v/>
      </c>
      <c r="U387" s="1">
        <f t="shared" si="77"/>
        <v>0</v>
      </c>
      <c r="V387" s="1">
        <f t="shared" si="78"/>
        <v>2958465</v>
      </c>
      <c r="W387" s="1">
        <f t="shared" si="79"/>
        <v>0</v>
      </c>
      <c r="X387" s="1">
        <f t="shared" si="80"/>
        <v>0</v>
      </c>
      <c r="Y387" s="1">
        <f t="shared" si="81"/>
        <v>97200</v>
      </c>
      <c r="Z387" s="1">
        <f t="shared" si="82"/>
        <v>1</v>
      </c>
      <c r="AA387" s="1">
        <f t="shared" si="83"/>
        <v>0</v>
      </c>
    </row>
    <row r="388" spans="1:27" ht="18" customHeight="1" x14ac:dyDescent="0.3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70"/>
        <v>0</v>
      </c>
      <c r="J388" s="68">
        <f t="shared" ca="1" si="71"/>
        <v>0</v>
      </c>
      <c r="K388" s="68">
        <f t="shared" ca="1" si="72"/>
        <v>0</v>
      </c>
      <c r="L388" s="68">
        <f t="shared" ca="1" si="73"/>
        <v>0</v>
      </c>
      <c r="M388" s="69">
        <f t="shared" si="74"/>
        <v>0</v>
      </c>
      <c r="N388" s="65" t="str">
        <f t="shared" si="75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6"/>
        <v/>
      </c>
      <c r="U388" s="1">
        <f t="shared" si="77"/>
        <v>0</v>
      </c>
      <c r="V388" s="1">
        <f t="shared" si="78"/>
        <v>2958465</v>
      </c>
      <c r="W388" s="1">
        <f t="shared" si="79"/>
        <v>0</v>
      </c>
      <c r="X388" s="1">
        <f t="shared" si="80"/>
        <v>0</v>
      </c>
      <c r="Y388" s="1">
        <f t="shared" si="81"/>
        <v>97200</v>
      </c>
      <c r="Z388" s="1">
        <f t="shared" si="82"/>
        <v>1</v>
      </c>
      <c r="AA388" s="1">
        <f t="shared" si="83"/>
        <v>0</v>
      </c>
    </row>
    <row r="389" spans="1:27" ht="18" customHeight="1" x14ac:dyDescent="0.3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70"/>
        <v>0</v>
      </c>
      <c r="J389" s="68">
        <f t="shared" ca="1" si="71"/>
        <v>0</v>
      </c>
      <c r="K389" s="68">
        <f t="shared" ca="1" si="72"/>
        <v>0</v>
      </c>
      <c r="L389" s="68">
        <f t="shared" ca="1" si="73"/>
        <v>0</v>
      </c>
      <c r="M389" s="69">
        <f t="shared" si="74"/>
        <v>0</v>
      </c>
      <c r="N389" s="65" t="str">
        <f t="shared" si="75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6"/>
        <v/>
      </c>
      <c r="U389" s="1">
        <f t="shared" si="77"/>
        <v>0</v>
      </c>
      <c r="V389" s="1">
        <f t="shared" si="78"/>
        <v>2958465</v>
      </c>
      <c r="W389" s="1">
        <f t="shared" si="79"/>
        <v>0</v>
      </c>
      <c r="X389" s="1">
        <f t="shared" si="80"/>
        <v>0</v>
      </c>
      <c r="Y389" s="1">
        <f t="shared" si="81"/>
        <v>97200</v>
      </c>
      <c r="Z389" s="1">
        <f t="shared" si="82"/>
        <v>1</v>
      </c>
      <c r="AA389" s="1">
        <f t="shared" si="83"/>
        <v>0</v>
      </c>
    </row>
    <row r="390" spans="1:27" ht="18" customHeight="1" x14ac:dyDescent="0.3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70"/>
        <v>0</v>
      </c>
      <c r="J390" s="68">
        <f t="shared" ca="1" si="71"/>
        <v>0</v>
      </c>
      <c r="K390" s="68">
        <f t="shared" ca="1" si="72"/>
        <v>0</v>
      </c>
      <c r="L390" s="68">
        <f t="shared" ca="1" si="73"/>
        <v>0</v>
      </c>
      <c r="M390" s="69">
        <f t="shared" si="74"/>
        <v>0</v>
      </c>
      <c r="N390" s="65" t="str">
        <f t="shared" si="75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6"/>
        <v/>
      </c>
      <c r="U390" s="1">
        <f t="shared" si="77"/>
        <v>0</v>
      </c>
      <c r="V390" s="1">
        <f t="shared" si="78"/>
        <v>2958465</v>
      </c>
      <c r="W390" s="1">
        <f t="shared" si="79"/>
        <v>0</v>
      </c>
      <c r="X390" s="1">
        <f t="shared" si="80"/>
        <v>0</v>
      </c>
      <c r="Y390" s="1">
        <f t="shared" si="81"/>
        <v>97200</v>
      </c>
      <c r="Z390" s="1">
        <f t="shared" si="82"/>
        <v>1</v>
      </c>
      <c r="AA390" s="1">
        <f t="shared" si="83"/>
        <v>0</v>
      </c>
    </row>
    <row r="391" spans="1:27" ht="18" customHeight="1" x14ac:dyDescent="0.3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84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85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6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7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8">IF($G391&gt;0,$I391/$G391,0)</f>
        <v>0</v>
      </c>
      <c r="N391" s="65" t="str">
        <f t="shared" ref="N391:N454" si="89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90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91">IF($O391="",0,$O391)</f>
        <v>0</v>
      </c>
      <c r="V391" s="1">
        <f t="shared" ref="V391:V454" si="92">IF($E391="",2958465,$E391)</f>
        <v>2958465</v>
      </c>
      <c r="W391" s="1">
        <f t="shared" ref="W391:W454" si="93">IF($F391="Haftalık",1,IF($F391="Aylık",2,0))</f>
        <v>0</v>
      </c>
      <c r="X391" s="1">
        <f t="shared" ref="X391:X454" si="94">IF($U391=0,0,(YEAR($U391)-1900)*12+MONTH($U391))</f>
        <v>0</v>
      </c>
      <c r="Y391" s="1">
        <f t="shared" ref="Y391:Y454" si="95">(YEAR($V391)-1900)*12+MONTH($V391)</f>
        <v>97200</v>
      </c>
      <c r="Z391" s="1">
        <f t="shared" ref="Z391:Z454" si="96">IF($V391=EOMONTH($V391,0),1,0)</f>
        <v>1</v>
      </c>
      <c r="AA391" s="1">
        <f t="shared" ref="AA391:AA454" si="97">IF(OR($B391="",$H391&lt;&gt;"Aktif"),0,COUNTIFS($B$7:$B$606,$B391,$H$7:$H$606,"Aktif"))</f>
        <v>0</v>
      </c>
    </row>
    <row r="392" spans="1:27" ht="18" customHeight="1" x14ac:dyDescent="0.3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84"/>
        <v>0</v>
      </c>
      <c r="J392" s="68">
        <f t="shared" ca="1" si="85"/>
        <v>0</v>
      </c>
      <c r="K392" s="68">
        <f t="shared" ca="1" si="86"/>
        <v>0</v>
      </c>
      <c r="L392" s="68">
        <f t="shared" ca="1" si="87"/>
        <v>0</v>
      </c>
      <c r="M392" s="69">
        <f t="shared" si="88"/>
        <v>0</v>
      </c>
      <c r="N392" s="65" t="str">
        <f t="shared" si="89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90"/>
        <v/>
      </c>
      <c r="U392" s="1">
        <f t="shared" si="91"/>
        <v>0</v>
      </c>
      <c r="V392" s="1">
        <f t="shared" si="92"/>
        <v>2958465</v>
      </c>
      <c r="W392" s="1">
        <f t="shared" si="93"/>
        <v>0</v>
      </c>
      <c r="X392" s="1">
        <f t="shared" si="94"/>
        <v>0</v>
      </c>
      <c r="Y392" s="1">
        <f t="shared" si="95"/>
        <v>97200</v>
      </c>
      <c r="Z392" s="1">
        <f t="shared" si="96"/>
        <v>1</v>
      </c>
      <c r="AA392" s="1">
        <f t="shared" si="97"/>
        <v>0</v>
      </c>
    </row>
    <row r="393" spans="1:27" ht="18" customHeight="1" x14ac:dyDescent="0.3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84"/>
        <v>0</v>
      </c>
      <c r="J393" s="68">
        <f t="shared" ca="1" si="85"/>
        <v>0</v>
      </c>
      <c r="K393" s="68">
        <f t="shared" ca="1" si="86"/>
        <v>0</v>
      </c>
      <c r="L393" s="68">
        <f t="shared" ca="1" si="87"/>
        <v>0</v>
      </c>
      <c r="M393" s="69">
        <f t="shared" si="88"/>
        <v>0</v>
      </c>
      <c r="N393" s="65" t="str">
        <f t="shared" si="89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90"/>
        <v/>
      </c>
      <c r="U393" s="1">
        <f t="shared" si="91"/>
        <v>0</v>
      </c>
      <c r="V393" s="1">
        <f t="shared" si="92"/>
        <v>2958465</v>
      </c>
      <c r="W393" s="1">
        <f t="shared" si="93"/>
        <v>0</v>
      </c>
      <c r="X393" s="1">
        <f t="shared" si="94"/>
        <v>0</v>
      </c>
      <c r="Y393" s="1">
        <f t="shared" si="95"/>
        <v>97200</v>
      </c>
      <c r="Z393" s="1">
        <f t="shared" si="96"/>
        <v>1</v>
      </c>
      <c r="AA393" s="1">
        <f t="shared" si="97"/>
        <v>0</v>
      </c>
    </row>
    <row r="394" spans="1:27" ht="18" customHeight="1" x14ac:dyDescent="0.3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84"/>
        <v>0</v>
      </c>
      <c r="J394" s="68">
        <f t="shared" ca="1" si="85"/>
        <v>0</v>
      </c>
      <c r="K394" s="68">
        <f t="shared" ca="1" si="86"/>
        <v>0</v>
      </c>
      <c r="L394" s="68">
        <f t="shared" ca="1" si="87"/>
        <v>0</v>
      </c>
      <c r="M394" s="69">
        <f t="shared" si="88"/>
        <v>0</v>
      </c>
      <c r="N394" s="65" t="str">
        <f t="shared" si="89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90"/>
        <v/>
      </c>
      <c r="U394" s="1">
        <f t="shared" si="91"/>
        <v>0</v>
      </c>
      <c r="V394" s="1">
        <f t="shared" si="92"/>
        <v>2958465</v>
      </c>
      <c r="W394" s="1">
        <f t="shared" si="93"/>
        <v>0</v>
      </c>
      <c r="X394" s="1">
        <f t="shared" si="94"/>
        <v>0</v>
      </c>
      <c r="Y394" s="1">
        <f t="shared" si="95"/>
        <v>97200</v>
      </c>
      <c r="Z394" s="1">
        <f t="shared" si="96"/>
        <v>1</v>
      </c>
      <c r="AA394" s="1">
        <f t="shared" si="97"/>
        <v>0</v>
      </c>
    </row>
    <row r="395" spans="1:27" ht="18" customHeight="1" x14ac:dyDescent="0.3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84"/>
        <v>0</v>
      </c>
      <c r="J395" s="68">
        <f t="shared" ca="1" si="85"/>
        <v>0</v>
      </c>
      <c r="K395" s="68">
        <f t="shared" ca="1" si="86"/>
        <v>0</v>
      </c>
      <c r="L395" s="68">
        <f t="shared" ca="1" si="87"/>
        <v>0</v>
      </c>
      <c r="M395" s="69">
        <f t="shared" si="88"/>
        <v>0</v>
      </c>
      <c r="N395" s="65" t="str">
        <f t="shared" si="89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90"/>
        <v/>
      </c>
      <c r="U395" s="1">
        <f t="shared" si="91"/>
        <v>0</v>
      </c>
      <c r="V395" s="1">
        <f t="shared" si="92"/>
        <v>2958465</v>
      </c>
      <c r="W395" s="1">
        <f t="shared" si="93"/>
        <v>0</v>
      </c>
      <c r="X395" s="1">
        <f t="shared" si="94"/>
        <v>0</v>
      </c>
      <c r="Y395" s="1">
        <f t="shared" si="95"/>
        <v>97200</v>
      </c>
      <c r="Z395" s="1">
        <f t="shared" si="96"/>
        <v>1</v>
      </c>
      <c r="AA395" s="1">
        <f t="shared" si="97"/>
        <v>0</v>
      </c>
    </row>
    <row r="396" spans="1:27" ht="18" customHeight="1" x14ac:dyDescent="0.3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84"/>
        <v>0</v>
      </c>
      <c r="J396" s="68">
        <f t="shared" ca="1" si="85"/>
        <v>0</v>
      </c>
      <c r="K396" s="68">
        <f t="shared" ca="1" si="86"/>
        <v>0</v>
      </c>
      <c r="L396" s="68">
        <f t="shared" ca="1" si="87"/>
        <v>0</v>
      </c>
      <c r="M396" s="69">
        <f t="shared" si="88"/>
        <v>0</v>
      </c>
      <c r="N396" s="65" t="str">
        <f t="shared" si="89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90"/>
        <v/>
      </c>
      <c r="U396" s="1">
        <f t="shared" si="91"/>
        <v>0</v>
      </c>
      <c r="V396" s="1">
        <f t="shared" si="92"/>
        <v>2958465</v>
      </c>
      <c r="W396" s="1">
        <f t="shared" si="93"/>
        <v>0</v>
      </c>
      <c r="X396" s="1">
        <f t="shared" si="94"/>
        <v>0</v>
      </c>
      <c r="Y396" s="1">
        <f t="shared" si="95"/>
        <v>97200</v>
      </c>
      <c r="Z396" s="1">
        <f t="shared" si="96"/>
        <v>1</v>
      </c>
      <c r="AA396" s="1">
        <f t="shared" si="97"/>
        <v>0</v>
      </c>
    </row>
    <row r="397" spans="1:27" ht="18" customHeight="1" x14ac:dyDescent="0.3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84"/>
        <v>0</v>
      </c>
      <c r="J397" s="68">
        <f t="shared" ca="1" si="85"/>
        <v>0</v>
      </c>
      <c r="K397" s="68">
        <f t="shared" ca="1" si="86"/>
        <v>0</v>
      </c>
      <c r="L397" s="68">
        <f t="shared" ca="1" si="87"/>
        <v>0</v>
      </c>
      <c r="M397" s="69">
        <f t="shared" si="88"/>
        <v>0</v>
      </c>
      <c r="N397" s="65" t="str">
        <f t="shared" si="89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90"/>
        <v/>
      </c>
      <c r="U397" s="1">
        <f t="shared" si="91"/>
        <v>0</v>
      </c>
      <c r="V397" s="1">
        <f t="shared" si="92"/>
        <v>2958465</v>
      </c>
      <c r="W397" s="1">
        <f t="shared" si="93"/>
        <v>0</v>
      </c>
      <c r="X397" s="1">
        <f t="shared" si="94"/>
        <v>0</v>
      </c>
      <c r="Y397" s="1">
        <f t="shared" si="95"/>
        <v>97200</v>
      </c>
      <c r="Z397" s="1">
        <f t="shared" si="96"/>
        <v>1</v>
      </c>
      <c r="AA397" s="1">
        <f t="shared" si="97"/>
        <v>0</v>
      </c>
    </row>
    <row r="398" spans="1:27" ht="18" customHeight="1" x14ac:dyDescent="0.3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84"/>
        <v>0</v>
      </c>
      <c r="J398" s="68">
        <f t="shared" ca="1" si="85"/>
        <v>0</v>
      </c>
      <c r="K398" s="68">
        <f t="shared" ca="1" si="86"/>
        <v>0</v>
      </c>
      <c r="L398" s="68">
        <f t="shared" ca="1" si="87"/>
        <v>0</v>
      </c>
      <c r="M398" s="69">
        <f t="shared" si="88"/>
        <v>0</v>
      </c>
      <c r="N398" s="65" t="str">
        <f t="shared" si="89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90"/>
        <v/>
      </c>
      <c r="U398" s="1">
        <f t="shared" si="91"/>
        <v>0</v>
      </c>
      <c r="V398" s="1">
        <f t="shared" si="92"/>
        <v>2958465</v>
      </c>
      <c r="W398" s="1">
        <f t="shared" si="93"/>
        <v>0</v>
      </c>
      <c r="X398" s="1">
        <f t="shared" si="94"/>
        <v>0</v>
      </c>
      <c r="Y398" s="1">
        <f t="shared" si="95"/>
        <v>97200</v>
      </c>
      <c r="Z398" s="1">
        <f t="shared" si="96"/>
        <v>1</v>
      </c>
      <c r="AA398" s="1">
        <f t="shared" si="97"/>
        <v>0</v>
      </c>
    </row>
    <row r="399" spans="1:27" ht="18" customHeight="1" x14ac:dyDescent="0.3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84"/>
        <v>0</v>
      </c>
      <c r="J399" s="68">
        <f t="shared" ca="1" si="85"/>
        <v>0</v>
      </c>
      <c r="K399" s="68">
        <f t="shared" ca="1" si="86"/>
        <v>0</v>
      </c>
      <c r="L399" s="68">
        <f t="shared" ca="1" si="87"/>
        <v>0</v>
      </c>
      <c r="M399" s="69">
        <f t="shared" si="88"/>
        <v>0</v>
      </c>
      <c r="N399" s="65" t="str">
        <f t="shared" si="89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90"/>
        <v/>
      </c>
      <c r="U399" s="1">
        <f t="shared" si="91"/>
        <v>0</v>
      </c>
      <c r="V399" s="1">
        <f t="shared" si="92"/>
        <v>2958465</v>
      </c>
      <c r="W399" s="1">
        <f t="shared" si="93"/>
        <v>0</v>
      </c>
      <c r="X399" s="1">
        <f t="shared" si="94"/>
        <v>0</v>
      </c>
      <c r="Y399" s="1">
        <f t="shared" si="95"/>
        <v>97200</v>
      </c>
      <c r="Z399" s="1">
        <f t="shared" si="96"/>
        <v>1</v>
      </c>
      <c r="AA399" s="1">
        <f t="shared" si="97"/>
        <v>0</v>
      </c>
    </row>
    <row r="400" spans="1:27" ht="18" customHeight="1" x14ac:dyDescent="0.3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84"/>
        <v>0</v>
      </c>
      <c r="J400" s="68">
        <f t="shared" ca="1" si="85"/>
        <v>0</v>
      </c>
      <c r="K400" s="68">
        <f t="shared" ca="1" si="86"/>
        <v>0</v>
      </c>
      <c r="L400" s="68">
        <f t="shared" ca="1" si="87"/>
        <v>0</v>
      </c>
      <c r="M400" s="69">
        <f t="shared" si="88"/>
        <v>0</v>
      </c>
      <c r="N400" s="65" t="str">
        <f t="shared" si="89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90"/>
        <v/>
      </c>
      <c r="U400" s="1">
        <f t="shared" si="91"/>
        <v>0</v>
      </c>
      <c r="V400" s="1">
        <f t="shared" si="92"/>
        <v>2958465</v>
      </c>
      <c r="W400" s="1">
        <f t="shared" si="93"/>
        <v>0</v>
      </c>
      <c r="X400" s="1">
        <f t="shared" si="94"/>
        <v>0</v>
      </c>
      <c r="Y400" s="1">
        <f t="shared" si="95"/>
        <v>97200</v>
      </c>
      <c r="Z400" s="1">
        <f t="shared" si="96"/>
        <v>1</v>
      </c>
      <c r="AA400" s="1">
        <f t="shared" si="97"/>
        <v>0</v>
      </c>
    </row>
    <row r="401" spans="1:27" ht="18" customHeight="1" x14ac:dyDescent="0.3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84"/>
        <v>0</v>
      </c>
      <c r="J401" s="68">
        <f t="shared" ca="1" si="85"/>
        <v>0</v>
      </c>
      <c r="K401" s="68">
        <f t="shared" ca="1" si="86"/>
        <v>0</v>
      </c>
      <c r="L401" s="68">
        <f t="shared" ca="1" si="87"/>
        <v>0</v>
      </c>
      <c r="M401" s="69">
        <f t="shared" si="88"/>
        <v>0</v>
      </c>
      <c r="N401" s="65" t="str">
        <f t="shared" si="89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90"/>
        <v/>
      </c>
      <c r="U401" s="1">
        <f t="shared" si="91"/>
        <v>0</v>
      </c>
      <c r="V401" s="1">
        <f t="shared" si="92"/>
        <v>2958465</v>
      </c>
      <c r="W401" s="1">
        <f t="shared" si="93"/>
        <v>0</v>
      </c>
      <c r="X401" s="1">
        <f t="shared" si="94"/>
        <v>0</v>
      </c>
      <c r="Y401" s="1">
        <f t="shared" si="95"/>
        <v>97200</v>
      </c>
      <c r="Z401" s="1">
        <f t="shared" si="96"/>
        <v>1</v>
      </c>
      <c r="AA401" s="1">
        <f t="shared" si="97"/>
        <v>0</v>
      </c>
    </row>
    <row r="402" spans="1:27" ht="18" customHeight="1" x14ac:dyDescent="0.3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84"/>
        <v>0</v>
      </c>
      <c r="J402" s="68">
        <f t="shared" ca="1" si="85"/>
        <v>0</v>
      </c>
      <c r="K402" s="68">
        <f t="shared" ca="1" si="86"/>
        <v>0</v>
      </c>
      <c r="L402" s="68">
        <f t="shared" ca="1" si="87"/>
        <v>0</v>
      </c>
      <c r="M402" s="69">
        <f t="shared" si="88"/>
        <v>0</v>
      </c>
      <c r="N402" s="65" t="str">
        <f t="shared" si="89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90"/>
        <v/>
      </c>
      <c r="U402" s="1">
        <f t="shared" si="91"/>
        <v>0</v>
      </c>
      <c r="V402" s="1">
        <f t="shared" si="92"/>
        <v>2958465</v>
      </c>
      <c r="W402" s="1">
        <f t="shared" si="93"/>
        <v>0</v>
      </c>
      <c r="X402" s="1">
        <f t="shared" si="94"/>
        <v>0</v>
      </c>
      <c r="Y402" s="1">
        <f t="shared" si="95"/>
        <v>97200</v>
      </c>
      <c r="Z402" s="1">
        <f t="shared" si="96"/>
        <v>1</v>
      </c>
      <c r="AA402" s="1">
        <f t="shared" si="97"/>
        <v>0</v>
      </c>
    </row>
    <row r="403" spans="1:27" ht="18" customHeight="1" x14ac:dyDescent="0.3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84"/>
        <v>0</v>
      </c>
      <c r="J403" s="68">
        <f t="shared" ca="1" si="85"/>
        <v>0</v>
      </c>
      <c r="K403" s="68">
        <f t="shared" ca="1" si="86"/>
        <v>0</v>
      </c>
      <c r="L403" s="68">
        <f t="shared" ca="1" si="87"/>
        <v>0</v>
      </c>
      <c r="M403" s="69">
        <f t="shared" si="88"/>
        <v>0</v>
      </c>
      <c r="N403" s="65" t="str">
        <f t="shared" si="89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90"/>
        <v/>
      </c>
      <c r="U403" s="1">
        <f t="shared" si="91"/>
        <v>0</v>
      </c>
      <c r="V403" s="1">
        <f t="shared" si="92"/>
        <v>2958465</v>
      </c>
      <c r="W403" s="1">
        <f t="shared" si="93"/>
        <v>0</v>
      </c>
      <c r="X403" s="1">
        <f t="shared" si="94"/>
        <v>0</v>
      </c>
      <c r="Y403" s="1">
        <f t="shared" si="95"/>
        <v>97200</v>
      </c>
      <c r="Z403" s="1">
        <f t="shared" si="96"/>
        <v>1</v>
      </c>
      <c r="AA403" s="1">
        <f t="shared" si="97"/>
        <v>0</v>
      </c>
    </row>
    <row r="404" spans="1:27" ht="18" customHeight="1" x14ac:dyDescent="0.3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84"/>
        <v>0</v>
      </c>
      <c r="J404" s="68">
        <f t="shared" ca="1" si="85"/>
        <v>0</v>
      </c>
      <c r="K404" s="68">
        <f t="shared" ca="1" si="86"/>
        <v>0</v>
      </c>
      <c r="L404" s="68">
        <f t="shared" ca="1" si="87"/>
        <v>0</v>
      </c>
      <c r="M404" s="69">
        <f t="shared" si="88"/>
        <v>0</v>
      </c>
      <c r="N404" s="65" t="str">
        <f t="shared" si="89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90"/>
        <v/>
      </c>
      <c r="U404" s="1">
        <f t="shared" si="91"/>
        <v>0</v>
      </c>
      <c r="V404" s="1">
        <f t="shared" si="92"/>
        <v>2958465</v>
      </c>
      <c r="W404" s="1">
        <f t="shared" si="93"/>
        <v>0</v>
      </c>
      <c r="X404" s="1">
        <f t="shared" si="94"/>
        <v>0</v>
      </c>
      <c r="Y404" s="1">
        <f t="shared" si="95"/>
        <v>97200</v>
      </c>
      <c r="Z404" s="1">
        <f t="shared" si="96"/>
        <v>1</v>
      </c>
      <c r="AA404" s="1">
        <f t="shared" si="97"/>
        <v>0</v>
      </c>
    </row>
    <row r="405" spans="1:27" ht="18" customHeight="1" x14ac:dyDescent="0.3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84"/>
        <v>0</v>
      </c>
      <c r="J405" s="68">
        <f t="shared" ca="1" si="85"/>
        <v>0</v>
      </c>
      <c r="K405" s="68">
        <f t="shared" ca="1" si="86"/>
        <v>0</v>
      </c>
      <c r="L405" s="68">
        <f t="shared" ca="1" si="87"/>
        <v>0</v>
      </c>
      <c r="M405" s="69">
        <f t="shared" si="88"/>
        <v>0</v>
      </c>
      <c r="N405" s="65" t="str">
        <f t="shared" si="89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90"/>
        <v/>
      </c>
      <c r="U405" s="1">
        <f t="shared" si="91"/>
        <v>0</v>
      </c>
      <c r="V405" s="1">
        <f t="shared" si="92"/>
        <v>2958465</v>
      </c>
      <c r="W405" s="1">
        <f t="shared" si="93"/>
        <v>0</v>
      </c>
      <c r="X405" s="1">
        <f t="shared" si="94"/>
        <v>0</v>
      </c>
      <c r="Y405" s="1">
        <f t="shared" si="95"/>
        <v>97200</v>
      </c>
      <c r="Z405" s="1">
        <f t="shared" si="96"/>
        <v>1</v>
      </c>
      <c r="AA405" s="1">
        <f t="shared" si="97"/>
        <v>0</v>
      </c>
    </row>
    <row r="406" spans="1:27" ht="18" customHeight="1" x14ac:dyDescent="0.3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84"/>
        <v>0</v>
      </c>
      <c r="J406" s="68">
        <f t="shared" ca="1" si="85"/>
        <v>0</v>
      </c>
      <c r="K406" s="68">
        <f t="shared" ca="1" si="86"/>
        <v>0</v>
      </c>
      <c r="L406" s="68">
        <f t="shared" ca="1" si="87"/>
        <v>0</v>
      </c>
      <c r="M406" s="69">
        <f t="shared" si="88"/>
        <v>0</v>
      </c>
      <c r="N406" s="65" t="str">
        <f t="shared" si="89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90"/>
        <v/>
      </c>
      <c r="U406" s="1">
        <f t="shared" si="91"/>
        <v>0</v>
      </c>
      <c r="V406" s="1">
        <f t="shared" si="92"/>
        <v>2958465</v>
      </c>
      <c r="W406" s="1">
        <f t="shared" si="93"/>
        <v>0</v>
      </c>
      <c r="X406" s="1">
        <f t="shared" si="94"/>
        <v>0</v>
      </c>
      <c r="Y406" s="1">
        <f t="shared" si="95"/>
        <v>97200</v>
      </c>
      <c r="Z406" s="1">
        <f t="shared" si="96"/>
        <v>1</v>
      </c>
      <c r="AA406" s="1">
        <f t="shared" si="97"/>
        <v>0</v>
      </c>
    </row>
    <row r="407" spans="1:27" ht="18" customHeight="1" x14ac:dyDescent="0.3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84"/>
        <v>0</v>
      </c>
      <c r="J407" s="68">
        <f t="shared" ca="1" si="85"/>
        <v>0</v>
      </c>
      <c r="K407" s="68">
        <f t="shared" ca="1" si="86"/>
        <v>0</v>
      </c>
      <c r="L407" s="68">
        <f t="shared" ca="1" si="87"/>
        <v>0</v>
      </c>
      <c r="M407" s="69">
        <f t="shared" si="88"/>
        <v>0</v>
      </c>
      <c r="N407" s="65" t="str">
        <f t="shared" si="89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90"/>
        <v/>
      </c>
      <c r="U407" s="1">
        <f t="shared" si="91"/>
        <v>0</v>
      </c>
      <c r="V407" s="1">
        <f t="shared" si="92"/>
        <v>2958465</v>
      </c>
      <c r="W407" s="1">
        <f t="shared" si="93"/>
        <v>0</v>
      </c>
      <c r="X407" s="1">
        <f t="shared" si="94"/>
        <v>0</v>
      </c>
      <c r="Y407" s="1">
        <f t="shared" si="95"/>
        <v>97200</v>
      </c>
      <c r="Z407" s="1">
        <f t="shared" si="96"/>
        <v>1</v>
      </c>
      <c r="AA407" s="1">
        <f t="shared" si="97"/>
        <v>0</v>
      </c>
    </row>
    <row r="408" spans="1:27" ht="18" customHeight="1" x14ac:dyDescent="0.3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84"/>
        <v>0</v>
      </c>
      <c r="J408" s="68">
        <f t="shared" ca="1" si="85"/>
        <v>0</v>
      </c>
      <c r="K408" s="68">
        <f t="shared" ca="1" si="86"/>
        <v>0</v>
      </c>
      <c r="L408" s="68">
        <f t="shared" ca="1" si="87"/>
        <v>0</v>
      </c>
      <c r="M408" s="69">
        <f t="shared" si="88"/>
        <v>0</v>
      </c>
      <c r="N408" s="65" t="str">
        <f t="shared" si="89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90"/>
        <v/>
      </c>
      <c r="U408" s="1">
        <f t="shared" si="91"/>
        <v>0</v>
      </c>
      <c r="V408" s="1">
        <f t="shared" si="92"/>
        <v>2958465</v>
      </c>
      <c r="W408" s="1">
        <f t="shared" si="93"/>
        <v>0</v>
      </c>
      <c r="X408" s="1">
        <f t="shared" si="94"/>
        <v>0</v>
      </c>
      <c r="Y408" s="1">
        <f t="shared" si="95"/>
        <v>97200</v>
      </c>
      <c r="Z408" s="1">
        <f t="shared" si="96"/>
        <v>1</v>
      </c>
      <c r="AA408" s="1">
        <f t="shared" si="97"/>
        <v>0</v>
      </c>
    </row>
    <row r="409" spans="1:27" ht="18" customHeight="1" x14ac:dyDescent="0.3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84"/>
        <v>0</v>
      </c>
      <c r="J409" s="68">
        <f t="shared" ca="1" si="85"/>
        <v>0</v>
      </c>
      <c r="K409" s="68">
        <f t="shared" ca="1" si="86"/>
        <v>0</v>
      </c>
      <c r="L409" s="68">
        <f t="shared" ca="1" si="87"/>
        <v>0</v>
      </c>
      <c r="M409" s="69">
        <f t="shared" si="88"/>
        <v>0</v>
      </c>
      <c r="N409" s="65" t="str">
        <f t="shared" si="89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90"/>
        <v/>
      </c>
      <c r="U409" s="1">
        <f t="shared" si="91"/>
        <v>0</v>
      </c>
      <c r="V409" s="1">
        <f t="shared" si="92"/>
        <v>2958465</v>
      </c>
      <c r="W409" s="1">
        <f t="shared" si="93"/>
        <v>0</v>
      </c>
      <c r="X409" s="1">
        <f t="shared" si="94"/>
        <v>0</v>
      </c>
      <c r="Y409" s="1">
        <f t="shared" si="95"/>
        <v>97200</v>
      </c>
      <c r="Z409" s="1">
        <f t="shared" si="96"/>
        <v>1</v>
      </c>
      <c r="AA409" s="1">
        <f t="shared" si="97"/>
        <v>0</v>
      </c>
    </row>
    <row r="410" spans="1:27" ht="18" customHeight="1" x14ac:dyDescent="0.3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84"/>
        <v>0</v>
      </c>
      <c r="J410" s="68">
        <f t="shared" ca="1" si="85"/>
        <v>0</v>
      </c>
      <c r="K410" s="68">
        <f t="shared" ca="1" si="86"/>
        <v>0</v>
      </c>
      <c r="L410" s="68">
        <f t="shared" ca="1" si="87"/>
        <v>0</v>
      </c>
      <c r="M410" s="69">
        <f t="shared" si="88"/>
        <v>0</v>
      </c>
      <c r="N410" s="65" t="str">
        <f t="shared" si="89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90"/>
        <v/>
      </c>
      <c r="U410" s="1">
        <f t="shared" si="91"/>
        <v>0</v>
      </c>
      <c r="V410" s="1">
        <f t="shared" si="92"/>
        <v>2958465</v>
      </c>
      <c r="W410" s="1">
        <f t="shared" si="93"/>
        <v>0</v>
      </c>
      <c r="X410" s="1">
        <f t="shared" si="94"/>
        <v>0</v>
      </c>
      <c r="Y410" s="1">
        <f t="shared" si="95"/>
        <v>97200</v>
      </c>
      <c r="Z410" s="1">
        <f t="shared" si="96"/>
        <v>1</v>
      </c>
      <c r="AA410" s="1">
        <f t="shared" si="97"/>
        <v>0</v>
      </c>
    </row>
    <row r="411" spans="1:27" ht="18" customHeight="1" x14ac:dyDescent="0.3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84"/>
        <v>0</v>
      </c>
      <c r="J411" s="68">
        <f t="shared" ca="1" si="85"/>
        <v>0</v>
      </c>
      <c r="K411" s="68">
        <f t="shared" ca="1" si="86"/>
        <v>0</v>
      </c>
      <c r="L411" s="68">
        <f t="shared" ca="1" si="87"/>
        <v>0</v>
      </c>
      <c r="M411" s="69">
        <f t="shared" si="88"/>
        <v>0</v>
      </c>
      <c r="N411" s="65" t="str">
        <f t="shared" si="89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90"/>
        <v/>
      </c>
      <c r="U411" s="1">
        <f t="shared" si="91"/>
        <v>0</v>
      </c>
      <c r="V411" s="1">
        <f t="shared" si="92"/>
        <v>2958465</v>
      </c>
      <c r="W411" s="1">
        <f t="shared" si="93"/>
        <v>0</v>
      </c>
      <c r="X411" s="1">
        <f t="shared" si="94"/>
        <v>0</v>
      </c>
      <c r="Y411" s="1">
        <f t="shared" si="95"/>
        <v>97200</v>
      </c>
      <c r="Z411" s="1">
        <f t="shared" si="96"/>
        <v>1</v>
      </c>
      <c r="AA411" s="1">
        <f t="shared" si="97"/>
        <v>0</v>
      </c>
    </row>
    <row r="412" spans="1:27" ht="18" customHeight="1" x14ac:dyDescent="0.3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84"/>
        <v>0</v>
      </c>
      <c r="J412" s="68">
        <f t="shared" ca="1" si="85"/>
        <v>0</v>
      </c>
      <c r="K412" s="68">
        <f t="shared" ca="1" si="86"/>
        <v>0</v>
      </c>
      <c r="L412" s="68">
        <f t="shared" ca="1" si="87"/>
        <v>0</v>
      </c>
      <c r="M412" s="69">
        <f t="shared" si="88"/>
        <v>0</v>
      </c>
      <c r="N412" s="65" t="str">
        <f t="shared" si="89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90"/>
        <v/>
      </c>
      <c r="U412" s="1">
        <f t="shared" si="91"/>
        <v>0</v>
      </c>
      <c r="V412" s="1">
        <f t="shared" si="92"/>
        <v>2958465</v>
      </c>
      <c r="W412" s="1">
        <f t="shared" si="93"/>
        <v>0</v>
      </c>
      <c r="X412" s="1">
        <f t="shared" si="94"/>
        <v>0</v>
      </c>
      <c r="Y412" s="1">
        <f t="shared" si="95"/>
        <v>97200</v>
      </c>
      <c r="Z412" s="1">
        <f t="shared" si="96"/>
        <v>1</v>
      </c>
      <c r="AA412" s="1">
        <f t="shared" si="97"/>
        <v>0</v>
      </c>
    </row>
    <row r="413" spans="1:27" ht="18" customHeight="1" x14ac:dyDescent="0.3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84"/>
        <v>0</v>
      </c>
      <c r="J413" s="68">
        <f t="shared" ca="1" si="85"/>
        <v>0</v>
      </c>
      <c r="K413" s="68">
        <f t="shared" ca="1" si="86"/>
        <v>0</v>
      </c>
      <c r="L413" s="68">
        <f t="shared" ca="1" si="87"/>
        <v>0</v>
      </c>
      <c r="M413" s="69">
        <f t="shared" si="88"/>
        <v>0</v>
      </c>
      <c r="N413" s="65" t="str">
        <f t="shared" si="89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90"/>
        <v/>
      </c>
      <c r="U413" s="1">
        <f t="shared" si="91"/>
        <v>0</v>
      </c>
      <c r="V413" s="1">
        <f t="shared" si="92"/>
        <v>2958465</v>
      </c>
      <c r="W413" s="1">
        <f t="shared" si="93"/>
        <v>0</v>
      </c>
      <c r="X413" s="1">
        <f t="shared" si="94"/>
        <v>0</v>
      </c>
      <c r="Y413" s="1">
        <f t="shared" si="95"/>
        <v>97200</v>
      </c>
      <c r="Z413" s="1">
        <f t="shared" si="96"/>
        <v>1</v>
      </c>
      <c r="AA413" s="1">
        <f t="shared" si="97"/>
        <v>0</v>
      </c>
    </row>
    <row r="414" spans="1:27" ht="18" customHeight="1" x14ac:dyDescent="0.3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84"/>
        <v>0</v>
      </c>
      <c r="J414" s="68">
        <f t="shared" ca="1" si="85"/>
        <v>0</v>
      </c>
      <c r="K414" s="68">
        <f t="shared" ca="1" si="86"/>
        <v>0</v>
      </c>
      <c r="L414" s="68">
        <f t="shared" ca="1" si="87"/>
        <v>0</v>
      </c>
      <c r="M414" s="69">
        <f t="shared" si="88"/>
        <v>0</v>
      </c>
      <c r="N414" s="65" t="str">
        <f t="shared" si="89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90"/>
        <v/>
      </c>
      <c r="U414" s="1">
        <f t="shared" si="91"/>
        <v>0</v>
      </c>
      <c r="V414" s="1">
        <f t="shared" si="92"/>
        <v>2958465</v>
      </c>
      <c r="W414" s="1">
        <f t="shared" si="93"/>
        <v>0</v>
      </c>
      <c r="X414" s="1">
        <f t="shared" si="94"/>
        <v>0</v>
      </c>
      <c r="Y414" s="1">
        <f t="shared" si="95"/>
        <v>97200</v>
      </c>
      <c r="Z414" s="1">
        <f t="shared" si="96"/>
        <v>1</v>
      </c>
      <c r="AA414" s="1">
        <f t="shared" si="97"/>
        <v>0</v>
      </c>
    </row>
    <row r="415" spans="1:27" ht="18" customHeight="1" x14ac:dyDescent="0.3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84"/>
        <v>0</v>
      </c>
      <c r="J415" s="68">
        <f t="shared" ca="1" si="85"/>
        <v>0</v>
      </c>
      <c r="K415" s="68">
        <f t="shared" ca="1" si="86"/>
        <v>0</v>
      </c>
      <c r="L415" s="68">
        <f t="shared" ca="1" si="87"/>
        <v>0</v>
      </c>
      <c r="M415" s="69">
        <f t="shared" si="88"/>
        <v>0</v>
      </c>
      <c r="N415" s="65" t="str">
        <f t="shared" si="89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90"/>
        <v/>
      </c>
      <c r="U415" s="1">
        <f t="shared" si="91"/>
        <v>0</v>
      </c>
      <c r="V415" s="1">
        <f t="shared" si="92"/>
        <v>2958465</v>
      </c>
      <c r="W415" s="1">
        <f t="shared" si="93"/>
        <v>0</v>
      </c>
      <c r="X415" s="1">
        <f t="shared" si="94"/>
        <v>0</v>
      </c>
      <c r="Y415" s="1">
        <f t="shared" si="95"/>
        <v>97200</v>
      </c>
      <c r="Z415" s="1">
        <f t="shared" si="96"/>
        <v>1</v>
      </c>
      <c r="AA415" s="1">
        <f t="shared" si="97"/>
        <v>0</v>
      </c>
    </row>
    <row r="416" spans="1:27" ht="18" customHeight="1" x14ac:dyDescent="0.3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84"/>
        <v>0</v>
      </c>
      <c r="J416" s="68">
        <f t="shared" ca="1" si="85"/>
        <v>0</v>
      </c>
      <c r="K416" s="68">
        <f t="shared" ca="1" si="86"/>
        <v>0</v>
      </c>
      <c r="L416" s="68">
        <f t="shared" ca="1" si="87"/>
        <v>0</v>
      </c>
      <c r="M416" s="69">
        <f t="shared" si="88"/>
        <v>0</v>
      </c>
      <c r="N416" s="65" t="str">
        <f t="shared" si="89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90"/>
        <v/>
      </c>
      <c r="U416" s="1">
        <f t="shared" si="91"/>
        <v>0</v>
      </c>
      <c r="V416" s="1">
        <f t="shared" si="92"/>
        <v>2958465</v>
      </c>
      <c r="W416" s="1">
        <f t="shared" si="93"/>
        <v>0</v>
      </c>
      <c r="X416" s="1">
        <f t="shared" si="94"/>
        <v>0</v>
      </c>
      <c r="Y416" s="1">
        <f t="shared" si="95"/>
        <v>97200</v>
      </c>
      <c r="Z416" s="1">
        <f t="shared" si="96"/>
        <v>1</v>
      </c>
      <c r="AA416" s="1">
        <f t="shared" si="97"/>
        <v>0</v>
      </c>
    </row>
    <row r="417" spans="1:27" ht="18" customHeight="1" x14ac:dyDescent="0.3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84"/>
        <v>0</v>
      </c>
      <c r="J417" s="68">
        <f t="shared" ca="1" si="85"/>
        <v>0</v>
      </c>
      <c r="K417" s="68">
        <f t="shared" ca="1" si="86"/>
        <v>0</v>
      </c>
      <c r="L417" s="68">
        <f t="shared" ca="1" si="87"/>
        <v>0</v>
      </c>
      <c r="M417" s="69">
        <f t="shared" si="88"/>
        <v>0</v>
      </c>
      <c r="N417" s="65" t="str">
        <f t="shared" si="89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90"/>
        <v/>
      </c>
      <c r="U417" s="1">
        <f t="shared" si="91"/>
        <v>0</v>
      </c>
      <c r="V417" s="1">
        <f t="shared" si="92"/>
        <v>2958465</v>
      </c>
      <c r="W417" s="1">
        <f t="shared" si="93"/>
        <v>0</v>
      </c>
      <c r="X417" s="1">
        <f t="shared" si="94"/>
        <v>0</v>
      </c>
      <c r="Y417" s="1">
        <f t="shared" si="95"/>
        <v>97200</v>
      </c>
      <c r="Z417" s="1">
        <f t="shared" si="96"/>
        <v>1</v>
      </c>
      <c r="AA417" s="1">
        <f t="shared" si="97"/>
        <v>0</v>
      </c>
    </row>
    <row r="418" spans="1:27" ht="18" customHeight="1" x14ac:dyDescent="0.3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84"/>
        <v>0</v>
      </c>
      <c r="J418" s="68">
        <f t="shared" ca="1" si="85"/>
        <v>0</v>
      </c>
      <c r="K418" s="68">
        <f t="shared" ca="1" si="86"/>
        <v>0</v>
      </c>
      <c r="L418" s="68">
        <f t="shared" ca="1" si="87"/>
        <v>0</v>
      </c>
      <c r="M418" s="69">
        <f t="shared" si="88"/>
        <v>0</v>
      </c>
      <c r="N418" s="65" t="str">
        <f t="shared" si="89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90"/>
        <v/>
      </c>
      <c r="U418" s="1">
        <f t="shared" si="91"/>
        <v>0</v>
      </c>
      <c r="V418" s="1">
        <f t="shared" si="92"/>
        <v>2958465</v>
      </c>
      <c r="W418" s="1">
        <f t="shared" si="93"/>
        <v>0</v>
      </c>
      <c r="X418" s="1">
        <f t="shared" si="94"/>
        <v>0</v>
      </c>
      <c r="Y418" s="1">
        <f t="shared" si="95"/>
        <v>97200</v>
      </c>
      <c r="Z418" s="1">
        <f t="shared" si="96"/>
        <v>1</v>
      </c>
      <c r="AA418" s="1">
        <f t="shared" si="97"/>
        <v>0</v>
      </c>
    </row>
    <row r="419" spans="1:27" ht="18" customHeight="1" x14ac:dyDescent="0.3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84"/>
        <v>0</v>
      </c>
      <c r="J419" s="68">
        <f t="shared" ca="1" si="85"/>
        <v>0</v>
      </c>
      <c r="K419" s="68">
        <f t="shared" ca="1" si="86"/>
        <v>0</v>
      </c>
      <c r="L419" s="68">
        <f t="shared" ca="1" si="87"/>
        <v>0</v>
      </c>
      <c r="M419" s="69">
        <f t="shared" si="88"/>
        <v>0</v>
      </c>
      <c r="N419" s="65" t="str">
        <f t="shared" si="89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90"/>
        <v/>
      </c>
      <c r="U419" s="1">
        <f t="shared" si="91"/>
        <v>0</v>
      </c>
      <c r="V419" s="1">
        <f t="shared" si="92"/>
        <v>2958465</v>
      </c>
      <c r="W419" s="1">
        <f t="shared" si="93"/>
        <v>0</v>
      </c>
      <c r="X419" s="1">
        <f t="shared" si="94"/>
        <v>0</v>
      </c>
      <c r="Y419" s="1">
        <f t="shared" si="95"/>
        <v>97200</v>
      </c>
      <c r="Z419" s="1">
        <f t="shared" si="96"/>
        <v>1</v>
      </c>
      <c r="AA419" s="1">
        <f t="shared" si="97"/>
        <v>0</v>
      </c>
    </row>
    <row r="420" spans="1:27" ht="18" customHeight="1" x14ac:dyDescent="0.3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84"/>
        <v>0</v>
      </c>
      <c r="J420" s="68">
        <f t="shared" ca="1" si="85"/>
        <v>0</v>
      </c>
      <c r="K420" s="68">
        <f t="shared" ca="1" si="86"/>
        <v>0</v>
      </c>
      <c r="L420" s="68">
        <f t="shared" ca="1" si="87"/>
        <v>0</v>
      </c>
      <c r="M420" s="69">
        <f t="shared" si="88"/>
        <v>0</v>
      </c>
      <c r="N420" s="65" t="str">
        <f t="shared" si="89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90"/>
        <v/>
      </c>
      <c r="U420" s="1">
        <f t="shared" si="91"/>
        <v>0</v>
      </c>
      <c r="V420" s="1">
        <f t="shared" si="92"/>
        <v>2958465</v>
      </c>
      <c r="W420" s="1">
        <f t="shared" si="93"/>
        <v>0</v>
      </c>
      <c r="X420" s="1">
        <f t="shared" si="94"/>
        <v>0</v>
      </c>
      <c r="Y420" s="1">
        <f t="shared" si="95"/>
        <v>97200</v>
      </c>
      <c r="Z420" s="1">
        <f t="shared" si="96"/>
        <v>1</v>
      </c>
      <c r="AA420" s="1">
        <f t="shared" si="97"/>
        <v>0</v>
      </c>
    </row>
    <row r="421" spans="1:27" ht="18" customHeight="1" x14ac:dyDescent="0.3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84"/>
        <v>0</v>
      </c>
      <c r="J421" s="68">
        <f t="shared" ca="1" si="85"/>
        <v>0</v>
      </c>
      <c r="K421" s="68">
        <f t="shared" ca="1" si="86"/>
        <v>0</v>
      </c>
      <c r="L421" s="68">
        <f t="shared" ca="1" si="87"/>
        <v>0</v>
      </c>
      <c r="M421" s="69">
        <f t="shared" si="88"/>
        <v>0</v>
      </c>
      <c r="N421" s="65" t="str">
        <f t="shared" si="89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90"/>
        <v/>
      </c>
      <c r="U421" s="1">
        <f t="shared" si="91"/>
        <v>0</v>
      </c>
      <c r="V421" s="1">
        <f t="shared" si="92"/>
        <v>2958465</v>
      </c>
      <c r="W421" s="1">
        <f t="shared" si="93"/>
        <v>0</v>
      </c>
      <c r="X421" s="1">
        <f t="shared" si="94"/>
        <v>0</v>
      </c>
      <c r="Y421" s="1">
        <f t="shared" si="95"/>
        <v>97200</v>
      </c>
      <c r="Z421" s="1">
        <f t="shared" si="96"/>
        <v>1</v>
      </c>
      <c r="AA421" s="1">
        <f t="shared" si="97"/>
        <v>0</v>
      </c>
    </row>
    <row r="422" spans="1:27" ht="18" customHeight="1" x14ac:dyDescent="0.3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84"/>
        <v>0</v>
      </c>
      <c r="J422" s="68">
        <f t="shared" ca="1" si="85"/>
        <v>0</v>
      </c>
      <c r="K422" s="68">
        <f t="shared" ca="1" si="86"/>
        <v>0</v>
      </c>
      <c r="L422" s="68">
        <f t="shared" ca="1" si="87"/>
        <v>0</v>
      </c>
      <c r="M422" s="69">
        <f t="shared" si="88"/>
        <v>0</v>
      </c>
      <c r="N422" s="65" t="str">
        <f t="shared" si="89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90"/>
        <v/>
      </c>
      <c r="U422" s="1">
        <f t="shared" si="91"/>
        <v>0</v>
      </c>
      <c r="V422" s="1">
        <f t="shared" si="92"/>
        <v>2958465</v>
      </c>
      <c r="W422" s="1">
        <f t="shared" si="93"/>
        <v>0</v>
      </c>
      <c r="X422" s="1">
        <f t="shared" si="94"/>
        <v>0</v>
      </c>
      <c r="Y422" s="1">
        <f t="shared" si="95"/>
        <v>97200</v>
      </c>
      <c r="Z422" s="1">
        <f t="shared" si="96"/>
        <v>1</v>
      </c>
      <c r="AA422" s="1">
        <f t="shared" si="97"/>
        <v>0</v>
      </c>
    </row>
    <row r="423" spans="1:27" ht="18" customHeight="1" x14ac:dyDescent="0.3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84"/>
        <v>0</v>
      </c>
      <c r="J423" s="68">
        <f t="shared" ca="1" si="85"/>
        <v>0</v>
      </c>
      <c r="K423" s="68">
        <f t="shared" ca="1" si="86"/>
        <v>0</v>
      </c>
      <c r="L423" s="68">
        <f t="shared" ca="1" si="87"/>
        <v>0</v>
      </c>
      <c r="M423" s="69">
        <f t="shared" si="88"/>
        <v>0</v>
      </c>
      <c r="N423" s="65" t="str">
        <f t="shared" si="89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90"/>
        <v/>
      </c>
      <c r="U423" s="1">
        <f t="shared" si="91"/>
        <v>0</v>
      </c>
      <c r="V423" s="1">
        <f t="shared" si="92"/>
        <v>2958465</v>
      </c>
      <c r="W423" s="1">
        <f t="shared" si="93"/>
        <v>0</v>
      </c>
      <c r="X423" s="1">
        <f t="shared" si="94"/>
        <v>0</v>
      </c>
      <c r="Y423" s="1">
        <f t="shared" si="95"/>
        <v>97200</v>
      </c>
      <c r="Z423" s="1">
        <f t="shared" si="96"/>
        <v>1</v>
      </c>
      <c r="AA423" s="1">
        <f t="shared" si="97"/>
        <v>0</v>
      </c>
    </row>
    <row r="424" spans="1:27" ht="18" customHeight="1" x14ac:dyDescent="0.3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84"/>
        <v>0</v>
      </c>
      <c r="J424" s="68">
        <f t="shared" ca="1" si="85"/>
        <v>0</v>
      </c>
      <c r="K424" s="68">
        <f t="shared" ca="1" si="86"/>
        <v>0</v>
      </c>
      <c r="L424" s="68">
        <f t="shared" ca="1" si="87"/>
        <v>0</v>
      </c>
      <c r="M424" s="69">
        <f t="shared" si="88"/>
        <v>0</v>
      </c>
      <c r="N424" s="65" t="str">
        <f t="shared" si="89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90"/>
        <v/>
      </c>
      <c r="U424" s="1">
        <f t="shared" si="91"/>
        <v>0</v>
      </c>
      <c r="V424" s="1">
        <f t="shared" si="92"/>
        <v>2958465</v>
      </c>
      <c r="W424" s="1">
        <f t="shared" si="93"/>
        <v>0</v>
      </c>
      <c r="X424" s="1">
        <f t="shared" si="94"/>
        <v>0</v>
      </c>
      <c r="Y424" s="1">
        <f t="shared" si="95"/>
        <v>97200</v>
      </c>
      <c r="Z424" s="1">
        <f t="shared" si="96"/>
        <v>1</v>
      </c>
      <c r="AA424" s="1">
        <f t="shared" si="97"/>
        <v>0</v>
      </c>
    </row>
    <row r="425" spans="1:27" ht="18" customHeight="1" x14ac:dyDescent="0.3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84"/>
        <v>0</v>
      </c>
      <c r="J425" s="68">
        <f t="shared" ca="1" si="85"/>
        <v>0</v>
      </c>
      <c r="K425" s="68">
        <f t="shared" ca="1" si="86"/>
        <v>0</v>
      </c>
      <c r="L425" s="68">
        <f t="shared" ca="1" si="87"/>
        <v>0</v>
      </c>
      <c r="M425" s="69">
        <f t="shared" si="88"/>
        <v>0</v>
      </c>
      <c r="N425" s="65" t="str">
        <f t="shared" si="89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90"/>
        <v/>
      </c>
      <c r="U425" s="1">
        <f t="shared" si="91"/>
        <v>0</v>
      </c>
      <c r="V425" s="1">
        <f t="shared" si="92"/>
        <v>2958465</v>
      </c>
      <c r="W425" s="1">
        <f t="shared" si="93"/>
        <v>0</v>
      </c>
      <c r="X425" s="1">
        <f t="shared" si="94"/>
        <v>0</v>
      </c>
      <c r="Y425" s="1">
        <f t="shared" si="95"/>
        <v>97200</v>
      </c>
      <c r="Z425" s="1">
        <f t="shared" si="96"/>
        <v>1</v>
      </c>
      <c r="AA425" s="1">
        <f t="shared" si="97"/>
        <v>0</v>
      </c>
    </row>
    <row r="426" spans="1:27" ht="18" customHeight="1" x14ac:dyDescent="0.3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84"/>
        <v>0</v>
      </c>
      <c r="J426" s="68">
        <f t="shared" ca="1" si="85"/>
        <v>0</v>
      </c>
      <c r="K426" s="68">
        <f t="shared" ca="1" si="86"/>
        <v>0</v>
      </c>
      <c r="L426" s="68">
        <f t="shared" ca="1" si="87"/>
        <v>0</v>
      </c>
      <c r="M426" s="69">
        <f t="shared" si="88"/>
        <v>0</v>
      </c>
      <c r="N426" s="65" t="str">
        <f t="shared" si="89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90"/>
        <v/>
      </c>
      <c r="U426" s="1">
        <f t="shared" si="91"/>
        <v>0</v>
      </c>
      <c r="V426" s="1">
        <f t="shared" si="92"/>
        <v>2958465</v>
      </c>
      <c r="W426" s="1">
        <f t="shared" si="93"/>
        <v>0</v>
      </c>
      <c r="X426" s="1">
        <f t="shared" si="94"/>
        <v>0</v>
      </c>
      <c r="Y426" s="1">
        <f t="shared" si="95"/>
        <v>97200</v>
      </c>
      <c r="Z426" s="1">
        <f t="shared" si="96"/>
        <v>1</v>
      </c>
      <c r="AA426" s="1">
        <f t="shared" si="97"/>
        <v>0</v>
      </c>
    </row>
    <row r="427" spans="1:27" ht="18" customHeight="1" x14ac:dyDescent="0.3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84"/>
        <v>0</v>
      </c>
      <c r="J427" s="68">
        <f t="shared" ca="1" si="85"/>
        <v>0</v>
      </c>
      <c r="K427" s="68">
        <f t="shared" ca="1" si="86"/>
        <v>0</v>
      </c>
      <c r="L427" s="68">
        <f t="shared" ca="1" si="87"/>
        <v>0</v>
      </c>
      <c r="M427" s="69">
        <f t="shared" si="88"/>
        <v>0</v>
      </c>
      <c r="N427" s="65" t="str">
        <f t="shared" si="89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90"/>
        <v/>
      </c>
      <c r="U427" s="1">
        <f t="shared" si="91"/>
        <v>0</v>
      </c>
      <c r="V427" s="1">
        <f t="shared" si="92"/>
        <v>2958465</v>
      </c>
      <c r="W427" s="1">
        <f t="shared" si="93"/>
        <v>0</v>
      </c>
      <c r="X427" s="1">
        <f t="shared" si="94"/>
        <v>0</v>
      </c>
      <c r="Y427" s="1">
        <f t="shared" si="95"/>
        <v>97200</v>
      </c>
      <c r="Z427" s="1">
        <f t="shared" si="96"/>
        <v>1</v>
      </c>
      <c r="AA427" s="1">
        <f t="shared" si="97"/>
        <v>0</v>
      </c>
    </row>
    <row r="428" spans="1:27" ht="18" customHeight="1" x14ac:dyDescent="0.3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84"/>
        <v>0</v>
      </c>
      <c r="J428" s="68">
        <f t="shared" ca="1" si="85"/>
        <v>0</v>
      </c>
      <c r="K428" s="68">
        <f t="shared" ca="1" si="86"/>
        <v>0</v>
      </c>
      <c r="L428" s="68">
        <f t="shared" ca="1" si="87"/>
        <v>0</v>
      </c>
      <c r="M428" s="69">
        <f t="shared" si="88"/>
        <v>0</v>
      </c>
      <c r="N428" s="65" t="str">
        <f t="shared" si="89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90"/>
        <v/>
      </c>
      <c r="U428" s="1">
        <f t="shared" si="91"/>
        <v>0</v>
      </c>
      <c r="V428" s="1">
        <f t="shared" si="92"/>
        <v>2958465</v>
      </c>
      <c r="W428" s="1">
        <f t="shared" si="93"/>
        <v>0</v>
      </c>
      <c r="X428" s="1">
        <f t="shared" si="94"/>
        <v>0</v>
      </c>
      <c r="Y428" s="1">
        <f t="shared" si="95"/>
        <v>97200</v>
      </c>
      <c r="Z428" s="1">
        <f t="shared" si="96"/>
        <v>1</v>
      </c>
      <c r="AA428" s="1">
        <f t="shared" si="97"/>
        <v>0</v>
      </c>
    </row>
    <row r="429" spans="1:27" ht="18" customHeight="1" x14ac:dyDescent="0.3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84"/>
        <v>0</v>
      </c>
      <c r="J429" s="68">
        <f t="shared" ca="1" si="85"/>
        <v>0</v>
      </c>
      <c r="K429" s="68">
        <f t="shared" ca="1" si="86"/>
        <v>0</v>
      </c>
      <c r="L429" s="68">
        <f t="shared" ca="1" si="87"/>
        <v>0</v>
      </c>
      <c r="M429" s="69">
        <f t="shared" si="88"/>
        <v>0</v>
      </c>
      <c r="N429" s="65" t="str">
        <f t="shared" si="89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90"/>
        <v/>
      </c>
      <c r="U429" s="1">
        <f t="shared" si="91"/>
        <v>0</v>
      </c>
      <c r="V429" s="1">
        <f t="shared" si="92"/>
        <v>2958465</v>
      </c>
      <c r="W429" s="1">
        <f t="shared" si="93"/>
        <v>0</v>
      </c>
      <c r="X429" s="1">
        <f t="shared" si="94"/>
        <v>0</v>
      </c>
      <c r="Y429" s="1">
        <f t="shared" si="95"/>
        <v>97200</v>
      </c>
      <c r="Z429" s="1">
        <f t="shared" si="96"/>
        <v>1</v>
      </c>
      <c r="AA429" s="1">
        <f t="shared" si="97"/>
        <v>0</v>
      </c>
    </row>
    <row r="430" spans="1:27" ht="18" customHeight="1" x14ac:dyDescent="0.3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84"/>
        <v>0</v>
      </c>
      <c r="J430" s="68">
        <f t="shared" ca="1" si="85"/>
        <v>0</v>
      </c>
      <c r="K430" s="68">
        <f t="shared" ca="1" si="86"/>
        <v>0</v>
      </c>
      <c r="L430" s="68">
        <f t="shared" ca="1" si="87"/>
        <v>0</v>
      </c>
      <c r="M430" s="69">
        <f t="shared" si="88"/>
        <v>0</v>
      </c>
      <c r="N430" s="65" t="str">
        <f t="shared" si="89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90"/>
        <v/>
      </c>
      <c r="U430" s="1">
        <f t="shared" si="91"/>
        <v>0</v>
      </c>
      <c r="V430" s="1">
        <f t="shared" si="92"/>
        <v>2958465</v>
      </c>
      <c r="W430" s="1">
        <f t="shared" si="93"/>
        <v>0</v>
      </c>
      <c r="X430" s="1">
        <f t="shared" si="94"/>
        <v>0</v>
      </c>
      <c r="Y430" s="1">
        <f t="shared" si="95"/>
        <v>97200</v>
      </c>
      <c r="Z430" s="1">
        <f t="shared" si="96"/>
        <v>1</v>
      </c>
      <c r="AA430" s="1">
        <f t="shared" si="97"/>
        <v>0</v>
      </c>
    </row>
    <row r="431" spans="1:27" ht="18" customHeight="1" x14ac:dyDescent="0.3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84"/>
        <v>0</v>
      </c>
      <c r="J431" s="68">
        <f t="shared" ca="1" si="85"/>
        <v>0</v>
      </c>
      <c r="K431" s="68">
        <f t="shared" ca="1" si="86"/>
        <v>0</v>
      </c>
      <c r="L431" s="68">
        <f t="shared" ca="1" si="87"/>
        <v>0</v>
      </c>
      <c r="M431" s="69">
        <f t="shared" si="88"/>
        <v>0</v>
      </c>
      <c r="N431" s="65" t="str">
        <f t="shared" si="89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90"/>
        <v/>
      </c>
      <c r="U431" s="1">
        <f t="shared" si="91"/>
        <v>0</v>
      </c>
      <c r="V431" s="1">
        <f t="shared" si="92"/>
        <v>2958465</v>
      </c>
      <c r="W431" s="1">
        <f t="shared" si="93"/>
        <v>0</v>
      </c>
      <c r="X431" s="1">
        <f t="shared" si="94"/>
        <v>0</v>
      </c>
      <c r="Y431" s="1">
        <f t="shared" si="95"/>
        <v>97200</v>
      </c>
      <c r="Z431" s="1">
        <f t="shared" si="96"/>
        <v>1</v>
      </c>
      <c r="AA431" s="1">
        <f t="shared" si="97"/>
        <v>0</v>
      </c>
    </row>
    <row r="432" spans="1:27" ht="18" customHeight="1" x14ac:dyDescent="0.3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84"/>
        <v>0</v>
      </c>
      <c r="J432" s="68">
        <f t="shared" ca="1" si="85"/>
        <v>0</v>
      </c>
      <c r="K432" s="68">
        <f t="shared" ca="1" si="86"/>
        <v>0</v>
      </c>
      <c r="L432" s="68">
        <f t="shared" ca="1" si="87"/>
        <v>0</v>
      </c>
      <c r="M432" s="69">
        <f t="shared" si="88"/>
        <v>0</v>
      </c>
      <c r="N432" s="65" t="str">
        <f t="shared" si="89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90"/>
        <v/>
      </c>
      <c r="U432" s="1">
        <f t="shared" si="91"/>
        <v>0</v>
      </c>
      <c r="V432" s="1">
        <f t="shared" si="92"/>
        <v>2958465</v>
      </c>
      <c r="W432" s="1">
        <f t="shared" si="93"/>
        <v>0</v>
      </c>
      <c r="X432" s="1">
        <f t="shared" si="94"/>
        <v>0</v>
      </c>
      <c r="Y432" s="1">
        <f t="shared" si="95"/>
        <v>97200</v>
      </c>
      <c r="Z432" s="1">
        <f t="shared" si="96"/>
        <v>1</v>
      </c>
      <c r="AA432" s="1">
        <f t="shared" si="97"/>
        <v>0</v>
      </c>
    </row>
    <row r="433" spans="1:27" ht="18" customHeight="1" x14ac:dyDescent="0.3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84"/>
        <v>0</v>
      </c>
      <c r="J433" s="68">
        <f t="shared" ca="1" si="85"/>
        <v>0</v>
      </c>
      <c r="K433" s="68">
        <f t="shared" ca="1" si="86"/>
        <v>0</v>
      </c>
      <c r="L433" s="68">
        <f t="shared" ca="1" si="87"/>
        <v>0</v>
      </c>
      <c r="M433" s="69">
        <f t="shared" si="88"/>
        <v>0</v>
      </c>
      <c r="N433" s="65" t="str">
        <f t="shared" si="89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90"/>
        <v/>
      </c>
      <c r="U433" s="1">
        <f t="shared" si="91"/>
        <v>0</v>
      </c>
      <c r="V433" s="1">
        <f t="shared" si="92"/>
        <v>2958465</v>
      </c>
      <c r="W433" s="1">
        <f t="shared" si="93"/>
        <v>0</v>
      </c>
      <c r="X433" s="1">
        <f t="shared" si="94"/>
        <v>0</v>
      </c>
      <c r="Y433" s="1">
        <f t="shared" si="95"/>
        <v>97200</v>
      </c>
      <c r="Z433" s="1">
        <f t="shared" si="96"/>
        <v>1</v>
      </c>
      <c r="AA433" s="1">
        <f t="shared" si="97"/>
        <v>0</v>
      </c>
    </row>
    <row r="434" spans="1:27" ht="18" customHeight="1" x14ac:dyDescent="0.3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84"/>
        <v>0</v>
      </c>
      <c r="J434" s="68">
        <f t="shared" ca="1" si="85"/>
        <v>0</v>
      </c>
      <c r="K434" s="68">
        <f t="shared" ca="1" si="86"/>
        <v>0</v>
      </c>
      <c r="L434" s="68">
        <f t="shared" ca="1" si="87"/>
        <v>0</v>
      </c>
      <c r="M434" s="69">
        <f t="shared" si="88"/>
        <v>0</v>
      </c>
      <c r="N434" s="65" t="str">
        <f t="shared" si="89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90"/>
        <v/>
      </c>
      <c r="U434" s="1">
        <f t="shared" si="91"/>
        <v>0</v>
      </c>
      <c r="V434" s="1">
        <f t="shared" si="92"/>
        <v>2958465</v>
      </c>
      <c r="W434" s="1">
        <f t="shared" si="93"/>
        <v>0</v>
      </c>
      <c r="X434" s="1">
        <f t="shared" si="94"/>
        <v>0</v>
      </c>
      <c r="Y434" s="1">
        <f t="shared" si="95"/>
        <v>97200</v>
      </c>
      <c r="Z434" s="1">
        <f t="shared" si="96"/>
        <v>1</v>
      </c>
      <c r="AA434" s="1">
        <f t="shared" si="97"/>
        <v>0</v>
      </c>
    </row>
    <row r="435" spans="1:27" ht="18" customHeight="1" x14ac:dyDescent="0.3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84"/>
        <v>0</v>
      </c>
      <c r="J435" s="68">
        <f t="shared" ca="1" si="85"/>
        <v>0</v>
      </c>
      <c r="K435" s="68">
        <f t="shared" ca="1" si="86"/>
        <v>0</v>
      </c>
      <c r="L435" s="68">
        <f t="shared" ca="1" si="87"/>
        <v>0</v>
      </c>
      <c r="M435" s="69">
        <f t="shared" si="88"/>
        <v>0</v>
      </c>
      <c r="N435" s="65" t="str">
        <f t="shared" si="89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90"/>
        <v/>
      </c>
      <c r="U435" s="1">
        <f t="shared" si="91"/>
        <v>0</v>
      </c>
      <c r="V435" s="1">
        <f t="shared" si="92"/>
        <v>2958465</v>
      </c>
      <c r="W435" s="1">
        <f t="shared" si="93"/>
        <v>0</v>
      </c>
      <c r="X435" s="1">
        <f t="shared" si="94"/>
        <v>0</v>
      </c>
      <c r="Y435" s="1">
        <f t="shared" si="95"/>
        <v>97200</v>
      </c>
      <c r="Z435" s="1">
        <f t="shared" si="96"/>
        <v>1</v>
      </c>
      <c r="AA435" s="1">
        <f t="shared" si="97"/>
        <v>0</v>
      </c>
    </row>
    <row r="436" spans="1:27" ht="18" customHeight="1" x14ac:dyDescent="0.3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84"/>
        <v>0</v>
      </c>
      <c r="J436" s="68">
        <f t="shared" ca="1" si="85"/>
        <v>0</v>
      </c>
      <c r="K436" s="68">
        <f t="shared" ca="1" si="86"/>
        <v>0</v>
      </c>
      <c r="L436" s="68">
        <f t="shared" ca="1" si="87"/>
        <v>0</v>
      </c>
      <c r="M436" s="69">
        <f t="shared" si="88"/>
        <v>0</v>
      </c>
      <c r="N436" s="65" t="str">
        <f t="shared" si="89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90"/>
        <v/>
      </c>
      <c r="U436" s="1">
        <f t="shared" si="91"/>
        <v>0</v>
      </c>
      <c r="V436" s="1">
        <f t="shared" si="92"/>
        <v>2958465</v>
      </c>
      <c r="W436" s="1">
        <f t="shared" si="93"/>
        <v>0</v>
      </c>
      <c r="X436" s="1">
        <f t="shared" si="94"/>
        <v>0</v>
      </c>
      <c r="Y436" s="1">
        <f t="shared" si="95"/>
        <v>97200</v>
      </c>
      <c r="Z436" s="1">
        <f t="shared" si="96"/>
        <v>1</v>
      </c>
      <c r="AA436" s="1">
        <f t="shared" si="97"/>
        <v>0</v>
      </c>
    </row>
    <row r="437" spans="1:27" ht="18" customHeight="1" x14ac:dyDescent="0.3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84"/>
        <v>0</v>
      </c>
      <c r="J437" s="68">
        <f t="shared" ca="1" si="85"/>
        <v>0</v>
      </c>
      <c r="K437" s="68">
        <f t="shared" ca="1" si="86"/>
        <v>0</v>
      </c>
      <c r="L437" s="68">
        <f t="shared" ca="1" si="87"/>
        <v>0</v>
      </c>
      <c r="M437" s="69">
        <f t="shared" si="88"/>
        <v>0</v>
      </c>
      <c r="N437" s="65" t="str">
        <f t="shared" si="89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90"/>
        <v/>
      </c>
      <c r="U437" s="1">
        <f t="shared" si="91"/>
        <v>0</v>
      </c>
      <c r="V437" s="1">
        <f t="shared" si="92"/>
        <v>2958465</v>
      </c>
      <c r="W437" s="1">
        <f t="shared" si="93"/>
        <v>0</v>
      </c>
      <c r="X437" s="1">
        <f t="shared" si="94"/>
        <v>0</v>
      </c>
      <c r="Y437" s="1">
        <f t="shared" si="95"/>
        <v>97200</v>
      </c>
      <c r="Z437" s="1">
        <f t="shared" si="96"/>
        <v>1</v>
      </c>
      <c r="AA437" s="1">
        <f t="shared" si="97"/>
        <v>0</v>
      </c>
    </row>
    <row r="438" spans="1:27" ht="18" customHeight="1" x14ac:dyDescent="0.3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84"/>
        <v>0</v>
      </c>
      <c r="J438" s="68">
        <f t="shared" ca="1" si="85"/>
        <v>0</v>
      </c>
      <c r="K438" s="68">
        <f t="shared" ca="1" si="86"/>
        <v>0</v>
      </c>
      <c r="L438" s="68">
        <f t="shared" ca="1" si="87"/>
        <v>0</v>
      </c>
      <c r="M438" s="69">
        <f t="shared" si="88"/>
        <v>0</v>
      </c>
      <c r="N438" s="65" t="str">
        <f t="shared" si="89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90"/>
        <v/>
      </c>
      <c r="U438" s="1">
        <f t="shared" si="91"/>
        <v>0</v>
      </c>
      <c r="V438" s="1">
        <f t="shared" si="92"/>
        <v>2958465</v>
      </c>
      <c r="W438" s="1">
        <f t="shared" si="93"/>
        <v>0</v>
      </c>
      <c r="X438" s="1">
        <f t="shared" si="94"/>
        <v>0</v>
      </c>
      <c r="Y438" s="1">
        <f t="shared" si="95"/>
        <v>97200</v>
      </c>
      <c r="Z438" s="1">
        <f t="shared" si="96"/>
        <v>1</v>
      </c>
      <c r="AA438" s="1">
        <f t="shared" si="97"/>
        <v>0</v>
      </c>
    </row>
    <row r="439" spans="1:27" ht="18" customHeight="1" x14ac:dyDescent="0.3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84"/>
        <v>0</v>
      </c>
      <c r="J439" s="68">
        <f t="shared" ca="1" si="85"/>
        <v>0</v>
      </c>
      <c r="K439" s="68">
        <f t="shared" ca="1" si="86"/>
        <v>0</v>
      </c>
      <c r="L439" s="68">
        <f t="shared" ca="1" si="87"/>
        <v>0</v>
      </c>
      <c r="M439" s="69">
        <f t="shared" si="88"/>
        <v>0</v>
      </c>
      <c r="N439" s="65" t="str">
        <f t="shared" si="89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90"/>
        <v/>
      </c>
      <c r="U439" s="1">
        <f t="shared" si="91"/>
        <v>0</v>
      </c>
      <c r="V439" s="1">
        <f t="shared" si="92"/>
        <v>2958465</v>
      </c>
      <c r="W439" s="1">
        <f t="shared" si="93"/>
        <v>0</v>
      </c>
      <c r="X439" s="1">
        <f t="shared" si="94"/>
        <v>0</v>
      </c>
      <c r="Y439" s="1">
        <f t="shared" si="95"/>
        <v>97200</v>
      </c>
      <c r="Z439" s="1">
        <f t="shared" si="96"/>
        <v>1</v>
      </c>
      <c r="AA439" s="1">
        <f t="shared" si="97"/>
        <v>0</v>
      </c>
    </row>
    <row r="440" spans="1:27" ht="18" customHeight="1" x14ac:dyDescent="0.3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84"/>
        <v>0</v>
      </c>
      <c r="J440" s="68">
        <f t="shared" ca="1" si="85"/>
        <v>0</v>
      </c>
      <c r="K440" s="68">
        <f t="shared" ca="1" si="86"/>
        <v>0</v>
      </c>
      <c r="L440" s="68">
        <f t="shared" ca="1" si="87"/>
        <v>0</v>
      </c>
      <c r="M440" s="69">
        <f t="shared" si="88"/>
        <v>0</v>
      </c>
      <c r="N440" s="65" t="str">
        <f t="shared" si="89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90"/>
        <v/>
      </c>
      <c r="U440" s="1">
        <f t="shared" si="91"/>
        <v>0</v>
      </c>
      <c r="V440" s="1">
        <f t="shared" si="92"/>
        <v>2958465</v>
      </c>
      <c r="W440" s="1">
        <f t="shared" si="93"/>
        <v>0</v>
      </c>
      <c r="X440" s="1">
        <f t="shared" si="94"/>
        <v>0</v>
      </c>
      <c r="Y440" s="1">
        <f t="shared" si="95"/>
        <v>97200</v>
      </c>
      <c r="Z440" s="1">
        <f t="shared" si="96"/>
        <v>1</v>
      </c>
      <c r="AA440" s="1">
        <f t="shared" si="97"/>
        <v>0</v>
      </c>
    </row>
    <row r="441" spans="1:27" ht="18" customHeight="1" x14ac:dyDescent="0.3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84"/>
        <v>0</v>
      </c>
      <c r="J441" s="68">
        <f t="shared" ca="1" si="85"/>
        <v>0</v>
      </c>
      <c r="K441" s="68">
        <f t="shared" ca="1" si="86"/>
        <v>0</v>
      </c>
      <c r="L441" s="68">
        <f t="shared" ca="1" si="87"/>
        <v>0</v>
      </c>
      <c r="M441" s="69">
        <f t="shared" si="88"/>
        <v>0</v>
      </c>
      <c r="N441" s="65" t="str">
        <f t="shared" si="89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90"/>
        <v/>
      </c>
      <c r="U441" s="1">
        <f t="shared" si="91"/>
        <v>0</v>
      </c>
      <c r="V441" s="1">
        <f t="shared" si="92"/>
        <v>2958465</v>
      </c>
      <c r="W441" s="1">
        <f t="shared" si="93"/>
        <v>0</v>
      </c>
      <c r="X441" s="1">
        <f t="shared" si="94"/>
        <v>0</v>
      </c>
      <c r="Y441" s="1">
        <f t="shared" si="95"/>
        <v>97200</v>
      </c>
      <c r="Z441" s="1">
        <f t="shared" si="96"/>
        <v>1</v>
      </c>
      <c r="AA441" s="1">
        <f t="shared" si="97"/>
        <v>0</v>
      </c>
    </row>
    <row r="442" spans="1:27" ht="18" customHeight="1" x14ac:dyDescent="0.3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84"/>
        <v>0</v>
      </c>
      <c r="J442" s="68">
        <f t="shared" ca="1" si="85"/>
        <v>0</v>
      </c>
      <c r="K442" s="68">
        <f t="shared" ca="1" si="86"/>
        <v>0</v>
      </c>
      <c r="L442" s="68">
        <f t="shared" ca="1" si="87"/>
        <v>0</v>
      </c>
      <c r="M442" s="69">
        <f t="shared" si="88"/>
        <v>0</v>
      </c>
      <c r="N442" s="65" t="str">
        <f t="shared" si="89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90"/>
        <v/>
      </c>
      <c r="U442" s="1">
        <f t="shared" si="91"/>
        <v>0</v>
      </c>
      <c r="V442" s="1">
        <f t="shared" si="92"/>
        <v>2958465</v>
      </c>
      <c r="W442" s="1">
        <f t="shared" si="93"/>
        <v>0</v>
      </c>
      <c r="X442" s="1">
        <f t="shared" si="94"/>
        <v>0</v>
      </c>
      <c r="Y442" s="1">
        <f t="shared" si="95"/>
        <v>97200</v>
      </c>
      <c r="Z442" s="1">
        <f t="shared" si="96"/>
        <v>1</v>
      </c>
      <c r="AA442" s="1">
        <f t="shared" si="97"/>
        <v>0</v>
      </c>
    </row>
    <row r="443" spans="1:27" ht="18" customHeight="1" x14ac:dyDescent="0.3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84"/>
        <v>0</v>
      </c>
      <c r="J443" s="68">
        <f t="shared" ca="1" si="85"/>
        <v>0</v>
      </c>
      <c r="K443" s="68">
        <f t="shared" ca="1" si="86"/>
        <v>0</v>
      </c>
      <c r="L443" s="68">
        <f t="shared" ca="1" si="87"/>
        <v>0</v>
      </c>
      <c r="M443" s="69">
        <f t="shared" si="88"/>
        <v>0</v>
      </c>
      <c r="N443" s="65" t="str">
        <f t="shared" si="89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90"/>
        <v/>
      </c>
      <c r="U443" s="1">
        <f t="shared" si="91"/>
        <v>0</v>
      </c>
      <c r="V443" s="1">
        <f t="shared" si="92"/>
        <v>2958465</v>
      </c>
      <c r="W443" s="1">
        <f t="shared" si="93"/>
        <v>0</v>
      </c>
      <c r="X443" s="1">
        <f t="shared" si="94"/>
        <v>0</v>
      </c>
      <c r="Y443" s="1">
        <f t="shared" si="95"/>
        <v>97200</v>
      </c>
      <c r="Z443" s="1">
        <f t="shared" si="96"/>
        <v>1</v>
      </c>
      <c r="AA443" s="1">
        <f t="shared" si="97"/>
        <v>0</v>
      </c>
    </row>
    <row r="444" spans="1:27" ht="18" customHeight="1" x14ac:dyDescent="0.3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84"/>
        <v>0</v>
      </c>
      <c r="J444" s="68">
        <f t="shared" ca="1" si="85"/>
        <v>0</v>
      </c>
      <c r="K444" s="68">
        <f t="shared" ca="1" si="86"/>
        <v>0</v>
      </c>
      <c r="L444" s="68">
        <f t="shared" ca="1" si="87"/>
        <v>0</v>
      </c>
      <c r="M444" s="69">
        <f t="shared" si="88"/>
        <v>0</v>
      </c>
      <c r="N444" s="65" t="str">
        <f t="shared" si="89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90"/>
        <v/>
      </c>
      <c r="U444" s="1">
        <f t="shared" si="91"/>
        <v>0</v>
      </c>
      <c r="V444" s="1">
        <f t="shared" si="92"/>
        <v>2958465</v>
      </c>
      <c r="W444" s="1">
        <f t="shared" si="93"/>
        <v>0</v>
      </c>
      <c r="X444" s="1">
        <f t="shared" si="94"/>
        <v>0</v>
      </c>
      <c r="Y444" s="1">
        <f t="shared" si="95"/>
        <v>97200</v>
      </c>
      <c r="Z444" s="1">
        <f t="shared" si="96"/>
        <v>1</v>
      </c>
      <c r="AA444" s="1">
        <f t="shared" si="97"/>
        <v>0</v>
      </c>
    </row>
    <row r="445" spans="1:27" ht="18" customHeight="1" x14ac:dyDescent="0.3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84"/>
        <v>0</v>
      </c>
      <c r="J445" s="68">
        <f t="shared" ca="1" si="85"/>
        <v>0</v>
      </c>
      <c r="K445" s="68">
        <f t="shared" ca="1" si="86"/>
        <v>0</v>
      </c>
      <c r="L445" s="68">
        <f t="shared" ca="1" si="87"/>
        <v>0</v>
      </c>
      <c r="M445" s="69">
        <f t="shared" si="88"/>
        <v>0</v>
      </c>
      <c r="N445" s="65" t="str">
        <f t="shared" si="89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90"/>
        <v/>
      </c>
      <c r="U445" s="1">
        <f t="shared" si="91"/>
        <v>0</v>
      </c>
      <c r="V445" s="1">
        <f t="shared" si="92"/>
        <v>2958465</v>
      </c>
      <c r="W445" s="1">
        <f t="shared" si="93"/>
        <v>0</v>
      </c>
      <c r="X445" s="1">
        <f t="shared" si="94"/>
        <v>0</v>
      </c>
      <c r="Y445" s="1">
        <f t="shared" si="95"/>
        <v>97200</v>
      </c>
      <c r="Z445" s="1">
        <f t="shared" si="96"/>
        <v>1</v>
      </c>
      <c r="AA445" s="1">
        <f t="shared" si="97"/>
        <v>0</v>
      </c>
    </row>
    <row r="446" spans="1:27" ht="18" customHeight="1" x14ac:dyDescent="0.3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84"/>
        <v>0</v>
      </c>
      <c r="J446" s="68">
        <f t="shared" ca="1" si="85"/>
        <v>0</v>
      </c>
      <c r="K446" s="68">
        <f t="shared" ca="1" si="86"/>
        <v>0</v>
      </c>
      <c r="L446" s="68">
        <f t="shared" ca="1" si="87"/>
        <v>0</v>
      </c>
      <c r="M446" s="69">
        <f t="shared" si="88"/>
        <v>0</v>
      </c>
      <c r="N446" s="65" t="str">
        <f t="shared" si="89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90"/>
        <v/>
      </c>
      <c r="U446" s="1">
        <f t="shared" si="91"/>
        <v>0</v>
      </c>
      <c r="V446" s="1">
        <f t="shared" si="92"/>
        <v>2958465</v>
      </c>
      <c r="W446" s="1">
        <f t="shared" si="93"/>
        <v>0</v>
      </c>
      <c r="X446" s="1">
        <f t="shared" si="94"/>
        <v>0</v>
      </c>
      <c r="Y446" s="1">
        <f t="shared" si="95"/>
        <v>97200</v>
      </c>
      <c r="Z446" s="1">
        <f t="shared" si="96"/>
        <v>1</v>
      </c>
      <c r="AA446" s="1">
        <f t="shared" si="97"/>
        <v>0</v>
      </c>
    </row>
    <row r="447" spans="1:27" ht="18" customHeight="1" x14ac:dyDescent="0.3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84"/>
        <v>0</v>
      </c>
      <c r="J447" s="68">
        <f t="shared" ca="1" si="85"/>
        <v>0</v>
      </c>
      <c r="K447" s="68">
        <f t="shared" ca="1" si="86"/>
        <v>0</v>
      </c>
      <c r="L447" s="68">
        <f t="shared" ca="1" si="87"/>
        <v>0</v>
      </c>
      <c r="M447" s="69">
        <f t="shared" si="88"/>
        <v>0</v>
      </c>
      <c r="N447" s="65" t="str">
        <f t="shared" si="89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90"/>
        <v/>
      </c>
      <c r="U447" s="1">
        <f t="shared" si="91"/>
        <v>0</v>
      </c>
      <c r="V447" s="1">
        <f t="shared" si="92"/>
        <v>2958465</v>
      </c>
      <c r="W447" s="1">
        <f t="shared" si="93"/>
        <v>0</v>
      </c>
      <c r="X447" s="1">
        <f t="shared" si="94"/>
        <v>0</v>
      </c>
      <c r="Y447" s="1">
        <f t="shared" si="95"/>
        <v>97200</v>
      </c>
      <c r="Z447" s="1">
        <f t="shared" si="96"/>
        <v>1</v>
      </c>
      <c r="AA447" s="1">
        <f t="shared" si="97"/>
        <v>0</v>
      </c>
    </row>
    <row r="448" spans="1:27" ht="18" customHeight="1" x14ac:dyDescent="0.3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84"/>
        <v>0</v>
      </c>
      <c r="J448" s="68">
        <f t="shared" ca="1" si="85"/>
        <v>0</v>
      </c>
      <c r="K448" s="68">
        <f t="shared" ca="1" si="86"/>
        <v>0</v>
      </c>
      <c r="L448" s="68">
        <f t="shared" ca="1" si="87"/>
        <v>0</v>
      </c>
      <c r="M448" s="69">
        <f t="shared" si="88"/>
        <v>0</v>
      </c>
      <c r="N448" s="65" t="str">
        <f t="shared" si="89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90"/>
        <v/>
      </c>
      <c r="U448" s="1">
        <f t="shared" si="91"/>
        <v>0</v>
      </c>
      <c r="V448" s="1">
        <f t="shared" si="92"/>
        <v>2958465</v>
      </c>
      <c r="W448" s="1">
        <f t="shared" si="93"/>
        <v>0</v>
      </c>
      <c r="X448" s="1">
        <f t="shared" si="94"/>
        <v>0</v>
      </c>
      <c r="Y448" s="1">
        <f t="shared" si="95"/>
        <v>97200</v>
      </c>
      <c r="Z448" s="1">
        <f t="shared" si="96"/>
        <v>1</v>
      </c>
      <c r="AA448" s="1">
        <f t="shared" si="97"/>
        <v>0</v>
      </c>
    </row>
    <row r="449" spans="1:27" ht="18" customHeight="1" x14ac:dyDescent="0.3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84"/>
        <v>0</v>
      </c>
      <c r="J449" s="68">
        <f t="shared" ca="1" si="85"/>
        <v>0</v>
      </c>
      <c r="K449" s="68">
        <f t="shared" ca="1" si="86"/>
        <v>0</v>
      </c>
      <c r="L449" s="68">
        <f t="shared" ca="1" si="87"/>
        <v>0</v>
      </c>
      <c r="M449" s="69">
        <f t="shared" si="88"/>
        <v>0</v>
      </c>
      <c r="N449" s="65" t="str">
        <f t="shared" si="89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90"/>
        <v/>
      </c>
      <c r="U449" s="1">
        <f t="shared" si="91"/>
        <v>0</v>
      </c>
      <c r="V449" s="1">
        <f t="shared" si="92"/>
        <v>2958465</v>
      </c>
      <c r="W449" s="1">
        <f t="shared" si="93"/>
        <v>0</v>
      </c>
      <c r="X449" s="1">
        <f t="shared" si="94"/>
        <v>0</v>
      </c>
      <c r="Y449" s="1">
        <f t="shared" si="95"/>
        <v>97200</v>
      </c>
      <c r="Z449" s="1">
        <f t="shared" si="96"/>
        <v>1</v>
      </c>
      <c r="AA449" s="1">
        <f t="shared" si="97"/>
        <v>0</v>
      </c>
    </row>
    <row r="450" spans="1:27" ht="18" customHeight="1" x14ac:dyDescent="0.3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84"/>
        <v>0</v>
      </c>
      <c r="J450" s="68">
        <f t="shared" ca="1" si="85"/>
        <v>0</v>
      </c>
      <c r="K450" s="68">
        <f t="shared" ca="1" si="86"/>
        <v>0</v>
      </c>
      <c r="L450" s="68">
        <f t="shared" ca="1" si="87"/>
        <v>0</v>
      </c>
      <c r="M450" s="69">
        <f t="shared" si="88"/>
        <v>0</v>
      </c>
      <c r="N450" s="65" t="str">
        <f t="shared" si="89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90"/>
        <v/>
      </c>
      <c r="U450" s="1">
        <f t="shared" si="91"/>
        <v>0</v>
      </c>
      <c r="V450" s="1">
        <f t="shared" si="92"/>
        <v>2958465</v>
      </c>
      <c r="W450" s="1">
        <f t="shared" si="93"/>
        <v>0</v>
      </c>
      <c r="X450" s="1">
        <f t="shared" si="94"/>
        <v>0</v>
      </c>
      <c r="Y450" s="1">
        <f t="shared" si="95"/>
        <v>97200</v>
      </c>
      <c r="Z450" s="1">
        <f t="shared" si="96"/>
        <v>1</v>
      </c>
      <c r="AA450" s="1">
        <f t="shared" si="97"/>
        <v>0</v>
      </c>
    </row>
    <row r="451" spans="1:27" ht="18" customHeight="1" x14ac:dyDescent="0.3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84"/>
        <v>0</v>
      </c>
      <c r="J451" s="68">
        <f t="shared" ca="1" si="85"/>
        <v>0</v>
      </c>
      <c r="K451" s="68">
        <f t="shared" ca="1" si="86"/>
        <v>0</v>
      </c>
      <c r="L451" s="68">
        <f t="shared" ca="1" si="87"/>
        <v>0</v>
      </c>
      <c r="M451" s="69">
        <f t="shared" si="88"/>
        <v>0</v>
      </c>
      <c r="N451" s="65" t="str">
        <f t="shared" si="89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90"/>
        <v/>
      </c>
      <c r="U451" s="1">
        <f t="shared" si="91"/>
        <v>0</v>
      </c>
      <c r="V451" s="1">
        <f t="shared" si="92"/>
        <v>2958465</v>
      </c>
      <c r="W451" s="1">
        <f t="shared" si="93"/>
        <v>0</v>
      </c>
      <c r="X451" s="1">
        <f t="shared" si="94"/>
        <v>0</v>
      </c>
      <c r="Y451" s="1">
        <f t="shared" si="95"/>
        <v>97200</v>
      </c>
      <c r="Z451" s="1">
        <f t="shared" si="96"/>
        <v>1</v>
      </c>
      <c r="AA451" s="1">
        <f t="shared" si="97"/>
        <v>0</v>
      </c>
    </row>
    <row r="452" spans="1:27" ht="18" customHeight="1" x14ac:dyDescent="0.3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84"/>
        <v>0</v>
      </c>
      <c r="J452" s="68">
        <f t="shared" ca="1" si="85"/>
        <v>0</v>
      </c>
      <c r="K452" s="68">
        <f t="shared" ca="1" si="86"/>
        <v>0</v>
      </c>
      <c r="L452" s="68">
        <f t="shared" ca="1" si="87"/>
        <v>0</v>
      </c>
      <c r="M452" s="69">
        <f t="shared" si="88"/>
        <v>0</v>
      </c>
      <c r="N452" s="65" t="str">
        <f t="shared" si="89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90"/>
        <v/>
      </c>
      <c r="U452" s="1">
        <f t="shared" si="91"/>
        <v>0</v>
      </c>
      <c r="V452" s="1">
        <f t="shared" si="92"/>
        <v>2958465</v>
      </c>
      <c r="W452" s="1">
        <f t="shared" si="93"/>
        <v>0</v>
      </c>
      <c r="X452" s="1">
        <f t="shared" si="94"/>
        <v>0</v>
      </c>
      <c r="Y452" s="1">
        <f t="shared" si="95"/>
        <v>97200</v>
      </c>
      <c r="Z452" s="1">
        <f t="shared" si="96"/>
        <v>1</v>
      </c>
      <c r="AA452" s="1">
        <f t="shared" si="97"/>
        <v>0</v>
      </c>
    </row>
    <row r="453" spans="1:27" ht="18" customHeight="1" x14ac:dyDescent="0.3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84"/>
        <v>0</v>
      </c>
      <c r="J453" s="68">
        <f t="shared" ca="1" si="85"/>
        <v>0</v>
      </c>
      <c r="K453" s="68">
        <f t="shared" ca="1" si="86"/>
        <v>0</v>
      </c>
      <c r="L453" s="68">
        <f t="shared" ca="1" si="87"/>
        <v>0</v>
      </c>
      <c r="M453" s="69">
        <f t="shared" si="88"/>
        <v>0</v>
      </c>
      <c r="N453" s="65" t="str">
        <f t="shared" si="89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90"/>
        <v/>
      </c>
      <c r="U453" s="1">
        <f t="shared" si="91"/>
        <v>0</v>
      </c>
      <c r="V453" s="1">
        <f t="shared" si="92"/>
        <v>2958465</v>
      </c>
      <c r="W453" s="1">
        <f t="shared" si="93"/>
        <v>0</v>
      </c>
      <c r="X453" s="1">
        <f t="shared" si="94"/>
        <v>0</v>
      </c>
      <c r="Y453" s="1">
        <f t="shared" si="95"/>
        <v>97200</v>
      </c>
      <c r="Z453" s="1">
        <f t="shared" si="96"/>
        <v>1</v>
      </c>
      <c r="AA453" s="1">
        <f t="shared" si="97"/>
        <v>0</v>
      </c>
    </row>
    <row r="454" spans="1:27" ht="18" customHeight="1" x14ac:dyDescent="0.3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84"/>
        <v>0</v>
      </c>
      <c r="J454" s="68">
        <f t="shared" ca="1" si="85"/>
        <v>0</v>
      </c>
      <c r="K454" s="68">
        <f t="shared" ca="1" si="86"/>
        <v>0</v>
      </c>
      <c r="L454" s="68">
        <f t="shared" ca="1" si="87"/>
        <v>0</v>
      </c>
      <c r="M454" s="69">
        <f t="shared" si="88"/>
        <v>0</v>
      </c>
      <c r="N454" s="65" t="str">
        <f t="shared" si="89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90"/>
        <v/>
      </c>
      <c r="U454" s="1">
        <f t="shared" si="91"/>
        <v>0</v>
      </c>
      <c r="V454" s="1">
        <f t="shared" si="92"/>
        <v>2958465</v>
      </c>
      <c r="W454" s="1">
        <f t="shared" si="93"/>
        <v>0</v>
      </c>
      <c r="X454" s="1">
        <f t="shared" si="94"/>
        <v>0</v>
      </c>
      <c r="Y454" s="1">
        <f t="shared" si="95"/>
        <v>97200</v>
      </c>
      <c r="Z454" s="1">
        <f t="shared" si="96"/>
        <v>1</v>
      </c>
      <c r="AA454" s="1">
        <f t="shared" si="97"/>
        <v>0</v>
      </c>
    </row>
    <row r="455" spans="1:27" ht="18" customHeight="1" x14ac:dyDescent="0.3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8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9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100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101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102">IF($G455&gt;0,$I455/$G455,0)</f>
        <v>0</v>
      </c>
      <c r="N455" s="65" t="str">
        <f t="shared" ref="N455:N518" si="103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104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105">IF($O455="",0,$O455)</f>
        <v>0</v>
      </c>
      <c r="V455" s="1">
        <f t="shared" ref="V455:V518" si="106">IF($E455="",2958465,$E455)</f>
        <v>2958465</v>
      </c>
      <c r="W455" s="1">
        <f t="shared" ref="W455:W518" si="107">IF($F455="Haftalık",1,IF($F455="Aylık",2,0))</f>
        <v>0</v>
      </c>
      <c r="X455" s="1">
        <f t="shared" ref="X455:X518" si="108">IF($U455=0,0,(YEAR($U455)-1900)*12+MONTH($U455))</f>
        <v>0</v>
      </c>
      <c r="Y455" s="1">
        <f t="shared" ref="Y455:Y518" si="109">(YEAR($V455)-1900)*12+MONTH($V455)</f>
        <v>97200</v>
      </c>
      <c r="Z455" s="1">
        <f t="shared" ref="Z455:Z518" si="110">IF($V455=EOMONTH($V455,0),1,0)</f>
        <v>1</v>
      </c>
      <c r="AA455" s="1">
        <f t="shared" ref="AA455:AA518" si="111">IF(OR($B455="",$H455&lt;&gt;"Aktif"),0,COUNTIFS($B$7:$B$606,$B455,$H$7:$H$606,"Aktif"))</f>
        <v>0</v>
      </c>
    </row>
    <row r="456" spans="1:27" ht="18" customHeight="1" x14ac:dyDescent="0.3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8"/>
        <v>0</v>
      </c>
      <c r="J456" s="68">
        <f t="shared" ca="1" si="99"/>
        <v>0</v>
      </c>
      <c r="K456" s="68">
        <f t="shared" ca="1" si="100"/>
        <v>0</v>
      </c>
      <c r="L456" s="68">
        <f t="shared" ca="1" si="101"/>
        <v>0</v>
      </c>
      <c r="M456" s="69">
        <f t="shared" si="102"/>
        <v>0</v>
      </c>
      <c r="N456" s="65" t="str">
        <f t="shared" si="103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104"/>
        <v/>
      </c>
      <c r="U456" s="1">
        <f t="shared" si="105"/>
        <v>0</v>
      </c>
      <c r="V456" s="1">
        <f t="shared" si="106"/>
        <v>2958465</v>
      </c>
      <c r="W456" s="1">
        <f t="shared" si="107"/>
        <v>0</v>
      </c>
      <c r="X456" s="1">
        <f t="shared" si="108"/>
        <v>0</v>
      </c>
      <c r="Y456" s="1">
        <f t="shared" si="109"/>
        <v>97200</v>
      </c>
      <c r="Z456" s="1">
        <f t="shared" si="110"/>
        <v>1</v>
      </c>
      <c r="AA456" s="1">
        <f t="shared" si="111"/>
        <v>0</v>
      </c>
    </row>
    <row r="457" spans="1:27" ht="18" customHeight="1" x14ac:dyDescent="0.3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8"/>
        <v>0</v>
      </c>
      <c r="J457" s="68">
        <f t="shared" ca="1" si="99"/>
        <v>0</v>
      </c>
      <c r="K457" s="68">
        <f t="shared" ca="1" si="100"/>
        <v>0</v>
      </c>
      <c r="L457" s="68">
        <f t="shared" ca="1" si="101"/>
        <v>0</v>
      </c>
      <c r="M457" s="69">
        <f t="shared" si="102"/>
        <v>0</v>
      </c>
      <c r="N457" s="65" t="str">
        <f t="shared" si="103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104"/>
        <v/>
      </c>
      <c r="U457" s="1">
        <f t="shared" si="105"/>
        <v>0</v>
      </c>
      <c r="V457" s="1">
        <f t="shared" si="106"/>
        <v>2958465</v>
      </c>
      <c r="W457" s="1">
        <f t="shared" si="107"/>
        <v>0</v>
      </c>
      <c r="X457" s="1">
        <f t="shared" si="108"/>
        <v>0</v>
      </c>
      <c r="Y457" s="1">
        <f t="shared" si="109"/>
        <v>97200</v>
      </c>
      <c r="Z457" s="1">
        <f t="shared" si="110"/>
        <v>1</v>
      </c>
      <c r="AA457" s="1">
        <f t="shared" si="111"/>
        <v>0</v>
      </c>
    </row>
    <row r="458" spans="1:27" ht="18" customHeight="1" x14ac:dyDescent="0.3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8"/>
        <v>0</v>
      </c>
      <c r="J458" s="68">
        <f t="shared" ca="1" si="99"/>
        <v>0</v>
      </c>
      <c r="K458" s="68">
        <f t="shared" ca="1" si="100"/>
        <v>0</v>
      </c>
      <c r="L458" s="68">
        <f t="shared" ca="1" si="101"/>
        <v>0</v>
      </c>
      <c r="M458" s="69">
        <f t="shared" si="102"/>
        <v>0</v>
      </c>
      <c r="N458" s="65" t="str">
        <f t="shared" si="103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104"/>
        <v/>
      </c>
      <c r="U458" s="1">
        <f t="shared" si="105"/>
        <v>0</v>
      </c>
      <c r="V458" s="1">
        <f t="shared" si="106"/>
        <v>2958465</v>
      </c>
      <c r="W458" s="1">
        <f t="shared" si="107"/>
        <v>0</v>
      </c>
      <c r="X458" s="1">
        <f t="shared" si="108"/>
        <v>0</v>
      </c>
      <c r="Y458" s="1">
        <f t="shared" si="109"/>
        <v>97200</v>
      </c>
      <c r="Z458" s="1">
        <f t="shared" si="110"/>
        <v>1</v>
      </c>
      <c r="AA458" s="1">
        <f t="shared" si="111"/>
        <v>0</v>
      </c>
    </row>
    <row r="459" spans="1:27" ht="18" customHeight="1" x14ac:dyDescent="0.3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8"/>
        <v>0</v>
      </c>
      <c r="J459" s="68">
        <f t="shared" ca="1" si="99"/>
        <v>0</v>
      </c>
      <c r="K459" s="68">
        <f t="shared" ca="1" si="100"/>
        <v>0</v>
      </c>
      <c r="L459" s="68">
        <f t="shared" ca="1" si="101"/>
        <v>0</v>
      </c>
      <c r="M459" s="69">
        <f t="shared" si="102"/>
        <v>0</v>
      </c>
      <c r="N459" s="65" t="str">
        <f t="shared" si="103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104"/>
        <v/>
      </c>
      <c r="U459" s="1">
        <f t="shared" si="105"/>
        <v>0</v>
      </c>
      <c r="V459" s="1">
        <f t="shared" si="106"/>
        <v>2958465</v>
      </c>
      <c r="W459" s="1">
        <f t="shared" si="107"/>
        <v>0</v>
      </c>
      <c r="X459" s="1">
        <f t="shared" si="108"/>
        <v>0</v>
      </c>
      <c r="Y459" s="1">
        <f t="shared" si="109"/>
        <v>97200</v>
      </c>
      <c r="Z459" s="1">
        <f t="shared" si="110"/>
        <v>1</v>
      </c>
      <c r="AA459" s="1">
        <f t="shared" si="111"/>
        <v>0</v>
      </c>
    </row>
    <row r="460" spans="1:27" ht="18" customHeight="1" x14ac:dyDescent="0.3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8"/>
        <v>0</v>
      </c>
      <c r="J460" s="68">
        <f t="shared" ca="1" si="99"/>
        <v>0</v>
      </c>
      <c r="K460" s="68">
        <f t="shared" ca="1" si="100"/>
        <v>0</v>
      </c>
      <c r="L460" s="68">
        <f t="shared" ca="1" si="101"/>
        <v>0</v>
      </c>
      <c r="M460" s="69">
        <f t="shared" si="102"/>
        <v>0</v>
      </c>
      <c r="N460" s="65" t="str">
        <f t="shared" si="103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104"/>
        <v/>
      </c>
      <c r="U460" s="1">
        <f t="shared" si="105"/>
        <v>0</v>
      </c>
      <c r="V460" s="1">
        <f t="shared" si="106"/>
        <v>2958465</v>
      </c>
      <c r="W460" s="1">
        <f t="shared" si="107"/>
        <v>0</v>
      </c>
      <c r="X460" s="1">
        <f t="shared" si="108"/>
        <v>0</v>
      </c>
      <c r="Y460" s="1">
        <f t="shared" si="109"/>
        <v>97200</v>
      </c>
      <c r="Z460" s="1">
        <f t="shared" si="110"/>
        <v>1</v>
      </c>
      <c r="AA460" s="1">
        <f t="shared" si="111"/>
        <v>0</v>
      </c>
    </row>
    <row r="461" spans="1:27" ht="18" customHeight="1" x14ac:dyDescent="0.3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8"/>
        <v>0</v>
      </c>
      <c r="J461" s="68">
        <f t="shared" ca="1" si="99"/>
        <v>0</v>
      </c>
      <c r="K461" s="68">
        <f t="shared" ca="1" si="100"/>
        <v>0</v>
      </c>
      <c r="L461" s="68">
        <f t="shared" ca="1" si="101"/>
        <v>0</v>
      </c>
      <c r="M461" s="69">
        <f t="shared" si="102"/>
        <v>0</v>
      </c>
      <c r="N461" s="65" t="str">
        <f t="shared" si="103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104"/>
        <v/>
      </c>
      <c r="U461" s="1">
        <f t="shared" si="105"/>
        <v>0</v>
      </c>
      <c r="V461" s="1">
        <f t="shared" si="106"/>
        <v>2958465</v>
      </c>
      <c r="W461" s="1">
        <f t="shared" si="107"/>
        <v>0</v>
      </c>
      <c r="X461" s="1">
        <f t="shared" si="108"/>
        <v>0</v>
      </c>
      <c r="Y461" s="1">
        <f t="shared" si="109"/>
        <v>97200</v>
      </c>
      <c r="Z461" s="1">
        <f t="shared" si="110"/>
        <v>1</v>
      </c>
      <c r="AA461" s="1">
        <f t="shared" si="111"/>
        <v>0</v>
      </c>
    </row>
    <row r="462" spans="1:27" ht="18" customHeight="1" x14ac:dyDescent="0.3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8"/>
        <v>0</v>
      </c>
      <c r="J462" s="68">
        <f t="shared" ca="1" si="99"/>
        <v>0</v>
      </c>
      <c r="K462" s="68">
        <f t="shared" ca="1" si="100"/>
        <v>0</v>
      </c>
      <c r="L462" s="68">
        <f t="shared" ca="1" si="101"/>
        <v>0</v>
      </c>
      <c r="M462" s="69">
        <f t="shared" si="102"/>
        <v>0</v>
      </c>
      <c r="N462" s="65" t="str">
        <f t="shared" si="103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104"/>
        <v/>
      </c>
      <c r="U462" s="1">
        <f t="shared" si="105"/>
        <v>0</v>
      </c>
      <c r="V462" s="1">
        <f t="shared" si="106"/>
        <v>2958465</v>
      </c>
      <c r="W462" s="1">
        <f t="shared" si="107"/>
        <v>0</v>
      </c>
      <c r="X462" s="1">
        <f t="shared" si="108"/>
        <v>0</v>
      </c>
      <c r="Y462" s="1">
        <f t="shared" si="109"/>
        <v>97200</v>
      </c>
      <c r="Z462" s="1">
        <f t="shared" si="110"/>
        <v>1</v>
      </c>
      <c r="AA462" s="1">
        <f t="shared" si="111"/>
        <v>0</v>
      </c>
    </row>
    <row r="463" spans="1:27" ht="18" customHeight="1" x14ac:dyDescent="0.3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8"/>
        <v>0</v>
      </c>
      <c r="J463" s="68">
        <f t="shared" ca="1" si="99"/>
        <v>0</v>
      </c>
      <c r="K463" s="68">
        <f t="shared" ca="1" si="100"/>
        <v>0</v>
      </c>
      <c r="L463" s="68">
        <f t="shared" ca="1" si="101"/>
        <v>0</v>
      </c>
      <c r="M463" s="69">
        <f t="shared" si="102"/>
        <v>0</v>
      </c>
      <c r="N463" s="65" t="str">
        <f t="shared" si="103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104"/>
        <v/>
      </c>
      <c r="U463" s="1">
        <f t="shared" si="105"/>
        <v>0</v>
      </c>
      <c r="V463" s="1">
        <f t="shared" si="106"/>
        <v>2958465</v>
      </c>
      <c r="W463" s="1">
        <f t="shared" si="107"/>
        <v>0</v>
      </c>
      <c r="X463" s="1">
        <f t="shared" si="108"/>
        <v>0</v>
      </c>
      <c r="Y463" s="1">
        <f t="shared" si="109"/>
        <v>97200</v>
      </c>
      <c r="Z463" s="1">
        <f t="shared" si="110"/>
        <v>1</v>
      </c>
      <c r="AA463" s="1">
        <f t="shared" si="111"/>
        <v>0</v>
      </c>
    </row>
    <row r="464" spans="1:27" ht="18" customHeight="1" x14ac:dyDescent="0.3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8"/>
        <v>0</v>
      </c>
      <c r="J464" s="68">
        <f t="shared" ca="1" si="99"/>
        <v>0</v>
      </c>
      <c r="K464" s="68">
        <f t="shared" ca="1" si="100"/>
        <v>0</v>
      </c>
      <c r="L464" s="68">
        <f t="shared" ca="1" si="101"/>
        <v>0</v>
      </c>
      <c r="M464" s="69">
        <f t="shared" si="102"/>
        <v>0</v>
      </c>
      <c r="N464" s="65" t="str">
        <f t="shared" si="103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104"/>
        <v/>
      </c>
      <c r="U464" s="1">
        <f t="shared" si="105"/>
        <v>0</v>
      </c>
      <c r="V464" s="1">
        <f t="shared" si="106"/>
        <v>2958465</v>
      </c>
      <c r="W464" s="1">
        <f t="shared" si="107"/>
        <v>0</v>
      </c>
      <c r="X464" s="1">
        <f t="shared" si="108"/>
        <v>0</v>
      </c>
      <c r="Y464" s="1">
        <f t="shared" si="109"/>
        <v>97200</v>
      </c>
      <c r="Z464" s="1">
        <f t="shared" si="110"/>
        <v>1</v>
      </c>
      <c r="AA464" s="1">
        <f t="shared" si="111"/>
        <v>0</v>
      </c>
    </row>
    <row r="465" spans="1:27" ht="18" customHeight="1" x14ac:dyDescent="0.3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8"/>
        <v>0</v>
      </c>
      <c r="J465" s="68">
        <f t="shared" ca="1" si="99"/>
        <v>0</v>
      </c>
      <c r="K465" s="68">
        <f t="shared" ca="1" si="100"/>
        <v>0</v>
      </c>
      <c r="L465" s="68">
        <f t="shared" ca="1" si="101"/>
        <v>0</v>
      </c>
      <c r="M465" s="69">
        <f t="shared" si="102"/>
        <v>0</v>
      </c>
      <c r="N465" s="65" t="str">
        <f t="shared" si="103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104"/>
        <v/>
      </c>
      <c r="U465" s="1">
        <f t="shared" si="105"/>
        <v>0</v>
      </c>
      <c r="V465" s="1">
        <f t="shared" si="106"/>
        <v>2958465</v>
      </c>
      <c r="W465" s="1">
        <f t="shared" si="107"/>
        <v>0</v>
      </c>
      <c r="X465" s="1">
        <f t="shared" si="108"/>
        <v>0</v>
      </c>
      <c r="Y465" s="1">
        <f t="shared" si="109"/>
        <v>97200</v>
      </c>
      <c r="Z465" s="1">
        <f t="shared" si="110"/>
        <v>1</v>
      </c>
      <c r="AA465" s="1">
        <f t="shared" si="111"/>
        <v>0</v>
      </c>
    </row>
    <row r="466" spans="1:27" ht="18" customHeight="1" x14ac:dyDescent="0.3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8"/>
        <v>0</v>
      </c>
      <c r="J466" s="68">
        <f t="shared" ca="1" si="99"/>
        <v>0</v>
      </c>
      <c r="K466" s="68">
        <f t="shared" ca="1" si="100"/>
        <v>0</v>
      </c>
      <c r="L466" s="68">
        <f t="shared" ca="1" si="101"/>
        <v>0</v>
      </c>
      <c r="M466" s="69">
        <f t="shared" si="102"/>
        <v>0</v>
      </c>
      <c r="N466" s="65" t="str">
        <f t="shared" si="103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104"/>
        <v/>
      </c>
      <c r="U466" s="1">
        <f t="shared" si="105"/>
        <v>0</v>
      </c>
      <c r="V466" s="1">
        <f t="shared" si="106"/>
        <v>2958465</v>
      </c>
      <c r="W466" s="1">
        <f t="shared" si="107"/>
        <v>0</v>
      </c>
      <c r="X466" s="1">
        <f t="shared" si="108"/>
        <v>0</v>
      </c>
      <c r="Y466" s="1">
        <f t="shared" si="109"/>
        <v>97200</v>
      </c>
      <c r="Z466" s="1">
        <f t="shared" si="110"/>
        <v>1</v>
      </c>
      <c r="AA466" s="1">
        <f t="shared" si="111"/>
        <v>0</v>
      </c>
    </row>
    <row r="467" spans="1:27" ht="18" customHeight="1" x14ac:dyDescent="0.3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8"/>
        <v>0</v>
      </c>
      <c r="J467" s="68">
        <f t="shared" ca="1" si="99"/>
        <v>0</v>
      </c>
      <c r="K467" s="68">
        <f t="shared" ca="1" si="100"/>
        <v>0</v>
      </c>
      <c r="L467" s="68">
        <f t="shared" ca="1" si="101"/>
        <v>0</v>
      </c>
      <c r="M467" s="69">
        <f t="shared" si="102"/>
        <v>0</v>
      </c>
      <c r="N467" s="65" t="str">
        <f t="shared" si="103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104"/>
        <v/>
      </c>
      <c r="U467" s="1">
        <f t="shared" si="105"/>
        <v>0</v>
      </c>
      <c r="V467" s="1">
        <f t="shared" si="106"/>
        <v>2958465</v>
      </c>
      <c r="W467" s="1">
        <f t="shared" si="107"/>
        <v>0</v>
      </c>
      <c r="X467" s="1">
        <f t="shared" si="108"/>
        <v>0</v>
      </c>
      <c r="Y467" s="1">
        <f t="shared" si="109"/>
        <v>97200</v>
      </c>
      <c r="Z467" s="1">
        <f t="shared" si="110"/>
        <v>1</v>
      </c>
      <c r="AA467" s="1">
        <f t="shared" si="111"/>
        <v>0</v>
      </c>
    </row>
    <row r="468" spans="1:27" ht="18" customHeight="1" x14ac:dyDescent="0.3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8"/>
        <v>0</v>
      </c>
      <c r="J468" s="68">
        <f t="shared" ca="1" si="99"/>
        <v>0</v>
      </c>
      <c r="K468" s="68">
        <f t="shared" ca="1" si="100"/>
        <v>0</v>
      </c>
      <c r="L468" s="68">
        <f t="shared" ca="1" si="101"/>
        <v>0</v>
      </c>
      <c r="M468" s="69">
        <f t="shared" si="102"/>
        <v>0</v>
      </c>
      <c r="N468" s="65" t="str">
        <f t="shared" si="103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104"/>
        <v/>
      </c>
      <c r="U468" s="1">
        <f t="shared" si="105"/>
        <v>0</v>
      </c>
      <c r="V468" s="1">
        <f t="shared" si="106"/>
        <v>2958465</v>
      </c>
      <c r="W468" s="1">
        <f t="shared" si="107"/>
        <v>0</v>
      </c>
      <c r="X468" s="1">
        <f t="shared" si="108"/>
        <v>0</v>
      </c>
      <c r="Y468" s="1">
        <f t="shared" si="109"/>
        <v>97200</v>
      </c>
      <c r="Z468" s="1">
        <f t="shared" si="110"/>
        <v>1</v>
      </c>
      <c r="AA468" s="1">
        <f t="shared" si="111"/>
        <v>0</v>
      </c>
    </row>
    <row r="469" spans="1:27" ht="18" customHeight="1" x14ac:dyDescent="0.3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8"/>
        <v>0</v>
      </c>
      <c r="J469" s="68">
        <f t="shared" ca="1" si="99"/>
        <v>0</v>
      </c>
      <c r="K469" s="68">
        <f t="shared" ca="1" si="100"/>
        <v>0</v>
      </c>
      <c r="L469" s="68">
        <f t="shared" ca="1" si="101"/>
        <v>0</v>
      </c>
      <c r="M469" s="69">
        <f t="shared" si="102"/>
        <v>0</v>
      </c>
      <c r="N469" s="65" t="str">
        <f t="shared" si="103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104"/>
        <v/>
      </c>
      <c r="U469" s="1">
        <f t="shared" si="105"/>
        <v>0</v>
      </c>
      <c r="V469" s="1">
        <f t="shared" si="106"/>
        <v>2958465</v>
      </c>
      <c r="W469" s="1">
        <f t="shared" si="107"/>
        <v>0</v>
      </c>
      <c r="X469" s="1">
        <f t="shared" si="108"/>
        <v>0</v>
      </c>
      <c r="Y469" s="1">
        <f t="shared" si="109"/>
        <v>97200</v>
      </c>
      <c r="Z469" s="1">
        <f t="shared" si="110"/>
        <v>1</v>
      </c>
      <c r="AA469" s="1">
        <f t="shared" si="111"/>
        <v>0</v>
      </c>
    </row>
    <row r="470" spans="1:27" ht="18" customHeight="1" x14ac:dyDescent="0.3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8"/>
        <v>0</v>
      </c>
      <c r="J470" s="68">
        <f t="shared" ca="1" si="99"/>
        <v>0</v>
      </c>
      <c r="K470" s="68">
        <f t="shared" ca="1" si="100"/>
        <v>0</v>
      </c>
      <c r="L470" s="68">
        <f t="shared" ca="1" si="101"/>
        <v>0</v>
      </c>
      <c r="M470" s="69">
        <f t="shared" si="102"/>
        <v>0</v>
      </c>
      <c r="N470" s="65" t="str">
        <f t="shared" si="103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104"/>
        <v/>
      </c>
      <c r="U470" s="1">
        <f t="shared" si="105"/>
        <v>0</v>
      </c>
      <c r="V470" s="1">
        <f t="shared" si="106"/>
        <v>2958465</v>
      </c>
      <c r="W470" s="1">
        <f t="shared" si="107"/>
        <v>0</v>
      </c>
      <c r="X470" s="1">
        <f t="shared" si="108"/>
        <v>0</v>
      </c>
      <c r="Y470" s="1">
        <f t="shared" si="109"/>
        <v>97200</v>
      </c>
      <c r="Z470" s="1">
        <f t="shared" si="110"/>
        <v>1</v>
      </c>
      <c r="AA470" s="1">
        <f t="shared" si="111"/>
        <v>0</v>
      </c>
    </row>
    <row r="471" spans="1:27" ht="18" customHeight="1" x14ac:dyDescent="0.3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8"/>
        <v>0</v>
      </c>
      <c r="J471" s="68">
        <f t="shared" ca="1" si="99"/>
        <v>0</v>
      </c>
      <c r="K471" s="68">
        <f t="shared" ca="1" si="100"/>
        <v>0</v>
      </c>
      <c r="L471" s="68">
        <f t="shared" ca="1" si="101"/>
        <v>0</v>
      </c>
      <c r="M471" s="69">
        <f t="shared" si="102"/>
        <v>0</v>
      </c>
      <c r="N471" s="65" t="str">
        <f t="shared" si="103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104"/>
        <v/>
      </c>
      <c r="U471" s="1">
        <f t="shared" si="105"/>
        <v>0</v>
      </c>
      <c r="V471" s="1">
        <f t="shared" si="106"/>
        <v>2958465</v>
      </c>
      <c r="W471" s="1">
        <f t="shared" si="107"/>
        <v>0</v>
      </c>
      <c r="X471" s="1">
        <f t="shared" si="108"/>
        <v>0</v>
      </c>
      <c r="Y471" s="1">
        <f t="shared" si="109"/>
        <v>97200</v>
      </c>
      <c r="Z471" s="1">
        <f t="shared" si="110"/>
        <v>1</v>
      </c>
      <c r="AA471" s="1">
        <f t="shared" si="111"/>
        <v>0</v>
      </c>
    </row>
    <row r="472" spans="1:27" ht="18" customHeight="1" x14ac:dyDescent="0.3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8"/>
        <v>0</v>
      </c>
      <c r="J472" s="68">
        <f t="shared" ca="1" si="99"/>
        <v>0</v>
      </c>
      <c r="K472" s="68">
        <f t="shared" ca="1" si="100"/>
        <v>0</v>
      </c>
      <c r="L472" s="68">
        <f t="shared" ca="1" si="101"/>
        <v>0</v>
      </c>
      <c r="M472" s="69">
        <f t="shared" si="102"/>
        <v>0</v>
      </c>
      <c r="N472" s="65" t="str">
        <f t="shared" si="103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104"/>
        <v/>
      </c>
      <c r="U472" s="1">
        <f t="shared" si="105"/>
        <v>0</v>
      </c>
      <c r="V472" s="1">
        <f t="shared" si="106"/>
        <v>2958465</v>
      </c>
      <c r="W472" s="1">
        <f t="shared" si="107"/>
        <v>0</v>
      </c>
      <c r="X472" s="1">
        <f t="shared" si="108"/>
        <v>0</v>
      </c>
      <c r="Y472" s="1">
        <f t="shared" si="109"/>
        <v>97200</v>
      </c>
      <c r="Z472" s="1">
        <f t="shared" si="110"/>
        <v>1</v>
      </c>
      <c r="AA472" s="1">
        <f t="shared" si="111"/>
        <v>0</v>
      </c>
    </row>
    <row r="473" spans="1:27" ht="18" customHeight="1" x14ac:dyDescent="0.3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8"/>
        <v>0</v>
      </c>
      <c r="J473" s="68">
        <f t="shared" ca="1" si="99"/>
        <v>0</v>
      </c>
      <c r="K473" s="68">
        <f t="shared" ca="1" si="100"/>
        <v>0</v>
      </c>
      <c r="L473" s="68">
        <f t="shared" ca="1" si="101"/>
        <v>0</v>
      </c>
      <c r="M473" s="69">
        <f t="shared" si="102"/>
        <v>0</v>
      </c>
      <c r="N473" s="65" t="str">
        <f t="shared" si="103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104"/>
        <v/>
      </c>
      <c r="U473" s="1">
        <f t="shared" si="105"/>
        <v>0</v>
      </c>
      <c r="V473" s="1">
        <f t="shared" si="106"/>
        <v>2958465</v>
      </c>
      <c r="W473" s="1">
        <f t="shared" si="107"/>
        <v>0</v>
      </c>
      <c r="X473" s="1">
        <f t="shared" si="108"/>
        <v>0</v>
      </c>
      <c r="Y473" s="1">
        <f t="shared" si="109"/>
        <v>97200</v>
      </c>
      <c r="Z473" s="1">
        <f t="shared" si="110"/>
        <v>1</v>
      </c>
      <c r="AA473" s="1">
        <f t="shared" si="111"/>
        <v>0</v>
      </c>
    </row>
    <row r="474" spans="1:27" ht="18" customHeight="1" x14ac:dyDescent="0.3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8"/>
        <v>0</v>
      </c>
      <c r="J474" s="68">
        <f t="shared" ca="1" si="99"/>
        <v>0</v>
      </c>
      <c r="K474" s="68">
        <f t="shared" ca="1" si="100"/>
        <v>0</v>
      </c>
      <c r="L474" s="68">
        <f t="shared" ca="1" si="101"/>
        <v>0</v>
      </c>
      <c r="M474" s="69">
        <f t="shared" si="102"/>
        <v>0</v>
      </c>
      <c r="N474" s="65" t="str">
        <f t="shared" si="103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104"/>
        <v/>
      </c>
      <c r="U474" s="1">
        <f t="shared" si="105"/>
        <v>0</v>
      </c>
      <c r="V474" s="1">
        <f t="shared" si="106"/>
        <v>2958465</v>
      </c>
      <c r="W474" s="1">
        <f t="shared" si="107"/>
        <v>0</v>
      </c>
      <c r="X474" s="1">
        <f t="shared" si="108"/>
        <v>0</v>
      </c>
      <c r="Y474" s="1">
        <f t="shared" si="109"/>
        <v>97200</v>
      </c>
      <c r="Z474" s="1">
        <f t="shared" si="110"/>
        <v>1</v>
      </c>
      <c r="AA474" s="1">
        <f t="shared" si="111"/>
        <v>0</v>
      </c>
    </row>
    <row r="475" spans="1:27" ht="18" customHeight="1" x14ac:dyDescent="0.3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8"/>
        <v>0</v>
      </c>
      <c r="J475" s="68">
        <f t="shared" ca="1" si="99"/>
        <v>0</v>
      </c>
      <c r="K475" s="68">
        <f t="shared" ca="1" si="100"/>
        <v>0</v>
      </c>
      <c r="L475" s="68">
        <f t="shared" ca="1" si="101"/>
        <v>0</v>
      </c>
      <c r="M475" s="69">
        <f t="shared" si="102"/>
        <v>0</v>
      </c>
      <c r="N475" s="65" t="str">
        <f t="shared" si="103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104"/>
        <v/>
      </c>
      <c r="U475" s="1">
        <f t="shared" si="105"/>
        <v>0</v>
      </c>
      <c r="V475" s="1">
        <f t="shared" si="106"/>
        <v>2958465</v>
      </c>
      <c r="W475" s="1">
        <f t="shared" si="107"/>
        <v>0</v>
      </c>
      <c r="X475" s="1">
        <f t="shared" si="108"/>
        <v>0</v>
      </c>
      <c r="Y475" s="1">
        <f t="shared" si="109"/>
        <v>97200</v>
      </c>
      <c r="Z475" s="1">
        <f t="shared" si="110"/>
        <v>1</v>
      </c>
      <c r="AA475" s="1">
        <f t="shared" si="111"/>
        <v>0</v>
      </c>
    </row>
    <row r="476" spans="1:27" ht="18" customHeight="1" x14ac:dyDescent="0.3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8"/>
        <v>0</v>
      </c>
      <c r="J476" s="68">
        <f t="shared" ca="1" si="99"/>
        <v>0</v>
      </c>
      <c r="K476" s="68">
        <f t="shared" ca="1" si="100"/>
        <v>0</v>
      </c>
      <c r="L476" s="68">
        <f t="shared" ca="1" si="101"/>
        <v>0</v>
      </c>
      <c r="M476" s="69">
        <f t="shared" si="102"/>
        <v>0</v>
      </c>
      <c r="N476" s="65" t="str">
        <f t="shared" si="103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104"/>
        <v/>
      </c>
      <c r="U476" s="1">
        <f t="shared" si="105"/>
        <v>0</v>
      </c>
      <c r="V476" s="1">
        <f t="shared" si="106"/>
        <v>2958465</v>
      </c>
      <c r="W476" s="1">
        <f t="shared" si="107"/>
        <v>0</v>
      </c>
      <c r="X476" s="1">
        <f t="shared" si="108"/>
        <v>0</v>
      </c>
      <c r="Y476" s="1">
        <f t="shared" si="109"/>
        <v>97200</v>
      </c>
      <c r="Z476" s="1">
        <f t="shared" si="110"/>
        <v>1</v>
      </c>
      <c r="AA476" s="1">
        <f t="shared" si="111"/>
        <v>0</v>
      </c>
    </row>
    <row r="477" spans="1:27" ht="18" customHeight="1" x14ac:dyDescent="0.3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8"/>
        <v>0</v>
      </c>
      <c r="J477" s="68">
        <f t="shared" ca="1" si="99"/>
        <v>0</v>
      </c>
      <c r="K477" s="68">
        <f t="shared" ca="1" si="100"/>
        <v>0</v>
      </c>
      <c r="L477" s="68">
        <f t="shared" ca="1" si="101"/>
        <v>0</v>
      </c>
      <c r="M477" s="69">
        <f t="shared" si="102"/>
        <v>0</v>
      </c>
      <c r="N477" s="65" t="str">
        <f t="shared" si="103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104"/>
        <v/>
      </c>
      <c r="U477" s="1">
        <f t="shared" si="105"/>
        <v>0</v>
      </c>
      <c r="V477" s="1">
        <f t="shared" si="106"/>
        <v>2958465</v>
      </c>
      <c r="W477" s="1">
        <f t="shared" si="107"/>
        <v>0</v>
      </c>
      <c r="X477" s="1">
        <f t="shared" si="108"/>
        <v>0</v>
      </c>
      <c r="Y477" s="1">
        <f t="shared" si="109"/>
        <v>97200</v>
      </c>
      <c r="Z477" s="1">
        <f t="shared" si="110"/>
        <v>1</v>
      </c>
      <c r="AA477" s="1">
        <f t="shared" si="111"/>
        <v>0</v>
      </c>
    </row>
    <row r="478" spans="1:27" ht="18" customHeight="1" x14ac:dyDescent="0.3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8"/>
        <v>0</v>
      </c>
      <c r="J478" s="68">
        <f t="shared" ca="1" si="99"/>
        <v>0</v>
      </c>
      <c r="K478" s="68">
        <f t="shared" ca="1" si="100"/>
        <v>0</v>
      </c>
      <c r="L478" s="68">
        <f t="shared" ca="1" si="101"/>
        <v>0</v>
      </c>
      <c r="M478" s="69">
        <f t="shared" si="102"/>
        <v>0</v>
      </c>
      <c r="N478" s="65" t="str">
        <f t="shared" si="103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104"/>
        <v/>
      </c>
      <c r="U478" s="1">
        <f t="shared" si="105"/>
        <v>0</v>
      </c>
      <c r="V478" s="1">
        <f t="shared" si="106"/>
        <v>2958465</v>
      </c>
      <c r="W478" s="1">
        <f t="shared" si="107"/>
        <v>0</v>
      </c>
      <c r="X478" s="1">
        <f t="shared" si="108"/>
        <v>0</v>
      </c>
      <c r="Y478" s="1">
        <f t="shared" si="109"/>
        <v>97200</v>
      </c>
      <c r="Z478" s="1">
        <f t="shared" si="110"/>
        <v>1</v>
      </c>
      <c r="AA478" s="1">
        <f t="shared" si="111"/>
        <v>0</v>
      </c>
    </row>
    <row r="479" spans="1:27" ht="18" customHeight="1" x14ac:dyDescent="0.3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8"/>
        <v>0</v>
      </c>
      <c r="J479" s="68">
        <f t="shared" ca="1" si="99"/>
        <v>0</v>
      </c>
      <c r="K479" s="68">
        <f t="shared" ca="1" si="100"/>
        <v>0</v>
      </c>
      <c r="L479" s="68">
        <f t="shared" ca="1" si="101"/>
        <v>0</v>
      </c>
      <c r="M479" s="69">
        <f t="shared" si="102"/>
        <v>0</v>
      </c>
      <c r="N479" s="65" t="str">
        <f t="shared" si="103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104"/>
        <v/>
      </c>
      <c r="U479" s="1">
        <f t="shared" si="105"/>
        <v>0</v>
      </c>
      <c r="V479" s="1">
        <f t="shared" si="106"/>
        <v>2958465</v>
      </c>
      <c r="W479" s="1">
        <f t="shared" si="107"/>
        <v>0</v>
      </c>
      <c r="X479" s="1">
        <f t="shared" si="108"/>
        <v>0</v>
      </c>
      <c r="Y479" s="1">
        <f t="shared" si="109"/>
        <v>97200</v>
      </c>
      <c r="Z479" s="1">
        <f t="shared" si="110"/>
        <v>1</v>
      </c>
      <c r="AA479" s="1">
        <f t="shared" si="111"/>
        <v>0</v>
      </c>
    </row>
    <row r="480" spans="1:27" ht="18" customHeight="1" x14ac:dyDescent="0.3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8"/>
        <v>0</v>
      </c>
      <c r="J480" s="68">
        <f t="shared" ca="1" si="99"/>
        <v>0</v>
      </c>
      <c r="K480" s="68">
        <f t="shared" ca="1" si="100"/>
        <v>0</v>
      </c>
      <c r="L480" s="68">
        <f t="shared" ca="1" si="101"/>
        <v>0</v>
      </c>
      <c r="M480" s="69">
        <f t="shared" si="102"/>
        <v>0</v>
      </c>
      <c r="N480" s="65" t="str">
        <f t="shared" si="103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104"/>
        <v/>
      </c>
      <c r="U480" s="1">
        <f t="shared" si="105"/>
        <v>0</v>
      </c>
      <c r="V480" s="1">
        <f t="shared" si="106"/>
        <v>2958465</v>
      </c>
      <c r="W480" s="1">
        <f t="shared" si="107"/>
        <v>0</v>
      </c>
      <c r="X480" s="1">
        <f t="shared" si="108"/>
        <v>0</v>
      </c>
      <c r="Y480" s="1">
        <f t="shared" si="109"/>
        <v>97200</v>
      </c>
      <c r="Z480" s="1">
        <f t="shared" si="110"/>
        <v>1</v>
      </c>
      <c r="AA480" s="1">
        <f t="shared" si="111"/>
        <v>0</v>
      </c>
    </row>
    <row r="481" spans="1:27" ht="18" customHeight="1" x14ac:dyDescent="0.3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8"/>
        <v>0</v>
      </c>
      <c r="J481" s="68">
        <f t="shared" ca="1" si="99"/>
        <v>0</v>
      </c>
      <c r="K481" s="68">
        <f t="shared" ca="1" si="100"/>
        <v>0</v>
      </c>
      <c r="L481" s="68">
        <f t="shared" ca="1" si="101"/>
        <v>0</v>
      </c>
      <c r="M481" s="69">
        <f t="shared" si="102"/>
        <v>0</v>
      </c>
      <c r="N481" s="65" t="str">
        <f t="shared" si="103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104"/>
        <v/>
      </c>
      <c r="U481" s="1">
        <f t="shared" si="105"/>
        <v>0</v>
      </c>
      <c r="V481" s="1">
        <f t="shared" si="106"/>
        <v>2958465</v>
      </c>
      <c r="W481" s="1">
        <f t="shared" si="107"/>
        <v>0</v>
      </c>
      <c r="X481" s="1">
        <f t="shared" si="108"/>
        <v>0</v>
      </c>
      <c r="Y481" s="1">
        <f t="shared" si="109"/>
        <v>97200</v>
      </c>
      <c r="Z481" s="1">
        <f t="shared" si="110"/>
        <v>1</v>
      </c>
      <c r="AA481" s="1">
        <f t="shared" si="111"/>
        <v>0</v>
      </c>
    </row>
    <row r="482" spans="1:27" ht="18" customHeight="1" x14ac:dyDescent="0.3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8"/>
        <v>0</v>
      </c>
      <c r="J482" s="68">
        <f t="shared" ca="1" si="99"/>
        <v>0</v>
      </c>
      <c r="K482" s="68">
        <f t="shared" ca="1" si="100"/>
        <v>0</v>
      </c>
      <c r="L482" s="68">
        <f t="shared" ca="1" si="101"/>
        <v>0</v>
      </c>
      <c r="M482" s="69">
        <f t="shared" si="102"/>
        <v>0</v>
      </c>
      <c r="N482" s="65" t="str">
        <f t="shared" si="103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104"/>
        <v/>
      </c>
      <c r="U482" s="1">
        <f t="shared" si="105"/>
        <v>0</v>
      </c>
      <c r="V482" s="1">
        <f t="shared" si="106"/>
        <v>2958465</v>
      </c>
      <c r="W482" s="1">
        <f t="shared" si="107"/>
        <v>0</v>
      </c>
      <c r="X482" s="1">
        <f t="shared" si="108"/>
        <v>0</v>
      </c>
      <c r="Y482" s="1">
        <f t="shared" si="109"/>
        <v>97200</v>
      </c>
      <c r="Z482" s="1">
        <f t="shared" si="110"/>
        <v>1</v>
      </c>
      <c r="AA482" s="1">
        <f t="shared" si="111"/>
        <v>0</v>
      </c>
    </row>
    <row r="483" spans="1:27" ht="18" customHeight="1" x14ac:dyDescent="0.3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8"/>
        <v>0</v>
      </c>
      <c r="J483" s="68">
        <f t="shared" ca="1" si="99"/>
        <v>0</v>
      </c>
      <c r="K483" s="68">
        <f t="shared" ca="1" si="100"/>
        <v>0</v>
      </c>
      <c r="L483" s="68">
        <f t="shared" ca="1" si="101"/>
        <v>0</v>
      </c>
      <c r="M483" s="69">
        <f t="shared" si="102"/>
        <v>0</v>
      </c>
      <c r="N483" s="65" t="str">
        <f t="shared" si="103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104"/>
        <v/>
      </c>
      <c r="U483" s="1">
        <f t="shared" si="105"/>
        <v>0</v>
      </c>
      <c r="V483" s="1">
        <f t="shared" si="106"/>
        <v>2958465</v>
      </c>
      <c r="W483" s="1">
        <f t="shared" si="107"/>
        <v>0</v>
      </c>
      <c r="X483" s="1">
        <f t="shared" si="108"/>
        <v>0</v>
      </c>
      <c r="Y483" s="1">
        <f t="shared" si="109"/>
        <v>97200</v>
      </c>
      <c r="Z483" s="1">
        <f t="shared" si="110"/>
        <v>1</v>
      </c>
      <c r="AA483" s="1">
        <f t="shared" si="111"/>
        <v>0</v>
      </c>
    </row>
    <row r="484" spans="1:27" ht="18" customHeight="1" x14ac:dyDescent="0.3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8"/>
        <v>0</v>
      </c>
      <c r="J484" s="68">
        <f t="shared" ca="1" si="99"/>
        <v>0</v>
      </c>
      <c r="K484" s="68">
        <f t="shared" ca="1" si="100"/>
        <v>0</v>
      </c>
      <c r="L484" s="68">
        <f t="shared" ca="1" si="101"/>
        <v>0</v>
      </c>
      <c r="M484" s="69">
        <f t="shared" si="102"/>
        <v>0</v>
      </c>
      <c r="N484" s="65" t="str">
        <f t="shared" si="103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104"/>
        <v/>
      </c>
      <c r="U484" s="1">
        <f t="shared" si="105"/>
        <v>0</v>
      </c>
      <c r="V484" s="1">
        <f t="shared" si="106"/>
        <v>2958465</v>
      </c>
      <c r="W484" s="1">
        <f t="shared" si="107"/>
        <v>0</v>
      </c>
      <c r="X484" s="1">
        <f t="shared" si="108"/>
        <v>0</v>
      </c>
      <c r="Y484" s="1">
        <f t="shared" si="109"/>
        <v>97200</v>
      </c>
      <c r="Z484" s="1">
        <f t="shared" si="110"/>
        <v>1</v>
      </c>
      <c r="AA484" s="1">
        <f t="shared" si="111"/>
        <v>0</v>
      </c>
    </row>
    <row r="485" spans="1:27" ht="18" customHeight="1" x14ac:dyDescent="0.3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8"/>
        <v>0</v>
      </c>
      <c r="J485" s="68">
        <f t="shared" ca="1" si="99"/>
        <v>0</v>
      </c>
      <c r="K485" s="68">
        <f t="shared" ca="1" si="100"/>
        <v>0</v>
      </c>
      <c r="L485" s="68">
        <f t="shared" ca="1" si="101"/>
        <v>0</v>
      </c>
      <c r="M485" s="69">
        <f t="shared" si="102"/>
        <v>0</v>
      </c>
      <c r="N485" s="65" t="str">
        <f t="shared" si="103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104"/>
        <v/>
      </c>
      <c r="U485" s="1">
        <f t="shared" si="105"/>
        <v>0</v>
      </c>
      <c r="V485" s="1">
        <f t="shared" si="106"/>
        <v>2958465</v>
      </c>
      <c r="W485" s="1">
        <f t="shared" si="107"/>
        <v>0</v>
      </c>
      <c r="X485" s="1">
        <f t="shared" si="108"/>
        <v>0</v>
      </c>
      <c r="Y485" s="1">
        <f t="shared" si="109"/>
        <v>97200</v>
      </c>
      <c r="Z485" s="1">
        <f t="shared" si="110"/>
        <v>1</v>
      </c>
      <c r="AA485" s="1">
        <f t="shared" si="111"/>
        <v>0</v>
      </c>
    </row>
    <row r="486" spans="1:27" ht="18" customHeight="1" x14ac:dyDescent="0.3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8"/>
        <v>0</v>
      </c>
      <c r="J486" s="68">
        <f t="shared" ca="1" si="99"/>
        <v>0</v>
      </c>
      <c r="K486" s="68">
        <f t="shared" ca="1" si="100"/>
        <v>0</v>
      </c>
      <c r="L486" s="68">
        <f t="shared" ca="1" si="101"/>
        <v>0</v>
      </c>
      <c r="M486" s="69">
        <f t="shared" si="102"/>
        <v>0</v>
      </c>
      <c r="N486" s="65" t="str">
        <f t="shared" si="103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104"/>
        <v/>
      </c>
      <c r="U486" s="1">
        <f t="shared" si="105"/>
        <v>0</v>
      </c>
      <c r="V486" s="1">
        <f t="shared" si="106"/>
        <v>2958465</v>
      </c>
      <c r="W486" s="1">
        <f t="shared" si="107"/>
        <v>0</v>
      </c>
      <c r="X486" s="1">
        <f t="shared" si="108"/>
        <v>0</v>
      </c>
      <c r="Y486" s="1">
        <f t="shared" si="109"/>
        <v>97200</v>
      </c>
      <c r="Z486" s="1">
        <f t="shared" si="110"/>
        <v>1</v>
      </c>
      <c r="AA486" s="1">
        <f t="shared" si="111"/>
        <v>0</v>
      </c>
    </row>
    <row r="487" spans="1:27" ht="18" customHeight="1" x14ac:dyDescent="0.3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8"/>
        <v>0</v>
      </c>
      <c r="J487" s="68">
        <f t="shared" ca="1" si="99"/>
        <v>0</v>
      </c>
      <c r="K487" s="68">
        <f t="shared" ca="1" si="100"/>
        <v>0</v>
      </c>
      <c r="L487" s="68">
        <f t="shared" ca="1" si="101"/>
        <v>0</v>
      </c>
      <c r="M487" s="69">
        <f t="shared" si="102"/>
        <v>0</v>
      </c>
      <c r="N487" s="65" t="str">
        <f t="shared" si="103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104"/>
        <v/>
      </c>
      <c r="U487" s="1">
        <f t="shared" si="105"/>
        <v>0</v>
      </c>
      <c r="V487" s="1">
        <f t="shared" si="106"/>
        <v>2958465</v>
      </c>
      <c r="W487" s="1">
        <f t="shared" si="107"/>
        <v>0</v>
      </c>
      <c r="X487" s="1">
        <f t="shared" si="108"/>
        <v>0</v>
      </c>
      <c r="Y487" s="1">
        <f t="shared" si="109"/>
        <v>97200</v>
      </c>
      <c r="Z487" s="1">
        <f t="shared" si="110"/>
        <v>1</v>
      </c>
      <c r="AA487" s="1">
        <f t="shared" si="111"/>
        <v>0</v>
      </c>
    </row>
    <row r="488" spans="1:27" ht="18" customHeight="1" x14ac:dyDescent="0.3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8"/>
        <v>0</v>
      </c>
      <c r="J488" s="68">
        <f t="shared" ca="1" si="99"/>
        <v>0</v>
      </c>
      <c r="K488" s="68">
        <f t="shared" ca="1" si="100"/>
        <v>0</v>
      </c>
      <c r="L488" s="68">
        <f t="shared" ca="1" si="101"/>
        <v>0</v>
      </c>
      <c r="M488" s="69">
        <f t="shared" si="102"/>
        <v>0</v>
      </c>
      <c r="N488" s="65" t="str">
        <f t="shared" si="103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104"/>
        <v/>
      </c>
      <c r="U488" s="1">
        <f t="shared" si="105"/>
        <v>0</v>
      </c>
      <c r="V488" s="1">
        <f t="shared" si="106"/>
        <v>2958465</v>
      </c>
      <c r="W488" s="1">
        <f t="shared" si="107"/>
        <v>0</v>
      </c>
      <c r="X488" s="1">
        <f t="shared" si="108"/>
        <v>0</v>
      </c>
      <c r="Y488" s="1">
        <f t="shared" si="109"/>
        <v>97200</v>
      </c>
      <c r="Z488" s="1">
        <f t="shared" si="110"/>
        <v>1</v>
      </c>
      <c r="AA488" s="1">
        <f t="shared" si="111"/>
        <v>0</v>
      </c>
    </row>
    <row r="489" spans="1:27" ht="18" customHeight="1" x14ac:dyDescent="0.3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8"/>
        <v>0</v>
      </c>
      <c r="J489" s="68">
        <f t="shared" ca="1" si="99"/>
        <v>0</v>
      </c>
      <c r="K489" s="68">
        <f t="shared" ca="1" si="100"/>
        <v>0</v>
      </c>
      <c r="L489" s="68">
        <f t="shared" ca="1" si="101"/>
        <v>0</v>
      </c>
      <c r="M489" s="69">
        <f t="shared" si="102"/>
        <v>0</v>
      </c>
      <c r="N489" s="65" t="str">
        <f t="shared" si="103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104"/>
        <v/>
      </c>
      <c r="U489" s="1">
        <f t="shared" si="105"/>
        <v>0</v>
      </c>
      <c r="V489" s="1">
        <f t="shared" si="106"/>
        <v>2958465</v>
      </c>
      <c r="W489" s="1">
        <f t="shared" si="107"/>
        <v>0</v>
      </c>
      <c r="X489" s="1">
        <f t="shared" si="108"/>
        <v>0</v>
      </c>
      <c r="Y489" s="1">
        <f t="shared" si="109"/>
        <v>97200</v>
      </c>
      <c r="Z489" s="1">
        <f t="shared" si="110"/>
        <v>1</v>
      </c>
      <c r="AA489" s="1">
        <f t="shared" si="111"/>
        <v>0</v>
      </c>
    </row>
    <row r="490" spans="1:27" ht="18" customHeight="1" x14ac:dyDescent="0.3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8"/>
        <v>0</v>
      </c>
      <c r="J490" s="68">
        <f t="shared" ca="1" si="99"/>
        <v>0</v>
      </c>
      <c r="K490" s="68">
        <f t="shared" ca="1" si="100"/>
        <v>0</v>
      </c>
      <c r="L490" s="68">
        <f t="shared" ca="1" si="101"/>
        <v>0</v>
      </c>
      <c r="M490" s="69">
        <f t="shared" si="102"/>
        <v>0</v>
      </c>
      <c r="N490" s="65" t="str">
        <f t="shared" si="103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104"/>
        <v/>
      </c>
      <c r="U490" s="1">
        <f t="shared" si="105"/>
        <v>0</v>
      </c>
      <c r="V490" s="1">
        <f t="shared" si="106"/>
        <v>2958465</v>
      </c>
      <c r="W490" s="1">
        <f t="shared" si="107"/>
        <v>0</v>
      </c>
      <c r="X490" s="1">
        <f t="shared" si="108"/>
        <v>0</v>
      </c>
      <c r="Y490" s="1">
        <f t="shared" si="109"/>
        <v>97200</v>
      </c>
      <c r="Z490" s="1">
        <f t="shared" si="110"/>
        <v>1</v>
      </c>
      <c r="AA490" s="1">
        <f t="shared" si="111"/>
        <v>0</v>
      </c>
    </row>
    <row r="491" spans="1:27" ht="18" customHeight="1" x14ac:dyDescent="0.3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8"/>
        <v>0</v>
      </c>
      <c r="J491" s="68">
        <f t="shared" ca="1" si="99"/>
        <v>0</v>
      </c>
      <c r="K491" s="68">
        <f t="shared" ca="1" si="100"/>
        <v>0</v>
      </c>
      <c r="L491" s="68">
        <f t="shared" ca="1" si="101"/>
        <v>0</v>
      </c>
      <c r="M491" s="69">
        <f t="shared" si="102"/>
        <v>0</v>
      </c>
      <c r="N491" s="65" t="str">
        <f t="shared" si="103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104"/>
        <v/>
      </c>
      <c r="U491" s="1">
        <f t="shared" si="105"/>
        <v>0</v>
      </c>
      <c r="V491" s="1">
        <f t="shared" si="106"/>
        <v>2958465</v>
      </c>
      <c r="W491" s="1">
        <f t="shared" si="107"/>
        <v>0</v>
      </c>
      <c r="X491" s="1">
        <f t="shared" si="108"/>
        <v>0</v>
      </c>
      <c r="Y491" s="1">
        <f t="shared" si="109"/>
        <v>97200</v>
      </c>
      <c r="Z491" s="1">
        <f t="shared" si="110"/>
        <v>1</v>
      </c>
      <c r="AA491" s="1">
        <f t="shared" si="111"/>
        <v>0</v>
      </c>
    </row>
    <row r="492" spans="1:27" ht="18" customHeight="1" x14ac:dyDescent="0.3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8"/>
        <v>0</v>
      </c>
      <c r="J492" s="68">
        <f t="shared" ca="1" si="99"/>
        <v>0</v>
      </c>
      <c r="K492" s="68">
        <f t="shared" ca="1" si="100"/>
        <v>0</v>
      </c>
      <c r="L492" s="68">
        <f t="shared" ca="1" si="101"/>
        <v>0</v>
      </c>
      <c r="M492" s="69">
        <f t="shared" si="102"/>
        <v>0</v>
      </c>
      <c r="N492" s="65" t="str">
        <f t="shared" si="103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104"/>
        <v/>
      </c>
      <c r="U492" s="1">
        <f t="shared" si="105"/>
        <v>0</v>
      </c>
      <c r="V492" s="1">
        <f t="shared" si="106"/>
        <v>2958465</v>
      </c>
      <c r="W492" s="1">
        <f t="shared" si="107"/>
        <v>0</v>
      </c>
      <c r="X492" s="1">
        <f t="shared" si="108"/>
        <v>0</v>
      </c>
      <c r="Y492" s="1">
        <f t="shared" si="109"/>
        <v>97200</v>
      </c>
      <c r="Z492" s="1">
        <f t="shared" si="110"/>
        <v>1</v>
      </c>
      <c r="AA492" s="1">
        <f t="shared" si="111"/>
        <v>0</v>
      </c>
    </row>
    <row r="493" spans="1:27" ht="18" customHeight="1" x14ac:dyDescent="0.3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8"/>
        <v>0</v>
      </c>
      <c r="J493" s="68">
        <f t="shared" ca="1" si="99"/>
        <v>0</v>
      </c>
      <c r="K493" s="68">
        <f t="shared" ca="1" si="100"/>
        <v>0</v>
      </c>
      <c r="L493" s="68">
        <f t="shared" ca="1" si="101"/>
        <v>0</v>
      </c>
      <c r="M493" s="69">
        <f t="shared" si="102"/>
        <v>0</v>
      </c>
      <c r="N493" s="65" t="str">
        <f t="shared" si="103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104"/>
        <v/>
      </c>
      <c r="U493" s="1">
        <f t="shared" si="105"/>
        <v>0</v>
      </c>
      <c r="V493" s="1">
        <f t="shared" si="106"/>
        <v>2958465</v>
      </c>
      <c r="W493" s="1">
        <f t="shared" si="107"/>
        <v>0</v>
      </c>
      <c r="X493" s="1">
        <f t="shared" si="108"/>
        <v>0</v>
      </c>
      <c r="Y493" s="1">
        <f t="shared" si="109"/>
        <v>97200</v>
      </c>
      <c r="Z493" s="1">
        <f t="shared" si="110"/>
        <v>1</v>
      </c>
      <c r="AA493" s="1">
        <f t="shared" si="111"/>
        <v>0</v>
      </c>
    </row>
    <row r="494" spans="1:27" ht="18" customHeight="1" x14ac:dyDescent="0.3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8"/>
        <v>0</v>
      </c>
      <c r="J494" s="68">
        <f t="shared" ca="1" si="99"/>
        <v>0</v>
      </c>
      <c r="K494" s="68">
        <f t="shared" ca="1" si="100"/>
        <v>0</v>
      </c>
      <c r="L494" s="68">
        <f t="shared" ca="1" si="101"/>
        <v>0</v>
      </c>
      <c r="M494" s="69">
        <f t="shared" si="102"/>
        <v>0</v>
      </c>
      <c r="N494" s="65" t="str">
        <f t="shared" si="103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104"/>
        <v/>
      </c>
      <c r="U494" s="1">
        <f t="shared" si="105"/>
        <v>0</v>
      </c>
      <c r="V494" s="1">
        <f t="shared" si="106"/>
        <v>2958465</v>
      </c>
      <c r="W494" s="1">
        <f t="shared" si="107"/>
        <v>0</v>
      </c>
      <c r="X494" s="1">
        <f t="shared" si="108"/>
        <v>0</v>
      </c>
      <c r="Y494" s="1">
        <f t="shared" si="109"/>
        <v>97200</v>
      </c>
      <c r="Z494" s="1">
        <f t="shared" si="110"/>
        <v>1</v>
      </c>
      <c r="AA494" s="1">
        <f t="shared" si="111"/>
        <v>0</v>
      </c>
    </row>
    <row r="495" spans="1:27" ht="18" customHeight="1" x14ac:dyDescent="0.3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8"/>
        <v>0</v>
      </c>
      <c r="J495" s="68">
        <f t="shared" ca="1" si="99"/>
        <v>0</v>
      </c>
      <c r="K495" s="68">
        <f t="shared" ca="1" si="100"/>
        <v>0</v>
      </c>
      <c r="L495" s="68">
        <f t="shared" ca="1" si="101"/>
        <v>0</v>
      </c>
      <c r="M495" s="69">
        <f t="shared" si="102"/>
        <v>0</v>
      </c>
      <c r="N495" s="65" t="str">
        <f t="shared" si="103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104"/>
        <v/>
      </c>
      <c r="U495" s="1">
        <f t="shared" si="105"/>
        <v>0</v>
      </c>
      <c r="V495" s="1">
        <f t="shared" si="106"/>
        <v>2958465</v>
      </c>
      <c r="W495" s="1">
        <f t="shared" si="107"/>
        <v>0</v>
      </c>
      <c r="X495" s="1">
        <f t="shared" si="108"/>
        <v>0</v>
      </c>
      <c r="Y495" s="1">
        <f t="shared" si="109"/>
        <v>97200</v>
      </c>
      <c r="Z495" s="1">
        <f t="shared" si="110"/>
        <v>1</v>
      </c>
      <c r="AA495" s="1">
        <f t="shared" si="111"/>
        <v>0</v>
      </c>
    </row>
    <row r="496" spans="1:27" ht="18" customHeight="1" x14ac:dyDescent="0.3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8"/>
        <v>0</v>
      </c>
      <c r="J496" s="68">
        <f t="shared" ca="1" si="99"/>
        <v>0</v>
      </c>
      <c r="K496" s="68">
        <f t="shared" ca="1" si="100"/>
        <v>0</v>
      </c>
      <c r="L496" s="68">
        <f t="shared" ca="1" si="101"/>
        <v>0</v>
      </c>
      <c r="M496" s="69">
        <f t="shared" si="102"/>
        <v>0</v>
      </c>
      <c r="N496" s="65" t="str">
        <f t="shared" si="103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104"/>
        <v/>
      </c>
      <c r="U496" s="1">
        <f t="shared" si="105"/>
        <v>0</v>
      </c>
      <c r="V496" s="1">
        <f t="shared" si="106"/>
        <v>2958465</v>
      </c>
      <c r="W496" s="1">
        <f t="shared" si="107"/>
        <v>0</v>
      </c>
      <c r="X496" s="1">
        <f t="shared" si="108"/>
        <v>0</v>
      </c>
      <c r="Y496" s="1">
        <f t="shared" si="109"/>
        <v>97200</v>
      </c>
      <c r="Z496" s="1">
        <f t="shared" si="110"/>
        <v>1</v>
      </c>
      <c r="AA496" s="1">
        <f t="shared" si="111"/>
        <v>0</v>
      </c>
    </row>
    <row r="497" spans="1:27" ht="18" customHeight="1" x14ac:dyDescent="0.3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8"/>
        <v>0</v>
      </c>
      <c r="J497" s="68">
        <f t="shared" ca="1" si="99"/>
        <v>0</v>
      </c>
      <c r="K497" s="68">
        <f t="shared" ca="1" si="100"/>
        <v>0</v>
      </c>
      <c r="L497" s="68">
        <f t="shared" ca="1" si="101"/>
        <v>0</v>
      </c>
      <c r="M497" s="69">
        <f t="shared" si="102"/>
        <v>0</v>
      </c>
      <c r="N497" s="65" t="str">
        <f t="shared" si="103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104"/>
        <v/>
      </c>
      <c r="U497" s="1">
        <f t="shared" si="105"/>
        <v>0</v>
      </c>
      <c r="V497" s="1">
        <f t="shared" si="106"/>
        <v>2958465</v>
      </c>
      <c r="W497" s="1">
        <f t="shared" si="107"/>
        <v>0</v>
      </c>
      <c r="X497" s="1">
        <f t="shared" si="108"/>
        <v>0</v>
      </c>
      <c r="Y497" s="1">
        <f t="shared" si="109"/>
        <v>97200</v>
      </c>
      <c r="Z497" s="1">
        <f t="shared" si="110"/>
        <v>1</v>
      </c>
      <c r="AA497" s="1">
        <f t="shared" si="111"/>
        <v>0</v>
      </c>
    </row>
    <row r="498" spans="1:27" ht="18" customHeight="1" x14ac:dyDescent="0.3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8"/>
        <v>0</v>
      </c>
      <c r="J498" s="68">
        <f t="shared" ca="1" si="99"/>
        <v>0</v>
      </c>
      <c r="K498" s="68">
        <f t="shared" ca="1" si="100"/>
        <v>0</v>
      </c>
      <c r="L498" s="68">
        <f t="shared" ca="1" si="101"/>
        <v>0</v>
      </c>
      <c r="M498" s="69">
        <f t="shared" si="102"/>
        <v>0</v>
      </c>
      <c r="N498" s="65" t="str">
        <f t="shared" si="103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104"/>
        <v/>
      </c>
      <c r="U498" s="1">
        <f t="shared" si="105"/>
        <v>0</v>
      </c>
      <c r="V498" s="1">
        <f t="shared" si="106"/>
        <v>2958465</v>
      </c>
      <c r="W498" s="1">
        <f t="shared" si="107"/>
        <v>0</v>
      </c>
      <c r="X498" s="1">
        <f t="shared" si="108"/>
        <v>0</v>
      </c>
      <c r="Y498" s="1">
        <f t="shared" si="109"/>
        <v>97200</v>
      </c>
      <c r="Z498" s="1">
        <f t="shared" si="110"/>
        <v>1</v>
      </c>
      <c r="AA498" s="1">
        <f t="shared" si="111"/>
        <v>0</v>
      </c>
    </row>
    <row r="499" spans="1:27" ht="18" customHeight="1" x14ac:dyDescent="0.3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8"/>
        <v>0</v>
      </c>
      <c r="J499" s="68">
        <f t="shared" ca="1" si="99"/>
        <v>0</v>
      </c>
      <c r="K499" s="68">
        <f t="shared" ca="1" si="100"/>
        <v>0</v>
      </c>
      <c r="L499" s="68">
        <f t="shared" ca="1" si="101"/>
        <v>0</v>
      </c>
      <c r="M499" s="69">
        <f t="shared" si="102"/>
        <v>0</v>
      </c>
      <c r="N499" s="65" t="str">
        <f t="shared" si="103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104"/>
        <v/>
      </c>
      <c r="U499" s="1">
        <f t="shared" si="105"/>
        <v>0</v>
      </c>
      <c r="V499" s="1">
        <f t="shared" si="106"/>
        <v>2958465</v>
      </c>
      <c r="W499" s="1">
        <f t="shared" si="107"/>
        <v>0</v>
      </c>
      <c r="X499" s="1">
        <f t="shared" si="108"/>
        <v>0</v>
      </c>
      <c r="Y499" s="1">
        <f t="shared" si="109"/>
        <v>97200</v>
      </c>
      <c r="Z499" s="1">
        <f t="shared" si="110"/>
        <v>1</v>
      </c>
      <c r="AA499" s="1">
        <f t="shared" si="111"/>
        <v>0</v>
      </c>
    </row>
    <row r="500" spans="1:27" ht="18" customHeight="1" x14ac:dyDescent="0.3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8"/>
        <v>0</v>
      </c>
      <c r="J500" s="68">
        <f t="shared" ca="1" si="99"/>
        <v>0</v>
      </c>
      <c r="K500" s="68">
        <f t="shared" ca="1" si="100"/>
        <v>0</v>
      </c>
      <c r="L500" s="68">
        <f t="shared" ca="1" si="101"/>
        <v>0</v>
      </c>
      <c r="M500" s="69">
        <f t="shared" si="102"/>
        <v>0</v>
      </c>
      <c r="N500" s="65" t="str">
        <f t="shared" si="103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104"/>
        <v/>
      </c>
      <c r="U500" s="1">
        <f t="shared" si="105"/>
        <v>0</v>
      </c>
      <c r="V500" s="1">
        <f t="shared" si="106"/>
        <v>2958465</v>
      </c>
      <c r="W500" s="1">
        <f t="shared" si="107"/>
        <v>0</v>
      </c>
      <c r="X500" s="1">
        <f t="shared" si="108"/>
        <v>0</v>
      </c>
      <c r="Y500" s="1">
        <f t="shared" si="109"/>
        <v>97200</v>
      </c>
      <c r="Z500" s="1">
        <f t="shared" si="110"/>
        <v>1</v>
      </c>
      <c r="AA500" s="1">
        <f t="shared" si="111"/>
        <v>0</v>
      </c>
    </row>
    <row r="501" spans="1:27" ht="18" customHeight="1" x14ac:dyDescent="0.3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8"/>
        <v>0</v>
      </c>
      <c r="J501" s="68">
        <f t="shared" ca="1" si="99"/>
        <v>0</v>
      </c>
      <c r="K501" s="68">
        <f t="shared" ca="1" si="100"/>
        <v>0</v>
      </c>
      <c r="L501" s="68">
        <f t="shared" ca="1" si="101"/>
        <v>0</v>
      </c>
      <c r="M501" s="69">
        <f t="shared" si="102"/>
        <v>0</v>
      </c>
      <c r="N501" s="65" t="str">
        <f t="shared" si="103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104"/>
        <v/>
      </c>
      <c r="U501" s="1">
        <f t="shared" si="105"/>
        <v>0</v>
      </c>
      <c r="V501" s="1">
        <f t="shared" si="106"/>
        <v>2958465</v>
      </c>
      <c r="W501" s="1">
        <f t="shared" si="107"/>
        <v>0</v>
      </c>
      <c r="X501" s="1">
        <f t="shared" si="108"/>
        <v>0</v>
      </c>
      <c r="Y501" s="1">
        <f t="shared" si="109"/>
        <v>97200</v>
      </c>
      <c r="Z501" s="1">
        <f t="shared" si="110"/>
        <v>1</v>
      </c>
      <c r="AA501" s="1">
        <f t="shared" si="111"/>
        <v>0</v>
      </c>
    </row>
    <row r="502" spans="1:27" ht="18" customHeight="1" x14ac:dyDescent="0.3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8"/>
        <v>0</v>
      </c>
      <c r="J502" s="68">
        <f t="shared" ca="1" si="99"/>
        <v>0</v>
      </c>
      <c r="K502" s="68">
        <f t="shared" ca="1" si="100"/>
        <v>0</v>
      </c>
      <c r="L502" s="68">
        <f t="shared" ca="1" si="101"/>
        <v>0</v>
      </c>
      <c r="M502" s="69">
        <f t="shared" si="102"/>
        <v>0</v>
      </c>
      <c r="N502" s="65" t="str">
        <f t="shared" si="103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104"/>
        <v/>
      </c>
      <c r="U502" s="1">
        <f t="shared" si="105"/>
        <v>0</v>
      </c>
      <c r="V502" s="1">
        <f t="shared" si="106"/>
        <v>2958465</v>
      </c>
      <c r="W502" s="1">
        <f t="shared" si="107"/>
        <v>0</v>
      </c>
      <c r="X502" s="1">
        <f t="shared" si="108"/>
        <v>0</v>
      </c>
      <c r="Y502" s="1">
        <f t="shared" si="109"/>
        <v>97200</v>
      </c>
      <c r="Z502" s="1">
        <f t="shared" si="110"/>
        <v>1</v>
      </c>
      <c r="AA502" s="1">
        <f t="shared" si="111"/>
        <v>0</v>
      </c>
    </row>
    <row r="503" spans="1:27" ht="18" customHeight="1" x14ac:dyDescent="0.3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8"/>
        <v>0</v>
      </c>
      <c r="J503" s="68">
        <f t="shared" ca="1" si="99"/>
        <v>0</v>
      </c>
      <c r="K503" s="68">
        <f t="shared" ca="1" si="100"/>
        <v>0</v>
      </c>
      <c r="L503" s="68">
        <f t="shared" ca="1" si="101"/>
        <v>0</v>
      </c>
      <c r="M503" s="69">
        <f t="shared" si="102"/>
        <v>0</v>
      </c>
      <c r="N503" s="65" t="str">
        <f t="shared" si="103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104"/>
        <v/>
      </c>
      <c r="U503" s="1">
        <f t="shared" si="105"/>
        <v>0</v>
      </c>
      <c r="V503" s="1">
        <f t="shared" si="106"/>
        <v>2958465</v>
      </c>
      <c r="W503" s="1">
        <f t="shared" si="107"/>
        <v>0</v>
      </c>
      <c r="X503" s="1">
        <f t="shared" si="108"/>
        <v>0</v>
      </c>
      <c r="Y503" s="1">
        <f t="shared" si="109"/>
        <v>97200</v>
      </c>
      <c r="Z503" s="1">
        <f t="shared" si="110"/>
        <v>1</v>
      </c>
      <c r="AA503" s="1">
        <f t="shared" si="111"/>
        <v>0</v>
      </c>
    </row>
    <row r="504" spans="1:27" ht="18" customHeight="1" x14ac:dyDescent="0.3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8"/>
        <v>0</v>
      </c>
      <c r="J504" s="68">
        <f t="shared" ca="1" si="99"/>
        <v>0</v>
      </c>
      <c r="K504" s="68">
        <f t="shared" ca="1" si="100"/>
        <v>0</v>
      </c>
      <c r="L504" s="68">
        <f t="shared" ca="1" si="101"/>
        <v>0</v>
      </c>
      <c r="M504" s="69">
        <f t="shared" si="102"/>
        <v>0</v>
      </c>
      <c r="N504" s="65" t="str">
        <f t="shared" si="103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104"/>
        <v/>
      </c>
      <c r="U504" s="1">
        <f t="shared" si="105"/>
        <v>0</v>
      </c>
      <c r="V504" s="1">
        <f t="shared" si="106"/>
        <v>2958465</v>
      </c>
      <c r="W504" s="1">
        <f t="shared" si="107"/>
        <v>0</v>
      </c>
      <c r="X504" s="1">
        <f t="shared" si="108"/>
        <v>0</v>
      </c>
      <c r="Y504" s="1">
        <f t="shared" si="109"/>
        <v>97200</v>
      </c>
      <c r="Z504" s="1">
        <f t="shared" si="110"/>
        <v>1</v>
      </c>
      <c r="AA504" s="1">
        <f t="shared" si="111"/>
        <v>0</v>
      </c>
    </row>
    <row r="505" spans="1:27" ht="18" customHeight="1" x14ac:dyDescent="0.3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8"/>
        <v>0</v>
      </c>
      <c r="J505" s="68">
        <f t="shared" ca="1" si="99"/>
        <v>0</v>
      </c>
      <c r="K505" s="68">
        <f t="shared" ca="1" si="100"/>
        <v>0</v>
      </c>
      <c r="L505" s="68">
        <f t="shared" ca="1" si="101"/>
        <v>0</v>
      </c>
      <c r="M505" s="69">
        <f t="shared" si="102"/>
        <v>0</v>
      </c>
      <c r="N505" s="65" t="str">
        <f t="shared" si="103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104"/>
        <v/>
      </c>
      <c r="U505" s="1">
        <f t="shared" si="105"/>
        <v>0</v>
      </c>
      <c r="V505" s="1">
        <f t="shared" si="106"/>
        <v>2958465</v>
      </c>
      <c r="W505" s="1">
        <f t="shared" si="107"/>
        <v>0</v>
      </c>
      <c r="X505" s="1">
        <f t="shared" si="108"/>
        <v>0</v>
      </c>
      <c r="Y505" s="1">
        <f t="shared" si="109"/>
        <v>97200</v>
      </c>
      <c r="Z505" s="1">
        <f t="shared" si="110"/>
        <v>1</v>
      </c>
      <c r="AA505" s="1">
        <f t="shared" si="111"/>
        <v>0</v>
      </c>
    </row>
    <row r="506" spans="1:27" ht="18" customHeight="1" x14ac:dyDescent="0.3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8"/>
        <v>0</v>
      </c>
      <c r="J506" s="68">
        <f t="shared" ca="1" si="99"/>
        <v>0</v>
      </c>
      <c r="K506" s="68">
        <f t="shared" ca="1" si="100"/>
        <v>0</v>
      </c>
      <c r="L506" s="68">
        <f t="shared" ca="1" si="101"/>
        <v>0</v>
      </c>
      <c r="M506" s="69">
        <f t="shared" si="102"/>
        <v>0</v>
      </c>
      <c r="N506" s="65" t="str">
        <f t="shared" si="103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104"/>
        <v/>
      </c>
      <c r="U506" s="1">
        <f t="shared" si="105"/>
        <v>0</v>
      </c>
      <c r="V506" s="1">
        <f t="shared" si="106"/>
        <v>2958465</v>
      </c>
      <c r="W506" s="1">
        <f t="shared" si="107"/>
        <v>0</v>
      </c>
      <c r="X506" s="1">
        <f t="shared" si="108"/>
        <v>0</v>
      </c>
      <c r="Y506" s="1">
        <f t="shared" si="109"/>
        <v>97200</v>
      </c>
      <c r="Z506" s="1">
        <f t="shared" si="110"/>
        <v>1</v>
      </c>
      <c r="AA506" s="1">
        <f t="shared" si="111"/>
        <v>0</v>
      </c>
    </row>
    <row r="507" spans="1:27" ht="18" customHeight="1" x14ac:dyDescent="0.3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8"/>
        <v>0</v>
      </c>
      <c r="J507" s="68">
        <f t="shared" ca="1" si="99"/>
        <v>0</v>
      </c>
      <c r="K507" s="68">
        <f t="shared" ca="1" si="100"/>
        <v>0</v>
      </c>
      <c r="L507" s="68">
        <f t="shared" ca="1" si="101"/>
        <v>0</v>
      </c>
      <c r="M507" s="69">
        <f t="shared" si="102"/>
        <v>0</v>
      </c>
      <c r="N507" s="65" t="str">
        <f t="shared" si="103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104"/>
        <v/>
      </c>
      <c r="U507" s="1">
        <f t="shared" si="105"/>
        <v>0</v>
      </c>
      <c r="V507" s="1">
        <f t="shared" si="106"/>
        <v>2958465</v>
      </c>
      <c r="W507" s="1">
        <f t="shared" si="107"/>
        <v>0</v>
      </c>
      <c r="X507" s="1">
        <f t="shared" si="108"/>
        <v>0</v>
      </c>
      <c r="Y507" s="1">
        <f t="shared" si="109"/>
        <v>97200</v>
      </c>
      <c r="Z507" s="1">
        <f t="shared" si="110"/>
        <v>1</v>
      </c>
      <c r="AA507" s="1">
        <f t="shared" si="111"/>
        <v>0</v>
      </c>
    </row>
    <row r="508" spans="1:27" ht="18" customHeight="1" x14ac:dyDescent="0.3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8"/>
        <v>0</v>
      </c>
      <c r="J508" s="68">
        <f t="shared" ca="1" si="99"/>
        <v>0</v>
      </c>
      <c r="K508" s="68">
        <f t="shared" ca="1" si="100"/>
        <v>0</v>
      </c>
      <c r="L508" s="68">
        <f t="shared" ca="1" si="101"/>
        <v>0</v>
      </c>
      <c r="M508" s="69">
        <f t="shared" si="102"/>
        <v>0</v>
      </c>
      <c r="N508" s="65" t="str">
        <f t="shared" si="103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104"/>
        <v/>
      </c>
      <c r="U508" s="1">
        <f t="shared" si="105"/>
        <v>0</v>
      </c>
      <c r="V508" s="1">
        <f t="shared" si="106"/>
        <v>2958465</v>
      </c>
      <c r="W508" s="1">
        <f t="shared" si="107"/>
        <v>0</v>
      </c>
      <c r="X508" s="1">
        <f t="shared" si="108"/>
        <v>0</v>
      </c>
      <c r="Y508" s="1">
        <f t="shared" si="109"/>
        <v>97200</v>
      </c>
      <c r="Z508" s="1">
        <f t="shared" si="110"/>
        <v>1</v>
      </c>
      <c r="AA508" s="1">
        <f t="shared" si="111"/>
        <v>0</v>
      </c>
    </row>
    <row r="509" spans="1:27" ht="18" customHeight="1" x14ac:dyDescent="0.3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8"/>
        <v>0</v>
      </c>
      <c r="J509" s="68">
        <f t="shared" ca="1" si="99"/>
        <v>0</v>
      </c>
      <c r="K509" s="68">
        <f t="shared" ca="1" si="100"/>
        <v>0</v>
      </c>
      <c r="L509" s="68">
        <f t="shared" ca="1" si="101"/>
        <v>0</v>
      </c>
      <c r="M509" s="69">
        <f t="shared" si="102"/>
        <v>0</v>
      </c>
      <c r="N509" s="65" t="str">
        <f t="shared" si="103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104"/>
        <v/>
      </c>
      <c r="U509" s="1">
        <f t="shared" si="105"/>
        <v>0</v>
      </c>
      <c r="V509" s="1">
        <f t="shared" si="106"/>
        <v>2958465</v>
      </c>
      <c r="W509" s="1">
        <f t="shared" si="107"/>
        <v>0</v>
      </c>
      <c r="X509" s="1">
        <f t="shared" si="108"/>
        <v>0</v>
      </c>
      <c r="Y509" s="1">
        <f t="shared" si="109"/>
        <v>97200</v>
      </c>
      <c r="Z509" s="1">
        <f t="shared" si="110"/>
        <v>1</v>
      </c>
      <c r="AA509" s="1">
        <f t="shared" si="111"/>
        <v>0</v>
      </c>
    </row>
    <row r="510" spans="1:27" ht="18" customHeight="1" x14ac:dyDescent="0.3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8"/>
        <v>0</v>
      </c>
      <c r="J510" s="68">
        <f t="shared" ca="1" si="99"/>
        <v>0</v>
      </c>
      <c r="K510" s="68">
        <f t="shared" ca="1" si="100"/>
        <v>0</v>
      </c>
      <c r="L510" s="68">
        <f t="shared" ca="1" si="101"/>
        <v>0</v>
      </c>
      <c r="M510" s="69">
        <f t="shared" si="102"/>
        <v>0</v>
      </c>
      <c r="N510" s="65" t="str">
        <f t="shared" si="103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104"/>
        <v/>
      </c>
      <c r="U510" s="1">
        <f t="shared" si="105"/>
        <v>0</v>
      </c>
      <c r="V510" s="1">
        <f t="shared" si="106"/>
        <v>2958465</v>
      </c>
      <c r="W510" s="1">
        <f t="shared" si="107"/>
        <v>0</v>
      </c>
      <c r="X510" s="1">
        <f t="shared" si="108"/>
        <v>0</v>
      </c>
      <c r="Y510" s="1">
        <f t="shared" si="109"/>
        <v>97200</v>
      </c>
      <c r="Z510" s="1">
        <f t="shared" si="110"/>
        <v>1</v>
      </c>
      <c r="AA510" s="1">
        <f t="shared" si="111"/>
        <v>0</v>
      </c>
    </row>
    <row r="511" spans="1:27" ht="18" customHeight="1" x14ac:dyDescent="0.3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8"/>
        <v>0</v>
      </c>
      <c r="J511" s="68">
        <f t="shared" ca="1" si="99"/>
        <v>0</v>
      </c>
      <c r="K511" s="68">
        <f t="shared" ca="1" si="100"/>
        <v>0</v>
      </c>
      <c r="L511" s="68">
        <f t="shared" ca="1" si="101"/>
        <v>0</v>
      </c>
      <c r="M511" s="69">
        <f t="shared" si="102"/>
        <v>0</v>
      </c>
      <c r="N511" s="65" t="str">
        <f t="shared" si="103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104"/>
        <v/>
      </c>
      <c r="U511" s="1">
        <f t="shared" si="105"/>
        <v>0</v>
      </c>
      <c r="V511" s="1">
        <f t="shared" si="106"/>
        <v>2958465</v>
      </c>
      <c r="W511" s="1">
        <f t="shared" si="107"/>
        <v>0</v>
      </c>
      <c r="X511" s="1">
        <f t="shared" si="108"/>
        <v>0</v>
      </c>
      <c r="Y511" s="1">
        <f t="shared" si="109"/>
        <v>97200</v>
      </c>
      <c r="Z511" s="1">
        <f t="shared" si="110"/>
        <v>1</v>
      </c>
      <c r="AA511" s="1">
        <f t="shared" si="111"/>
        <v>0</v>
      </c>
    </row>
    <row r="512" spans="1:27" ht="18" customHeight="1" x14ac:dyDescent="0.3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8"/>
        <v>0</v>
      </c>
      <c r="J512" s="68">
        <f t="shared" ca="1" si="99"/>
        <v>0</v>
      </c>
      <c r="K512" s="68">
        <f t="shared" ca="1" si="100"/>
        <v>0</v>
      </c>
      <c r="L512" s="68">
        <f t="shared" ca="1" si="101"/>
        <v>0</v>
      </c>
      <c r="M512" s="69">
        <f t="shared" si="102"/>
        <v>0</v>
      </c>
      <c r="N512" s="65" t="str">
        <f t="shared" si="103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104"/>
        <v/>
      </c>
      <c r="U512" s="1">
        <f t="shared" si="105"/>
        <v>0</v>
      </c>
      <c r="V512" s="1">
        <f t="shared" si="106"/>
        <v>2958465</v>
      </c>
      <c r="W512" s="1">
        <f t="shared" si="107"/>
        <v>0</v>
      </c>
      <c r="X512" s="1">
        <f t="shared" si="108"/>
        <v>0</v>
      </c>
      <c r="Y512" s="1">
        <f t="shared" si="109"/>
        <v>97200</v>
      </c>
      <c r="Z512" s="1">
        <f t="shared" si="110"/>
        <v>1</v>
      </c>
      <c r="AA512" s="1">
        <f t="shared" si="111"/>
        <v>0</v>
      </c>
    </row>
    <row r="513" spans="1:27" ht="18" customHeight="1" x14ac:dyDescent="0.3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8"/>
        <v>0</v>
      </c>
      <c r="J513" s="68">
        <f t="shared" ca="1" si="99"/>
        <v>0</v>
      </c>
      <c r="K513" s="68">
        <f t="shared" ca="1" si="100"/>
        <v>0</v>
      </c>
      <c r="L513" s="68">
        <f t="shared" ca="1" si="101"/>
        <v>0</v>
      </c>
      <c r="M513" s="69">
        <f t="shared" si="102"/>
        <v>0</v>
      </c>
      <c r="N513" s="65" t="str">
        <f t="shared" si="103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104"/>
        <v/>
      </c>
      <c r="U513" s="1">
        <f t="shared" si="105"/>
        <v>0</v>
      </c>
      <c r="V513" s="1">
        <f t="shared" si="106"/>
        <v>2958465</v>
      </c>
      <c r="W513" s="1">
        <f t="shared" si="107"/>
        <v>0</v>
      </c>
      <c r="X513" s="1">
        <f t="shared" si="108"/>
        <v>0</v>
      </c>
      <c r="Y513" s="1">
        <f t="shared" si="109"/>
        <v>97200</v>
      </c>
      <c r="Z513" s="1">
        <f t="shared" si="110"/>
        <v>1</v>
      </c>
      <c r="AA513" s="1">
        <f t="shared" si="111"/>
        <v>0</v>
      </c>
    </row>
    <row r="514" spans="1:27" ht="18" customHeight="1" x14ac:dyDescent="0.3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8"/>
        <v>0</v>
      </c>
      <c r="J514" s="68">
        <f t="shared" ca="1" si="99"/>
        <v>0</v>
      </c>
      <c r="K514" s="68">
        <f t="shared" ca="1" si="100"/>
        <v>0</v>
      </c>
      <c r="L514" s="68">
        <f t="shared" ca="1" si="101"/>
        <v>0</v>
      </c>
      <c r="M514" s="69">
        <f t="shared" si="102"/>
        <v>0</v>
      </c>
      <c r="N514" s="65" t="str">
        <f t="shared" si="103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104"/>
        <v/>
      </c>
      <c r="U514" s="1">
        <f t="shared" si="105"/>
        <v>0</v>
      </c>
      <c r="V514" s="1">
        <f t="shared" si="106"/>
        <v>2958465</v>
      </c>
      <c r="W514" s="1">
        <f t="shared" si="107"/>
        <v>0</v>
      </c>
      <c r="X514" s="1">
        <f t="shared" si="108"/>
        <v>0</v>
      </c>
      <c r="Y514" s="1">
        <f t="shared" si="109"/>
        <v>97200</v>
      </c>
      <c r="Z514" s="1">
        <f t="shared" si="110"/>
        <v>1</v>
      </c>
      <c r="AA514" s="1">
        <f t="shared" si="111"/>
        <v>0</v>
      </c>
    </row>
    <row r="515" spans="1:27" ht="18" customHeight="1" x14ac:dyDescent="0.3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8"/>
        <v>0</v>
      </c>
      <c r="J515" s="68">
        <f t="shared" ca="1" si="99"/>
        <v>0</v>
      </c>
      <c r="K515" s="68">
        <f t="shared" ca="1" si="100"/>
        <v>0</v>
      </c>
      <c r="L515" s="68">
        <f t="shared" ca="1" si="101"/>
        <v>0</v>
      </c>
      <c r="M515" s="69">
        <f t="shared" si="102"/>
        <v>0</v>
      </c>
      <c r="N515" s="65" t="str">
        <f t="shared" si="103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104"/>
        <v/>
      </c>
      <c r="U515" s="1">
        <f t="shared" si="105"/>
        <v>0</v>
      </c>
      <c r="V515" s="1">
        <f t="shared" si="106"/>
        <v>2958465</v>
      </c>
      <c r="W515" s="1">
        <f t="shared" si="107"/>
        <v>0</v>
      </c>
      <c r="X515" s="1">
        <f t="shared" si="108"/>
        <v>0</v>
      </c>
      <c r="Y515" s="1">
        <f t="shared" si="109"/>
        <v>97200</v>
      </c>
      <c r="Z515" s="1">
        <f t="shared" si="110"/>
        <v>1</v>
      </c>
      <c r="AA515" s="1">
        <f t="shared" si="111"/>
        <v>0</v>
      </c>
    </row>
    <row r="516" spans="1:27" ht="18" customHeight="1" x14ac:dyDescent="0.3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8"/>
        <v>0</v>
      </c>
      <c r="J516" s="68">
        <f t="shared" ca="1" si="99"/>
        <v>0</v>
      </c>
      <c r="K516" s="68">
        <f t="shared" ca="1" si="100"/>
        <v>0</v>
      </c>
      <c r="L516" s="68">
        <f t="shared" ca="1" si="101"/>
        <v>0</v>
      </c>
      <c r="M516" s="69">
        <f t="shared" si="102"/>
        <v>0</v>
      </c>
      <c r="N516" s="65" t="str">
        <f t="shared" si="103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104"/>
        <v/>
      </c>
      <c r="U516" s="1">
        <f t="shared" si="105"/>
        <v>0</v>
      </c>
      <c r="V516" s="1">
        <f t="shared" si="106"/>
        <v>2958465</v>
      </c>
      <c r="W516" s="1">
        <f t="shared" si="107"/>
        <v>0</v>
      </c>
      <c r="X516" s="1">
        <f t="shared" si="108"/>
        <v>0</v>
      </c>
      <c r="Y516" s="1">
        <f t="shared" si="109"/>
        <v>97200</v>
      </c>
      <c r="Z516" s="1">
        <f t="shared" si="110"/>
        <v>1</v>
      </c>
      <c r="AA516" s="1">
        <f t="shared" si="111"/>
        <v>0</v>
      </c>
    </row>
    <row r="517" spans="1:27" ht="18" customHeight="1" x14ac:dyDescent="0.3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8"/>
        <v>0</v>
      </c>
      <c r="J517" s="68">
        <f t="shared" ca="1" si="99"/>
        <v>0</v>
      </c>
      <c r="K517" s="68">
        <f t="shared" ca="1" si="100"/>
        <v>0</v>
      </c>
      <c r="L517" s="68">
        <f t="shared" ca="1" si="101"/>
        <v>0</v>
      </c>
      <c r="M517" s="69">
        <f t="shared" si="102"/>
        <v>0</v>
      </c>
      <c r="N517" s="65" t="str">
        <f t="shared" si="103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104"/>
        <v/>
      </c>
      <c r="U517" s="1">
        <f t="shared" si="105"/>
        <v>0</v>
      </c>
      <c r="V517" s="1">
        <f t="shared" si="106"/>
        <v>2958465</v>
      </c>
      <c r="W517" s="1">
        <f t="shared" si="107"/>
        <v>0</v>
      </c>
      <c r="X517" s="1">
        <f t="shared" si="108"/>
        <v>0</v>
      </c>
      <c r="Y517" s="1">
        <f t="shared" si="109"/>
        <v>97200</v>
      </c>
      <c r="Z517" s="1">
        <f t="shared" si="110"/>
        <v>1</v>
      </c>
      <c r="AA517" s="1">
        <f t="shared" si="111"/>
        <v>0</v>
      </c>
    </row>
    <row r="518" spans="1:27" ht="18" customHeight="1" x14ac:dyDescent="0.3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8"/>
        <v>0</v>
      </c>
      <c r="J518" s="68">
        <f t="shared" ca="1" si="99"/>
        <v>0</v>
      </c>
      <c r="K518" s="68">
        <f t="shared" ca="1" si="100"/>
        <v>0</v>
      </c>
      <c r="L518" s="68">
        <f t="shared" ca="1" si="101"/>
        <v>0</v>
      </c>
      <c r="M518" s="69">
        <f t="shared" si="102"/>
        <v>0</v>
      </c>
      <c r="N518" s="65" t="str">
        <f t="shared" si="103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104"/>
        <v/>
      </c>
      <c r="U518" s="1">
        <f t="shared" si="105"/>
        <v>0</v>
      </c>
      <c r="V518" s="1">
        <f t="shared" si="106"/>
        <v>2958465</v>
      </c>
      <c r="W518" s="1">
        <f t="shared" si="107"/>
        <v>0</v>
      </c>
      <c r="X518" s="1">
        <f t="shared" si="108"/>
        <v>0</v>
      </c>
      <c r="Y518" s="1">
        <f t="shared" si="109"/>
        <v>97200</v>
      </c>
      <c r="Z518" s="1">
        <f t="shared" si="110"/>
        <v>1</v>
      </c>
      <c r="AA518" s="1">
        <f t="shared" si="111"/>
        <v>0</v>
      </c>
    </row>
    <row r="519" spans="1:27" ht="18" customHeight="1" x14ac:dyDescent="0.3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12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13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14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15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16">IF($G519&gt;0,$I519/$G519,0)</f>
        <v>0</v>
      </c>
      <c r="N519" s="65" t="str">
        <f t="shared" ref="N519:N582" si="117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8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9">IF($O519="",0,$O519)</f>
        <v>0</v>
      </c>
      <c r="V519" s="1">
        <f t="shared" ref="V519:V582" si="120">IF($E519="",2958465,$E519)</f>
        <v>2958465</v>
      </c>
      <c r="W519" s="1">
        <f t="shared" ref="W519:W582" si="121">IF($F519="Haftalık",1,IF($F519="Aylık",2,0))</f>
        <v>0</v>
      </c>
      <c r="X519" s="1">
        <f t="shared" ref="X519:X582" si="122">IF($U519=0,0,(YEAR($U519)-1900)*12+MONTH($U519))</f>
        <v>0</v>
      </c>
      <c r="Y519" s="1">
        <f t="shared" ref="Y519:Y582" si="123">(YEAR($V519)-1900)*12+MONTH($V519)</f>
        <v>97200</v>
      </c>
      <c r="Z519" s="1">
        <f t="shared" ref="Z519:Z582" si="124">IF($V519=EOMONTH($V519,0),1,0)</f>
        <v>1</v>
      </c>
      <c r="AA519" s="1">
        <f t="shared" ref="AA519:AA582" si="125">IF(OR($B519="",$H519&lt;&gt;"Aktif"),0,COUNTIFS($B$7:$B$606,$B519,$H$7:$H$606,"Aktif"))</f>
        <v>0</v>
      </c>
    </row>
    <row r="520" spans="1:27" ht="18" customHeight="1" x14ac:dyDescent="0.3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12"/>
        <v>0</v>
      </c>
      <c r="J520" s="68">
        <f t="shared" ca="1" si="113"/>
        <v>0</v>
      </c>
      <c r="K520" s="68">
        <f t="shared" ca="1" si="114"/>
        <v>0</v>
      </c>
      <c r="L520" s="68">
        <f t="shared" ca="1" si="115"/>
        <v>0</v>
      </c>
      <c r="M520" s="69">
        <f t="shared" si="116"/>
        <v>0</v>
      </c>
      <c r="N520" s="65" t="str">
        <f t="shared" si="117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8"/>
        <v/>
      </c>
      <c r="U520" s="1">
        <f t="shared" si="119"/>
        <v>0</v>
      </c>
      <c r="V520" s="1">
        <f t="shared" si="120"/>
        <v>2958465</v>
      </c>
      <c r="W520" s="1">
        <f t="shared" si="121"/>
        <v>0</v>
      </c>
      <c r="X520" s="1">
        <f t="shared" si="122"/>
        <v>0</v>
      </c>
      <c r="Y520" s="1">
        <f t="shared" si="123"/>
        <v>97200</v>
      </c>
      <c r="Z520" s="1">
        <f t="shared" si="124"/>
        <v>1</v>
      </c>
      <c r="AA520" s="1">
        <f t="shared" si="125"/>
        <v>0</v>
      </c>
    </row>
    <row r="521" spans="1:27" ht="18" customHeight="1" x14ac:dyDescent="0.3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12"/>
        <v>0</v>
      </c>
      <c r="J521" s="68">
        <f t="shared" ca="1" si="113"/>
        <v>0</v>
      </c>
      <c r="K521" s="68">
        <f t="shared" ca="1" si="114"/>
        <v>0</v>
      </c>
      <c r="L521" s="68">
        <f t="shared" ca="1" si="115"/>
        <v>0</v>
      </c>
      <c r="M521" s="69">
        <f t="shared" si="116"/>
        <v>0</v>
      </c>
      <c r="N521" s="65" t="str">
        <f t="shared" si="117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8"/>
        <v/>
      </c>
      <c r="U521" s="1">
        <f t="shared" si="119"/>
        <v>0</v>
      </c>
      <c r="V521" s="1">
        <f t="shared" si="120"/>
        <v>2958465</v>
      </c>
      <c r="W521" s="1">
        <f t="shared" si="121"/>
        <v>0</v>
      </c>
      <c r="X521" s="1">
        <f t="shared" si="122"/>
        <v>0</v>
      </c>
      <c r="Y521" s="1">
        <f t="shared" si="123"/>
        <v>97200</v>
      </c>
      <c r="Z521" s="1">
        <f t="shared" si="124"/>
        <v>1</v>
      </c>
      <c r="AA521" s="1">
        <f t="shared" si="125"/>
        <v>0</v>
      </c>
    </row>
    <row r="522" spans="1:27" ht="18" customHeight="1" x14ac:dyDescent="0.3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12"/>
        <v>0</v>
      </c>
      <c r="J522" s="68">
        <f t="shared" ca="1" si="113"/>
        <v>0</v>
      </c>
      <c r="K522" s="68">
        <f t="shared" ca="1" si="114"/>
        <v>0</v>
      </c>
      <c r="L522" s="68">
        <f t="shared" ca="1" si="115"/>
        <v>0</v>
      </c>
      <c r="M522" s="69">
        <f t="shared" si="116"/>
        <v>0</v>
      </c>
      <c r="N522" s="65" t="str">
        <f t="shared" si="117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8"/>
        <v/>
      </c>
      <c r="U522" s="1">
        <f t="shared" si="119"/>
        <v>0</v>
      </c>
      <c r="V522" s="1">
        <f t="shared" si="120"/>
        <v>2958465</v>
      </c>
      <c r="W522" s="1">
        <f t="shared" si="121"/>
        <v>0</v>
      </c>
      <c r="X522" s="1">
        <f t="shared" si="122"/>
        <v>0</v>
      </c>
      <c r="Y522" s="1">
        <f t="shared" si="123"/>
        <v>97200</v>
      </c>
      <c r="Z522" s="1">
        <f t="shared" si="124"/>
        <v>1</v>
      </c>
      <c r="AA522" s="1">
        <f t="shared" si="125"/>
        <v>0</v>
      </c>
    </row>
    <row r="523" spans="1:27" ht="18" customHeight="1" x14ac:dyDescent="0.3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12"/>
        <v>0</v>
      </c>
      <c r="J523" s="68">
        <f t="shared" ca="1" si="113"/>
        <v>0</v>
      </c>
      <c r="K523" s="68">
        <f t="shared" ca="1" si="114"/>
        <v>0</v>
      </c>
      <c r="L523" s="68">
        <f t="shared" ca="1" si="115"/>
        <v>0</v>
      </c>
      <c r="M523" s="69">
        <f t="shared" si="116"/>
        <v>0</v>
      </c>
      <c r="N523" s="65" t="str">
        <f t="shared" si="117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8"/>
        <v/>
      </c>
      <c r="U523" s="1">
        <f t="shared" si="119"/>
        <v>0</v>
      </c>
      <c r="V523" s="1">
        <f t="shared" si="120"/>
        <v>2958465</v>
      </c>
      <c r="W523" s="1">
        <f t="shared" si="121"/>
        <v>0</v>
      </c>
      <c r="X523" s="1">
        <f t="shared" si="122"/>
        <v>0</v>
      </c>
      <c r="Y523" s="1">
        <f t="shared" si="123"/>
        <v>97200</v>
      </c>
      <c r="Z523" s="1">
        <f t="shared" si="124"/>
        <v>1</v>
      </c>
      <c r="AA523" s="1">
        <f t="shared" si="125"/>
        <v>0</v>
      </c>
    </row>
    <row r="524" spans="1:27" ht="18" customHeight="1" x14ac:dyDescent="0.3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12"/>
        <v>0</v>
      </c>
      <c r="J524" s="68">
        <f t="shared" ca="1" si="113"/>
        <v>0</v>
      </c>
      <c r="K524" s="68">
        <f t="shared" ca="1" si="114"/>
        <v>0</v>
      </c>
      <c r="L524" s="68">
        <f t="shared" ca="1" si="115"/>
        <v>0</v>
      </c>
      <c r="M524" s="69">
        <f t="shared" si="116"/>
        <v>0</v>
      </c>
      <c r="N524" s="65" t="str">
        <f t="shared" si="117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8"/>
        <v/>
      </c>
      <c r="U524" s="1">
        <f t="shared" si="119"/>
        <v>0</v>
      </c>
      <c r="V524" s="1">
        <f t="shared" si="120"/>
        <v>2958465</v>
      </c>
      <c r="W524" s="1">
        <f t="shared" si="121"/>
        <v>0</v>
      </c>
      <c r="X524" s="1">
        <f t="shared" si="122"/>
        <v>0</v>
      </c>
      <c r="Y524" s="1">
        <f t="shared" si="123"/>
        <v>97200</v>
      </c>
      <c r="Z524" s="1">
        <f t="shared" si="124"/>
        <v>1</v>
      </c>
      <c r="AA524" s="1">
        <f t="shared" si="125"/>
        <v>0</v>
      </c>
    </row>
    <row r="525" spans="1:27" ht="18" customHeight="1" x14ac:dyDescent="0.3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12"/>
        <v>0</v>
      </c>
      <c r="J525" s="68">
        <f t="shared" ca="1" si="113"/>
        <v>0</v>
      </c>
      <c r="K525" s="68">
        <f t="shared" ca="1" si="114"/>
        <v>0</v>
      </c>
      <c r="L525" s="68">
        <f t="shared" ca="1" si="115"/>
        <v>0</v>
      </c>
      <c r="M525" s="69">
        <f t="shared" si="116"/>
        <v>0</v>
      </c>
      <c r="N525" s="65" t="str">
        <f t="shared" si="117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8"/>
        <v/>
      </c>
      <c r="U525" s="1">
        <f t="shared" si="119"/>
        <v>0</v>
      </c>
      <c r="V525" s="1">
        <f t="shared" si="120"/>
        <v>2958465</v>
      </c>
      <c r="W525" s="1">
        <f t="shared" si="121"/>
        <v>0</v>
      </c>
      <c r="X525" s="1">
        <f t="shared" si="122"/>
        <v>0</v>
      </c>
      <c r="Y525" s="1">
        <f t="shared" si="123"/>
        <v>97200</v>
      </c>
      <c r="Z525" s="1">
        <f t="shared" si="124"/>
        <v>1</v>
      </c>
      <c r="AA525" s="1">
        <f t="shared" si="125"/>
        <v>0</v>
      </c>
    </row>
    <row r="526" spans="1:27" ht="18" customHeight="1" x14ac:dyDescent="0.3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12"/>
        <v>0</v>
      </c>
      <c r="J526" s="68">
        <f t="shared" ca="1" si="113"/>
        <v>0</v>
      </c>
      <c r="K526" s="68">
        <f t="shared" ca="1" si="114"/>
        <v>0</v>
      </c>
      <c r="L526" s="68">
        <f t="shared" ca="1" si="115"/>
        <v>0</v>
      </c>
      <c r="M526" s="69">
        <f t="shared" si="116"/>
        <v>0</v>
      </c>
      <c r="N526" s="65" t="str">
        <f t="shared" si="117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8"/>
        <v/>
      </c>
      <c r="U526" s="1">
        <f t="shared" si="119"/>
        <v>0</v>
      </c>
      <c r="V526" s="1">
        <f t="shared" si="120"/>
        <v>2958465</v>
      </c>
      <c r="W526" s="1">
        <f t="shared" si="121"/>
        <v>0</v>
      </c>
      <c r="X526" s="1">
        <f t="shared" si="122"/>
        <v>0</v>
      </c>
      <c r="Y526" s="1">
        <f t="shared" si="123"/>
        <v>97200</v>
      </c>
      <c r="Z526" s="1">
        <f t="shared" si="124"/>
        <v>1</v>
      </c>
      <c r="AA526" s="1">
        <f t="shared" si="125"/>
        <v>0</v>
      </c>
    </row>
    <row r="527" spans="1:27" ht="18" customHeight="1" x14ac:dyDescent="0.3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12"/>
        <v>0</v>
      </c>
      <c r="J527" s="68">
        <f t="shared" ca="1" si="113"/>
        <v>0</v>
      </c>
      <c r="K527" s="68">
        <f t="shared" ca="1" si="114"/>
        <v>0</v>
      </c>
      <c r="L527" s="68">
        <f t="shared" ca="1" si="115"/>
        <v>0</v>
      </c>
      <c r="M527" s="69">
        <f t="shared" si="116"/>
        <v>0</v>
      </c>
      <c r="N527" s="65" t="str">
        <f t="shared" si="117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8"/>
        <v/>
      </c>
      <c r="U527" s="1">
        <f t="shared" si="119"/>
        <v>0</v>
      </c>
      <c r="V527" s="1">
        <f t="shared" si="120"/>
        <v>2958465</v>
      </c>
      <c r="W527" s="1">
        <f t="shared" si="121"/>
        <v>0</v>
      </c>
      <c r="X527" s="1">
        <f t="shared" si="122"/>
        <v>0</v>
      </c>
      <c r="Y527" s="1">
        <f t="shared" si="123"/>
        <v>97200</v>
      </c>
      <c r="Z527" s="1">
        <f t="shared" si="124"/>
        <v>1</v>
      </c>
      <c r="AA527" s="1">
        <f t="shared" si="125"/>
        <v>0</v>
      </c>
    </row>
    <row r="528" spans="1:27" ht="18" customHeight="1" x14ac:dyDescent="0.3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12"/>
        <v>0</v>
      </c>
      <c r="J528" s="68">
        <f t="shared" ca="1" si="113"/>
        <v>0</v>
      </c>
      <c r="K528" s="68">
        <f t="shared" ca="1" si="114"/>
        <v>0</v>
      </c>
      <c r="L528" s="68">
        <f t="shared" ca="1" si="115"/>
        <v>0</v>
      </c>
      <c r="M528" s="69">
        <f t="shared" si="116"/>
        <v>0</v>
      </c>
      <c r="N528" s="65" t="str">
        <f t="shared" si="117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8"/>
        <v/>
      </c>
      <c r="U528" s="1">
        <f t="shared" si="119"/>
        <v>0</v>
      </c>
      <c r="V528" s="1">
        <f t="shared" si="120"/>
        <v>2958465</v>
      </c>
      <c r="W528" s="1">
        <f t="shared" si="121"/>
        <v>0</v>
      </c>
      <c r="X528" s="1">
        <f t="shared" si="122"/>
        <v>0</v>
      </c>
      <c r="Y528" s="1">
        <f t="shared" si="123"/>
        <v>97200</v>
      </c>
      <c r="Z528" s="1">
        <f t="shared" si="124"/>
        <v>1</v>
      </c>
      <c r="AA528" s="1">
        <f t="shared" si="125"/>
        <v>0</v>
      </c>
    </row>
    <row r="529" spans="1:27" ht="18" customHeight="1" x14ac:dyDescent="0.3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12"/>
        <v>0</v>
      </c>
      <c r="J529" s="68">
        <f t="shared" ca="1" si="113"/>
        <v>0</v>
      </c>
      <c r="K529" s="68">
        <f t="shared" ca="1" si="114"/>
        <v>0</v>
      </c>
      <c r="L529" s="68">
        <f t="shared" ca="1" si="115"/>
        <v>0</v>
      </c>
      <c r="M529" s="69">
        <f t="shared" si="116"/>
        <v>0</v>
      </c>
      <c r="N529" s="65" t="str">
        <f t="shared" si="117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8"/>
        <v/>
      </c>
      <c r="U529" s="1">
        <f t="shared" si="119"/>
        <v>0</v>
      </c>
      <c r="V529" s="1">
        <f t="shared" si="120"/>
        <v>2958465</v>
      </c>
      <c r="W529" s="1">
        <f t="shared" si="121"/>
        <v>0</v>
      </c>
      <c r="X529" s="1">
        <f t="shared" si="122"/>
        <v>0</v>
      </c>
      <c r="Y529" s="1">
        <f t="shared" si="123"/>
        <v>97200</v>
      </c>
      <c r="Z529" s="1">
        <f t="shared" si="124"/>
        <v>1</v>
      </c>
      <c r="AA529" s="1">
        <f t="shared" si="125"/>
        <v>0</v>
      </c>
    </row>
    <row r="530" spans="1:27" ht="18" customHeight="1" x14ac:dyDescent="0.3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12"/>
        <v>0</v>
      </c>
      <c r="J530" s="68">
        <f t="shared" ca="1" si="113"/>
        <v>0</v>
      </c>
      <c r="K530" s="68">
        <f t="shared" ca="1" si="114"/>
        <v>0</v>
      </c>
      <c r="L530" s="68">
        <f t="shared" ca="1" si="115"/>
        <v>0</v>
      </c>
      <c r="M530" s="69">
        <f t="shared" si="116"/>
        <v>0</v>
      </c>
      <c r="N530" s="65" t="str">
        <f t="shared" si="117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8"/>
        <v/>
      </c>
      <c r="U530" s="1">
        <f t="shared" si="119"/>
        <v>0</v>
      </c>
      <c r="V530" s="1">
        <f t="shared" si="120"/>
        <v>2958465</v>
      </c>
      <c r="W530" s="1">
        <f t="shared" si="121"/>
        <v>0</v>
      </c>
      <c r="X530" s="1">
        <f t="shared" si="122"/>
        <v>0</v>
      </c>
      <c r="Y530" s="1">
        <f t="shared" si="123"/>
        <v>97200</v>
      </c>
      <c r="Z530" s="1">
        <f t="shared" si="124"/>
        <v>1</v>
      </c>
      <c r="AA530" s="1">
        <f t="shared" si="125"/>
        <v>0</v>
      </c>
    </row>
    <row r="531" spans="1:27" ht="18" customHeight="1" x14ac:dyDescent="0.3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12"/>
        <v>0</v>
      </c>
      <c r="J531" s="68">
        <f t="shared" ca="1" si="113"/>
        <v>0</v>
      </c>
      <c r="K531" s="68">
        <f t="shared" ca="1" si="114"/>
        <v>0</v>
      </c>
      <c r="L531" s="68">
        <f t="shared" ca="1" si="115"/>
        <v>0</v>
      </c>
      <c r="M531" s="69">
        <f t="shared" si="116"/>
        <v>0</v>
      </c>
      <c r="N531" s="65" t="str">
        <f t="shared" si="117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8"/>
        <v/>
      </c>
      <c r="U531" s="1">
        <f t="shared" si="119"/>
        <v>0</v>
      </c>
      <c r="V531" s="1">
        <f t="shared" si="120"/>
        <v>2958465</v>
      </c>
      <c r="W531" s="1">
        <f t="shared" si="121"/>
        <v>0</v>
      </c>
      <c r="X531" s="1">
        <f t="shared" si="122"/>
        <v>0</v>
      </c>
      <c r="Y531" s="1">
        <f t="shared" si="123"/>
        <v>97200</v>
      </c>
      <c r="Z531" s="1">
        <f t="shared" si="124"/>
        <v>1</v>
      </c>
      <c r="AA531" s="1">
        <f t="shared" si="125"/>
        <v>0</v>
      </c>
    </row>
    <row r="532" spans="1:27" ht="18" customHeight="1" x14ac:dyDescent="0.3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12"/>
        <v>0</v>
      </c>
      <c r="J532" s="68">
        <f t="shared" ca="1" si="113"/>
        <v>0</v>
      </c>
      <c r="K532" s="68">
        <f t="shared" ca="1" si="114"/>
        <v>0</v>
      </c>
      <c r="L532" s="68">
        <f t="shared" ca="1" si="115"/>
        <v>0</v>
      </c>
      <c r="M532" s="69">
        <f t="shared" si="116"/>
        <v>0</v>
      </c>
      <c r="N532" s="65" t="str">
        <f t="shared" si="117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8"/>
        <v/>
      </c>
      <c r="U532" s="1">
        <f t="shared" si="119"/>
        <v>0</v>
      </c>
      <c r="V532" s="1">
        <f t="shared" si="120"/>
        <v>2958465</v>
      </c>
      <c r="W532" s="1">
        <f t="shared" si="121"/>
        <v>0</v>
      </c>
      <c r="X532" s="1">
        <f t="shared" si="122"/>
        <v>0</v>
      </c>
      <c r="Y532" s="1">
        <f t="shared" si="123"/>
        <v>97200</v>
      </c>
      <c r="Z532" s="1">
        <f t="shared" si="124"/>
        <v>1</v>
      </c>
      <c r="AA532" s="1">
        <f t="shared" si="125"/>
        <v>0</v>
      </c>
    </row>
    <row r="533" spans="1:27" ht="18" customHeight="1" x14ac:dyDescent="0.3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12"/>
        <v>0</v>
      </c>
      <c r="J533" s="68">
        <f t="shared" ca="1" si="113"/>
        <v>0</v>
      </c>
      <c r="K533" s="68">
        <f t="shared" ca="1" si="114"/>
        <v>0</v>
      </c>
      <c r="L533" s="68">
        <f t="shared" ca="1" si="115"/>
        <v>0</v>
      </c>
      <c r="M533" s="69">
        <f t="shared" si="116"/>
        <v>0</v>
      </c>
      <c r="N533" s="65" t="str">
        <f t="shared" si="117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8"/>
        <v/>
      </c>
      <c r="U533" s="1">
        <f t="shared" si="119"/>
        <v>0</v>
      </c>
      <c r="V533" s="1">
        <f t="shared" si="120"/>
        <v>2958465</v>
      </c>
      <c r="W533" s="1">
        <f t="shared" si="121"/>
        <v>0</v>
      </c>
      <c r="X533" s="1">
        <f t="shared" si="122"/>
        <v>0</v>
      </c>
      <c r="Y533" s="1">
        <f t="shared" si="123"/>
        <v>97200</v>
      </c>
      <c r="Z533" s="1">
        <f t="shared" si="124"/>
        <v>1</v>
      </c>
      <c r="AA533" s="1">
        <f t="shared" si="125"/>
        <v>0</v>
      </c>
    </row>
    <row r="534" spans="1:27" ht="18" customHeight="1" x14ac:dyDescent="0.3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12"/>
        <v>0</v>
      </c>
      <c r="J534" s="68">
        <f t="shared" ca="1" si="113"/>
        <v>0</v>
      </c>
      <c r="K534" s="68">
        <f t="shared" ca="1" si="114"/>
        <v>0</v>
      </c>
      <c r="L534" s="68">
        <f t="shared" ca="1" si="115"/>
        <v>0</v>
      </c>
      <c r="M534" s="69">
        <f t="shared" si="116"/>
        <v>0</v>
      </c>
      <c r="N534" s="65" t="str">
        <f t="shared" si="117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8"/>
        <v/>
      </c>
      <c r="U534" s="1">
        <f t="shared" si="119"/>
        <v>0</v>
      </c>
      <c r="V534" s="1">
        <f t="shared" si="120"/>
        <v>2958465</v>
      </c>
      <c r="W534" s="1">
        <f t="shared" si="121"/>
        <v>0</v>
      </c>
      <c r="X534" s="1">
        <f t="shared" si="122"/>
        <v>0</v>
      </c>
      <c r="Y534" s="1">
        <f t="shared" si="123"/>
        <v>97200</v>
      </c>
      <c r="Z534" s="1">
        <f t="shared" si="124"/>
        <v>1</v>
      </c>
      <c r="AA534" s="1">
        <f t="shared" si="125"/>
        <v>0</v>
      </c>
    </row>
    <row r="535" spans="1:27" ht="18" customHeight="1" x14ac:dyDescent="0.3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12"/>
        <v>0</v>
      </c>
      <c r="J535" s="68">
        <f t="shared" ca="1" si="113"/>
        <v>0</v>
      </c>
      <c r="K535" s="68">
        <f t="shared" ca="1" si="114"/>
        <v>0</v>
      </c>
      <c r="L535" s="68">
        <f t="shared" ca="1" si="115"/>
        <v>0</v>
      </c>
      <c r="M535" s="69">
        <f t="shared" si="116"/>
        <v>0</v>
      </c>
      <c r="N535" s="65" t="str">
        <f t="shared" si="117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8"/>
        <v/>
      </c>
      <c r="U535" s="1">
        <f t="shared" si="119"/>
        <v>0</v>
      </c>
      <c r="V535" s="1">
        <f t="shared" si="120"/>
        <v>2958465</v>
      </c>
      <c r="W535" s="1">
        <f t="shared" si="121"/>
        <v>0</v>
      </c>
      <c r="X535" s="1">
        <f t="shared" si="122"/>
        <v>0</v>
      </c>
      <c r="Y535" s="1">
        <f t="shared" si="123"/>
        <v>97200</v>
      </c>
      <c r="Z535" s="1">
        <f t="shared" si="124"/>
        <v>1</v>
      </c>
      <c r="AA535" s="1">
        <f t="shared" si="125"/>
        <v>0</v>
      </c>
    </row>
    <row r="536" spans="1:27" ht="18" customHeight="1" x14ac:dyDescent="0.3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12"/>
        <v>0</v>
      </c>
      <c r="J536" s="68">
        <f t="shared" ca="1" si="113"/>
        <v>0</v>
      </c>
      <c r="K536" s="68">
        <f t="shared" ca="1" si="114"/>
        <v>0</v>
      </c>
      <c r="L536" s="68">
        <f t="shared" ca="1" si="115"/>
        <v>0</v>
      </c>
      <c r="M536" s="69">
        <f t="shared" si="116"/>
        <v>0</v>
      </c>
      <c r="N536" s="65" t="str">
        <f t="shared" si="117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8"/>
        <v/>
      </c>
      <c r="U536" s="1">
        <f t="shared" si="119"/>
        <v>0</v>
      </c>
      <c r="V536" s="1">
        <f t="shared" si="120"/>
        <v>2958465</v>
      </c>
      <c r="W536" s="1">
        <f t="shared" si="121"/>
        <v>0</v>
      </c>
      <c r="X536" s="1">
        <f t="shared" si="122"/>
        <v>0</v>
      </c>
      <c r="Y536" s="1">
        <f t="shared" si="123"/>
        <v>97200</v>
      </c>
      <c r="Z536" s="1">
        <f t="shared" si="124"/>
        <v>1</v>
      </c>
      <c r="AA536" s="1">
        <f t="shared" si="125"/>
        <v>0</v>
      </c>
    </row>
    <row r="537" spans="1:27" ht="18" customHeight="1" x14ac:dyDescent="0.3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12"/>
        <v>0</v>
      </c>
      <c r="J537" s="68">
        <f t="shared" ca="1" si="113"/>
        <v>0</v>
      </c>
      <c r="K537" s="68">
        <f t="shared" ca="1" si="114"/>
        <v>0</v>
      </c>
      <c r="L537" s="68">
        <f t="shared" ca="1" si="115"/>
        <v>0</v>
      </c>
      <c r="M537" s="69">
        <f t="shared" si="116"/>
        <v>0</v>
      </c>
      <c r="N537" s="65" t="str">
        <f t="shared" si="117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8"/>
        <v/>
      </c>
      <c r="U537" s="1">
        <f t="shared" si="119"/>
        <v>0</v>
      </c>
      <c r="V537" s="1">
        <f t="shared" si="120"/>
        <v>2958465</v>
      </c>
      <c r="W537" s="1">
        <f t="shared" si="121"/>
        <v>0</v>
      </c>
      <c r="X537" s="1">
        <f t="shared" si="122"/>
        <v>0</v>
      </c>
      <c r="Y537" s="1">
        <f t="shared" si="123"/>
        <v>97200</v>
      </c>
      <c r="Z537" s="1">
        <f t="shared" si="124"/>
        <v>1</v>
      </c>
      <c r="AA537" s="1">
        <f t="shared" si="125"/>
        <v>0</v>
      </c>
    </row>
    <row r="538" spans="1:27" ht="18" customHeight="1" x14ac:dyDescent="0.3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12"/>
        <v>0</v>
      </c>
      <c r="J538" s="68">
        <f t="shared" ca="1" si="113"/>
        <v>0</v>
      </c>
      <c r="K538" s="68">
        <f t="shared" ca="1" si="114"/>
        <v>0</v>
      </c>
      <c r="L538" s="68">
        <f t="shared" ca="1" si="115"/>
        <v>0</v>
      </c>
      <c r="M538" s="69">
        <f t="shared" si="116"/>
        <v>0</v>
      </c>
      <c r="N538" s="65" t="str">
        <f t="shared" si="117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8"/>
        <v/>
      </c>
      <c r="U538" s="1">
        <f t="shared" si="119"/>
        <v>0</v>
      </c>
      <c r="V538" s="1">
        <f t="shared" si="120"/>
        <v>2958465</v>
      </c>
      <c r="W538" s="1">
        <f t="shared" si="121"/>
        <v>0</v>
      </c>
      <c r="X538" s="1">
        <f t="shared" si="122"/>
        <v>0</v>
      </c>
      <c r="Y538" s="1">
        <f t="shared" si="123"/>
        <v>97200</v>
      </c>
      <c r="Z538" s="1">
        <f t="shared" si="124"/>
        <v>1</v>
      </c>
      <c r="AA538" s="1">
        <f t="shared" si="125"/>
        <v>0</v>
      </c>
    </row>
    <row r="539" spans="1:27" ht="18" customHeight="1" x14ac:dyDescent="0.3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12"/>
        <v>0</v>
      </c>
      <c r="J539" s="68">
        <f t="shared" ca="1" si="113"/>
        <v>0</v>
      </c>
      <c r="K539" s="68">
        <f t="shared" ca="1" si="114"/>
        <v>0</v>
      </c>
      <c r="L539" s="68">
        <f t="shared" ca="1" si="115"/>
        <v>0</v>
      </c>
      <c r="M539" s="69">
        <f t="shared" si="116"/>
        <v>0</v>
      </c>
      <c r="N539" s="65" t="str">
        <f t="shared" si="117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8"/>
        <v/>
      </c>
      <c r="U539" s="1">
        <f t="shared" si="119"/>
        <v>0</v>
      </c>
      <c r="V539" s="1">
        <f t="shared" si="120"/>
        <v>2958465</v>
      </c>
      <c r="W539" s="1">
        <f t="shared" si="121"/>
        <v>0</v>
      </c>
      <c r="X539" s="1">
        <f t="shared" si="122"/>
        <v>0</v>
      </c>
      <c r="Y539" s="1">
        <f t="shared" si="123"/>
        <v>97200</v>
      </c>
      <c r="Z539" s="1">
        <f t="shared" si="124"/>
        <v>1</v>
      </c>
      <c r="AA539" s="1">
        <f t="shared" si="125"/>
        <v>0</v>
      </c>
    </row>
    <row r="540" spans="1:27" ht="18" customHeight="1" x14ac:dyDescent="0.3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12"/>
        <v>0</v>
      </c>
      <c r="J540" s="68">
        <f t="shared" ca="1" si="113"/>
        <v>0</v>
      </c>
      <c r="K540" s="68">
        <f t="shared" ca="1" si="114"/>
        <v>0</v>
      </c>
      <c r="L540" s="68">
        <f t="shared" ca="1" si="115"/>
        <v>0</v>
      </c>
      <c r="M540" s="69">
        <f t="shared" si="116"/>
        <v>0</v>
      </c>
      <c r="N540" s="65" t="str">
        <f t="shared" si="117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8"/>
        <v/>
      </c>
      <c r="U540" s="1">
        <f t="shared" si="119"/>
        <v>0</v>
      </c>
      <c r="V540" s="1">
        <f t="shared" si="120"/>
        <v>2958465</v>
      </c>
      <c r="W540" s="1">
        <f t="shared" si="121"/>
        <v>0</v>
      </c>
      <c r="X540" s="1">
        <f t="shared" si="122"/>
        <v>0</v>
      </c>
      <c r="Y540" s="1">
        <f t="shared" si="123"/>
        <v>97200</v>
      </c>
      <c r="Z540" s="1">
        <f t="shared" si="124"/>
        <v>1</v>
      </c>
      <c r="AA540" s="1">
        <f t="shared" si="125"/>
        <v>0</v>
      </c>
    </row>
    <row r="541" spans="1:27" ht="18" customHeight="1" x14ac:dyDescent="0.3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12"/>
        <v>0</v>
      </c>
      <c r="J541" s="68">
        <f t="shared" ca="1" si="113"/>
        <v>0</v>
      </c>
      <c r="K541" s="68">
        <f t="shared" ca="1" si="114"/>
        <v>0</v>
      </c>
      <c r="L541" s="68">
        <f t="shared" ca="1" si="115"/>
        <v>0</v>
      </c>
      <c r="M541" s="69">
        <f t="shared" si="116"/>
        <v>0</v>
      </c>
      <c r="N541" s="65" t="str">
        <f t="shared" si="117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8"/>
        <v/>
      </c>
      <c r="U541" s="1">
        <f t="shared" si="119"/>
        <v>0</v>
      </c>
      <c r="V541" s="1">
        <f t="shared" si="120"/>
        <v>2958465</v>
      </c>
      <c r="W541" s="1">
        <f t="shared" si="121"/>
        <v>0</v>
      </c>
      <c r="X541" s="1">
        <f t="shared" si="122"/>
        <v>0</v>
      </c>
      <c r="Y541" s="1">
        <f t="shared" si="123"/>
        <v>97200</v>
      </c>
      <c r="Z541" s="1">
        <f t="shared" si="124"/>
        <v>1</v>
      </c>
      <c r="AA541" s="1">
        <f t="shared" si="125"/>
        <v>0</v>
      </c>
    </row>
    <row r="542" spans="1:27" ht="18" customHeight="1" x14ac:dyDescent="0.3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12"/>
        <v>0</v>
      </c>
      <c r="J542" s="68">
        <f t="shared" ca="1" si="113"/>
        <v>0</v>
      </c>
      <c r="K542" s="68">
        <f t="shared" ca="1" si="114"/>
        <v>0</v>
      </c>
      <c r="L542" s="68">
        <f t="shared" ca="1" si="115"/>
        <v>0</v>
      </c>
      <c r="M542" s="69">
        <f t="shared" si="116"/>
        <v>0</v>
      </c>
      <c r="N542" s="65" t="str">
        <f t="shared" si="117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8"/>
        <v/>
      </c>
      <c r="U542" s="1">
        <f t="shared" si="119"/>
        <v>0</v>
      </c>
      <c r="V542" s="1">
        <f t="shared" si="120"/>
        <v>2958465</v>
      </c>
      <c r="W542" s="1">
        <f t="shared" si="121"/>
        <v>0</v>
      </c>
      <c r="X542" s="1">
        <f t="shared" si="122"/>
        <v>0</v>
      </c>
      <c r="Y542" s="1">
        <f t="shared" si="123"/>
        <v>97200</v>
      </c>
      <c r="Z542" s="1">
        <f t="shared" si="124"/>
        <v>1</v>
      </c>
      <c r="AA542" s="1">
        <f t="shared" si="125"/>
        <v>0</v>
      </c>
    </row>
    <row r="543" spans="1:27" ht="18" customHeight="1" x14ac:dyDescent="0.3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12"/>
        <v>0</v>
      </c>
      <c r="J543" s="68">
        <f t="shared" ca="1" si="113"/>
        <v>0</v>
      </c>
      <c r="K543" s="68">
        <f t="shared" ca="1" si="114"/>
        <v>0</v>
      </c>
      <c r="L543" s="68">
        <f t="shared" ca="1" si="115"/>
        <v>0</v>
      </c>
      <c r="M543" s="69">
        <f t="shared" si="116"/>
        <v>0</v>
      </c>
      <c r="N543" s="65" t="str">
        <f t="shared" si="117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8"/>
        <v/>
      </c>
      <c r="U543" s="1">
        <f t="shared" si="119"/>
        <v>0</v>
      </c>
      <c r="V543" s="1">
        <f t="shared" si="120"/>
        <v>2958465</v>
      </c>
      <c r="W543" s="1">
        <f t="shared" si="121"/>
        <v>0</v>
      </c>
      <c r="X543" s="1">
        <f t="shared" si="122"/>
        <v>0</v>
      </c>
      <c r="Y543" s="1">
        <f t="shared" si="123"/>
        <v>97200</v>
      </c>
      <c r="Z543" s="1">
        <f t="shared" si="124"/>
        <v>1</v>
      </c>
      <c r="AA543" s="1">
        <f t="shared" si="125"/>
        <v>0</v>
      </c>
    </row>
    <row r="544" spans="1:27" ht="18" customHeight="1" x14ac:dyDescent="0.3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12"/>
        <v>0</v>
      </c>
      <c r="J544" s="68">
        <f t="shared" ca="1" si="113"/>
        <v>0</v>
      </c>
      <c r="K544" s="68">
        <f t="shared" ca="1" si="114"/>
        <v>0</v>
      </c>
      <c r="L544" s="68">
        <f t="shared" ca="1" si="115"/>
        <v>0</v>
      </c>
      <c r="M544" s="69">
        <f t="shared" si="116"/>
        <v>0</v>
      </c>
      <c r="N544" s="65" t="str">
        <f t="shared" si="117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8"/>
        <v/>
      </c>
      <c r="U544" s="1">
        <f t="shared" si="119"/>
        <v>0</v>
      </c>
      <c r="V544" s="1">
        <f t="shared" si="120"/>
        <v>2958465</v>
      </c>
      <c r="W544" s="1">
        <f t="shared" si="121"/>
        <v>0</v>
      </c>
      <c r="X544" s="1">
        <f t="shared" si="122"/>
        <v>0</v>
      </c>
      <c r="Y544" s="1">
        <f t="shared" si="123"/>
        <v>97200</v>
      </c>
      <c r="Z544" s="1">
        <f t="shared" si="124"/>
        <v>1</v>
      </c>
      <c r="AA544" s="1">
        <f t="shared" si="125"/>
        <v>0</v>
      </c>
    </row>
    <row r="545" spans="1:27" ht="18" customHeight="1" x14ac:dyDescent="0.3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12"/>
        <v>0</v>
      </c>
      <c r="J545" s="68">
        <f t="shared" ca="1" si="113"/>
        <v>0</v>
      </c>
      <c r="K545" s="68">
        <f t="shared" ca="1" si="114"/>
        <v>0</v>
      </c>
      <c r="L545" s="68">
        <f t="shared" ca="1" si="115"/>
        <v>0</v>
      </c>
      <c r="M545" s="69">
        <f t="shared" si="116"/>
        <v>0</v>
      </c>
      <c r="N545" s="65" t="str">
        <f t="shared" si="117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8"/>
        <v/>
      </c>
      <c r="U545" s="1">
        <f t="shared" si="119"/>
        <v>0</v>
      </c>
      <c r="V545" s="1">
        <f t="shared" si="120"/>
        <v>2958465</v>
      </c>
      <c r="W545" s="1">
        <f t="shared" si="121"/>
        <v>0</v>
      </c>
      <c r="X545" s="1">
        <f t="shared" si="122"/>
        <v>0</v>
      </c>
      <c r="Y545" s="1">
        <f t="shared" si="123"/>
        <v>97200</v>
      </c>
      <c r="Z545" s="1">
        <f t="shared" si="124"/>
        <v>1</v>
      </c>
      <c r="AA545" s="1">
        <f t="shared" si="125"/>
        <v>0</v>
      </c>
    </row>
    <row r="546" spans="1:27" ht="18" customHeight="1" x14ac:dyDescent="0.3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12"/>
        <v>0</v>
      </c>
      <c r="J546" s="68">
        <f t="shared" ca="1" si="113"/>
        <v>0</v>
      </c>
      <c r="K546" s="68">
        <f t="shared" ca="1" si="114"/>
        <v>0</v>
      </c>
      <c r="L546" s="68">
        <f t="shared" ca="1" si="115"/>
        <v>0</v>
      </c>
      <c r="M546" s="69">
        <f t="shared" si="116"/>
        <v>0</v>
      </c>
      <c r="N546" s="65" t="str">
        <f t="shared" si="117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8"/>
        <v/>
      </c>
      <c r="U546" s="1">
        <f t="shared" si="119"/>
        <v>0</v>
      </c>
      <c r="V546" s="1">
        <f t="shared" si="120"/>
        <v>2958465</v>
      </c>
      <c r="W546" s="1">
        <f t="shared" si="121"/>
        <v>0</v>
      </c>
      <c r="X546" s="1">
        <f t="shared" si="122"/>
        <v>0</v>
      </c>
      <c r="Y546" s="1">
        <f t="shared" si="123"/>
        <v>97200</v>
      </c>
      <c r="Z546" s="1">
        <f t="shared" si="124"/>
        <v>1</v>
      </c>
      <c r="AA546" s="1">
        <f t="shared" si="125"/>
        <v>0</v>
      </c>
    </row>
    <row r="547" spans="1:27" ht="18" customHeight="1" x14ac:dyDescent="0.3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12"/>
        <v>0</v>
      </c>
      <c r="J547" s="68">
        <f t="shared" ca="1" si="113"/>
        <v>0</v>
      </c>
      <c r="K547" s="68">
        <f t="shared" ca="1" si="114"/>
        <v>0</v>
      </c>
      <c r="L547" s="68">
        <f t="shared" ca="1" si="115"/>
        <v>0</v>
      </c>
      <c r="M547" s="69">
        <f t="shared" si="116"/>
        <v>0</v>
      </c>
      <c r="N547" s="65" t="str">
        <f t="shared" si="117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8"/>
        <v/>
      </c>
      <c r="U547" s="1">
        <f t="shared" si="119"/>
        <v>0</v>
      </c>
      <c r="V547" s="1">
        <f t="shared" si="120"/>
        <v>2958465</v>
      </c>
      <c r="W547" s="1">
        <f t="shared" si="121"/>
        <v>0</v>
      </c>
      <c r="X547" s="1">
        <f t="shared" si="122"/>
        <v>0</v>
      </c>
      <c r="Y547" s="1">
        <f t="shared" si="123"/>
        <v>97200</v>
      </c>
      <c r="Z547" s="1">
        <f t="shared" si="124"/>
        <v>1</v>
      </c>
      <c r="AA547" s="1">
        <f t="shared" si="125"/>
        <v>0</v>
      </c>
    </row>
    <row r="548" spans="1:27" ht="18" customHeight="1" x14ac:dyDescent="0.3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12"/>
        <v>0</v>
      </c>
      <c r="J548" s="68">
        <f t="shared" ca="1" si="113"/>
        <v>0</v>
      </c>
      <c r="K548" s="68">
        <f t="shared" ca="1" si="114"/>
        <v>0</v>
      </c>
      <c r="L548" s="68">
        <f t="shared" ca="1" si="115"/>
        <v>0</v>
      </c>
      <c r="M548" s="69">
        <f t="shared" si="116"/>
        <v>0</v>
      </c>
      <c r="N548" s="65" t="str">
        <f t="shared" si="117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8"/>
        <v/>
      </c>
      <c r="U548" s="1">
        <f t="shared" si="119"/>
        <v>0</v>
      </c>
      <c r="V548" s="1">
        <f t="shared" si="120"/>
        <v>2958465</v>
      </c>
      <c r="W548" s="1">
        <f t="shared" si="121"/>
        <v>0</v>
      </c>
      <c r="X548" s="1">
        <f t="shared" si="122"/>
        <v>0</v>
      </c>
      <c r="Y548" s="1">
        <f t="shared" si="123"/>
        <v>97200</v>
      </c>
      <c r="Z548" s="1">
        <f t="shared" si="124"/>
        <v>1</v>
      </c>
      <c r="AA548" s="1">
        <f t="shared" si="125"/>
        <v>0</v>
      </c>
    </row>
    <row r="549" spans="1:27" ht="18" customHeight="1" x14ac:dyDescent="0.3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12"/>
        <v>0</v>
      </c>
      <c r="J549" s="68">
        <f t="shared" ca="1" si="113"/>
        <v>0</v>
      </c>
      <c r="K549" s="68">
        <f t="shared" ca="1" si="114"/>
        <v>0</v>
      </c>
      <c r="L549" s="68">
        <f t="shared" ca="1" si="115"/>
        <v>0</v>
      </c>
      <c r="M549" s="69">
        <f t="shared" si="116"/>
        <v>0</v>
      </c>
      <c r="N549" s="65" t="str">
        <f t="shared" si="117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8"/>
        <v/>
      </c>
      <c r="U549" s="1">
        <f t="shared" si="119"/>
        <v>0</v>
      </c>
      <c r="V549" s="1">
        <f t="shared" si="120"/>
        <v>2958465</v>
      </c>
      <c r="W549" s="1">
        <f t="shared" si="121"/>
        <v>0</v>
      </c>
      <c r="X549" s="1">
        <f t="shared" si="122"/>
        <v>0</v>
      </c>
      <c r="Y549" s="1">
        <f t="shared" si="123"/>
        <v>97200</v>
      </c>
      <c r="Z549" s="1">
        <f t="shared" si="124"/>
        <v>1</v>
      </c>
      <c r="AA549" s="1">
        <f t="shared" si="125"/>
        <v>0</v>
      </c>
    </row>
    <row r="550" spans="1:27" ht="18" customHeight="1" x14ac:dyDescent="0.3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12"/>
        <v>0</v>
      </c>
      <c r="J550" s="68">
        <f t="shared" ca="1" si="113"/>
        <v>0</v>
      </c>
      <c r="K550" s="68">
        <f t="shared" ca="1" si="114"/>
        <v>0</v>
      </c>
      <c r="L550" s="68">
        <f t="shared" ca="1" si="115"/>
        <v>0</v>
      </c>
      <c r="M550" s="69">
        <f t="shared" si="116"/>
        <v>0</v>
      </c>
      <c r="N550" s="65" t="str">
        <f t="shared" si="117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8"/>
        <v/>
      </c>
      <c r="U550" s="1">
        <f t="shared" si="119"/>
        <v>0</v>
      </c>
      <c r="V550" s="1">
        <f t="shared" si="120"/>
        <v>2958465</v>
      </c>
      <c r="W550" s="1">
        <f t="shared" si="121"/>
        <v>0</v>
      </c>
      <c r="X550" s="1">
        <f t="shared" si="122"/>
        <v>0</v>
      </c>
      <c r="Y550" s="1">
        <f t="shared" si="123"/>
        <v>97200</v>
      </c>
      <c r="Z550" s="1">
        <f t="shared" si="124"/>
        <v>1</v>
      </c>
      <c r="AA550" s="1">
        <f t="shared" si="125"/>
        <v>0</v>
      </c>
    </row>
    <row r="551" spans="1:27" ht="18" customHeight="1" x14ac:dyDescent="0.3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12"/>
        <v>0</v>
      </c>
      <c r="J551" s="68">
        <f t="shared" ca="1" si="113"/>
        <v>0</v>
      </c>
      <c r="K551" s="68">
        <f t="shared" ca="1" si="114"/>
        <v>0</v>
      </c>
      <c r="L551" s="68">
        <f t="shared" ca="1" si="115"/>
        <v>0</v>
      </c>
      <c r="M551" s="69">
        <f t="shared" si="116"/>
        <v>0</v>
      </c>
      <c r="N551" s="65" t="str">
        <f t="shared" si="117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8"/>
        <v/>
      </c>
      <c r="U551" s="1">
        <f t="shared" si="119"/>
        <v>0</v>
      </c>
      <c r="V551" s="1">
        <f t="shared" si="120"/>
        <v>2958465</v>
      </c>
      <c r="W551" s="1">
        <f t="shared" si="121"/>
        <v>0</v>
      </c>
      <c r="X551" s="1">
        <f t="shared" si="122"/>
        <v>0</v>
      </c>
      <c r="Y551" s="1">
        <f t="shared" si="123"/>
        <v>97200</v>
      </c>
      <c r="Z551" s="1">
        <f t="shared" si="124"/>
        <v>1</v>
      </c>
      <c r="AA551" s="1">
        <f t="shared" si="125"/>
        <v>0</v>
      </c>
    </row>
    <row r="552" spans="1:27" ht="18" customHeight="1" x14ac:dyDescent="0.3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12"/>
        <v>0</v>
      </c>
      <c r="J552" s="68">
        <f t="shared" ca="1" si="113"/>
        <v>0</v>
      </c>
      <c r="K552" s="68">
        <f t="shared" ca="1" si="114"/>
        <v>0</v>
      </c>
      <c r="L552" s="68">
        <f t="shared" ca="1" si="115"/>
        <v>0</v>
      </c>
      <c r="M552" s="69">
        <f t="shared" si="116"/>
        <v>0</v>
      </c>
      <c r="N552" s="65" t="str">
        <f t="shared" si="117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8"/>
        <v/>
      </c>
      <c r="U552" s="1">
        <f t="shared" si="119"/>
        <v>0</v>
      </c>
      <c r="V552" s="1">
        <f t="shared" si="120"/>
        <v>2958465</v>
      </c>
      <c r="W552" s="1">
        <f t="shared" si="121"/>
        <v>0</v>
      </c>
      <c r="X552" s="1">
        <f t="shared" si="122"/>
        <v>0</v>
      </c>
      <c r="Y552" s="1">
        <f t="shared" si="123"/>
        <v>97200</v>
      </c>
      <c r="Z552" s="1">
        <f t="shared" si="124"/>
        <v>1</v>
      </c>
      <c r="AA552" s="1">
        <f t="shared" si="125"/>
        <v>0</v>
      </c>
    </row>
    <row r="553" spans="1:27" ht="18" customHeight="1" x14ac:dyDescent="0.3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12"/>
        <v>0</v>
      </c>
      <c r="J553" s="68">
        <f t="shared" ca="1" si="113"/>
        <v>0</v>
      </c>
      <c r="K553" s="68">
        <f t="shared" ca="1" si="114"/>
        <v>0</v>
      </c>
      <c r="L553" s="68">
        <f t="shared" ca="1" si="115"/>
        <v>0</v>
      </c>
      <c r="M553" s="69">
        <f t="shared" si="116"/>
        <v>0</v>
      </c>
      <c r="N553" s="65" t="str">
        <f t="shared" si="117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8"/>
        <v/>
      </c>
      <c r="U553" s="1">
        <f t="shared" si="119"/>
        <v>0</v>
      </c>
      <c r="V553" s="1">
        <f t="shared" si="120"/>
        <v>2958465</v>
      </c>
      <c r="W553" s="1">
        <f t="shared" si="121"/>
        <v>0</v>
      </c>
      <c r="X553" s="1">
        <f t="shared" si="122"/>
        <v>0</v>
      </c>
      <c r="Y553" s="1">
        <f t="shared" si="123"/>
        <v>97200</v>
      </c>
      <c r="Z553" s="1">
        <f t="shared" si="124"/>
        <v>1</v>
      </c>
      <c r="AA553" s="1">
        <f t="shared" si="125"/>
        <v>0</v>
      </c>
    </row>
    <row r="554" spans="1:27" ht="18" customHeight="1" x14ac:dyDescent="0.3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12"/>
        <v>0</v>
      </c>
      <c r="J554" s="68">
        <f t="shared" ca="1" si="113"/>
        <v>0</v>
      </c>
      <c r="K554" s="68">
        <f t="shared" ca="1" si="114"/>
        <v>0</v>
      </c>
      <c r="L554" s="68">
        <f t="shared" ca="1" si="115"/>
        <v>0</v>
      </c>
      <c r="M554" s="69">
        <f t="shared" si="116"/>
        <v>0</v>
      </c>
      <c r="N554" s="65" t="str">
        <f t="shared" si="117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8"/>
        <v/>
      </c>
      <c r="U554" s="1">
        <f t="shared" si="119"/>
        <v>0</v>
      </c>
      <c r="V554" s="1">
        <f t="shared" si="120"/>
        <v>2958465</v>
      </c>
      <c r="W554" s="1">
        <f t="shared" si="121"/>
        <v>0</v>
      </c>
      <c r="X554" s="1">
        <f t="shared" si="122"/>
        <v>0</v>
      </c>
      <c r="Y554" s="1">
        <f t="shared" si="123"/>
        <v>97200</v>
      </c>
      <c r="Z554" s="1">
        <f t="shared" si="124"/>
        <v>1</v>
      </c>
      <c r="AA554" s="1">
        <f t="shared" si="125"/>
        <v>0</v>
      </c>
    </row>
    <row r="555" spans="1:27" ht="18" customHeight="1" x14ac:dyDescent="0.3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12"/>
        <v>0</v>
      </c>
      <c r="J555" s="68">
        <f t="shared" ca="1" si="113"/>
        <v>0</v>
      </c>
      <c r="K555" s="68">
        <f t="shared" ca="1" si="114"/>
        <v>0</v>
      </c>
      <c r="L555" s="68">
        <f t="shared" ca="1" si="115"/>
        <v>0</v>
      </c>
      <c r="M555" s="69">
        <f t="shared" si="116"/>
        <v>0</v>
      </c>
      <c r="N555" s="65" t="str">
        <f t="shared" si="117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8"/>
        <v/>
      </c>
      <c r="U555" s="1">
        <f t="shared" si="119"/>
        <v>0</v>
      </c>
      <c r="V555" s="1">
        <f t="shared" si="120"/>
        <v>2958465</v>
      </c>
      <c r="W555" s="1">
        <f t="shared" si="121"/>
        <v>0</v>
      </c>
      <c r="X555" s="1">
        <f t="shared" si="122"/>
        <v>0</v>
      </c>
      <c r="Y555" s="1">
        <f t="shared" si="123"/>
        <v>97200</v>
      </c>
      <c r="Z555" s="1">
        <f t="shared" si="124"/>
        <v>1</v>
      </c>
      <c r="AA555" s="1">
        <f t="shared" si="125"/>
        <v>0</v>
      </c>
    </row>
    <row r="556" spans="1:27" ht="18" customHeight="1" x14ac:dyDescent="0.3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12"/>
        <v>0</v>
      </c>
      <c r="J556" s="68">
        <f t="shared" ca="1" si="113"/>
        <v>0</v>
      </c>
      <c r="K556" s="68">
        <f t="shared" ca="1" si="114"/>
        <v>0</v>
      </c>
      <c r="L556" s="68">
        <f t="shared" ca="1" si="115"/>
        <v>0</v>
      </c>
      <c r="M556" s="69">
        <f t="shared" si="116"/>
        <v>0</v>
      </c>
      <c r="N556" s="65" t="str">
        <f t="shared" si="117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8"/>
        <v/>
      </c>
      <c r="U556" s="1">
        <f t="shared" si="119"/>
        <v>0</v>
      </c>
      <c r="V556" s="1">
        <f t="shared" si="120"/>
        <v>2958465</v>
      </c>
      <c r="W556" s="1">
        <f t="shared" si="121"/>
        <v>0</v>
      </c>
      <c r="X556" s="1">
        <f t="shared" si="122"/>
        <v>0</v>
      </c>
      <c r="Y556" s="1">
        <f t="shared" si="123"/>
        <v>97200</v>
      </c>
      <c r="Z556" s="1">
        <f t="shared" si="124"/>
        <v>1</v>
      </c>
      <c r="AA556" s="1">
        <f t="shared" si="125"/>
        <v>0</v>
      </c>
    </row>
    <row r="557" spans="1:27" ht="18" customHeight="1" x14ac:dyDescent="0.3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12"/>
        <v>0</v>
      </c>
      <c r="J557" s="68">
        <f t="shared" ca="1" si="113"/>
        <v>0</v>
      </c>
      <c r="K557" s="68">
        <f t="shared" ca="1" si="114"/>
        <v>0</v>
      </c>
      <c r="L557" s="68">
        <f t="shared" ca="1" si="115"/>
        <v>0</v>
      </c>
      <c r="M557" s="69">
        <f t="shared" si="116"/>
        <v>0</v>
      </c>
      <c r="N557" s="65" t="str">
        <f t="shared" si="117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8"/>
        <v/>
      </c>
      <c r="U557" s="1">
        <f t="shared" si="119"/>
        <v>0</v>
      </c>
      <c r="V557" s="1">
        <f t="shared" si="120"/>
        <v>2958465</v>
      </c>
      <c r="W557" s="1">
        <f t="shared" si="121"/>
        <v>0</v>
      </c>
      <c r="X557" s="1">
        <f t="shared" si="122"/>
        <v>0</v>
      </c>
      <c r="Y557" s="1">
        <f t="shared" si="123"/>
        <v>97200</v>
      </c>
      <c r="Z557" s="1">
        <f t="shared" si="124"/>
        <v>1</v>
      </c>
      <c r="AA557" s="1">
        <f t="shared" si="125"/>
        <v>0</v>
      </c>
    </row>
    <row r="558" spans="1:27" ht="18" customHeight="1" x14ac:dyDescent="0.3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12"/>
        <v>0</v>
      </c>
      <c r="J558" s="68">
        <f t="shared" ca="1" si="113"/>
        <v>0</v>
      </c>
      <c r="K558" s="68">
        <f t="shared" ca="1" si="114"/>
        <v>0</v>
      </c>
      <c r="L558" s="68">
        <f t="shared" ca="1" si="115"/>
        <v>0</v>
      </c>
      <c r="M558" s="69">
        <f t="shared" si="116"/>
        <v>0</v>
      </c>
      <c r="N558" s="65" t="str">
        <f t="shared" si="117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8"/>
        <v/>
      </c>
      <c r="U558" s="1">
        <f t="shared" si="119"/>
        <v>0</v>
      </c>
      <c r="V558" s="1">
        <f t="shared" si="120"/>
        <v>2958465</v>
      </c>
      <c r="W558" s="1">
        <f t="shared" si="121"/>
        <v>0</v>
      </c>
      <c r="X558" s="1">
        <f t="shared" si="122"/>
        <v>0</v>
      </c>
      <c r="Y558" s="1">
        <f t="shared" si="123"/>
        <v>97200</v>
      </c>
      <c r="Z558" s="1">
        <f t="shared" si="124"/>
        <v>1</v>
      </c>
      <c r="AA558" s="1">
        <f t="shared" si="125"/>
        <v>0</v>
      </c>
    </row>
    <row r="559" spans="1:27" ht="18" customHeight="1" x14ac:dyDescent="0.3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12"/>
        <v>0</v>
      </c>
      <c r="J559" s="68">
        <f t="shared" ca="1" si="113"/>
        <v>0</v>
      </c>
      <c r="K559" s="68">
        <f t="shared" ca="1" si="114"/>
        <v>0</v>
      </c>
      <c r="L559" s="68">
        <f t="shared" ca="1" si="115"/>
        <v>0</v>
      </c>
      <c r="M559" s="69">
        <f t="shared" si="116"/>
        <v>0</v>
      </c>
      <c r="N559" s="65" t="str">
        <f t="shared" si="117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8"/>
        <v/>
      </c>
      <c r="U559" s="1">
        <f t="shared" si="119"/>
        <v>0</v>
      </c>
      <c r="V559" s="1">
        <f t="shared" si="120"/>
        <v>2958465</v>
      </c>
      <c r="W559" s="1">
        <f t="shared" si="121"/>
        <v>0</v>
      </c>
      <c r="X559" s="1">
        <f t="shared" si="122"/>
        <v>0</v>
      </c>
      <c r="Y559" s="1">
        <f t="shared" si="123"/>
        <v>97200</v>
      </c>
      <c r="Z559" s="1">
        <f t="shared" si="124"/>
        <v>1</v>
      </c>
      <c r="AA559" s="1">
        <f t="shared" si="125"/>
        <v>0</v>
      </c>
    </row>
    <row r="560" spans="1:27" ht="18" customHeight="1" x14ac:dyDescent="0.3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12"/>
        <v>0</v>
      </c>
      <c r="J560" s="68">
        <f t="shared" ca="1" si="113"/>
        <v>0</v>
      </c>
      <c r="K560" s="68">
        <f t="shared" ca="1" si="114"/>
        <v>0</v>
      </c>
      <c r="L560" s="68">
        <f t="shared" ca="1" si="115"/>
        <v>0</v>
      </c>
      <c r="M560" s="69">
        <f t="shared" si="116"/>
        <v>0</v>
      </c>
      <c r="N560" s="65" t="str">
        <f t="shared" si="117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8"/>
        <v/>
      </c>
      <c r="U560" s="1">
        <f t="shared" si="119"/>
        <v>0</v>
      </c>
      <c r="V560" s="1">
        <f t="shared" si="120"/>
        <v>2958465</v>
      </c>
      <c r="W560" s="1">
        <f t="shared" si="121"/>
        <v>0</v>
      </c>
      <c r="X560" s="1">
        <f t="shared" si="122"/>
        <v>0</v>
      </c>
      <c r="Y560" s="1">
        <f t="shared" si="123"/>
        <v>97200</v>
      </c>
      <c r="Z560" s="1">
        <f t="shared" si="124"/>
        <v>1</v>
      </c>
      <c r="AA560" s="1">
        <f t="shared" si="125"/>
        <v>0</v>
      </c>
    </row>
    <row r="561" spans="1:27" ht="18" customHeight="1" x14ac:dyDescent="0.3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12"/>
        <v>0</v>
      </c>
      <c r="J561" s="68">
        <f t="shared" ca="1" si="113"/>
        <v>0</v>
      </c>
      <c r="K561" s="68">
        <f t="shared" ca="1" si="114"/>
        <v>0</v>
      </c>
      <c r="L561" s="68">
        <f t="shared" ca="1" si="115"/>
        <v>0</v>
      </c>
      <c r="M561" s="69">
        <f t="shared" si="116"/>
        <v>0</v>
      </c>
      <c r="N561" s="65" t="str">
        <f t="shared" si="117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8"/>
        <v/>
      </c>
      <c r="U561" s="1">
        <f t="shared" si="119"/>
        <v>0</v>
      </c>
      <c r="V561" s="1">
        <f t="shared" si="120"/>
        <v>2958465</v>
      </c>
      <c r="W561" s="1">
        <f t="shared" si="121"/>
        <v>0</v>
      </c>
      <c r="X561" s="1">
        <f t="shared" si="122"/>
        <v>0</v>
      </c>
      <c r="Y561" s="1">
        <f t="shared" si="123"/>
        <v>97200</v>
      </c>
      <c r="Z561" s="1">
        <f t="shared" si="124"/>
        <v>1</v>
      </c>
      <c r="AA561" s="1">
        <f t="shared" si="125"/>
        <v>0</v>
      </c>
    </row>
    <row r="562" spans="1:27" ht="18" customHeight="1" x14ac:dyDescent="0.3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12"/>
        <v>0</v>
      </c>
      <c r="J562" s="68">
        <f t="shared" ca="1" si="113"/>
        <v>0</v>
      </c>
      <c r="K562" s="68">
        <f t="shared" ca="1" si="114"/>
        <v>0</v>
      </c>
      <c r="L562" s="68">
        <f t="shared" ca="1" si="115"/>
        <v>0</v>
      </c>
      <c r="M562" s="69">
        <f t="shared" si="116"/>
        <v>0</v>
      </c>
      <c r="N562" s="65" t="str">
        <f t="shared" si="117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8"/>
        <v/>
      </c>
      <c r="U562" s="1">
        <f t="shared" si="119"/>
        <v>0</v>
      </c>
      <c r="V562" s="1">
        <f t="shared" si="120"/>
        <v>2958465</v>
      </c>
      <c r="W562" s="1">
        <f t="shared" si="121"/>
        <v>0</v>
      </c>
      <c r="X562" s="1">
        <f t="shared" si="122"/>
        <v>0</v>
      </c>
      <c r="Y562" s="1">
        <f t="shared" si="123"/>
        <v>97200</v>
      </c>
      <c r="Z562" s="1">
        <f t="shared" si="124"/>
        <v>1</v>
      </c>
      <c r="AA562" s="1">
        <f t="shared" si="125"/>
        <v>0</v>
      </c>
    </row>
    <row r="563" spans="1:27" ht="18" customHeight="1" x14ac:dyDescent="0.3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12"/>
        <v>0</v>
      </c>
      <c r="J563" s="68">
        <f t="shared" ca="1" si="113"/>
        <v>0</v>
      </c>
      <c r="K563" s="68">
        <f t="shared" ca="1" si="114"/>
        <v>0</v>
      </c>
      <c r="L563" s="68">
        <f t="shared" ca="1" si="115"/>
        <v>0</v>
      </c>
      <c r="M563" s="69">
        <f t="shared" si="116"/>
        <v>0</v>
      </c>
      <c r="N563" s="65" t="str">
        <f t="shared" si="117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8"/>
        <v/>
      </c>
      <c r="U563" s="1">
        <f t="shared" si="119"/>
        <v>0</v>
      </c>
      <c r="V563" s="1">
        <f t="shared" si="120"/>
        <v>2958465</v>
      </c>
      <c r="W563" s="1">
        <f t="shared" si="121"/>
        <v>0</v>
      </c>
      <c r="X563" s="1">
        <f t="shared" si="122"/>
        <v>0</v>
      </c>
      <c r="Y563" s="1">
        <f t="shared" si="123"/>
        <v>97200</v>
      </c>
      <c r="Z563" s="1">
        <f t="shared" si="124"/>
        <v>1</v>
      </c>
      <c r="AA563" s="1">
        <f t="shared" si="125"/>
        <v>0</v>
      </c>
    </row>
    <row r="564" spans="1:27" ht="18" customHeight="1" x14ac:dyDescent="0.3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12"/>
        <v>0</v>
      </c>
      <c r="J564" s="68">
        <f t="shared" ca="1" si="113"/>
        <v>0</v>
      </c>
      <c r="K564" s="68">
        <f t="shared" ca="1" si="114"/>
        <v>0</v>
      </c>
      <c r="L564" s="68">
        <f t="shared" ca="1" si="115"/>
        <v>0</v>
      </c>
      <c r="M564" s="69">
        <f t="shared" si="116"/>
        <v>0</v>
      </c>
      <c r="N564" s="65" t="str">
        <f t="shared" si="117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8"/>
        <v/>
      </c>
      <c r="U564" s="1">
        <f t="shared" si="119"/>
        <v>0</v>
      </c>
      <c r="V564" s="1">
        <f t="shared" si="120"/>
        <v>2958465</v>
      </c>
      <c r="W564" s="1">
        <f t="shared" si="121"/>
        <v>0</v>
      </c>
      <c r="X564" s="1">
        <f t="shared" si="122"/>
        <v>0</v>
      </c>
      <c r="Y564" s="1">
        <f t="shared" si="123"/>
        <v>97200</v>
      </c>
      <c r="Z564" s="1">
        <f t="shared" si="124"/>
        <v>1</v>
      </c>
      <c r="AA564" s="1">
        <f t="shared" si="125"/>
        <v>0</v>
      </c>
    </row>
    <row r="565" spans="1:27" ht="18" customHeight="1" x14ac:dyDescent="0.3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12"/>
        <v>0</v>
      </c>
      <c r="J565" s="68">
        <f t="shared" ca="1" si="113"/>
        <v>0</v>
      </c>
      <c r="K565" s="68">
        <f t="shared" ca="1" si="114"/>
        <v>0</v>
      </c>
      <c r="L565" s="68">
        <f t="shared" ca="1" si="115"/>
        <v>0</v>
      </c>
      <c r="M565" s="69">
        <f t="shared" si="116"/>
        <v>0</v>
      </c>
      <c r="N565" s="65" t="str">
        <f t="shared" si="117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8"/>
        <v/>
      </c>
      <c r="U565" s="1">
        <f t="shared" si="119"/>
        <v>0</v>
      </c>
      <c r="V565" s="1">
        <f t="shared" si="120"/>
        <v>2958465</v>
      </c>
      <c r="W565" s="1">
        <f t="shared" si="121"/>
        <v>0</v>
      </c>
      <c r="X565" s="1">
        <f t="shared" si="122"/>
        <v>0</v>
      </c>
      <c r="Y565" s="1">
        <f t="shared" si="123"/>
        <v>97200</v>
      </c>
      <c r="Z565" s="1">
        <f t="shared" si="124"/>
        <v>1</v>
      </c>
      <c r="AA565" s="1">
        <f t="shared" si="125"/>
        <v>0</v>
      </c>
    </row>
    <row r="566" spans="1:27" ht="18" customHeight="1" x14ac:dyDescent="0.3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12"/>
        <v>0</v>
      </c>
      <c r="J566" s="68">
        <f t="shared" ca="1" si="113"/>
        <v>0</v>
      </c>
      <c r="K566" s="68">
        <f t="shared" ca="1" si="114"/>
        <v>0</v>
      </c>
      <c r="L566" s="68">
        <f t="shared" ca="1" si="115"/>
        <v>0</v>
      </c>
      <c r="M566" s="69">
        <f t="shared" si="116"/>
        <v>0</v>
      </c>
      <c r="N566" s="65" t="str">
        <f t="shared" si="117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8"/>
        <v/>
      </c>
      <c r="U566" s="1">
        <f t="shared" si="119"/>
        <v>0</v>
      </c>
      <c r="V566" s="1">
        <f t="shared" si="120"/>
        <v>2958465</v>
      </c>
      <c r="W566" s="1">
        <f t="shared" si="121"/>
        <v>0</v>
      </c>
      <c r="X566" s="1">
        <f t="shared" si="122"/>
        <v>0</v>
      </c>
      <c r="Y566" s="1">
        <f t="shared" si="123"/>
        <v>97200</v>
      </c>
      <c r="Z566" s="1">
        <f t="shared" si="124"/>
        <v>1</v>
      </c>
      <c r="AA566" s="1">
        <f t="shared" si="125"/>
        <v>0</v>
      </c>
    </row>
    <row r="567" spans="1:27" ht="18" customHeight="1" x14ac:dyDescent="0.3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12"/>
        <v>0</v>
      </c>
      <c r="J567" s="68">
        <f t="shared" ca="1" si="113"/>
        <v>0</v>
      </c>
      <c r="K567" s="68">
        <f t="shared" ca="1" si="114"/>
        <v>0</v>
      </c>
      <c r="L567" s="68">
        <f t="shared" ca="1" si="115"/>
        <v>0</v>
      </c>
      <c r="M567" s="69">
        <f t="shared" si="116"/>
        <v>0</v>
      </c>
      <c r="N567" s="65" t="str">
        <f t="shared" si="117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8"/>
        <v/>
      </c>
      <c r="U567" s="1">
        <f t="shared" si="119"/>
        <v>0</v>
      </c>
      <c r="V567" s="1">
        <f t="shared" si="120"/>
        <v>2958465</v>
      </c>
      <c r="W567" s="1">
        <f t="shared" si="121"/>
        <v>0</v>
      </c>
      <c r="X567" s="1">
        <f t="shared" si="122"/>
        <v>0</v>
      </c>
      <c r="Y567" s="1">
        <f t="shared" si="123"/>
        <v>97200</v>
      </c>
      <c r="Z567" s="1">
        <f t="shared" si="124"/>
        <v>1</v>
      </c>
      <c r="AA567" s="1">
        <f t="shared" si="125"/>
        <v>0</v>
      </c>
    </row>
    <row r="568" spans="1:27" ht="18" customHeight="1" x14ac:dyDescent="0.3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12"/>
        <v>0</v>
      </c>
      <c r="J568" s="68">
        <f t="shared" ca="1" si="113"/>
        <v>0</v>
      </c>
      <c r="K568" s="68">
        <f t="shared" ca="1" si="114"/>
        <v>0</v>
      </c>
      <c r="L568" s="68">
        <f t="shared" ca="1" si="115"/>
        <v>0</v>
      </c>
      <c r="M568" s="69">
        <f t="shared" si="116"/>
        <v>0</v>
      </c>
      <c r="N568" s="65" t="str">
        <f t="shared" si="117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8"/>
        <v/>
      </c>
      <c r="U568" s="1">
        <f t="shared" si="119"/>
        <v>0</v>
      </c>
      <c r="V568" s="1">
        <f t="shared" si="120"/>
        <v>2958465</v>
      </c>
      <c r="W568" s="1">
        <f t="shared" si="121"/>
        <v>0</v>
      </c>
      <c r="X568" s="1">
        <f t="shared" si="122"/>
        <v>0</v>
      </c>
      <c r="Y568" s="1">
        <f t="shared" si="123"/>
        <v>97200</v>
      </c>
      <c r="Z568" s="1">
        <f t="shared" si="124"/>
        <v>1</v>
      </c>
      <c r="AA568" s="1">
        <f t="shared" si="125"/>
        <v>0</v>
      </c>
    </row>
    <row r="569" spans="1:27" ht="18" customHeight="1" x14ac:dyDescent="0.3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12"/>
        <v>0</v>
      </c>
      <c r="J569" s="68">
        <f t="shared" ca="1" si="113"/>
        <v>0</v>
      </c>
      <c r="K569" s="68">
        <f t="shared" ca="1" si="114"/>
        <v>0</v>
      </c>
      <c r="L569" s="68">
        <f t="shared" ca="1" si="115"/>
        <v>0</v>
      </c>
      <c r="M569" s="69">
        <f t="shared" si="116"/>
        <v>0</v>
      </c>
      <c r="N569" s="65" t="str">
        <f t="shared" si="117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8"/>
        <v/>
      </c>
      <c r="U569" s="1">
        <f t="shared" si="119"/>
        <v>0</v>
      </c>
      <c r="V569" s="1">
        <f t="shared" si="120"/>
        <v>2958465</v>
      </c>
      <c r="W569" s="1">
        <f t="shared" si="121"/>
        <v>0</v>
      </c>
      <c r="X569" s="1">
        <f t="shared" si="122"/>
        <v>0</v>
      </c>
      <c r="Y569" s="1">
        <f t="shared" si="123"/>
        <v>97200</v>
      </c>
      <c r="Z569" s="1">
        <f t="shared" si="124"/>
        <v>1</v>
      </c>
      <c r="AA569" s="1">
        <f t="shared" si="125"/>
        <v>0</v>
      </c>
    </row>
    <row r="570" spans="1:27" ht="18" customHeight="1" x14ac:dyDescent="0.3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12"/>
        <v>0</v>
      </c>
      <c r="J570" s="68">
        <f t="shared" ca="1" si="113"/>
        <v>0</v>
      </c>
      <c r="K570" s="68">
        <f t="shared" ca="1" si="114"/>
        <v>0</v>
      </c>
      <c r="L570" s="68">
        <f t="shared" ca="1" si="115"/>
        <v>0</v>
      </c>
      <c r="M570" s="69">
        <f t="shared" si="116"/>
        <v>0</v>
      </c>
      <c r="N570" s="65" t="str">
        <f t="shared" si="117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8"/>
        <v/>
      </c>
      <c r="U570" s="1">
        <f t="shared" si="119"/>
        <v>0</v>
      </c>
      <c r="V570" s="1">
        <f t="shared" si="120"/>
        <v>2958465</v>
      </c>
      <c r="W570" s="1">
        <f t="shared" si="121"/>
        <v>0</v>
      </c>
      <c r="X570" s="1">
        <f t="shared" si="122"/>
        <v>0</v>
      </c>
      <c r="Y570" s="1">
        <f t="shared" si="123"/>
        <v>97200</v>
      </c>
      <c r="Z570" s="1">
        <f t="shared" si="124"/>
        <v>1</v>
      </c>
      <c r="AA570" s="1">
        <f t="shared" si="125"/>
        <v>0</v>
      </c>
    </row>
    <row r="571" spans="1:27" ht="18" customHeight="1" x14ac:dyDescent="0.3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12"/>
        <v>0</v>
      </c>
      <c r="J571" s="68">
        <f t="shared" ca="1" si="113"/>
        <v>0</v>
      </c>
      <c r="K571" s="68">
        <f t="shared" ca="1" si="114"/>
        <v>0</v>
      </c>
      <c r="L571" s="68">
        <f t="shared" ca="1" si="115"/>
        <v>0</v>
      </c>
      <c r="M571" s="69">
        <f t="shared" si="116"/>
        <v>0</v>
      </c>
      <c r="N571" s="65" t="str">
        <f t="shared" si="117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8"/>
        <v/>
      </c>
      <c r="U571" s="1">
        <f t="shared" si="119"/>
        <v>0</v>
      </c>
      <c r="V571" s="1">
        <f t="shared" si="120"/>
        <v>2958465</v>
      </c>
      <c r="W571" s="1">
        <f t="shared" si="121"/>
        <v>0</v>
      </c>
      <c r="X571" s="1">
        <f t="shared" si="122"/>
        <v>0</v>
      </c>
      <c r="Y571" s="1">
        <f t="shared" si="123"/>
        <v>97200</v>
      </c>
      <c r="Z571" s="1">
        <f t="shared" si="124"/>
        <v>1</v>
      </c>
      <c r="AA571" s="1">
        <f t="shared" si="125"/>
        <v>0</v>
      </c>
    </row>
    <row r="572" spans="1:27" ht="18" customHeight="1" x14ac:dyDescent="0.3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12"/>
        <v>0</v>
      </c>
      <c r="J572" s="68">
        <f t="shared" ca="1" si="113"/>
        <v>0</v>
      </c>
      <c r="K572" s="68">
        <f t="shared" ca="1" si="114"/>
        <v>0</v>
      </c>
      <c r="L572" s="68">
        <f t="shared" ca="1" si="115"/>
        <v>0</v>
      </c>
      <c r="M572" s="69">
        <f t="shared" si="116"/>
        <v>0</v>
      </c>
      <c r="N572" s="65" t="str">
        <f t="shared" si="117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8"/>
        <v/>
      </c>
      <c r="U572" s="1">
        <f t="shared" si="119"/>
        <v>0</v>
      </c>
      <c r="V572" s="1">
        <f t="shared" si="120"/>
        <v>2958465</v>
      </c>
      <c r="W572" s="1">
        <f t="shared" si="121"/>
        <v>0</v>
      </c>
      <c r="X572" s="1">
        <f t="shared" si="122"/>
        <v>0</v>
      </c>
      <c r="Y572" s="1">
        <f t="shared" si="123"/>
        <v>97200</v>
      </c>
      <c r="Z572" s="1">
        <f t="shared" si="124"/>
        <v>1</v>
      </c>
      <c r="AA572" s="1">
        <f t="shared" si="125"/>
        <v>0</v>
      </c>
    </row>
    <row r="573" spans="1:27" ht="18" customHeight="1" x14ac:dyDescent="0.3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12"/>
        <v>0</v>
      </c>
      <c r="J573" s="68">
        <f t="shared" ca="1" si="113"/>
        <v>0</v>
      </c>
      <c r="K573" s="68">
        <f t="shared" ca="1" si="114"/>
        <v>0</v>
      </c>
      <c r="L573" s="68">
        <f t="shared" ca="1" si="115"/>
        <v>0</v>
      </c>
      <c r="M573" s="69">
        <f t="shared" si="116"/>
        <v>0</v>
      </c>
      <c r="N573" s="65" t="str">
        <f t="shared" si="117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8"/>
        <v/>
      </c>
      <c r="U573" s="1">
        <f t="shared" si="119"/>
        <v>0</v>
      </c>
      <c r="V573" s="1">
        <f t="shared" si="120"/>
        <v>2958465</v>
      </c>
      <c r="W573" s="1">
        <f t="shared" si="121"/>
        <v>0</v>
      </c>
      <c r="X573" s="1">
        <f t="shared" si="122"/>
        <v>0</v>
      </c>
      <c r="Y573" s="1">
        <f t="shared" si="123"/>
        <v>97200</v>
      </c>
      <c r="Z573" s="1">
        <f t="shared" si="124"/>
        <v>1</v>
      </c>
      <c r="AA573" s="1">
        <f t="shared" si="125"/>
        <v>0</v>
      </c>
    </row>
    <row r="574" spans="1:27" ht="18" customHeight="1" x14ac:dyDescent="0.3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12"/>
        <v>0</v>
      </c>
      <c r="J574" s="68">
        <f t="shared" ca="1" si="113"/>
        <v>0</v>
      </c>
      <c r="K574" s="68">
        <f t="shared" ca="1" si="114"/>
        <v>0</v>
      </c>
      <c r="L574" s="68">
        <f t="shared" ca="1" si="115"/>
        <v>0</v>
      </c>
      <c r="M574" s="69">
        <f t="shared" si="116"/>
        <v>0</v>
      </c>
      <c r="N574" s="65" t="str">
        <f t="shared" si="117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8"/>
        <v/>
      </c>
      <c r="U574" s="1">
        <f t="shared" si="119"/>
        <v>0</v>
      </c>
      <c r="V574" s="1">
        <f t="shared" si="120"/>
        <v>2958465</v>
      </c>
      <c r="W574" s="1">
        <f t="shared" si="121"/>
        <v>0</v>
      </c>
      <c r="X574" s="1">
        <f t="shared" si="122"/>
        <v>0</v>
      </c>
      <c r="Y574" s="1">
        <f t="shared" si="123"/>
        <v>97200</v>
      </c>
      <c r="Z574" s="1">
        <f t="shared" si="124"/>
        <v>1</v>
      </c>
      <c r="AA574" s="1">
        <f t="shared" si="125"/>
        <v>0</v>
      </c>
    </row>
    <row r="575" spans="1:27" ht="18" customHeight="1" x14ac:dyDescent="0.3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12"/>
        <v>0</v>
      </c>
      <c r="J575" s="68">
        <f t="shared" ca="1" si="113"/>
        <v>0</v>
      </c>
      <c r="K575" s="68">
        <f t="shared" ca="1" si="114"/>
        <v>0</v>
      </c>
      <c r="L575" s="68">
        <f t="shared" ca="1" si="115"/>
        <v>0</v>
      </c>
      <c r="M575" s="69">
        <f t="shared" si="116"/>
        <v>0</v>
      </c>
      <c r="N575" s="65" t="str">
        <f t="shared" si="117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8"/>
        <v/>
      </c>
      <c r="U575" s="1">
        <f t="shared" si="119"/>
        <v>0</v>
      </c>
      <c r="V575" s="1">
        <f t="shared" si="120"/>
        <v>2958465</v>
      </c>
      <c r="W575" s="1">
        <f t="shared" si="121"/>
        <v>0</v>
      </c>
      <c r="X575" s="1">
        <f t="shared" si="122"/>
        <v>0</v>
      </c>
      <c r="Y575" s="1">
        <f t="shared" si="123"/>
        <v>97200</v>
      </c>
      <c r="Z575" s="1">
        <f t="shared" si="124"/>
        <v>1</v>
      </c>
      <c r="AA575" s="1">
        <f t="shared" si="125"/>
        <v>0</v>
      </c>
    </row>
    <row r="576" spans="1:27" ht="18" customHeight="1" x14ac:dyDescent="0.3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12"/>
        <v>0</v>
      </c>
      <c r="J576" s="68">
        <f t="shared" ca="1" si="113"/>
        <v>0</v>
      </c>
      <c r="K576" s="68">
        <f t="shared" ca="1" si="114"/>
        <v>0</v>
      </c>
      <c r="L576" s="68">
        <f t="shared" ca="1" si="115"/>
        <v>0</v>
      </c>
      <c r="M576" s="69">
        <f t="shared" si="116"/>
        <v>0</v>
      </c>
      <c r="N576" s="65" t="str">
        <f t="shared" si="117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8"/>
        <v/>
      </c>
      <c r="U576" s="1">
        <f t="shared" si="119"/>
        <v>0</v>
      </c>
      <c r="V576" s="1">
        <f t="shared" si="120"/>
        <v>2958465</v>
      </c>
      <c r="W576" s="1">
        <f t="shared" si="121"/>
        <v>0</v>
      </c>
      <c r="X576" s="1">
        <f t="shared" si="122"/>
        <v>0</v>
      </c>
      <c r="Y576" s="1">
        <f t="shared" si="123"/>
        <v>97200</v>
      </c>
      <c r="Z576" s="1">
        <f t="shared" si="124"/>
        <v>1</v>
      </c>
      <c r="AA576" s="1">
        <f t="shared" si="125"/>
        <v>0</v>
      </c>
    </row>
    <row r="577" spans="1:27" ht="18" customHeight="1" x14ac:dyDescent="0.3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12"/>
        <v>0</v>
      </c>
      <c r="J577" s="68">
        <f t="shared" ca="1" si="113"/>
        <v>0</v>
      </c>
      <c r="K577" s="68">
        <f t="shared" ca="1" si="114"/>
        <v>0</v>
      </c>
      <c r="L577" s="68">
        <f t="shared" ca="1" si="115"/>
        <v>0</v>
      </c>
      <c r="M577" s="69">
        <f t="shared" si="116"/>
        <v>0</v>
      </c>
      <c r="N577" s="65" t="str">
        <f t="shared" si="117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8"/>
        <v/>
      </c>
      <c r="U577" s="1">
        <f t="shared" si="119"/>
        <v>0</v>
      </c>
      <c r="V577" s="1">
        <f t="shared" si="120"/>
        <v>2958465</v>
      </c>
      <c r="W577" s="1">
        <f t="shared" si="121"/>
        <v>0</v>
      </c>
      <c r="X577" s="1">
        <f t="shared" si="122"/>
        <v>0</v>
      </c>
      <c r="Y577" s="1">
        <f t="shared" si="123"/>
        <v>97200</v>
      </c>
      <c r="Z577" s="1">
        <f t="shared" si="124"/>
        <v>1</v>
      </c>
      <c r="AA577" s="1">
        <f t="shared" si="125"/>
        <v>0</v>
      </c>
    </row>
    <row r="578" spans="1:27" ht="18" customHeight="1" x14ac:dyDescent="0.3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12"/>
        <v>0</v>
      </c>
      <c r="J578" s="68">
        <f t="shared" ca="1" si="113"/>
        <v>0</v>
      </c>
      <c r="K578" s="68">
        <f t="shared" ca="1" si="114"/>
        <v>0</v>
      </c>
      <c r="L578" s="68">
        <f t="shared" ca="1" si="115"/>
        <v>0</v>
      </c>
      <c r="M578" s="69">
        <f t="shared" si="116"/>
        <v>0</v>
      </c>
      <c r="N578" s="65" t="str">
        <f t="shared" si="117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8"/>
        <v/>
      </c>
      <c r="U578" s="1">
        <f t="shared" si="119"/>
        <v>0</v>
      </c>
      <c r="V578" s="1">
        <f t="shared" si="120"/>
        <v>2958465</v>
      </c>
      <c r="W578" s="1">
        <f t="shared" si="121"/>
        <v>0</v>
      </c>
      <c r="X578" s="1">
        <f t="shared" si="122"/>
        <v>0</v>
      </c>
      <c r="Y578" s="1">
        <f t="shared" si="123"/>
        <v>97200</v>
      </c>
      <c r="Z578" s="1">
        <f t="shared" si="124"/>
        <v>1</v>
      </c>
      <c r="AA578" s="1">
        <f t="shared" si="125"/>
        <v>0</v>
      </c>
    </row>
    <row r="579" spans="1:27" ht="18" customHeight="1" x14ac:dyDescent="0.3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12"/>
        <v>0</v>
      </c>
      <c r="J579" s="68">
        <f t="shared" ca="1" si="113"/>
        <v>0</v>
      </c>
      <c r="K579" s="68">
        <f t="shared" ca="1" si="114"/>
        <v>0</v>
      </c>
      <c r="L579" s="68">
        <f t="shared" ca="1" si="115"/>
        <v>0</v>
      </c>
      <c r="M579" s="69">
        <f t="shared" si="116"/>
        <v>0</v>
      </c>
      <c r="N579" s="65" t="str">
        <f t="shared" si="117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8"/>
        <v/>
      </c>
      <c r="U579" s="1">
        <f t="shared" si="119"/>
        <v>0</v>
      </c>
      <c r="V579" s="1">
        <f t="shared" si="120"/>
        <v>2958465</v>
      </c>
      <c r="W579" s="1">
        <f t="shared" si="121"/>
        <v>0</v>
      </c>
      <c r="X579" s="1">
        <f t="shared" si="122"/>
        <v>0</v>
      </c>
      <c r="Y579" s="1">
        <f t="shared" si="123"/>
        <v>97200</v>
      </c>
      <c r="Z579" s="1">
        <f t="shared" si="124"/>
        <v>1</v>
      </c>
      <c r="AA579" s="1">
        <f t="shared" si="125"/>
        <v>0</v>
      </c>
    </row>
    <row r="580" spans="1:27" ht="18" customHeight="1" x14ac:dyDescent="0.3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12"/>
        <v>0</v>
      </c>
      <c r="J580" s="68">
        <f t="shared" ca="1" si="113"/>
        <v>0</v>
      </c>
      <c r="K580" s="68">
        <f t="shared" ca="1" si="114"/>
        <v>0</v>
      </c>
      <c r="L580" s="68">
        <f t="shared" ca="1" si="115"/>
        <v>0</v>
      </c>
      <c r="M580" s="69">
        <f t="shared" si="116"/>
        <v>0</v>
      </c>
      <c r="N580" s="65" t="str">
        <f t="shared" si="117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8"/>
        <v/>
      </c>
      <c r="U580" s="1">
        <f t="shared" si="119"/>
        <v>0</v>
      </c>
      <c r="V580" s="1">
        <f t="shared" si="120"/>
        <v>2958465</v>
      </c>
      <c r="W580" s="1">
        <f t="shared" si="121"/>
        <v>0</v>
      </c>
      <c r="X580" s="1">
        <f t="shared" si="122"/>
        <v>0</v>
      </c>
      <c r="Y580" s="1">
        <f t="shared" si="123"/>
        <v>97200</v>
      </c>
      <c r="Z580" s="1">
        <f t="shared" si="124"/>
        <v>1</v>
      </c>
      <c r="AA580" s="1">
        <f t="shared" si="125"/>
        <v>0</v>
      </c>
    </row>
    <row r="581" spans="1:27" ht="18" customHeight="1" x14ac:dyDescent="0.3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12"/>
        <v>0</v>
      </c>
      <c r="J581" s="68">
        <f t="shared" ca="1" si="113"/>
        <v>0</v>
      </c>
      <c r="K581" s="68">
        <f t="shared" ca="1" si="114"/>
        <v>0</v>
      </c>
      <c r="L581" s="68">
        <f t="shared" ca="1" si="115"/>
        <v>0</v>
      </c>
      <c r="M581" s="69">
        <f t="shared" si="116"/>
        <v>0</v>
      </c>
      <c r="N581" s="65" t="str">
        <f t="shared" si="117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8"/>
        <v/>
      </c>
      <c r="U581" s="1">
        <f t="shared" si="119"/>
        <v>0</v>
      </c>
      <c r="V581" s="1">
        <f t="shared" si="120"/>
        <v>2958465</v>
      </c>
      <c r="W581" s="1">
        <f t="shared" si="121"/>
        <v>0</v>
      </c>
      <c r="X581" s="1">
        <f t="shared" si="122"/>
        <v>0</v>
      </c>
      <c r="Y581" s="1">
        <f t="shared" si="123"/>
        <v>97200</v>
      </c>
      <c r="Z581" s="1">
        <f t="shared" si="124"/>
        <v>1</v>
      </c>
      <c r="AA581" s="1">
        <f t="shared" si="125"/>
        <v>0</v>
      </c>
    </row>
    <row r="582" spans="1:27" ht="18" customHeight="1" x14ac:dyDescent="0.3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12"/>
        <v>0</v>
      </c>
      <c r="J582" s="68">
        <f t="shared" ca="1" si="113"/>
        <v>0</v>
      </c>
      <c r="K582" s="68">
        <f t="shared" ca="1" si="114"/>
        <v>0</v>
      </c>
      <c r="L582" s="68">
        <f t="shared" ca="1" si="115"/>
        <v>0</v>
      </c>
      <c r="M582" s="69">
        <f t="shared" si="116"/>
        <v>0</v>
      </c>
      <c r="N582" s="65" t="str">
        <f t="shared" si="117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8"/>
        <v/>
      </c>
      <c r="U582" s="1">
        <f t="shared" si="119"/>
        <v>0</v>
      </c>
      <c r="V582" s="1">
        <f t="shared" si="120"/>
        <v>2958465</v>
      </c>
      <c r="W582" s="1">
        <f t="shared" si="121"/>
        <v>0</v>
      </c>
      <c r="X582" s="1">
        <f t="shared" si="122"/>
        <v>0</v>
      </c>
      <c r="Y582" s="1">
        <f t="shared" si="123"/>
        <v>97200</v>
      </c>
      <c r="Z582" s="1">
        <f t="shared" si="124"/>
        <v>1</v>
      </c>
      <c r="AA582" s="1">
        <f t="shared" si="125"/>
        <v>0</v>
      </c>
    </row>
    <row r="583" spans="1:27" ht="18" customHeight="1" x14ac:dyDescent="0.3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26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27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28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9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30">IF($G583&gt;0,$I583/$G583,0)</f>
        <v>0</v>
      </c>
      <c r="N583" s="65" t="str">
        <f t="shared" ref="N583:N606" si="131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32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33">IF($O583="",0,$O583)</f>
        <v>0</v>
      </c>
      <c r="V583" s="1">
        <f t="shared" ref="V583:V606" si="134">IF($E583="",2958465,$E583)</f>
        <v>2958465</v>
      </c>
      <c r="W583" s="1">
        <f t="shared" ref="W583:W606" si="135">IF($F583="Haftalık",1,IF($F583="Aylık",2,0))</f>
        <v>0</v>
      </c>
      <c r="X583" s="1">
        <f t="shared" ref="X583:X606" si="136">IF($U583=0,0,(YEAR($U583)-1900)*12+MONTH($U583))</f>
        <v>0</v>
      </c>
      <c r="Y583" s="1">
        <f t="shared" ref="Y583:Y606" si="137">(YEAR($V583)-1900)*12+MONTH($V583)</f>
        <v>97200</v>
      </c>
      <c r="Z583" s="1">
        <f t="shared" ref="Z583:Z606" si="138">IF($V583=EOMONTH($V583,0),1,0)</f>
        <v>1</v>
      </c>
      <c r="AA583" s="1">
        <f t="shared" ref="AA583:AA606" si="139">IF(OR($B583="",$H583&lt;&gt;"Aktif"),0,COUNTIFS($B$7:$B$606,$B583,$H$7:$H$606,"Aktif"))</f>
        <v>0</v>
      </c>
    </row>
    <row r="584" spans="1:27" ht="18" customHeight="1" x14ac:dyDescent="0.3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26"/>
        <v>0</v>
      </c>
      <c r="J584" s="68">
        <f t="shared" ca="1" si="127"/>
        <v>0</v>
      </c>
      <c r="K584" s="68">
        <f t="shared" ca="1" si="128"/>
        <v>0</v>
      </c>
      <c r="L584" s="68">
        <f t="shared" ca="1" si="129"/>
        <v>0</v>
      </c>
      <c r="M584" s="69">
        <f t="shared" si="130"/>
        <v>0</v>
      </c>
      <c r="N584" s="65" t="str">
        <f t="shared" si="131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32"/>
        <v/>
      </c>
      <c r="U584" s="1">
        <f t="shared" si="133"/>
        <v>0</v>
      </c>
      <c r="V584" s="1">
        <f t="shared" si="134"/>
        <v>2958465</v>
      </c>
      <c r="W584" s="1">
        <f t="shared" si="135"/>
        <v>0</v>
      </c>
      <c r="X584" s="1">
        <f t="shared" si="136"/>
        <v>0</v>
      </c>
      <c r="Y584" s="1">
        <f t="shared" si="137"/>
        <v>97200</v>
      </c>
      <c r="Z584" s="1">
        <f t="shared" si="138"/>
        <v>1</v>
      </c>
      <c r="AA584" s="1">
        <f t="shared" si="139"/>
        <v>0</v>
      </c>
    </row>
    <row r="585" spans="1:27" ht="18" customHeight="1" x14ac:dyDescent="0.3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26"/>
        <v>0</v>
      </c>
      <c r="J585" s="68">
        <f t="shared" ca="1" si="127"/>
        <v>0</v>
      </c>
      <c r="K585" s="68">
        <f t="shared" ca="1" si="128"/>
        <v>0</v>
      </c>
      <c r="L585" s="68">
        <f t="shared" ca="1" si="129"/>
        <v>0</v>
      </c>
      <c r="M585" s="69">
        <f t="shared" si="130"/>
        <v>0</v>
      </c>
      <c r="N585" s="65" t="str">
        <f t="shared" si="131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32"/>
        <v/>
      </c>
      <c r="U585" s="1">
        <f t="shared" si="133"/>
        <v>0</v>
      </c>
      <c r="V585" s="1">
        <f t="shared" si="134"/>
        <v>2958465</v>
      </c>
      <c r="W585" s="1">
        <f t="shared" si="135"/>
        <v>0</v>
      </c>
      <c r="X585" s="1">
        <f t="shared" si="136"/>
        <v>0</v>
      </c>
      <c r="Y585" s="1">
        <f t="shared" si="137"/>
        <v>97200</v>
      </c>
      <c r="Z585" s="1">
        <f t="shared" si="138"/>
        <v>1</v>
      </c>
      <c r="AA585" s="1">
        <f t="shared" si="139"/>
        <v>0</v>
      </c>
    </row>
    <row r="586" spans="1:27" ht="18" customHeight="1" x14ac:dyDescent="0.3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26"/>
        <v>0</v>
      </c>
      <c r="J586" s="68">
        <f t="shared" ca="1" si="127"/>
        <v>0</v>
      </c>
      <c r="K586" s="68">
        <f t="shared" ca="1" si="128"/>
        <v>0</v>
      </c>
      <c r="L586" s="68">
        <f t="shared" ca="1" si="129"/>
        <v>0</v>
      </c>
      <c r="M586" s="69">
        <f t="shared" si="130"/>
        <v>0</v>
      </c>
      <c r="N586" s="65" t="str">
        <f t="shared" si="131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32"/>
        <v/>
      </c>
      <c r="U586" s="1">
        <f t="shared" si="133"/>
        <v>0</v>
      </c>
      <c r="V586" s="1">
        <f t="shared" si="134"/>
        <v>2958465</v>
      </c>
      <c r="W586" s="1">
        <f t="shared" si="135"/>
        <v>0</v>
      </c>
      <c r="X586" s="1">
        <f t="shared" si="136"/>
        <v>0</v>
      </c>
      <c r="Y586" s="1">
        <f t="shared" si="137"/>
        <v>97200</v>
      </c>
      <c r="Z586" s="1">
        <f t="shared" si="138"/>
        <v>1</v>
      </c>
      <c r="AA586" s="1">
        <f t="shared" si="139"/>
        <v>0</v>
      </c>
    </row>
    <row r="587" spans="1:27" ht="18" customHeight="1" x14ac:dyDescent="0.3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26"/>
        <v>0</v>
      </c>
      <c r="J587" s="68">
        <f t="shared" ca="1" si="127"/>
        <v>0</v>
      </c>
      <c r="K587" s="68">
        <f t="shared" ca="1" si="128"/>
        <v>0</v>
      </c>
      <c r="L587" s="68">
        <f t="shared" ca="1" si="129"/>
        <v>0</v>
      </c>
      <c r="M587" s="69">
        <f t="shared" si="130"/>
        <v>0</v>
      </c>
      <c r="N587" s="65" t="str">
        <f t="shared" si="131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32"/>
        <v/>
      </c>
      <c r="U587" s="1">
        <f t="shared" si="133"/>
        <v>0</v>
      </c>
      <c r="V587" s="1">
        <f t="shared" si="134"/>
        <v>2958465</v>
      </c>
      <c r="W587" s="1">
        <f t="shared" si="135"/>
        <v>0</v>
      </c>
      <c r="X587" s="1">
        <f t="shared" si="136"/>
        <v>0</v>
      </c>
      <c r="Y587" s="1">
        <f t="shared" si="137"/>
        <v>97200</v>
      </c>
      <c r="Z587" s="1">
        <f t="shared" si="138"/>
        <v>1</v>
      </c>
      <c r="AA587" s="1">
        <f t="shared" si="139"/>
        <v>0</v>
      </c>
    </row>
    <row r="588" spans="1:27" ht="18" customHeight="1" x14ac:dyDescent="0.3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26"/>
        <v>0</v>
      </c>
      <c r="J588" s="68">
        <f t="shared" ca="1" si="127"/>
        <v>0</v>
      </c>
      <c r="K588" s="68">
        <f t="shared" ca="1" si="128"/>
        <v>0</v>
      </c>
      <c r="L588" s="68">
        <f t="shared" ca="1" si="129"/>
        <v>0</v>
      </c>
      <c r="M588" s="69">
        <f t="shared" si="130"/>
        <v>0</v>
      </c>
      <c r="N588" s="65" t="str">
        <f t="shared" si="131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32"/>
        <v/>
      </c>
      <c r="U588" s="1">
        <f t="shared" si="133"/>
        <v>0</v>
      </c>
      <c r="V588" s="1">
        <f t="shared" si="134"/>
        <v>2958465</v>
      </c>
      <c r="W588" s="1">
        <f t="shared" si="135"/>
        <v>0</v>
      </c>
      <c r="X588" s="1">
        <f t="shared" si="136"/>
        <v>0</v>
      </c>
      <c r="Y588" s="1">
        <f t="shared" si="137"/>
        <v>97200</v>
      </c>
      <c r="Z588" s="1">
        <f t="shared" si="138"/>
        <v>1</v>
      </c>
      <c r="AA588" s="1">
        <f t="shared" si="139"/>
        <v>0</v>
      </c>
    </row>
    <row r="589" spans="1:27" ht="18" customHeight="1" x14ac:dyDescent="0.3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26"/>
        <v>0</v>
      </c>
      <c r="J589" s="68">
        <f t="shared" ca="1" si="127"/>
        <v>0</v>
      </c>
      <c r="K589" s="68">
        <f t="shared" ca="1" si="128"/>
        <v>0</v>
      </c>
      <c r="L589" s="68">
        <f t="shared" ca="1" si="129"/>
        <v>0</v>
      </c>
      <c r="M589" s="69">
        <f t="shared" si="130"/>
        <v>0</v>
      </c>
      <c r="N589" s="65" t="str">
        <f t="shared" si="131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32"/>
        <v/>
      </c>
      <c r="U589" s="1">
        <f t="shared" si="133"/>
        <v>0</v>
      </c>
      <c r="V589" s="1">
        <f t="shared" si="134"/>
        <v>2958465</v>
      </c>
      <c r="W589" s="1">
        <f t="shared" si="135"/>
        <v>0</v>
      </c>
      <c r="X589" s="1">
        <f t="shared" si="136"/>
        <v>0</v>
      </c>
      <c r="Y589" s="1">
        <f t="shared" si="137"/>
        <v>97200</v>
      </c>
      <c r="Z589" s="1">
        <f t="shared" si="138"/>
        <v>1</v>
      </c>
      <c r="AA589" s="1">
        <f t="shared" si="139"/>
        <v>0</v>
      </c>
    </row>
    <row r="590" spans="1:27" ht="18" customHeight="1" x14ac:dyDescent="0.3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26"/>
        <v>0</v>
      </c>
      <c r="J590" s="68">
        <f t="shared" ca="1" si="127"/>
        <v>0</v>
      </c>
      <c r="K590" s="68">
        <f t="shared" ca="1" si="128"/>
        <v>0</v>
      </c>
      <c r="L590" s="68">
        <f t="shared" ca="1" si="129"/>
        <v>0</v>
      </c>
      <c r="M590" s="69">
        <f t="shared" si="130"/>
        <v>0</v>
      </c>
      <c r="N590" s="65" t="str">
        <f t="shared" si="131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32"/>
        <v/>
      </c>
      <c r="U590" s="1">
        <f t="shared" si="133"/>
        <v>0</v>
      </c>
      <c r="V590" s="1">
        <f t="shared" si="134"/>
        <v>2958465</v>
      </c>
      <c r="W590" s="1">
        <f t="shared" si="135"/>
        <v>0</v>
      </c>
      <c r="X590" s="1">
        <f t="shared" si="136"/>
        <v>0</v>
      </c>
      <c r="Y590" s="1">
        <f t="shared" si="137"/>
        <v>97200</v>
      </c>
      <c r="Z590" s="1">
        <f t="shared" si="138"/>
        <v>1</v>
      </c>
      <c r="AA590" s="1">
        <f t="shared" si="139"/>
        <v>0</v>
      </c>
    </row>
    <row r="591" spans="1:27" ht="18" customHeight="1" x14ac:dyDescent="0.3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26"/>
        <v>0</v>
      </c>
      <c r="J591" s="68">
        <f t="shared" ca="1" si="127"/>
        <v>0</v>
      </c>
      <c r="K591" s="68">
        <f t="shared" ca="1" si="128"/>
        <v>0</v>
      </c>
      <c r="L591" s="68">
        <f t="shared" ca="1" si="129"/>
        <v>0</v>
      </c>
      <c r="M591" s="69">
        <f t="shared" si="130"/>
        <v>0</v>
      </c>
      <c r="N591" s="65" t="str">
        <f t="shared" si="131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32"/>
        <v/>
      </c>
      <c r="U591" s="1">
        <f t="shared" si="133"/>
        <v>0</v>
      </c>
      <c r="V591" s="1">
        <f t="shared" si="134"/>
        <v>2958465</v>
      </c>
      <c r="W591" s="1">
        <f t="shared" si="135"/>
        <v>0</v>
      </c>
      <c r="X591" s="1">
        <f t="shared" si="136"/>
        <v>0</v>
      </c>
      <c r="Y591" s="1">
        <f t="shared" si="137"/>
        <v>97200</v>
      </c>
      <c r="Z591" s="1">
        <f t="shared" si="138"/>
        <v>1</v>
      </c>
      <c r="AA591" s="1">
        <f t="shared" si="139"/>
        <v>0</v>
      </c>
    </row>
    <row r="592" spans="1:27" ht="18" customHeight="1" x14ac:dyDescent="0.3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26"/>
        <v>0</v>
      </c>
      <c r="J592" s="68">
        <f t="shared" ca="1" si="127"/>
        <v>0</v>
      </c>
      <c r="K592" s="68">
        <f t="shared" ca="1" si="128"/>
        <v>0</v>
      </c>
      <c r="L592" s="68">
        <f t="shared" ca="1" si="129"/>
        <v>0</v>
      </c>
      <c r="M592" s="69">
        <f t="shared" si="130"/>
        <v>0</v>
      </c>
      <c r="N592" s="65" t="str">
        <f t="shared" si="131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32"/>
        <v/>
      </c>
      <c r="U592" s="1">
        <f t="shared" si="133"/>
        <v>0</v>
      </c>
      <c r="V592" s="1">
        <f t="shared" si="134"/>
        <v>2958465</v>
      </c>
      <c r="W592" s="1">
        <f t="shared" si="135"/>
        <v>0</v>
      </c>
      <c r="X592" s="1">
        <f t="shared" si="136"/>
        <v>0</v>
      </c>
      <c r="Y592" s="1">
        <f t="shared" si="137"/>
        <v>97200</v>
      </c>
      <c r="Z592" s="1">
        <f t="shared" si="138"/>
        <v>1</v>
      </c>
      <c r="AA592" s="1">
        <f t="shared" si="139"/>
        <v>0</v>
      </c>
    </row>
    <row r="593" spans="1:27" ht="18" customHeight="1" x14ac:dyDescent="0.3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26"/>
        <v>0</v>
      </c>
      <c r="J593" s="68">
        <f t="shared" ca="1" si="127"/>
        <v>0</v>
      </c>
      <c r="K593" s="68">
        <f t="shared" ca="1" si="128"/>
        <v>0</v>
      </c>
      <c r="L593" s="68">
        <f t="shared" ca="1" si="129"/>
        <v>0</v>
      </c>
      <c r="M593" s="69">
        <f t="shared" si="130"/>
        <v>0</v>
      </c>
      <c r="N593" s="65" t="str">
        <f t="shared" si="131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32"/>
        <v/>
      </c>
      <c r="U593" s="1">
        <f t="shared" si="133"/>
        <v>0</v>
      </c>
      <c r="V593" s="1">
        <f t="shared" si="134"/>
        <v>2958465</v>
      </c>
      <c r="W593" s="1">
        <f t="shared" si="135"/>
        <v>0</v>
      </c>
      <c r="X593" s="1">
        <f t="shared" si="136"/>
        <v>0</v>
      </c>
      <c r="Y593" s="1">
        <f t="shared" si="137"/>
        <v>97200</v>
      </c>
      <c r="Z593" s="1">
        <f t="shared" si="138"/>
        <v>1</v>
      </c>
      <c r="AA593" s="1">
        <f t="shared" si="139"/>
        <v>0</v>
      </c>
    </row>
    <row r="594" spans="1:27" ht="18" customHeight="1" x14ac:dyDescent="0.3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26"/>
        <v>0</v>
      </c>
      <c r="J594" s="68">
        <f t="shared" ca="1" si="127"/>
        <v>0</v>
      </c>
      <c r="K594" s="68">
        <f t="shared" ca="1" si="128"/>
        <v>0</v>
      </c>
      <c r="L594" s="68">
        <f t="shared" ca="1" si="129"/>
        <v>0</v>
      </c>
      <c r="M594" s="69">
        <f t="shared" si="130"/>
        <v>0</v>
      </c>
      <c r="N594" s="65" t="str">
        <f t="shared" si="131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32"/>
        <v/>
      </c>
      <c r="U594" s="1">
        <f t="shared" si="133"/>
        <v>0</v>
      </c>
      <c r="V594" s="1">
        <f t="shared" si="134"/>
        <v>2958465</v>
      </c>
      <c r="W594" s="1">
        <f t="shared" si="135"/>
        <v>0</v>
      </c>
      <c r="X594" s="1">
        <f t="shared" si="136"/>
        <v>0</v>
      </c>
      <c r="Y594" s="1">
        <f t="shared" si="137"/>
        <v>97200</v>
      </c>
      <c r="Z594" s="1">
        <f t="shared" si="138"/>
        <v>1</v>
      </c>
      <c r="AA594" s="1">
        <f t="shared" si="139"/>
        <v>0</v>
      </c>
    </row>
    <row r="595" spans="1:27" ht="18" customHeight="1" x14ac:dyDescent="0.3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26"/>
        <v>0</v>
      </c>
      <c r="J595" s="68">
        <f t="shared" ca="1" si="127"/>
        <v>0</v>
      </c>
      <c r="K595" s="68">
        <f t="shared" ca="1" si="128"/>
        <v>0</v>
      </c>
      <c r="L595" s="68">
        <f t="shared" ca="1" si="129"/>
        <v>0</v>
      </c>
      <c r="M595" s="69">
        <f t="shared" si="130"/>
        <v>0</v>
      </c>
      <c r="N595" s="65" t="str">
        <f t="shared" si="131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32"/>
        <v/>
      </c>
      <c r="U595" s="1">
        <f t="shared" si="133"/>
        <v>0</v>
      </c>
      <c r="V595" s="1">
        <f t="shared" si="134"/>
        <v>2958465</v>
      </c>
      <c r="W595" s="1">
        <f t="shared" si="135"/>
        <v>0</v>
      </c>
      <c r="X595" s="1">
        <f t="shared" si="136"/>
        <v>0</v>
      </c>
      <c r="Y595" s="1">
        <f t="shared" si="137"/>
        <v>97200</v>
      </c>
      <c r="Z595" s="1">
        <f t="shared" si="138"/>
        <v>1</v>
      </c>
      <c r="AA595" s="1">
        <f t="shared" si="139"/>
        <v>0</v>
      </c>
    </row>
    <row r="596" spans="1:27" ht="18" customHeight="1" x14ac:dyDescent="0.3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26"/>
        <v>0</v>
      </c>
      <c r="J596" s="68">
        <f t="shared" ca="1" si="127"/>
        <v>0</v>
      </c>
      <c r="K596" s="68">
        <f t="shared" ca="1" si="128"/>
        <v>0</v>
      </c>
      <c r="L596" s="68">
        <f t="shared" ca="1" si="129"/>
        <v>0</v>
      </c>
      <c r="M596" s="69">
        <f t="shared" si="130"/>
        <v>0</v>
      </c>
      <c r="N596" s="65" t="str">
        <f t="shared" si="131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32"/>
        <v/>
      </c>
      <c r="U596" s="1">
        <f t="shared" si="133"/>
        <v>0</v>
      </c>
      <c r="V596" s="1">
        <f t="shared" si="134"/>
        <v>2958465</v>
      </c>
      <c r="W596" s="1">
        <f t="shared" si="135"/>
        <v>0</v>
      </c>
      <c r="X596" s="1">
        <f t="shared" si="136"/>
        <v>0</v>
      </c>
      <c r="Y596" s="1">
        <f t="shared" si="137"/>
        <v>97200</v>
      </c>
      <c r="Z596" s="1">
        <f t="shared" si="138"/>
        <v>1</v>
      </c>
      <c r="AA596" s="1">
        <f t="shared" si="139"/>
        <v>0</v>
      </c>
    </row>
    <row r="597" spans="1:27" ht="18" customHeight="1" x14ac:dyDescent="0.3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26"/>
        <v>0</v>
      </c>
      <c r="J597" s="68">
        <f t="shared" ca="1" si="127"/>
        <v>0</v>
      </c>
      <c r="K597" s="68">
        <f t="shared" ca="1" si="128"/>
        <v>0</v>
      </c>
      <c r="L597" s="68">
        <f t="shared" ca="1" si="129"/>
        <v>0</v>
      </c>
      <c r="M597" s="69">
        <f t="shared" si="130"/>
        <v>0</v>
      </c>
      <c r="N597" s="65" t="str">
        <f t="shared" si="131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32"/>
        <v/>
      </c>
      <c r="U597" s="1">
        <f t="shared" si="133"/>
        <v>0</v>
      </c>
      <c r="V597" s="1">
        <f t="shared" si="134"/>
        <v>2958465</v>
      </c>
      <c r="W597" s="1">
        <f t="shared" si="135"/>
        <v>0</v>
      </c>
      <c r="X597" s="1">
        <f t="shared" si="136"/>
        <v>0</v>
      </c>
      <c r="Y597" s="1">
        <f t="shared" si="137"/>
        <v>97200</v>
      </c>
      <c r="Z597" s="1">
        <f t="shared" si="138"/>
        <v>1</v>
      </c>
      <c r="AA597" s="1">
        <f t="shared" si="139"/>
        <v>0</v>
      </c>
    </row>
    <row r="598" spans="1:27" ht="18" customHeight="1" x14ac:dyDescent="0.3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26"/>
        <v>0</v>
      </c>
      <c r="J598" s="68">
        <f t="shared" ca="1" si="127"/>
        <v>0</v>
      </c>
      <c r="K598" s="68">
        <f t="shared" ca="1" si="128"/>
        <v>0</v>
      </c>
      <c r="L598" s="68">
        <f t="shared" ca="1" si="129"/>
        <v>0</v>
      </c>
      <c r="M598" s="69">
        <f t="shared" si="130"/>
        <v>0</v>
      </c>
      <c r="N598" s="65" t="str">
        <f t="shared" si="131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32"/>
        <v/>
      </c>
      <c r="U598" s="1">
        <f t="shared" si="133"/>
        <v>0</v>
      </c>
      <c r="V598" s="1">
        <f t="shared" si="134"/>
        <v>2958465</v>
      </c>
      <c r="W598" s="1">
        <f t="shared" si="135"/>
        <v>0</v>
      </c>
      <c r="X598" s="1">
        <f t="shared" si="136"/>
        <v>0</v>
      </c>
      <c r="Y598" s="1">
        <f t="shared" si="137"/>
        <v>97200</v>
      </c>
      <c r="Z598" s="1">
        <f t="shared" si="138"/>
        <v>1</v>
      </c>
      <c r="AA598" s="1">
        <f t="shared" si="139"/>
        <v>0</v>
      </c>
    </row>
    <row r="599" spans="1:27" ht="18" customHeight="1" x14ac:dyDescent="0.3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26"/>
        <v>0</v>
      </c>
      <c r="J599" s="68">
        <f t="shared" ca="1" si="127"/>
        <v>0</v>
      </c>
      <c r="K599" s="68">
        <f t="shared" ca="1" si="128"/>
        <v>0</v>
      </c>
      <c r="L599" s="68">
        <f t="shared" ca="1" si="129"/>
        <v>0</v>
      </c>
      <c r="M599" s="69">
        <f t="shared" si="130"/>
        <v>0</v>
      </c>
      <c r="N599" s="65" t="str">
        <f t="shared" si="131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32"/>
        <v/>
      </c>
      <c r="U599" s="1">
        <f t="shared" si="133"/>
        <v>0</v>
      </c>
      <c r="V599" s="1">
        <f t="shared" si="134"/>
        <v>2958465</v>
      </c>
      <c r="W599" s="1">
        <f t="shared" si="135"/>
        <v>0</v>
      </c>
      <c r="X599" s="1">
        <f t="shared" si="136"/>
        <v>0</v>
      </c>
      <c r="Y599" s="1">
        <f t="shared" si="137"/>
        <v>97200</v>
      </c>
      <c r="Z599" s="1">
        <f t="shared" si="138"/>
        <v>1</v>
      </c>
      <c r="AA599" s="1">
        <f t="shared" si="139"/>
        <v>0</v>
      </c>
    </row>
    <row r="600" spans="1:27" ht="18" customHeight="1" x14ac:dyDescent="0.3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26"/>
        <v>0</v>
      </c>
      <c r="J600" s="68">
        <f t="shared" ca="1" si="127"/>
        <v>0</v>
      </c>
      <c r="K600" s="68">
        <f t="shared" ca="1" si="128"/>
        <v>0</v>
      </c>
      <c r="L600" s="68">
        <f t="shared" ca="1" si="129"/>
        <v>0</v>
      </c>
      <c r="M600" s="69">
        <f t="shared" si="130"/>
        <v>0</v>
      </c>
      <c r="N600" s="65" t="str">
        <f t="shared" si="131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32"/>
        <v/>
      </c>
      <c r="U600" s="1">
        <f t="shared" si="133"/>
        <v>0</v>
      </c>
      <c r="V600" s="1">
        <f t="shared" si="134"/>
        <v>2958465</v>
      </c>
      <c r="W600" s="1">
        <f t="shared" si="135"/>
        <v>0</v>
      </c>
      <c r="X600" s="1">
        <f t="shared" si="136"/>
        <v>0</v>
      </c>
      <c r="Y600" s="1">
        <f t="shared" si="137"/>
        <v>97200</v>
      </c>
      <c r="Z600" s="1">
        <f t="shared" si="138"/>
        <v>1</v>
      </c>
      <c r="AA600" s="1">
        <f t="shared" si="139"/>
        <v>0</v>
      </c>
    </row>
    <row r="601" spans="1:27" ht="18" customHeight="1" x14ac:dyDescent="0.3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26"/>
        <v>0</v>
      </c>
      <c r="J601" s="68">
        <f t="shared" ca="1" si="127"/>
        <v>0</v>
      </c>
      <c r="K601" s="68">
        <f t="shared" ca="1" si="128"/>
        <v>0</v>
      </c>
      <c r="L601" s="68">
        <f t="shared" ca="1" si="129"/>
        <v>0</v>
      </c>
      <c r="M601" s="69">
        <f t="shared" si="130"/>
        <v>0</v>
      </c>
      <c r="N601" s="65" t="str">
        <f t="shared" si="131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32"/>
        <v/>
      </c>
      <c r="U601" s="1">
        <f t="shared" si="133"/>
        <v>0</v>
      </c>
      <c r="V601" s="1">
        <f t="shared" si="134"/>
        <v>2958465</v>
      </c>
      <c r="W601" s="1">
        <f t="shared" si="135"/>
        <v>0</v>
      </c>
      <c r="X601" s="1">
        <f t="shared" si="136"/>
        <v>0</v>
      </c>
      <c r="Y601" s="1">
        <f t="shared" si="137"/>
        <v>97200</v>
      </c>
      <c r="Z601" s="1">
        <f t="shared" si="138"/>
        <v>1</v>
      </c>
      <c r="AA601" s="1">
        <f t="shared" si="139"/>
        <v>0</v>
      </c>
    </row>
    <row r="602" spans="1:27" ht="18" customHeight="1" x14ac:dyDescent="0.3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26"/>
        <v>0</v>
      </c>
      <c r="J602" s="68">
        <f t="shared" ca="1" si="127"/>
        <v>0</v>
      </c>
      <c r="K602" s="68">
        <f t="shared" ca="1" si="128"/>
        <v>0</v>
      </c>
      <c r="L602" s="68">
        <f t="shared" ca="1" si="129"/>
        <v>0</v>
      </c>
      <c r="M602" s="69">
        <f t="shared" si="130"/>
        <v>0</v>
      </c>
      <c r="N602" s="65" t="str">
        <f t="shared" si="131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32"/>
        <v/>
      </c>
      <c r="U602" s="1">
        <f t="shared" si="133"/>
        <v>0</v>
      </c>
      <c r="V602" s="1">
        <f t="shared" si="134"/>
        <v>2958465</v>
      </c>
      <c r="W602" s="1">
        <f t="shared" si="135"/>
        <v>0</v>
      </c>
      <c r="X602" s="1">
        <f t="shared" si="136"/>
        <v>0</v>
      </c>
      <c r="Y602" s="1">
        <f t="shared" si="137"/>
        <v>97200</v>
      </c>
      <c r="Z602" s="1">
        <f t="shared" si="138"/>
        <v>1</v>
      </c>
      <c r="AA602" s="1">
        <f t="shared" si="139"/>
        <v>0</v>
      </c>
    </row>
    <row r="603" spans="1:27" ht="18" customHeight="1" x14ac:dyDescent="0.3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26"/>
        <v>0</v>
      </c>
      <c r="J603" s="68">
        <f t="shared" ca="1" si="127"/>
        <v>0</v>
      </c>
      <c r="K603" s="68">
        <f t="shared" ca="1" si="128"/>
        <v>0</v>
      </c>
      <c r="L603" s="68">
        <f t="shared" ca="1" si="129"/>
        <v>0</v>
      </c>
      <c r="M603" s="69">
        <f t="shared" si="130"/>
        <v>0</v>
      </c>
      <c r="N603" s="65" t="str">
        <f t="shared" si="131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32"/>
        <v/>
      </c>
      <c r="U603" s="1">
        <f t="shared" si="133"/>
        <v>0</v>
      </c>
      <c r="V603" s="1">
        <f t="shared" si="134"/>
        <v>2958465</v>
      </c>
      <c r="W603" s="1">
        <f t="shared" si="135"/>
        <v>0</v>
      </c>
      <c r="X603" s="1">
        <f t="shared" si="136"/>
        <v>0</v>
      </c>
      <c r="Y603" s="1">
        <f t="shared" si="137"/>
        <v>97200</v>
      </c>
      <c r="Z603" s="1">
        <f t="shared" si="138"/>
        <v>1</v>
      </c>
      <c r="AA603" s="1">
        <f t="shared" si="139"/>
        <v>0</v>
      </c>
    </row>
    <row r="604" spans="1:27" ht="18" customHeight="1" x14ac:dyDescent="0.3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26"/>
        <v>0</v>
      </c>
      <c r="J604" s="68">
        <f t="shared" ca="1" si="127"/>
        <v>0</v>
      </c>
      <c r="K604" s="68">
        <f t="shared" ca="1" si="128"/>
        <v>0</v>
      </c>
      <c r="L604" s="68">
        <f t="shared" ca="1" si="129"/>
        <v>0</v>
      </c>
      <c r="M604" s="69">
        <f t="shared" si="130"/>
        <v>0</v>
      </c>
      <c r="N604" s="65" t="str">
        <f t="shared" si="131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32"/>
        <v/>
      </c>
      <c r="U604" s="1">
        <f t="shared" si="133"/>
        <v>0</v>
      </c>
      <c r="V604" s="1">
        <f t="shared" si="134"/>
        <v>2958465</v>
      </c>
      <c r="W604" s="1">
        <f t="shared" si="135"/>
        <v>0</v>
      </c>
      <c r="X604" s="1">
        <f t="shared" si="136"/>
        <v>0</v>
      </c>
      <c r="Y604" s="1">
        <f t="shared" si="137"/>
        <v>97200</v>
      </c>
      <c r="Z604" s="1">
        <f t="shared" si="138"/>
        <v>1</v>
      </c>
      <c r="AA604" s="1">
        <f t="shared" si="139"/>
        <v>0</v>
      </c>
    </row>
    <row r="605" spans="1:27" ht="18" customHeight="1" x14ac:dyDescent="0.3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26"/>
        <v>0</v>
      </c>
      <c r="J605" s="68">
        <f t="shared" ca="1" si="127"/>
        <v>0</v>
      </c>
      <c r="K605" s="68">
        <f t="shared" ca="1" si="128"/>
        <v>0</v>
      </c>
      <c r="L605" s="68">
        <f t="shared" ca="1" si="129"/>
        <v>0</v>
      </c>
      <c r="M605" s="69">
        <f t="shared" si="130"/>
        <v>0</v>
      </c>
      <c r="N605" s="65" t="str">
        <f t="shared" si="131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32"/>
        <v/>
      </c>
      <c r="U605" s="1">
        <f t="shared" si="133"/>
        <v>0</v>
      </c>
      <c r="V605" s="1">
        <f t="shared" si="134"/>
        <v>2958465</v>
      </c>
      <c r="W605" s="1">
        <f t="shared" si="135"/>
        <v>0</v>
      </c>
      <c r="X605" s="1">
        <f t="shared" si="136"/>
        <v>0</v>
      </c>
      <c r="Y605" s="1">
        <f t="shared" si="137"/>
        <v>97200</v>
      </c>
      <c r="Z605" s="1">
        <f t="shared" si="138"/>
        <v>1</v>
      </c>
      <c r="AA605" s="1">
        <f t="shared" si="139"/>
        <v>0</v>
      </c>
    </row>
    <row r="606" spans="1:27" ht="18" customHeight="1" x14ac:dyDescent="0.3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26"/>
        <v>0</v>
      </c>
      <c r="J606" s="68">
        <f t="shared" ca="1" si="127"/>
        <v>0</v>
      </c>
      <c r="K606" s="68">
        <f t="shared" ca="1" si="128"/>
        <v>0</v>
      </c>
      <c r="L606" s="68">
        <f t="shared" ca="1" si="129"/>
        <v>0</v>
      </c>
      <c r="M606" s="69">
        <f t="shared" si="130"/>
        <v>0</v>
      </c>
      <c r="N606" s="65" t="str">
        <f t="shared" si="131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32"/>
        <v/>
      </c>
      <c r="U606" s="1">
        <f t="shared" si="133"/>
        <v>0</v>
      </c>
      <c r="V606" s="1">
        <f t="shared" si="134"/>
        <v>2958465</v>
      </c>
      <c r="W606" s="1">
        <f t="shared" si="135"/>
        <v>0</v>
      </c>
      <c r="X606" s="1">
        <f t="shared" si="136"/>
        <v>0</v>
      </c>
      <c r="Y606" s="1">
        <f t="shared" si="137"/>
        <v>97200</v>
      </c>
      <c r="Z606" s="1">
        <f t="shared" si="138"/>
        <v>1</v>
      </c>
      <c r="AA606" s="1">
        <f t="shared" si="139"/>
        <v>0</v>
      </c>
    </row>
    <row r="607" spans="1:27" ht="18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7" ht="18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F1:P1"/>
    <mergeCell ref="A1:E1"/>
    <mergeCell ref="A2:P2"/>
  </mergeCells>
  <conditionalFormatting sqref="N7:N606">
    <cfRule type="expression" dxfId="75" priority="2">
      <formula>EXACT($N7,"UYGUN")</formula>
    </cfRule>
    <cfRule type="expression" dxfId="74" priority="3">
      <formula>EXACT($N7,"EKSİK")</formula>
    </cfRule>
    <cfRule type="expression" dxfId="73" priority="4">
      <formula>EXACT($N7,"MODEL SEÇİN")</formula>
    </cfRule>
    <cfRule type="expression" dxfId="72" priority="5">
      <formula>EXACT($N7,"TANIMSIZ MÜŞTERİ")</formula>
    </cfRule>
    <cfRule type="expression" dxfId="71" priority="6">
      <formula>EXACT($N7,"TARİH HATASI")</formula>
    </cfRule>
    <cfRule type="expression" dxfId="70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6CC8"/>
    <pageSetUpPr fitToPage="1"/>
  </sheetPr>
  <dimension ref="A1:U2505"/>
  <sheetViews>
    <sheetView showGridLines="0" zoomScaleNormal="100" workbookViewId="0">
      <pane xSplit="4" ySplit="6" topLeftCell="E540" activePane="bottomRight" state="frozen"/>
      <selection pane="topRight" activeCell="E1" sqref="E1"/>
      <selection pane="bottomLeft" activeCell="A469" sqref="A469"/>
      <selection pane="bottomRight" activeCell="D558" sqref="D558"/>
    </sheetView>
  </sheetViews>
  <sheetFormatPr defaultColWidth="8" defaultRowHeight="14.25" customHeight="1" x14ac:dyDescent="0.25"/>
  <cols>
    <col min="1" max="1" width="2.28515625" customWidth="1"/>
    <col min="2" max="3" width="11.140625" customWidth="1"/>
    <col min="4" max="4" width="29.7109375" customWidth="1"/>
    <col min="5" max="5" width="12" customWidth="1"/>
    <col min="6" max="6" width="14.85546875" customWidth="1"/>
    <col min="7" max="7" width="16.7109375" customWidth="1"/>
    <col min="8" max="8" width="13.85546875" customWidth="1"/>
    <col min="9" max="9" width="13" customWidth="1"/>
    <col min="10" max="10" width="27.85546875" customWidth="1"/>
    <col min="11" max="11" width="14.85546875" customWidth="1"/>
    <col min="12" max="12" width="14.42578125" bestFit="1" customWidth="1"/>
    <col min="13" max="13" width="13.85546875" customWidth="1"/>
    <col min="14" max="14" width="27.85546875" customWidth="1"/>
    <col min="15" max="16" width="2.28515625" customWidth="1"/>
    <col min="17" max="20" width="12" hidden="1" customWidth="1"/>
  </cols>
  <sheetData>
    <row r="1" spans="1:21" ht="37.5" customHeight="1" x14ac:dyDescent="0.3">
      <c r="A1" s="209" t="s">
        <v>548</v>
      </c>
      <c r="B1" s="171"/>
      <c r="C1" s="171"/>
      <c r="D1" s="171"/>
      <c r="E1" s="171"/>
      <c r="F1" s="208" t="s">
        <v>702</v>
      </c>
      <c r="G1" s="171"/>
      <c r="H1" s="171"/>
      <c r="I1" s="171"/>
      <c r="J1" s="171"/>
      <c r="K1" s="171"/>
      <c r="L1" s="171"/>
      <c r="M1" s="171"/>
      <c r="N1" s="171"/>
      <c r="O1" s="171"/>
      <c r="P1" s="13"/>
      <c r="Q1" s="1"/>
      <c r="R1" s="1"/>
      <c r="S1" s="1"/>
      <c r="T1" s="1"/>
    </row>
    <row r="2" spans="1:21" ht="21.75" customHeight="1" x14ac:dyDescent="0.3">
      <c r="A2" s="210" t="s">
        <v>703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"/>
      <c r="Q2" s="1"/>
      <c r="R2" s="1"/>
      <c r="S2" s="1"/>
      <c r="T2" s="1"/>
    </row>
    <row r="3" spans="1:21" ht="19.5" customHeight="1" x14ac:dyDescent="0.3">
      <c r="A3" s="2"/>
      <c r="B3" s="50" t="s">
        <v>704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705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1" ht="25.5" customHeight="1" x14ac:dyDescent="0.3">
      <c r="A5" s="2"/>
      <c r="B5" s="72">
        <f>COUNTIF($D$7:$D$2503,"&lt;&gt;")</f>
        <v>551</v>
      </c>
      <c r="C5" s="54" t="s">
        <v>706</v>
      </c>
      <c r="D5" s="53"/>
      <c r="E5" s="53"/>
      <c r="F5" s="56">
        <f>SUM($F$7:$F$2503)</f>
        <v>2299500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1" ht="39.75" customHeight="1" x14ac:dyDescent="0.3">
      <c r="A6" s="2"/>
      <c r="B6" s="57" t="s">
        <v>707</v>
      </c>
      <c r="C6" s="57" t="s">
        <v>19</v>
      </c>
      <c r="D6" s="58" t="s">
        <v>708</v>
      </c>
      <c r="E6" s="57" t="s">
        <v>709</v>
      </c>
      <c r="F6" s="59" t="s">
        <v>710</v>
      </c>
      <c r="G6" s="57" t="s">
        <v>711</v>
      </c>
      <c r="H6" s="57" t="s">
        <v>712</v>
      </c>
      <c r="I6" s="58" t="s">
        <v>713</v>
      </c>
      <c r="J6" s="58" t="s">
        <v>54</v>
      </c>
      <c r="K6" s="58" t="s">
        <v>714</v>
      </c>
      <c r="L6" s="57" t="s">
        <v>715</v>
      </c>
      <c r="M6" s="57" t="s">
        <v>566</v>
      </c>
      <c r="N6" s="58" t="s">
        <v>716</v>
      </c>
      <c r="O6" s="2"/>
      <c r="P6" s="2"/>
      <c r="Q6" s="1"/>
      <c r="R6" s="1"/>
      <c r="S6" s="1"/>
      <c r="T6" s="1"/>
      <c r="U6" s="1"/>
    </row>
    <row r="7" spans="1:21" ht="18" customHeight="1" x14ac:dyDescent="0.3">
      <c r="A7" s="2"/>
      <c r="B7" s="65" t="str">
        <f t="shared" ref="B7:B70" si="0"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654</v>
      </c>
      <c r="E7" s="66">
        <v>46023</v>
      </c>
      <c r="F7" s="67">
        <v>27000</v>
      </c>
      <c r="G7" s="60" t="s">
        <v>717</v>
      </c>
      <c r="H7" s="60" t="s">
        <v>572</v>
      </c>
      <c r="I7" s="61"/>
      <c r="J7" s="61" t="s">
        <v>718</v>
      </c>
      <c r="K7" s="61"/>
      <c r="L7" s="73">
        <f t="shared" ref="L7:L70" si="1">IF($E7="","",DATE(YEAR($E7),MONTH($E7),1))</f>
        <v>46023</v>
      </c>
      <c r="M7" s="65" t="str">
        <f t="shared" ref="M7:M70" ca="1" si="2">IF($D7="","",IF($C7="TANIMSIZ MÜŞTERİ","HATA",IF(OR($E7="",$F7&lt;=0,$G7=""),"EKSİK",IF($E7&gt;TODAY(),"İLERİ TARİH",IF(COUNTIF($S$7:$S$2503,$S7)&gt;1,"MÜKERRER?",IF($T7&gt;0,"KAPALI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3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4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  <c r="U7" s="1" t="str">
        <f>IF(OR($G7="",$H7="Mahsup"),"",$G7&amp;"|"&amp;COUNTIFS($G$7:$G7,$G7,$H$7:$H7,"&lt;&gt;Mahsup"))</f>
        <v>MERKEZ KASA|1</v>
      </c>
    </row>
    <row r="8" spans="1:21" ht="18" customHeight="1" x14ac:dyDescent="0.3">
      <c r="A8" s="2"/>
      <c r="B8" s="65" t="str">
        <f t="shared" si="0"/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658</v>
      </c>
      <c r="E8" s="66">
        <v>46023</v>
      </c>
      <c r="F8" s="67">
        <v>17200</v>
      </c>
      <c r="G8" s="60" t="s">
        <v>717</v>
      </c>
      <c r="H8" s="60" t="s">
        <v>572</v>
      </c>
      <c r="I8" s="61"/>
      <c r="J8" s="61" t="s">
        <v>718</v>
      </c>
      <c r="K8" s="61"/>
      <c r="L8" s="73">
        <f t="shared" si="1"/>
        <v>46023</v>
      </c>
      <c r="M8" s="65" t="str">
        <f t="shared" ca="1" si="2"/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3"/>
        <v>RIXSOWLTDSTI</v>
      </c>
      <c r="S8" s="1" t="str">
        <f t="shared" si="4"/>
        <v>M016|46023|17200|</v>
      </c>
      <c r="T8" s="1">
        <f>IF($E8="",0,SUMPRODUCT((AY_SONU!$O$7:$O$42="Evet")*(AY_SONU!$B$7:$B$42=DATE(YEAR($E8),MONTH($E8),1))))</f>
        <v>0</v>
      </c>
      <c r="U8" s="1" t="str">
        <f>IF(OR($G8="",$H8="Mahsup"),"",$G8&amp;"|"&amp;COUNTIFS($G$7:$G8,$G8,$H$7:$H8,"&lt;&gt;Mahsup"))</f>
        <v>MERKEZ KASA|2</v>
      </c>
    </row>
    <row r="9" spans="1:21" ht="18" customHeight="1" x14ac:dyDescent="0.3">
      <c r="A9" s="2"/>
      <c r="B9" s="65" t="str">
        <f t="shared" si="0"/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M015</v>
      </c>
      <c r="D9" s="61" t="s">
        <v>719</v>
      </c>
      <c r="E9" s="66">
        <v>46023</v>
      </c>
      <c r="F9" s="67">
        <v>5000</v>
      </c>
      <c r="G9" s="60" t="s">
        <v>717</v>
      </c>
      <c r="H9" s="60" t="s">
        <v>572</v>
      </c>
      <c r="I9" s="61"/>
      <c r="J9" s="61" t="s">
        <v>720</v>
      </c>
      <c r="K9" s="61"/>
      <c r="L9" s="73">
        <f t="shared" si="1"/>
        <v>46023</v>
      </c>
      <c r="M9" s="65" t="str">
        <f t="shared" ca="1" si="2"/>
        <v>UYGUN</v>
      </c>
      <c r="N9" s="74" t="str">
        <f>IF($C9="","",IF($C9="TANIMSIZ MÜŞTERİ","—",INDEX(MUSTERILER!$C$7:$C$156,MATCH($C9,MUSTERILER!$B$7:$B$156,0))))</f>
        <v>ÇAYIRALAN LTD.ŞTİ.</v>
      </c>
      <c r="O9" s="2"/>
      <c r="P9" s="2"/>
      <c r="Q9" s="1" t="str">
        <f>IF($D9="","",$C9&amp;"|"&amp;COUNTIFS($C$7:$C9,$C9))</f>
        <v>M015|1</v>
      </c>
      <c r="R9" s="1" t="str">
        <f t="shared" si="3"/>
        <v>CAYIRALANLTDSTI</v>
      </c>
      <c r="S9" s="1" t="str">
        <f t="shared" si="4"/>
        <v>M015|46023|5000|</v>
      </c>
      <c r="T9" s="1">
        <f>IF($E9="",0,SUMPRODUCT((AY_SONU!$O$7:$O$42="Evet")*(AY_SONU!$B$7:$B$42=DATE(YEAR($E9),MONTH($E9),1))))</f>
        <v>0</v>
      </c>
      <c r="U9" s="1" t="str">
        <f>IF(OR($G9="",$H9="Mahsup"),"",$G9&amp;"|"&amp;COUNTIFS($G$7:$G9,$G9,$H$7:$H9,"&lt;&gt;Mahsup"))</f>
        <v>MERKEZ KASA|3</v>
      </c>
    </row>
    <row r="10" spans="1:21" ht="18" customHeight="1" x14ac:dyDescent="0.3">
      <c r="A10" s="2"/>
      <c r="B10" s="65" t="str">
        <f t="shared" si="0"/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M012</v>
      </c>
      <c r="D10" s="61" t="s">
        <v>721</v>
      </c>
      <c r="E10" s="66">
        <v>46023</v>
      </c>
      <c r="F10" s="67">
        <v>3000</v>
      </c>
      <c r="G10" s="60" t="s">
        <v>717</v>
      </c>
      <c r="H10" s="60" t="s">
        <v>572</v>
      </c>
      <c r="I10" s="61"/>
      <c r="J10" s="61" t="s">
        <v>720</v>
      </c>
      <c r="K10" s="61"/>
      <c r="L10" s="73">
        <f t="shared" si="1"/>
        <v>46023</v>
      </c>
      <c r="M10" s="65" t="str">
        <f t="shared" ca="1" si="2"/>
        <v>UYGUN</v>
      </c>
      <c r="N10" s="74" t="str">
        <f>IF($C10="","",IF($C10="TANIMSIZ MÜŞTERİ","—",INDEX(MUSTERILER!$C$7:$C$156,MATCH($C10,MUSTERILER!$B$7:$B$156,0))))</f>
        <v>İLDEŞ LTD.ŞTİ.</v>
      </c>
      <c r="O10" s="2"/>
      <c r="P10" s="2"/>
      <c r="Q10" s="1" t="str">
        <f>IF($D10="","",$C10&amp;"|"&amp;COUNTIFS($C$7:$C10,$C10))</f>
        <v>M012|1</v>
      </c>
      <c r="R10" s="1" t="str">
        <f t="shared" si="3"/>
        <v>ILDESLTDSTI</v>
      </c>
      <c r="S10" s="1" t="str">
        <f t="shared" si="4"/>
        <v>M012|46023|3000|</v>
      </c>
      <c r="T10" s="1">
        <f>IF($E10="",0,SUMPRODUCT((AY_SONU!$O$7:$O$42="Evet")*(AY_SONU!$B$7:$B$42=DATE(YEAR($E10),MONTH($E10),1))))</f>
        <v>0</v>
      </c>
      <c r="U10" s="1" t="str">
        <f>IF(OR($G10="",$H10="Mahsup"),"",$G10&amp;"|"&amp;COUNTIFS($G$7:$G10,$G10,$H$7:$H10,"&lt;&gt;Mahsup"))</f>
        <v>MERKEZ KASA|4</v>
      </c>
    </row>
    <row r="11" spans="1:21" ht="18" customHeight="1" x14ac:dyDescent="0.3">
      <c r="A11" s="2"/>
      <c r="B11" s="65" t="str">
        <f t="shared" si="0"/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M025</v>
      </c>
      <c r="D11" s="61" t="s">
        <v>583</v>
      </c>
      <c r="E11" s="66">
        <v>46023</v>
      </c>
      <c r="F11" s="67">
        <v>8000</v>
      </c>
      <c r="G11" s="60" t="s">
        <v>717</v>
      </c>
      <c r="H11" s="60" t="s">
        <v>572</v>
      </c>
      <c r="I11" s="61"/>
      <c r="J11" s="61" t="s">
        <v>720</v>
      </c>
      <c r="K11" s="61"/>
      <c r="L11" s="73">
        <f t="shared" si="1"/>
        <v>46023</v>
      </c>
      <c r="M11" s="65" t="str">
        <f t="shared" ca="1" si="2"/>
        <v>UYGUN</v>
      </c>
      <c r="N11" s="74" t="str">
        <f>IF($C11="","",IF($C11="TANIMSIZ MÜŞTERİ","—",INDEX(MUSTERILER!$C$7:$C$156,MATCH($C11,MUSTERILER!$B$7:$B$156,0))))</f>
        <v>ASIM AÇIKGÖZ</v>
      </c>
      <c r="O11" s="2"/>
      <c r="P11" s="2"/>
      <c r="Q11" s="1" t="str">
        <f>IF($D11="","",$C11&amp;"|"&amp;COUNTIFS($C$7:$C11,$C11))</f>
        <v>M025|1</v>
      </c>
      <c r="R11" s="1" t="str">
        <f t="shared" si="3"/>
        <v>ASIMACIKGOZ</v>
      </c>
      <c r="S11" s="1" t="str">
        <f t="shared" si="4"/>
        <v>M025|46023|8000|</v>
      </c>
      <c r="T11" s="1">
        <f>IF($E11="",0,SUMPRODUCT((AY_SONU!$O$7:$O$42="Evet")*(AY_SONU!$B$7:$B$42=DATE(YEAR($E11),MONTH($E11),1))))</f>
        <v>0</v>
      </c>
      <c r="U11" s="1" t="str">
        <f>IF(OR($G11="",$H11="Mahsup"),"",$G11&amp;"|"&amp;COUNTIFS($G$7:$G11,$G11,$H$7:$H11,"&lt;&gt;Mahsup"))</f>
        <v>MERKEZ KASA|5</v>
      </c>
    </row>
    <row r="12" spans="1:21" ht="18" customHeight="1" x14ac:dyDescent="0.3">
      <c r="A12" s="2"/>
      <c r="B12" s="65" t="str">
        <f t="shared" si="0"/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M017</v>
      </c>
      <c r="D12" s="61" t="s">
        <v>585</v>
      </c>
      <c r="E12" s="66">
        <v>46023</v>
      </c>
      <c r="F12" s="67">
        <v>10000</v>
      </c>
      <c r="G12" s="60" t="s">
        <v>717</v>
      </c>
      <c r="H12" s="60" t="s">
        <v>572</v>
      </c>
      <c r="I12" s="61"/>
      <c r="J12" s="61" t="s">
        <v>720</v>
      </c>
      <c r="K12" s="61"/>
      <c r="L12" s="73">
        <f t="shared" si="1"/>
        <v>46023</v>
      </c>
      <c r="M12" s="65" t="str">
        <f t="shared" ca="1" si="2"/>
        <v>UYGUN</v>
      </c>
      <c r="N12" s="74" t="str">
        <f>IF($C12="","",IF($C12="TANIMSIZ MÜŞTERİ","—",INDEX(MUSTERILER!$C$7:$C$156,MATCH($C12,MUSTERILER!$B$7:$B$156,0))))</f>
        <v>ASM EĞLENCE LTD.ŞTİ.</v>
      </c>
      <c r="O12" s="2"/>
      <c r="P12" s="2"/>
      <c r="Q12" s="1" t="str">
        <f>IF($D12="","",$C12&amp;"|"&amp;COUNTIFS($C$7:$C12,$C12))</f>
        <v>M017|1</v>
      </c>
      <c r="R12" s="1" t="str">
        <f t="shared" si="3"/>
        <v>ASMEGLENCELTDSTI</v>
      </c>
      <c r="S12" s="1" t="str">
        <f t="shared" si="4"/>
        <v>M017|46023|10000|</v>
      </c>
      <c r="T12" s="1">
        <f>IF($E12="",0,SUMPRODUCT((AY_SONU!$O$7:$O$42="Evet")*(AY_SONU!$B$7:$B$42=DATE(YEAR($E12),MONTH($E12),1))))</f>
        <v>0</v>
      </c>
      <c r="U12" s="1" t="str">
        <f>IF(OR($G12="",$H12="Mahsup"),"",$G12&amp;"|"&amp;COUNTIFS($G$7:$G12,$G12,$H$7:$H12,"&lt;&gt;Mahsup"))</f>
        <v>MERKEZ KASA|6</v>
      </c>
    </row>
    <row r="13" spans="1:21" ht="18" customHeight="1" x14ac:dyDescent="0.3">
      <c r="A13" s="2"/>
      <c r="B13" s="65" t="str">
        <f t="shared" si="0"/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M018</v>
      </c>
      <c r="D13" s="61" t="s">
        <v>593</v>
      </c>
      <c r="E13" s="66">
        <v>46023</v>
      </c>
      <c r="F13" s="67">
        <v>4500</v>
      </c>
      <c r="G13" s="60" t="s">
        <v>717</v>
      </c>
      <c r="H13" s="60" t="s">
        <v>572</v>
      </c>
      <c r="I13" s="61"/>
      <c r="J13" s="61" t="s">
        <v>720</v>
      </c>
      <c r="K13" s="61"/>
      <c r="L13" s="73">
        <f t="shared" si="1"/>
        <v>46023</v>
      </c>
      <c r="M13" s="65" t="str">
        <f t="shared" ca="1" si="2"/>
        <v>UYGUN</v>
      </c>
      <c r="N13" s="74" t="str">
        <f>IF($C13="","",IF($C13="TANIMSIZ MÜŞTERİ","—",INDEX(MUSTERILER!$C$7:$C$156,MATCH($C13,MUSTERILER!$B$7:$B$156,0))))</f>
        <v>ÇINARHAN LTD.ŞTİ.</v>
      </c>
      <c r="O13" s="2"/>
      <c r="P13" s="2"/>
      <c r="Q13" s="1" t="str">
        <f>IF($D13="","",$C13&amp;"|"&amp;COUNTIFS($C$7:$C13,$C13))</f>
        <v>M018|1</v>
      </c>
      <c r="R13" s="1" t="str">
        <f t="shared" si="3"/>
        <v>CINARHANLTDSTI</v>
      </c>
      <c r="S13" s="1" t="str">
        <f t="shared" si="4"/>
        <v>M018|46023|4500|</v>
      </c>
      <c r="T13" s="1">
        <f>IF($E13="",0,SUMPRODUCT((AY_SONU!$O$7:$O$42="Evet")*(AY_SONU!$B$7:$B$42=DATE(YEAR($E13),MONTH($E13),1))))</f>
        <v>0</v>
      </c>
      <c r="U13" s="1" t="str">
        <f>IF(OR($G13="",$H13="Mahsup"),"",$G13&amp;"|"&amp;COUNTIFS($G$7:$G13,$G13,$H$7:$H13,"&lt;&gt;Mahsup"))</f>
        <v>MERKEZ KASA|7</v>
      </c>
    </row>
    <row r="14" spans="1:21" ht="18" customHeight="1" x14ac:dyDescent="0.3">
      <c r="A14" s="2"/>
      <c r="B14" s="65" t="str">
        <f t="shared" si="0"/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M005</v>
      </c>
      <c r="D14" s="61" t="s">
        <v>722</v>
      </c>
      <c r="E14" s="66">
        <v>46023</v>
      </c>
      <c r="F14" s="67">
        <v>15750</v>
      </c>
      <c r="G14" s="60" t="s">
        <v>717</v>
      </c>
      <c r="H14" s="60" t="s">
        <v>572</v>
      </c>
      <c r="I14" s="61"/>
      <c r="J14" s="61" t="s">
        <v>720</v>
      </c>
      <c r="K14" s="61"/>
      <c r="L14" s="73">
        <f t="shared" si="1"/>
        <v>46023</v>
      </c>
      <c r="M14" s="65" t="str">
        <f t="shared" ca="1" si="2"/>
        <v>UYGUN</v>
      </c>
      <c r="N14" s="74" t="str">
        <f>IF($C14="","",IF($C14="TANIMSIZ MÜŞTERİ","—",INDEX(MUSTERILER!$C$7:$C$156,MATCH($C14,MUSTERILER!$B$7:$B$156,0))))</f>
        <v>ZÜMRÜT GRUP LTD.ŞTİ.</v>
      </c>
      <c r="O14" s="2"/>
      <c r="P14" s="2"/>
      <c r="Q14" s="1" t="str">
        <f>IF($D14="","",$C14&amp;"|"&amp;COUNTIFS($C$7:$C14,$C14))</f>
        <v>M005|1</v>
      </c>
      <c r="R14" s="1" t="str">
        <f t="shared" si="3"/>
        <v>ZUMRUTGRUPLTDSTI</v>
      </c>
      <c r="S14" s="1" t="str">
        <f t="shared" si="4"/>
        <v>M005|46023|15750|</v>
      </c>
      <c r="T14" s="1">
        <f>IF($E14="",0,SUMPRODUCT((AY_SONU!$O$7:$O$42="Evet")*(AY_SONU!$B$7:$B$42=DATE(YEAR($E14),MONTH($E14),1))))</f>
        <v>0</v>
      </c>
      <c r="U14" s="1" t="str">
        <f>IF(OR($G14="",$H14="Mahsup"),"",$G14&amp;"|"&amp;COUNTIFS($G$7:$G14,$G14,$H$7:$H14,"&lt;&gt;Mahsup"))</f>
        <v>MERKEZ KASA|8</v>
      </c>
    </row>
    <row r="15" spans="1:21" ht="18" customHeight="1" x14ac:dyDescent="0.3">
      <c r="A15" s="2"/>
      <c r="B15" s="65" t="str">
        <f t="shared" si="0"/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M011</v>
      </c>
      <c r="D15" s="61" t="s">
        <v>597</v>
      </c>
      <c r="E15" s="66">
        <v>46025</v>
      </c>
      <c r="F15" s="67">
        <v>3000</v>
      </c>
      <c r="G15" s="60" t="s">
        <v>723</v>
      </c>
      <c r="H15" s="60" t="s">
        <v>572</v>
      </c>
      <c r="I15" s="61"/>
      <c r="J15" s="61" t="s">
        <v>724</v>
      </c>
      <c r="K15" s="61"/>
      <c r="L15" s="73">
        <f t="shared" si="1"/>
        <v>46023</v>
      </c>
      <c r="M15" s="65" t="str">
        <f t="shared" ca="1" si="2"/>
        <v>UYGUN</v>
      </c>
      <c r="N15" s="74" t="str">
        <f>IF($C15="","",IF($C15="TANIMSIZ MÜŞTERİ","—",INDEX(MUSTERILER!$C$7:$C$156,MATCH($C15,MUSTERILER!$B$7:$B$156,0))))</f>
        <v>EĞLENGÖR LTD.ŞTİ.</v>
      </c>
      <c r="O15" s="2"/>
      <c r="P15" s="2"/>
      <c r="Q15" s="1" t="str">
        <f>IF($D15="","",$C15&amp;"|"&amp;COUNTIFS($C$7:$C15,$C15))</f>
        <v>M011|1</v>
      </c>
      <c r="R15" s="1" t="str">
        <f t="shared" si="3"/>
        <v>EGLENGORLTDSTI</v>
      </c>
      <c r="S15" s="1" t="str">
        <f t="shared" si="4"/>
        <v>M011|46025|3000|</v>
      </c>
      <c r="T15" s="1">
        <f>IF($E15="",0,SUMPRODUCT((AY_SONU!$O$7:$O$42="Evet")*(AY_SONU!$B$7:$B$42=DATE(YEAR($E15),MONTH($E15),1))))</f>
        <v>0</v>
      </c>
      <c r="U15" s="1" t="str">
        <f>IF(OR($G15="",$H15="Mahsup"),"",$G15&amp;"|"&amp;COUNTIFS($G$7:$G15,$G15,$H$7:$H15,"&lt;&gt;Mahsup"))</f>
        <v>ÖMER KARTAL|1</v>
      </c>
    </row>
    <row r="16" spans="1:21" ht="18" customHeight="1" x14ac:dyDescent="0.3">
      <c r="A16" s="2"/>
      <c r="B16" s="65" t="str">
        <f t="shared" si="0"/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M010</v>
      </c>
      <c r="D16" s="61" t="s">
        <v>650</v>
      </c>
      <c r="E16" s="66">
        <v>46025</v>
      </c>
      <c r="F16" s="67">
        <v>2000</v>
      </c>
      <c r="G16" s="60" t="s">
        <v>723</v>
      </c>
      <c r="H16" s="60" t="s">
        <v>572</v>
      </c>
      <c r="I16" s="61"/>
      <c r="J16" s="61" t="s">
        <v>724</v>
      </c>
      <c r="K16" s="61"/>
      <c r="L16" s="73">
        <f t="shared" si="1"/>
        <v>46023</v>
      </c>
      <c r="M16" s="65" t="str">
        <f t="shared" ca="1" si="2"/>
        <v>UYGUN</v>
      </c>
      <c r="N16" s="74" t="str">
        <f>IF($C16="","",IF($C16="TANIMSIZ MÜŞTERİ","—",INDEX(MUSTERILER!$C$7:$C$156,MATCH($C16,MUSTERILER!$B$7:$B$156,0))))</f>
        <v>ÖZFİDANLAR LTD.ŞTİ.</v>
      </c>
      <c r="O16" s="2"/>
      <c r="P16" s="2"/>
      <c r="Q16" s="1" t="str">
        <f>IF($D16="","",$C16&amp;"|"&amp;COUNTIFS($C$7:$C16,$C16))</f>
        <v>M010|1</v>
      </c>
      <c r="R16" s="1" t="str">
        <f t="shared" si="3"/>
        <v>OZFIDANLARLTDSTI</v>
      </c>
      <c r="S16" s="1" t="str">
        <f t="shared" si="4"/>
        <v>M010|46025|2000|</v>
      </c>
      <c r="T16" s="1">
        <f>IF($E16="",0,SUMPRODUCT((AY_SONU!$O$7:$O$42="Evet")*(AY_SONU!$B$7:$B$42=DATE(YEAR($E16),MONTH($E16),1))))</f>
        <v>0</v>
      </c>
      <c r="U16" s="1" t="str">
        <f>IF(OR($G16="",$H16="Mahsup"),"",$G16&amp;"|"&amp;COUNTIFS($G$7:$G16,$G16,$H$7:$H16,"&lt;&gt;Mahsup"))</f>
        <v>ÖMER KARTAL|2</v>
      </c>
    </row>
    <row r="17" spans="1:21" ht="18" customHeight="1" x14ac:dyDescent="0.3">
      <c r="A17" s="2"/>
      <c r="B17" s="65" t="str">
        <f t="shared" si="0"/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M009</v>
      </c>
      <c r="D17" s="61" t="s">
        <v>652</v>
      </c>
      <c r="E17" s="66">
        <v>46025</v>
      </c>
      <c r="F17" s="67">
        <v>2000</v>
      </c>
      <c r="G17" s="60" t="s">
        <v>723</v>
      </c>
      <c r="H17" s="60" t="s">
        <v>572</v>
      </c>
      <c r="I17" s="61"/>
      <c r="J17" s="61" t="s">
        <v>724</v>
      </c>
      <c r="K17" s="61"/>
      <c r="L17" s="73">
        <f t="shared" si="1"/>
        <v>46023</v>
      </c>
      <c r="M17" s="65" t="str">
        <f t="shared" ca="1" si="2"/>
        <v>UYGUN</v>
      </c>
      <c r="N17" s="74" t="str">
        <f>IF($C17="","",IF($C17="TANIMSIZ MÜŞTERİ","—",INDEX(MUSTERILER!$C$7:$C$156,MATCH($C17,MUSTERILER!$B$7:$B$156,0))))</f>
        <v>PAKYILDIZ LTD.ŞTİ.</v>
      </c>
      <c r="O17" s="2"/>
      <c r="P17" s="2"/>
      <c r="Q17" s="1" t="str">
        <f>IF($D17="","",$C17&amp;"|"&amp;COUNTIFS($C$7:$C17,$C17))</f>
        <v>M009|1</v>
      </c>
      <c r="R17" s="1" t="str">
        <f t="shared" si="3"/>
        <v>PAKYILDIZLTDSTI</v>
      </c>
      <c r="S17" s="1" t="str">
        <f t="shared" si="4"/>
        <v>M009|46025|2000|</v>
      </c>
      <c r="T17" s="1">
        <f>IF($E17="",0,SUMPRODUCT((AY_SONU!$O$7:$O$42="Evet")*(AY_SONU!$B$7:$B$42=DATE(YEAR($E17),MONTH($E17),1))))</f>
        <v>0</v>
      </c>
      <c r="U17" s="1" t="str">
        <f>IF(OR($G17="",$H17="Mahsup"),"",$G17&amp;"|"&amp;COUNTIFS($G$7:$G17,$G17,$H$7:$H17,"&lt;&gt;Mahsup"))</f>
        <v>ÖMER KARTAL|3</v>
      </c>
    </row>
    <row r="18" spans="1:21" ht="18" customHeight="1" x14ac:dyDescent="0.3">
      <c r="A18" s="2"/>
      <c r="B18" s="65" t="str">
        <f t="shared" si="0"/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M005</v>
      </c>
      <c r="D18" s="61" t="s">
        <v>680</v>
      </c>
      <c r="E18" s="66">
        <v>46025</v>
      </c>
      <c r="F18" s="67">
        <v>1750</v>
      </c>
      <c r="G18" s="60" t="s">
        <v>723</v>
      </c>
      <c r="H18" s="60" t="s">
        <v>572</v>
      </c>
      <c r="I18" s="61"/>
      <c r="J18" s="61" t="s">
        <v>724</v>
      </c>
      <c r="K18" s="61"/>
      <c r="L18" s="73">
        <f t="shared" si="1"/>
        <v>46023</v>
      </c>
      <c r="M18" s="65" t="str">
        <f t="shared" ca="1" si="2"/>
        <v>UYGUN</v>
      </c>
      <c r="N18" s="74" t="str">
        <f>IF($C18="","",IF($C18="TANIMSIZ MÜŞTERİ","—",INDEX(MUSTERILER!$C$7:$C$156,MATCH($C18,MUSTERILER!$B$7:$B$156,0))))</f>
        <v>ZÜMRÜT GRUP LTD.ŞTİ.</v>
      </c>
      <c r="O18" s="2"/>
      <c r="P18" s="2"/>
      <c r="Q18" s="1" t="str">
        <f>IF($D18="","",$C18&amp;"|"&amp;COUNTIFS($C$7:$C18,$C18))</f>
        <v>M005|2</v>
      </c>
      <c r="R18" s="1" t="str">
        <f t="shared" si="3"/>
        <v>ZUMRUTGRUPLTDSTI</v>
      </c>
      <c r="S18" s="1" t="str">
        <f t="shared" si="4"/>
        <v>M005|46025|1750|</v>
      </c>
      <c r="T18" s="1">
        <f>IF($E18="",0,SUMPRODUCT((AY_SONU!$O$7:$O$42="Evet")*(AY_SONU!$B$7:$B$42=DATE(YEAR($E18),MONTH($E18),1))))</f>
        <v>0</v>
      </c>
      <c r="U18" s="1" t="str">
        <f>IF(OR($G18="",$H18="Mahsup"),"",$G18&amp;"|"&amp;COUNTIFS($G$7:$G18,$G18,$H$7:$H18,"&lt;&gt;Mahsup"))</f>
        <v>ÖMER KARTAL|4</v>
      </c>
    </row>
    <row r="19" spans="1:21" ht="18" customHeight="1" x14ac:dyDescent="0.3">
      <c r="A19" s="2"/>
      <c r="B19" s="65" t="str">
        <f t="shared" si="0"/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M001</v>
      </c>
      <c r="D19" s="61" t="s">
        <v>17</v>
      </c>
      <c r="E19" s="66">
        <v>46032</v>
      </c>
      <c r="F19" s="67">
        <v>4000</v>
      </c>
      <c r="G19" s="60" t="s">
        <v>723</v>
      </c>
      <c r="H19" s="60" t="s">
        <v>572</v>
      </c>
      <c r="I19" s="61"/>
      <c r="J19" s="61" t="s">
        <v>724</v>
      </c>
      <c r="K19" s="61"/>
      <c r="L19" s="73">
        <f t="shared" si="1"/>
        <v>46023</v>
      </c>
      <c r="M19" s="65" t="str">
        <f t="shared" ca="1" si="2"/>
        <v>UYGUN</v>
      </c>
      <c r="N19" s="74" t="str">
        <f>IF($C19="","",IF($C19="TANIMSIZ MÜŞTERİ","—",INDEX(MUSTERILER!$C$7:$C$156,MATCH($C19,MUSTERILER!$B$7:$B$156,0))))</f>
        <v>ANKARA HAVANA LTD.ŞTİ.</v>
      </c>
      <c r="O19" s="2"/>
      <c r="P19" s="2"/>
      <c r="Q19" s="1" t="str">
        <f>IF($D19="","",$C19&amp;"|"&amp;COUNTIFS($C$7:$C19,$C19))</f>
        <v>M001|1</v>
      </c>
      <c r="R19" s="1" t="str">
        <f t="shared" si="3"/>
        <v>ANKARAHAVANALTDSTI</v>
      </c>
      <c r="S19" s="1" t="str">
        <f t="shared" si="4"/>
        <v>M001|46032|4000|</v>
      </c>
      <c r="T19" s="1">
        <f>IF($E19="",0,SUMPRODUCT((AY_SONU!$O$7:$O$42="Evet")*(AY_SONU!$B$7:$B$42=DATE(YEAR($E19),MONTH($E19),1))))</f>
        <v>0</v>
      </c>
      <c r="U19" s="1" t="str">
        <f>IF(OR($G19="",$H19="Mahsup"),"",$G19&amp;"|"&amp;COUNTIFS($G$7:$G19,$G19,$H$7:$H19,"&lt;&gt;Mahsup"))</f>
        <v>ÖMER KARTAL|5</v>
      </c>
    </row>
    <row r="20" spans="1:21" ht="18" customHeight="1" x14ac:dyDescent="0.3">
      <c r="A20" s="2"/>
      <c r="B20" s="65" t="str">
        <f t="shared" si="0"/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M011</v>
      </c>
      <c r="D20" s="61" t="s">
        <v>597</v>
      </c>
      <c r="E20" s="66">
        <v>46032</v>
      </c>
      <c r="F20" s="67">
        <v>3000</v>
      </c>
      <c r="G20" s="60" t="s">
        <v>723</v>
      </c>
      <c r="H20" s="60" t="s">
        <v>572</v>
      </c>
      <c r="I20" s="61"/>
      <c r="J20" s="61" t="s">
        <v>724</v>
      </c>
      <c r="K20" s="61"/>
      <c r="L20" s="73">
        <f t="shared" si="1"/>
        <v>46023</v>
      </c>
      <c r="M20" s="65" t="str">
        <f t="shared" ca="1" si="2"/>
        <v>UYGUN</v>
      </c>
      <c r="N20" s="74" t="str">
        <f>IF($C20="","",IF($C20="TANIMSIZ MÜŞTERİ","—",INDEX(MUSTERILER!$C$7:$C$156,MATCH($C20,MUSTERILER!$B$7:$B$156,0))))</f>
        <v>EĞLENGÖR LTD.ŞTİ.</v>
      </c>
      <c r="O20" s="2"/>
      <c r="P20" s="2"/>
      <c r="Q20" s="1" t="str">
        <f>IF($D20="","",$C20&amp;"|"&amp;COUNTIFS($C$7:$C20,$C20))</f>
        <v>M011|2</v>
      </c>
      <c r="R20" s="1" t="str">
        <f t="shared" si="3"/>
        <v>EGLENGORLTDSTI</v>
      </c>
      <c r="S20" s="1" t="str">
        <f t="shared" si="4"/>
        <v>M011|46032|3000|</v>
      </c>
      <c r="T20" s="1">
        <f>IF($E20="",0,SUMPRODUCT((AY_SONU!$O$7:$O$42="Evet")*(AY_SONU!$B$7:$B$42=DATE(YEAR($E20),MONTH($E20),1))))</f>
        <v>0</v>
      </c>
      <c r="U20" s="1" t="str">
        <f>IF(OR($G20="",$H20="Mahsup"),"",$G20&amp;"|"&amp;COUNTIFS($G$7:$G20,$G20,$H$7:$H20,"&lt;&gt;Mahsup"))</f>
        <v>ÖMER KARTAL|6</v>
      </c>
    </row>
    <row r="21" spans="1:21" ht="18" customHeight="1" x14ac:dyDescent="0.3">
      <c r="A21" s="2"/>
      <c r="B21" s="65" t="str">
        <f t="shared" si="0"/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M014</v>
      </c>
      <c r="D21" s="61" t="s">
        <v>605</v>
      </c>
      <c r="E21" s="66">
        <v>46032</v>
      </c>
      <c r="F21" s="67">
        <v>4000</v>
      </c>
      <c r="G21" s="60" t="s">
        <v>723</v>
      </c>
      <c r="H21" s="60" t="s">
        <v>572</v>
      </c>
      <c r="I21" s="61"/>
      <c r="J21" s="61" t="s">
        <v>724</v>
      </c>
      <c r="K21" s="61"/>
      <c r="L21" s="73">
        <f t="shared" si="1"/>
        <v>46023</v>
      </c>
      <c r="M21" s="65" t="str">
        <f t="shared" ca="1" si="2"/>
        <v>UYGUN</v>
      </c>
      <c r="N21" s="74" t="str">
        <f>IF($C21="","",IF($C21="TANIMSIZ MÜŞTERİ","—",INDEX(MUSTERILER!$C$7:$C$156,MATCH($C21,MUSTERILER!$B$7:$B$156,0))))</f>
        <v>FİNAL SİYAH BEYAZ LTD.ŞTİ.</v>
      </c>
      <c r="O21" s="2"/>
      <c r="P21" s="2"/>
      <c r="Q21" s="1" t="str">
        <f>IF($D21="","",$C21&amp;"|"&amp;COUNTIFS($C$7:$C21,$C21))</f>
        <v>M014|1</v>
      </c>
      <c r="R21" s="1" t="str">
        <f t="shared" si="3"/>
        <v>FINALSIYAHBEYAZLTDSTI</v>
      </c>
      <c r="S21" s="1" t="str">
        <f t="shared" si="4"/>
        <v>M014|46032|4000|</v>
      </c>
      <c r="T21" s="1">
        <f>IF($E21="",0,SUMPRODUCT((AY_SONU!$O$7:$O$42="Evet")*(AY_SONU!$B$7:$B$42=DATE(YEAR($E21),MONTH($E21),1))))</f>
        <v>0</v>
      </c>
      <c r="U21" s="1" t="str">
        <f>IF(OR($G21="",$H21="Mahsup"),"",$G21&amp;"|"&amp;COUNTIFS($G$7:$G21,$G21,$H$7:$H21,"&lt;&gt;Mahsup"))</f>
        <v>ÖMER KARTAL|7</v>
      </c>
    </row>
    <row r="22" spans="1:21" ht="18" customHeight="1" x14ac:dyDescent="0.3">
      <c r="A22" s="2"/>
      <c r="B22" s="65" t="str">
        <f t="shared" si="0"/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M012</v>
      </c>
      <c r="D22" s="61" t="s">
        <v>613</v>
      </c>
      <c r="E22" s="66">
        <v>46032</v>
      </c>
      <c r="F22" s="67">
        <v>4000</v>
      </c>
      <c r="G22" s="60" t="s">
        <v>723</v>
      </c>
      <c r="H22" s="60" t="s">
        <v>572</v>
      </c>
      <c r="I22" s="61"/>
      <c r="J22" s="61" t="s">
        <v>724</v>
      </c>
      <c r="K22" s="61"/>
      <c r="L22" s="73">
        <f t="shared" si="1"/>
        <v>46023</v>
      </c>
      <c r="M22" s="65" t="str">
        <f t="shared" ca="1" si="2"/>
        <v>UYGUN</v>
      </c>
      <c r="N22" s="74" t="str">
        <f>IF($C22="","",IF($C22="TANIMSIZ MÜŞTERİ","—",INDEX(MUSTERILER!$C$7:$C$156,MATCH($C22,MUSTERILER!$B$7:$B$156,0))))</f>
        <v>İLDEŞ LTD.ŞTİ.</v>
      </c>
      <c r="O22" s="2"/>
      <c r="P22" s="2"/>
      <c r="Q22" s="1" t="str">
        <f>IF($D22="","",$C22&amp;"|"&amp;COUNTIFS($C$7:$C22,$C22))</f>
        <v>M012|2</v>
      </c>
      <c r="R22" s="1" t="str">
        <f t="shared" si="3"/>
        <v>ILDESLTDSTI</v>
      </c>
      <c r="S22" s="1" t="str">
        <f t="shared" si="4"/>
        <v>M012|46032|4000|</v>
      </c>
      <c r="T22" s="1">
        <f>IF($E22="",0,SUMPRODUCT((AY_SONU!$O$7:$O$42="Evet")*(AY_SONU!$B$7:$B$42=DATE(YEAR($E22),MONTH($E22),1))))</f>
        <v>0</v>
      </c>
      <c r="U22" s="1" t="str">
        <f>IF(OR($G22="",$H22="Mahsup"),"",$G22&amp;"|"&amp;COUNTIFS($G$7:$G22,$G22,$H$7:$H22,"&lt;&gt;Mahsup"))</f>
        <v>ÖMER KARTAL|8</v>
      </c>
    </row>
    <row r="23" spans="1:21" ht="18" customHeight="1" x14ac:dyDescent="0.3">
      <c r="A23" s="2"/>
      <c r="B23" s="65" t="str">
        <f t="shared" si="0"/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M007</v>
      </c>
      <c r="D23" s="61" t="s">
        <v>635</v>
      </c>
      <c r="E23" s="66">
        <v>46032</v>
      </c>
      <c r="F23" s="67">
        <v>3500</v>
      </c>
      <c r="G23" s="60" t="s">
        <v>723</v>
      </c>
      <c r="H23" s="60" t="s">
        <v>572</v>
      </c>
      <c r="I23" s="61"/>
      <c r="J23" s="61" t="s">
        <v>724</v>
      </c>
      <c r="K23" s="61"/>
      <c r="L23" s="73">
        <f t="shared" si="1"/>
        <v>46023</v>
      </c>
      <c r="M23" s="65" t="str">
        <f t="shared" ca="1" si="2"/>
        <v>UYGUN</v>
      </c>
      <c r="N23" s="74" t="str">
        <f>IF($C23="","",IF($C23="TANIMSIZ MÜŞTERİ","—",INDEX(MUSTERILER!$C$7:$C$156,MATCH($C23,MUSTERILER!$B$7:$B$156,0))))</f>
        <v>MONAMOUR LTD.ŞTİ.</v>
      </c>
      <c r="O23" s="2"/>
      <c r="P23" s="2"/>
      <c r="Q23" s="1" t="str">
        <f>IF($D23="","",$C23&amp;"|"&amp;COUNTIFS($C$7:$C23,$C23))</f>
        <v>M007|1</v>
      </c>
      <c r="R23" s="1" t="str">
        <f t="shared" si="3"/>
        <v>MONAMOURLTDSTI</v>
      </c>
      <c r="S23" s="1" t="str">
        <f t="shared" si="4"/>
        <v>M007|46032|3500|</v>
      </c>
      <c r="T23" s="1">
        <f>IF($E23="",0,SUMPRODUCT((AY_SONU!$O$7:$O$42="Evet")*(AY_SONU!$B$7:$B$42=DATE(YEAR($E23),MONTH($E23),1))))</f>
        <v>0</v>
      </c>
      <c r="U23" s="1" t="str">
        <f>IF(OR($G23="",$H23="Mahsup"),"",$G23&amp;"|"&amp;COUNTIFS($G$7:$G23,$G23,$H$7:$H23,"&lt;&gt;Mahsup"))</f>
        <v>ÖMER KARTAL|9</v>
      </c>
    </row>
    <row r="24" spans="1:21" ht="18" customHeight="1" x14ac:dyDescent="0.3">
      <c r="A24" s="2"/>
      <c r="B24" s="65" t="str">
        <f t="shared" si="0"/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M013</v>
      </c>
      <c r="D24" s="61" t="s">
        <v>644</v>
      </c>
      <c r="E24" s="66">
        <v>46032</v>
      </c>
      <c r="F24" s="67">
        <v>13150</v>
      </c>
      <c r="G24" s="60" t="s">
        <v>723</v>
      </c>
      <c r="H24" s="60" t="s">
        <v>572</v>
      </c>
      <c r="I24" s="61"/>
      <c r="J24" s="61" t="s">
        <v>724</v>
      </c>
      <c r="K24" s="61"/>
      <c r="L24" s="73">
        <f t="shared" si="1"/>
        <v>46023</v>
      </c>
      <c r="M24" s="65" t="str">
        <f t="shared" ca="1" si="2"/>
        <v>UYGUN</v>
      </c>
      <c r="N24" s="74" t="str">
        <f>IF($C24="","",IF($C24="TANIMSIZ MÜŞTERİ","—",INDEX(MUSTERILER!$C$7:$C$156,MATCH($C24,MUSTERILER!$B$7:$B$156,0))))</f>
        <v>NAZ 1 GIDA LTD.ŞTİ.</v>
      </c>
      <c r="O24" s="2"/>
      <c r="P24" s="2"/>
      <c r="Q24" s="1" t="str">
        <f>IF($D24="","",$C24&amp;"|"&amp;COUNTIFS($C$7:$C24,$C24))</f>
        <v>M013|1</v>
      </c>
      <c r="R24" s="1" t="str">
        <f t="shared" si="3"/>
        <v>NAZ1GIDALTDSTI</v>
      </c>
      <c r="S24" s="1" t="str">
        <f t="shared" si="4"/>
        <v>M013|46032|13150|</v>
      </c>
      <c r="T24" s="1">
        <f>IF($E24="",0,SUMPRODUCT((AY_SONU!$O$7:$O$42="Evet")*(AY_SONU!$B$7:$B$42=DATE(YEAR($E24),MONTH($E24),1))))</f>
        <v>0</v>
      </c>
      <c r="U24" s="1" t="str">
        <f>IF(OR($G24="",$H24="Mahsup"),"",$G24&amp;"|"&amp;COUNTIFS($G$7:$G24,$G24,$H$7:$H24,"&lt;&gt;Mahsup"))</f>
        <v>ÖMER KARTAL|10</v>
      </c>
    </row>
    <row r="25" spans="1:21" ht="18" customHeight="1" x14ac:dyDescent="0.3">
      <c r="A25" s="2"/>
      <c r="B25" s="65" t="str">
        <f t="shared" si="0"/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M010</v>
      </c>
      <c r="D25" s="61" t="s">
        <v>650</v>
      </c>
      <c r="E25" s="66">
        <v>46032</v>
      </c>
      <c r="F25" s="67">
        <v>4000</v>
      </c>
      <c r="G25" s="60" t="s">
        <v>723</v>
      </c>
      <c r="H25" s="60" t="s">
        <v>572</v>
      </c>
      <c r="I25" s="61"/>
      <c r="J25" s="61" t="s">
        <v>724</v>
      </c>
      <c r="K25" s="61"/>
      <c r="L25" s="73">
        <f t="shared" si="1"/>
        <v>46023</v>
      </c>
      <c r="M25" s="65" t="str">
        <f t="shared" ca="1" si="2"/>
        <v>UYGUN</v>
      </c>
      <c r="N25" s="74" t="str">
        <f>IF($C25="","",IF($C25="TANIMSIZ MÜŞTERİ","—",INDEX(MUSTERILER!$C$7:$C$156,MATCH($C25,MUSTERILER!$B$7:$B$156,0))))</f>
        <v>ÖZFİDANLAR LTD.ŞTİ.</v>
      </c>
      <c r="O25" s="2"/>
      <c r="P25" s="2"/>
      <c r="Q25" s="1" t="str">
        <f>IF($D25="","",$C25&amp;"|"&amp;COUNTIFS($C$7:$C25,$C25))</f>
        <v>M010|2</v>
      </c>
      <c r="R25" s="1" t="str">
        <f t="shared" si="3"/>
        <v>OZFIDANLARLTDSTI</v>
      </c>
      <c r="S25" s="1" t="str">
        <f t="shared" si="4"/>
        <v>M010|46032|4000|</v>
      </c>
      <c r="T25" s="1">
        <f>IF($E25="",0,SUMPRODUCT((AY_SONU!$O$7:$O$42="Evet")*(AY_SONU!$B$7:$B$42=DATE(YEAR($E25),MONTH($E25),1))))</f>
        <v>0</v>
      </c>
      <c r="U25" s="1" t="str">
        <f>IF(OR($G25="",$H25="Mahsup"),"",$G25&amp;"|"&amp;COUNTIFS($G$7:$G25,$G25,$H$7:$H25,"&lt;&gt;Mahsup"))</f>
        <v>ÖMER KARTAL|11</v>
      </c>
    </row>
    <row r="26" spans="1:21" ht="18" customHeight="1" x14ac:dyDescent="0.3">
      <c r="A26" s="2"/>
      <c r="B26" s="65" t="str">
        <f t="shared" si="0"/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M005</v>
      </c>
      <c r="D26" s="61" t="s">
        <v>680</v>
      </c>
      <c r="E26" s="66">
        <v>46032</v>
      </c>
      <c r="F26" s="67">
        <v>1750</v>
      </c>
      <c r="G26" s="60" t="s">
        <v>723</v>
      </c>
      <c r="H26" s="60" t="s">
        <v>572</v>
      </c>
      <c r="I26" s="61"/>
      <c r="J26" s="61" t="s">
        <v>724</v>
      </c>
      <c r="K26" s="61"/>
      <c r="L26" s="73">
        <f t="shared" si="1"/>
        <v>46023</v>
      </c>
      <c r="M26" s="65" t="str">
        <f t="shared" ca="1" si="2"/>
        <v>UYGUN</v>
      </c>
      <c r="N26" s="74" t="str">
        <f>IF($C26="","",IF($C26="TANIMSIZ MÜŞTERİ","—",INDEX(MUSTERILER!$C$7:$C$156,MATCH($C26,MUSTERILER!$B$7:$B$156,0))))</f>
        <v>ZÜMRÜT GRUP LTD.ŞTİ.</v>
      </c>
      <c r="O26" s="2"/>
      <c r="P26" s="2"/>
      <c r="Q26" s="1" t="str">
        <f>IF($D26="","",$C26&amp;"|"&amp;COUNTIFS($C$7:$C26,$C26))</f>
        <v>M005|3</v>
      </c>
      <c r="R26" s="1" t="str">
        <f t="shared" si="3"/>
        <v>ZUMRUTGRUPLTDSTI</v>
      </c>
      <c r="S26" s="1" t="str">
        <f t="shared" si="4"/>
        <v>M005|46032|1750|</v>
      </c>
      <c r="T26" s="1">
        <f>IF($E26="",0,SUMPRODUCT((AY_SONU!$O$7:$O$42="Evet")*(AY_SONU!$B$7:$B$42=DATE(YEAR($E26),MONTH($E26),1))))</f>
        <v>0</v>
      </c>
      <c r="U26" s="1" t="str">
        <f>IF(OR($G26="",$H26="Mahsup"),"",$G26&amp;"|"&amp;COUNTIFS($G$7:$G26,$G26,$H$7:$H26,"&lt;&gt;Mahsup"))</f>
        <v>ÖMER KARTAL|12</v>
      </c>
    </row>
    <row r="27" spans="1:21" ht="18" customHeight="1" x14ac:dyDescent="0.3">
      <c r="A27" s="2"/>
      <c r="B27" s="65" t="str">
        <f t="shared" si="0"/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589</v>
      </c>
      <c r="E27" s="66">
        <v>46034</v>
      </c>
      <c r="F27" s="67">
        <v>6000</v>
      </c>
      <c r="G27" s="60" t="s">
        <v>723</v>
      </c>
      <c r="H27" s="60" t="s">
        <v>572</v>
      </c>
      <c r="I27" s="61"/>
      <c r="J27" s="61" t="s">
        <v>724</v>
      </c>
      <c r="K27" s="61"/>
      <c r="L27" s="73">
        <f t="shared" si="1"/>
        <v>46023</v>
      </c>
      <c r="M27" s="65" t="str">
        <f t="shared" ca="1" si="2"/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3"/>
        <v>CAYIRALANLTDSTI</v>
      </c>
      <c r="S27" s="1" t="str">
        <f t="shared" si="4"/>
        <v>M015|46034|6000|</v>
      </c>
      <c r="T27" s="1">
        <f>IF($E27="",0,SUMPRODUCT((AY_SONU!$O$7:$O$42="Evet")*(AY_SONU!$B$7:$B$42=DATE(YEAR($E27),MONTH($E27),1))))</f>
        <v>0</v>
      </c>
      <c r="U27" s="1" t="str">
        <f>IF(OR($G27="",$H27="Mahsup"),"",$G27&amp;"|"&amp;COUNTIFS($G$7:$G27,$G27,$H$7:$H27,"&lt;&gt;Mahsup"))</f>
        <v>ÖMER KARTAL|13</v>
      </c>
    </row>
    <row r="28" spans="1:21" ht="18" customHeight="1" x14ac:dyDescent="0.3">
      <c r="A28" s="2"/>
      <c r="B28" s="65" t="str">
        <f t="shared" si="0"/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611</v>
      </c>
      <c r="E28" s="66">
        <v>46034</v>
      </c>
      <c r="F28" s="67">
        <v>3000</v>
      </c>
      <c r="G28" s="60" t="s">
        <v>723</v>
      </c>
      <c r="H28" s="60" t="s">
        <v>572</v>
      </c>
      <c r="I28" s="61"/>
      <c r="J28" s="61" t="s">
        <v>724</v>
      </c>
      <c r="K28" s="61"/>
      <c r="L28" s="73">
        <f t="shared" si="1"/>
        <v>46023</v>
      </c>
      <c r="M28" s="65" t="str">
        <f t="shared" ca="1" si="2"/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M034|1</v>
      </c>
      <c r="R28" s="1" t="str">
        <f t="shared" si="3"/>
        <v>IBRAHIMMALDAN</v>
      </c>
      <c r="S28" s="1" t="str">
        <f t="shared" si="4"/>
        <v>M034|46034|3000|</v>
      </c>
      <c r="T28" s="1">
        <f>IF($E28="",0,SUMPRODUCT((AY_SONU!$O$7:$O$42="Evet")*(AY_SONU!$B$7:$B$42=DATE(YEAR($E28),MONTH($E28),1))))</f>
        <v>0</v>
      </c>
      <c r="U28" s="1" t="str">
        <f>IF(OR($G28="",$H28="Mahsup"),"",$G28&amp;"|"&amp;COUNTIFS($G$7:$G28,$G28,$H$7:$H28,"&lt;&gt;Mahsup"))</f>
        <v>ÖMER KARTAL|14</v>
      </c>
    </row>
    <row r="29" spans="1:21" ht="18" customHeight="1" x14ac:dyDescent="0.3">
      <c r="A29" s="2"/>
      <c r="B29" s="65" t="str">
        <f t="shared" si="0"/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M016</v>
      </c>
      <c r="D29" s="61" t="s">
        <v>658</v>
      </c>
      <c r="E29" s="66">
        <v>46034</v>
      </c>
      <c r="F29" s="67">
        <v>4000</v>
      </c>
      <c r="G29" s="60" t="s">
        <v>723</v>
      </c>
      <c r="H29" s="60" t="s">
        <v>572</v>
      </c>
      <c r="I29" s="61"/>
      <c r="J29" s="61" t="s">
        <v>724</v>
      </c>
      <c r="K29" s="61"/>
      <c r="L29" s="73">
        <f t="shared" si="1"/>
        <v>46023</v>
      </c>
      <c r="M29" s="65" t="str">
        <f t="shared" ca="1" si="2"/>
        <v>UYGUN</v>
      </c>
      <c r="N29" s="74" t="str">
        <f>IF($C29="","",IF($C29="TANIMSIZ MÜŞTERİ","—",INDEX(MUSTERILER!$C$7:$C$156,MATCH($C29,MUSTERILER!$B$7:$B$156,0))))</f>
        <v>RİX ŞOW LTD.ŞTİ.</v>
      </c>
      <c r="O29" s="2"/>
      <c r="P29" s="2"/>
      <c r="Q29" s="1" t="str">
        <f>IF($D29="","",$C29&amp;"|"&amp;COUNTIFS($C$7:$C29,$C29))</f>
        <v>M016|2</v>
      </c>
      <c r="R29" s="1" t="str">
        <f t="shared" si="3"/>
        <v>RIXSOWLTDSTI</v>
      </c>
      <c r="S29" s="1" t="str">
        <f t="shared" si="4"/>
        <v>M016|46034|4000|</v>
      </c>
      <c r="T29" s="1">
        <f>IF($E29="",0,SUMPRODUCT((AY_SONU!$O$7:$O$42="Evet")*(AY_SONU!$B$7:$B$42=DATE(YEAR($E29),MONTH($E29),1))))</f>
        <v>0</v>
      </c>
      <c r="U29" s="1" t="str">
        <f>IF(OR($G29="",$H29="Mahsup"),"",$G29&amp;"|"&amp;COUNTIFS($G$7:$G29,$G29,$H$7:$H29,"&lt;&gt;Mahsup"))</f>
        <v>ÖMER KARTAL|15</v>
      </c>
    </row>
    <row r="30" spans="1:21" ht="18" customHeight="1" x14ac:dyDescent="0.3">
      <c r="A30" s="2"/>
      <c r="B30" s="65" t="str">
        <f t="shared" si="0"/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M004</v>
      </c>
      <c r="D30" s="61" t="s">
        <v>678</v>
      </c>
      <c r="E30" s="66">
        <v>46034</v>
      </c>
      <c r="F30" s="67">
        <v>6000</v>
      </c>
      <c r="G30" s="60" t="s">
        <v>723</v>
      </c>
      <c r="H30" s="60" t="s">
        <v>572</v>
      </c>
      <c r="I30" s="61"/>
      <c r="J30" s="61" t="s">
        <v>724</v>
      </c>
      <c r="K30" s="61"/>
      <c r="L30" s="73">
        <f t="shared" si="1"/>
        <v>46023</v>
      </c>
      <c r="M30" s="65" t="str">
        <f t="shared" ca="1" si="2"/>
        <v>UYGUN</v>
      </c>
      <c r="N30" s="74" t="str">
        <f>IF($C30="","",IF($C30="TANIMSIZ MÜŞTERİ","—",INDEX(MUSTERILER!$C$7:$C$156,MATCH($C30,MUSTERILER!$B$7:$B$156,0))))</f>
        <v>ZÜMRÜT EĞLENCE LTD.ŞTİ.</v>
      </c>
      <c r="O30" s="2"/>
      <c r="P30" s="2"/>
      <c r="Q30" s="1" t="str">
        <f>IF($D30="","",$C30&amp;"|"&amp;COUNTIFS($C$7:$C30,$C30))</f>
        <v>M004|1</v>
      </c>
      <c r="R30" s="1" t="str">
        <f t="shared" si="3"/>
        <v>ZUMRUTEGLENCELTDSTI</v>
      </c>
      <c r="S30" s="1" t="str">
        <f t="shared" si="4"/>
        <v>M004|46034|6000|</v>
      </c>
      <c r="T30" s="1">
        <f>IF($E30="",0,SUMPRODUCT((AY_SONU!$O$7:$O$42="Evet")*(AY_SONU!$B$7:$B$42=DATE(YEAR($E30),MONTH($E30),1))))</f>
        <v>0</v>
      </c>
      <c r="U30" s="1" t="str">
        <f>IF(OR($G30="",$H30="Mahsup"),"",$G30&amp;"|"&amp;COUNTIFS($G$7:$G30,$G30,$H$7:$H30,"&lt;&gt;Mahsup"))</f>
        <v>ÖMER KARTAL|16</v>
      </c>
    </row>
    <row r="31" spans="1:21" ht="18" customHeight="1" x14ac:dyDescent="0.3">
      <c r="A31" s="2"/>
      <c r="B31" s="65" t="str">
        <f t="shared" si="0"/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M051</v>
      </c>
      <c r="D31" s="61" t="s">
        <v>668</v>
      </c>
      <c r="E31" s="66">
        <v>46035</v>
      </c>
      <c r="F31" s="67">
        <v>3000</v>
      </c>
      <c r="G31" s="60" t="s">
        <v>723</v>
      </c>
      <c r="H31" s="60" t="s">
        <v>572</v>
      </c>
      <c r="I31" s="61"/>
      <c r="J31" s="61" t="s">
        <v>720</v>
      </c>
      <c r="K31" s="61"/>
      <c r="L31" s="73">
        <f t="shared" si="1"/>
        <v>46023</v>
      </c>
      <c r="M31" s="65" t="str">
        <f t="shared" ca="1" si="2"/>
        <v>UYGUN</v>
      </c>
      <c r="N31" s="74" t="str">
        <f>IF($C31="","",IF($C31="TANIMSIZ MÜŞTERİ","—",INDEX(MUSTERILER!$C$7:$C$156,MATCH($C31,MUSTERILER!$B$7:$B$156,0))))</f>
        <v>UFUK YILMAZ</v>
      </c>
      <c r="O31" s="2"/>
      <c r="P31" s="2"/>
      <c r="Q31" s="1" t="str">
        <f>IF($D31="","",$C31&amp;"|"&amp;COUNTIFS($C$7:$C31,$C31))</f>
        <v>M051|1</v>
      </c>
      <c r="R31" s="1" t="str">
        <f t="shared" si="3"/>
        <v>UFUKYILMAZ</v>
      </c>
      <c r="S31" s="1" t="str">
        <f t="shared" si="4"/>
        <v>M051|46035|3000|</v>
      </c>
      <c r="T31" s="1">
        <f>IF($E31="",0,SUMPRODUCT((AY_SONU!$O$7:$O$42="Evet")*(AY_SONU!$B$7:$B$42=DATE(YEAR($E31),MONTH($E31),1))))</f>
        <v>0</v>
      </c>
      <c r="U31" s="1" t="str">
        <f>IF(OR($G31="",$H31="Mahsup"),"",$G31&amp;"|"&amp;COUNTIFS($G$7:$G31,$G31,$H$7:$H31,"&lt;&gt;Mahsup"))</f>
        <v>ÖMER KARTAL|17</v>
      </c>
    </row>
    <row r="32" spans="1:21" ht="18" customHeight="1" x14ac:dyDescent="0.3">
      <c r="A32" s="2"/>
      <c r="B32" s="65" t="str">
        <f t="shared" si="0"/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M025</v>
      </c>
      <c r="D32" s="61" t="s">
        <v>583</v>
      </c>
      <c r="E32" s="66">
        <v>46039</v>
      </c>
      <c r="F32" s="67">
        <v>6000</v>
      </c>
      <c r="G32" s="60" t="s">
        <v>717</v>
      </c>
      <c r="H32" s="60" t="s">
        <v>572</v>
      </c>
      <c r="I32" s="61"/>
      <c r="J32" s="61" t="s">
        <v>720</v>
      </c>
      <c r="K32" s="61"/>
      <c r="L32" s="73">
        <f t="shared" si="1"/>
        <v>46023</v>
      </c>
      <c r="M32" s="65" t="str">
        <f t="shared" ca="1" si="2"/>
        <v>UYGUN</v>
      </c>
      <c r="N32" s="74" t="str">
        <f>IF($C32="","",IF($C32="TANIMSIZ MÜŞTERİ","—",INDEX(MUSTERILER!$C$7:$C$156,MATCH($C32,MUSTERILER!$B$7:$B$156,0))))</f>
        <v>ASIM AÇIKGÖZ</v>
      </c>
      <c r="O32" s="2"/>
      <c r="P32" s="2"/>
      <c r="Q32" s="1" t="str">
        <f>IF($D32="","",$C32&amp;"|"&amp;COUNTIFS($C$7:$C32,$C32))</f>
        <v>M025|2</v>
      </c>
      <c r="R32" s="1" t="str">
        <f t="shared" si="3"/>
        <v>ASIMACIKGOZ</v>
      </c>
      <c r="S32" s="1" t="str">
        <f t="shared" si="4"/>
        <v>M025|46039|6000|</v>
      </c>
      <c r="T32" s="1">
        <f>IF($E32="",0,SUMPRODUCT((AY_SONU!$O$7:$O$42="Evet")*(AY_SONU!$B$7:$B$42=DATE(YEAR($E32),MONTH($E32),1))))</f>
        <v>0</v>
      </c>
      <c r="U32" s="1" t="str">
        <f>IF(OR($G32="",$H32="Mahsup"),"",$G32&amp;"|"&amp;COUNTIFS($G$7:$G32,$G32,$H$7:$H32,"&lt;&gt;Mahsup"))</f>
        <v>MERKEZ KASA|9</v>
      </c>
    </row>
    <row r="33" spans="1:21" ht="18" customHeight="1" x14ac:dyDescent="0.3">
      <c r="A33" s="2"/>
      <c r="B33" s="65" t="str">
        <f t="shared" si="0"/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M017</v>
      </c>
      <c r="D33" s="61" t="s">
        <v>585</v>
      </c>
      <c r="E33" s="66">
        <v>46039</v>
      </c>
      <c r="F33" s="67">
        <v>5000</v>
      </c>
      <c r="G33" s="60" t="s">
        <v>717</v>
      </c>
      <c r="H33" s="60" t="s">
        <v>572</v>
      </c>
      <c r="I33" s="61"/>
      <c r="J33" s="61" t="s">
        <v>720</v>
      </c>
      <c r="K33" s="61"/>
      <c r="L33" s="73">
        <f t="shared" si="1"/>
        <v>46023</v>
      </c>
      <c r="M33" s="65" t="str">
        <f t="shared" ca="1" si="2"/>
        <v>UYGUN</v>
      </c>
      <c r="N33" s="74" t="str">
        <f>IF($C33="","",IF($C33="TANIMSIZ MÜŞTERİ","—",INDEX(MUSTERILER!$C$7:$C$156,MATCH($C33,MUSTERILER!$B$7:$B$156,0))))</f>
        <v>ASM EĞLENCE LTD.ŞTİ.</v>
      </c>
      <c r="O33" s="2"/>
      <c r="P33" s="2"/>
      <c r="Q33" s="1" t="str">
        <f>IF($D33="","",$C33&amp;"|"&amp;COUNTIFS($C$7:$C33,$C33))</f>
        <v>M017|2</v>
      </c>
      <c r="R33" s="1" t="str">
        <f t="shared" si="3"/>
        <v>ASMEGLENCELTDSTI</v>
      </c>
      <c r="S33" s="1" t="str">
        <f t="shared" si="4"/>
        <v>M017|46039|5000|</v>
      </c>
      <c r="T33" s="1">
        <f>IF($E33="",0,SUMPRODUCT((AY_SONU!$O$7:$O$42="Evet")*(AY_SONU!$B$7:$B$42=DATE(YEAR($E33),MONTH($E33),1))))</f>
        <v>0</v>
      </c>
      <c r="U33" s="1" t="str">
        <f>IF(OR($G33="",$H33="Mahsup"),"",$G33&amp;"|"&amp;COUNTIFS($G$7:$G33,$G33,$H$7:$H33,"&lt;&gt;Mahsup"))</f>
        <v>MERKEZ KASA|10</v>
      </c>
    </row>
    <row r="34" spans="1:21" ht="18" customHeight="1" x14ac:dyDescent="0.3">
      <c r="A34" s="2"/>
      <c r="B34" s="65" t="str">
        <f t="shared" si="0"/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M015</v>
      </c>
      <c r="D34" s="61" t="s">
        <v>589</v>
      </c>
      <c r="E34" s="66">
        <v>46039</v>
      </c>
      <c r="F34" s="67">
        <v>3000</v>
      </c>
      <c r="G34" s="60" t="s">
        <v>717</v>
      </c>
      <c r="H34" s="60" t="s">
        <v>572</v>
      </c>
      <c r="I34" s="61"/>
      <c r="J34" s="61" t="s">
        <v>720</v>
      </c>
      <c r="K34" s="61"/>
      <c r="L34" s="73">
        <f t="shared" si="1"/>
        <v>46023</v>
      </c>
      <c r="M34" s="65" t="str">
        <f t="shared" ca="1" si="2"/>
        <v>UYGUN</v>
      </c>
      <c r="N34" s="74" t="str">
        <f>IF($C34="","",IF($C34="TANIMSIZ MÜŞTERİ","—",INDEX(MUSTERILER!$C$7:$C$156,MATCH($C34,MUSTERILER!$B$7:$B$156,0))))</f>
        <v>ÇAYIRALAN LTD.ŞTİ.</v>
      </c>
      <c r="O34" s="2"/>
      <c r="P34" s="2"/>
      <c r="Q34" s="1" t="str">
        <f>IF($D34="","",$C34&amp;"|"&amp;COUNTIFS($C$7:$C34,$C34))</f>
        <v>M015|3</v>
      </c>
      <c r="R34" s="1" t="str">
        <f t="shared" si="3"/>
        <v>CAYIRALANLTDSTI</v>
      </c>
      <c r="S34" s="1" t="str">
        <f t="shared" si="4"/>
        <v>M015|46039|3000|</v>
      </c>
      <c r="T34" s="1">
        <f>IF($E34="",0,SUMPRODUCT((AY_SONU!$O$7:$O$42="Evet")*(AY_SONU!$B$7:$B$42=DATE(YEAR($E34),MONTH($E34),1))))</f>
        <v>0</v>
      </c>
      <c r="U34" s="1" t="str">
        <f>IF(OR($G34="",$H34="Mahsup"),"",$G34&amp;"|"&amp;COUNTIFS($G$7:$G34,$G34,$H$7:$H34,"&lt;&gt;Mahsup"))</f>
        <v>MERKEZ KASA|11</v>
      </c>
    </row>
    <row r="35" spans="1:21" ht="18" customHeight="1" x14ac:dyDescent="0.3">
      <c r="A35" s="2"/>
      <c r="B35" s="65" t="str">
        <f t="shared" si="0"/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M034</v>
      </c>
      <c r="D35" s="61" t="s">
        <v>611</v>
      </c>
      <c r="E35" s="66">
        <v>46039</v>
      </c>
      <c r="F35" s="67">
        <v>1500</v>
      </c>
      <c r="G35" s="60" t="s">
        <v>717</v>
      </c>
      <c r="H35" s="60" t="s">
        <v>572</v>
      </c>
      <c r="I35" s="61"/>
      <c r="J35" s="61" t="s">
        <v>720</v>
      </c>
      <c r="K35" s="61"/>
      <c r="L35" s="73">
        <f t="shared" si="1"/>
        <v>46023</v>
      </c>
      <c r="M35" s="65" t="str">
        <f t="shared" ca="1" si="2"/>
        <v>UYGUN</v>
      </c>
      <c r="N35" s="74" t="str">
        <f>IF($C35="","",IF($C35="TANIMSIZ MÜŞTERİ","—",INDEX(MUSTERILER!$C$7:$C$156,MATCH($C35,MUSTERILER!$B$7:$B$156,0))))</f>
        <v>İBRAHİM MALDAN</v>
      </c>
      <c r="O35" s="2"/>
      <c r="P35" s="2"/>
      <c r="Q35" s="1" t="str">
        <f>IF($D35="","",$C35&amp;"|"&amp;COUNTIFS($C$7:$C35,$C35))</f>
        <v>M034|2</v>
      </c>
      <c r="R35" s="1" t="str">
        <f t="shared" si="3"/>
        <v>IBRAHIMMALDAN</v>
      </c>
      <c r="S35" s="1" t="str">
        <f t="shared" si="4"/>
        <v>M034|46039|1500|</v>
      </c>
      <c r="T35" s="1">
        <f>IF($E35="",0,SUMPRODUCT((AY_SONU!$O$7:$O$42="Evet")*(AY_SONU!$B$7:$B$42=DATE(YEAR($E35),MONTH($E35),1))))</f>
        <v>0</v>
      </c>
      <c r="U35" s="1" t="str">
        <f>IF(OR($G35="",$H35="Mahsup"),"",$G35&amp;"|"&amp;COUNTIFS($G$7:$G35,$G35,$H$7:$H35,"&lt;&gt;Mahsup"))</f>
        <v>MERKEZ KASA|12</v>
      </c>
    </row>
    <row r="36" spans="1:21" ht="18" customHeight="1" x14ac:dyDescent="0.3">
      <c r="A36" s="2"/>
      <c r="B36" s="65" t="str">
        <f t="shared" si="0"/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M008</v>
      </c>
      <c r="D36" s="61" t="s">
        <v>621</v>
      </c>
      <c r="E36" s="66">
        <v>46039</v>
      </c>
      <c r="F36" s="67">
        <v>3500</v>
      </c>
      <c r="G36" s="60" t="s">
        <v>717</v>
      </c>
      <c r="H36" s="60" t="s">
        <v>572</v>
      </c>
      <c r="I36" s="61"/>
      <c r="J36" s="61" t="s">
        <v>720</v>
      </c>
      <c r="K36" s="61"/>
      <c r="L36" s="73">
        <f t="shared" si="1"/>
        <v>46023</v>
      </c>
      <c r="M36" s="65" t="str">
        <f t="shared" ca="1" si="2"/>
        <v>UYGUN</v>
      </c>
      <c r="N36" s="74" t="str">
        <f>IF($C36="","",IF($C36="TANIMSIZ MÜŞTERİ","—",INDEX(MUSTERILER!$C$7:$C$156,MATCH($C36,MUSTERILER!$B$7:$B$156,0))))</f>
        <v>KÖŞK YÜKSELEN LTD.ŞTİ.</v>
      </c>
      <c r="O36" s="2"/>
      <c r="P36" s="2"/>
      <c r="Q36" s="1" t="str">
        <f>IF($D36="","",$C36&amp;"|"&amp;COUNTIFS($C$7:$C36,$C36))</f>
        <v>M008|1</v>
      </c>
      <c r="R36" s="1" t="str">
        <f t="shared" si="3"/>
        <v>KOSKYUKSELENLTDSTI</v>
      </c>
      <c r="S36" s="1" t="str">
        <f t="shared" si="4"/>
        <v>M008|46039|3500|</v>
      </c>
      <c r="T36" s="1">
        <f>IF($E36="",0,SUMPRODUCT((AY_SONU!$O$7:$O$42="Evet")*(AY_SONU!$B$7:$B$42=DATE(YEAR($E36),MONTH($E36),1))))</f>
        <v>0</v>
      </c>
      <c r="U36" s="1" t="str">
        <f>IF(OR($G36="",$H36="Mahsup"),"",$G36&amp;"|"&amp;COUNTIFS($G$7:$G36,$G36,$H$7:$H36,"&lt;&gt;Mahsup"))</f>
        <v>MERKEZ KASA|13</v>
      </c>
    </row>
    <row r="37" spans="1:21" ht="18" customHeight="1" x14ac:dyDescent="0.3">
      <c r="A37" s="2"/>
      <c r="B37" s="65" t="str">
        <f t="shared" si="0"/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M007</v>
      </c>
      <c r="D37" s="61" t="s">
        <v>635</v>
      </c>
      <c r="E37" s="66">
        <v>46039</v>
      </c>
      <c r="F37" s="67">
        <v>2000</v>
      </c>
      <c r="G37" s="60" t="s">
        <v>717</v>
      </c>
      <c r="H37" s="60" t="s">
        <v>572</v>
      </c>
      <c r="I37" s="61"/>
      <c r="J37" s="61" t="s">
        <v>720</v>
      </c>
      <c r="K37" s="61"/>
      <c r="L37" s="73">
        <f t="shared" si="1"/>
        <v>46023</v>
      </c>
      <c r="M37" s="65" t="str">
        <f t="shared" ca="1" si="2"/>
        <v>UYGUN</v>
      </c>
      <c r="N37" s="74" t="str">
        <f>IF($C37="","",IF($C37="TANIMSIZ MÜŞTERİ","—",INDEX(MUSTERILER!$C$7:$C$156,MATCH($C37,MUSTERILER!$B$7:$B$156,0))))</f>
        <v>MONAMOUR LTD.ŞTİ.</v>
      </c>
      <c r="O37" s="2"/>
      <c r="P37" s="2"/>
      <c r="Q37" s="1" t="str">
        <f>IF($D37="","",$C37&amp;"|"&amp;COUNTIFS($C$7:$C37,$C37))</f>
        <v>M007|2</v>
      </c>
      <c r="R37" s="1" t="str">
        <f t="shared" si="3"/>
        <v>MONAMOURLTDSTI</v>
      </c>
      <c r="S37" s="1" t="str">
        <f t="shared" si="4"/>
        <v>M007|46039|2000|</v>
      </c>
      <c r="T37" s="1">
        <f>IF($E37="",0,SUMPRODUCT((AY_SONU!$O$7:$O$42="Evet")*(AY_SONU!$B$7:$B$42=DATE(YEAR($E37),MONTH($E37),1))))</f>
        <v>0</v>
      </c>
      <c r="U37" s="1" t="str">
        <f>IF(OR($G37="",$H37="Mahsup"),"",$G37&amp;"|"&amp;COUNTIFS($G$7:$G37,$G37,$H$7:$H37,"&lt;&gt;Mahsup"))</f>
        <v>MERKEZ KASA|14</v>
      </c>
    </row>
    <row r="38" spans="1:21" ht="18" customHeight="1" x14ac:dyDescent="0.3">
      <c r="A38" s="2"/>
      <c r="B38" s="65" t="str">
        <f t="shared" si="0"/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M007</v>
      </c>
      <c r="D38" s="61" t="s">
        <v>635</v>
      </c>
      <c r="E38" s="66">
        <v>46039</v>
      </c>
      <c r="F38" s="67">
        <v>3500</v>
      </c>
      <c r="G38" s="60" t="s">
        <v>717</v>
      </c>
      <c r="H38" s="60" t="s">
        <v>572</v>
      </c>
      <c r="I38" s="61"/>
      <c r="J38" s="61" t="s">
        <v>720</v>
      </c>
      <c r="K38" s="61"/>
      <c r="L38" s="73">
        <f t="shared" si="1"/>
        <v>46023</v>
      </c>
      <c r="M38" s="65" t="str">
        <f t="shared" ca="1" si="2"/>
        <v>UYGUN</v>
      </c>
      <c r="N38" s="74" t="str">
        <f>IF($C38="","",IF($C38="TANIMSIZ MÜŞTERİ","—",INDEX(MUSTERILER!$C$7:$C$156,MATCH($C38,MUSTERILER!$B$7:$B$156,0))))</f>
        <v>MONAMOUR LTD.ŞTİ.</v>
      </c>
      <c r="O38" s="2"/>
      <c r="P38" s="2"/>
      <c r="Q38" s="1" t="str">
        <f>IF($D38="","",$C38&amp;"|"&amp;COUNTIFS($C$7:$C38,$C38))</f>
        <v>M007|3</v>
      </c>
      <c r="R38" s="1" t="str">
        <f t="shared" si="3"/>
        <v>MONAMOURLTDSTI</v>
      </c>
      <c r="S38" s="1" t="str">
        <f t="shared" si="4"/>
        <v>M007|46039|3500|</v>
      </c>
      <c r="T38" s="1">
        <f>IF($E38="",0,SUMPRODUCT((AY_SONU!$O$7:$O$42="Evet")*(AY_SONU!$B$7:$B$42=DATE(YEAR($E38),MONTH($E38),1))))</f>
        <v>0</v>
      </c>
      <c r="U38" s="1" t="str">
        <f>IF(OR($G38="",$H38="Mahsup"),"",$G38&amp;"|"&amp;COUNTIFS($G$7:$G38,$G38,$H$7:$H38,"&lt;&gt;Mahsup"))</f>
        <v>MERKEZ KASA|15</v>
      </c>
    </row>
    <row r="39" spans="1:21" ht="18" customHeight="1" x14ac:dyDescent="0.3">
      <c r="A39" s="2"/>
      <c r="B39" s="65" t="str">
        <f t="shared" si="0"/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M013</v>
      </c>
      <c r="D39" s="61" t="s">
        <v>644</v>
      </c>
      <c r="E39" s="66">
        <v>46039</v>
      </c>
      <c r="F39" s="67">
        <v>2000</v>
      </c>
      <c r="G39" s="60" t="s">
        <v>717</v>
      </c>
      <c r="H39" s="60" t="s">
        <v>572</v>
      </c>
      <c r="I39" s="61"/>
      <c r="J39" s="61" t="s">
        <v>720</v>
      </c>
      <c r="K39" s="61"/>
      <c r="L39" s="73">
        <f t="shared" si="1"/>
        <v>46023</v>
      </c>
      <c r="M39" s="65" t="str">
        <f t="shared" ca="1" si="2"/>
        <v>UYGUN</v>
      </c>
      <c r="N39" s="74" t="str">
        <f>IF($C39="","",IF($C39="TANIMSIZ MÜŞTERİ","—",INDEX(MUSTERILER!$C$7:$C$156,MATCH($C39,MUSTERILER!$B$7:$B$156,0))))</f>
        <v>NAZ 1 GIDA LTD.ŞTİ.</v>
      </c>
      <c r="O39" s="2"/>
      <c r="P39" s="2"/>
      <c r="Q39" s="1" t="str">
        <f>IF($D39="","",$C39&amp;"|"&amp;COUNTIFS($C$7:$C39,$C39))</f>
        <v>M013|2</v>
      </c>
      <c r="R39" s="1" t="str">
        <f t="shared" si="3"/>
        <v>NAZ1GIDALTDSTI</v>
      </c>
      <c r="S39" s="1" t="str">
        <f t="shared" si="4"/>
        <v>M013|46039|2000|</v>
      </c>
      <c r="T39" s="1">
        <f>IF($E39="",0,SUMPRODUCT((AY_SONU!$O$7:$O$42="Evet")*(AY_SONU!$B$7:$B$42=DATE(YEAR($E39),MONTH($E39),1))))</f>
        <v>0</v>
      </c>
      <c r="U39" s="1" t="str">
        <f>IF(OR($G39="",$H39="Mahsup"),"",$G39&amp;"|"&amp;COUNTIFS($G$7:$G39,$G39,$H$7:$H39,"&lt;&gt;Mahsup"))</f>
        <v>MERKEZ KASA|16</v>
      </c>
    </row>
    <row r="40" spans="1:21" ht="18" customHeight="1" x14ac:dyDescent="0.3">
      <c r="A40" s="2"/>
      <c r="B40" s="65" t="str">
        <f t="shared" si="0"/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M016</v>
      </c>
      <c r="D40" s="61" t="s">
        <v>658</v>
      </c>
      <c r="E40" s="66">
        <v>46039</v>
      </c>
      <c r="F40" s="67">
        <v>2000</v>
      </c>
      <c r="G40" s="60" t="s">
        <v>717</v>
      </c>
      <c r="H40" s="60" t="s">
        <v>572</v>
      </c>
      <c r="I40" s="61"/>
      <c r="J40" s="61" t="s">
        <v>720</v>
      </c>
      <c r="K40" s="61"/>
      <c r="L40" s="73">
        <f t="shared" si="1"/>
        <v>46023</v>
      </c>
      <c r="M40" s="65" t="str">
        <f t="shared" ca="1" si="2"/>
        <v>UYGUN</v>
      </c>
      <c r="N40" s="74" t="str">
        <f>IF($C40="","",IF($C40="TANIMSIZ MÜŞTERİ","—",INDEX(MUSTERILER!$C$7:$C$156,MATCH($C40,MUSTERILER!$B$7:$B$156,0))))</f>
        <v>RİX ŞOW LTD.ŞTİ.</v>
      </c>
      <c r="O40" s="2"/>
      <c r="P40" s="2"/>
      <c r="Q40" s="1" t="str">
        <f>IF($D40="","",$C40&amp;"|"&amp;COUNTIFS($C$7:$C40,$C40))</f>
        <v>M016|3</v>
      </c>
      <c r="R40" s="1" t="str">
        <f t="shared" si="3"/>
        <v>RIXSOWLTDSTI</v>
      </c>
      <c r="S40" s="1" t="str">
        <f t="shared" si="4"/>
        <v>M016|46039|2000|</v>
      </c>
      <c r="T40" s="1">
        <f>IF($E40="",0,SUMPRODUCT((AY_SONU!$O$7:$O$42="Evet")*(AY_SONU!$B$7:$B$42=DATE(YEAR($E40),MONTH($E40),1))))</f>
        <v>0</v>
      </c>
      <c r="U40" s="1" t="str">
        <f>IF(OR($G40="",$H40="Mahsup"),"",$G40&amp;"|"&amp;COUNTIFS($G$7:$G40,$G40,$H$7:$H40,"&lt;&gt;Mahsup"))</f>
        <v>MERKEZ KASA|17</v>
      </c>
    </row>
    <row r="41" spans="1:21" ht="18" customHeight="1" x14ac:dyDescent="0.3">
      <c r="A41" s="2"/>
      <c r="B41" s="65" t="str">
        <f t="shared" si="0"/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M003</v>
      </c>
      <c r="D41" s="61" t="s">
        <v>666</v>
      </c>
      <c r="E41" s="66">
        <v>46039</v>
      </c>
      <c r="F41" s="67">
        <v>4000</v>
      </c>
      <c r="G41" s="60" t="s">
        <v>717</v>
      </c>
      <c r="H41" s="60" t="s">
        <v>572</v>
      </c>
      <c r="I41" s="61"/>
      <c r="J41" s="61" t="s">
        <v>720</v>
      </c>
      <c r="K41" s="61"/>
      <c r="L41" s="73">
        <f t="shared" si="1"/>
        <v>46023</v>
      </c>
      <c r="M41" s="65" t="str">
        <f t="shared" ca="1" si="2"/>
        <v>UYGUN</v>
      </c>
      <c r="N41" s="74" t="str">
        <f>IF($C41="","",IF($C41="TANIMSIZ MÜŞTERİ","—",INDEX(MUSTERILER!$C$7:$C$156,MATCH($C41,MUSTERILER!$B$7:$B$156,0))))</f>
        <v>TYANA LTD.ŞTİ.</v>
      </c>
      <c r="O41" s="2"/>
      <c r="P41" s="2"/>
      <c r="Q41" s="1" t="str">
        <f>IF($D41="","",$C41&amp;"|"&amp;COUNTIFS($C$7:$C41,$C41))</f>
        <v>M003|1</v>
      </c>
      <c r="R41" s="1" t="str">
        <f t="shared" si="3"/>
        <v>TYANALTDSTI</v>
      </c>
      <c r="S41" s="1" t="str">
        <f t="shared" si="4"/>
        <v>M003|46039|4000|</v>
      </c>
      <c r="T41" s="1">
        <f>IF($E41="",0,SUMPRODUCT((AY_SONU!$O$7:$O$42="Evet")*(AY_SONU!$B$7:$B$42=DATE(YEAR($E41),MONTH($E41),1))))</f>
        <v>0</v>
      </c>
      <c r="U41" s="1" t="str">
        <f>IF(OR($G41="",$H41="Mahsup"),"",$G41&amp;"|"&amp;COUNTIFS($G$7:$G41,$G41,$H$7:$H41,"&lt;&gt;Mahsup"))</f>
        <v>MERKEZ KASA|18</v>
      </c>
    </row>
    <row r="42" spans="1:21" ht="18" customHeight="1" x14ac:dyDescent="0.3">
      <c r="A42" s="2"/>
      <c r="B42" s="65" t="str">
        <f t="shared" si="0"/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M004</v>
      </c>
      <c r="D42" s="61" t="s">
        <v>678</v>
      </c>
      <c r="E42" s="66">
        <v>46039</v>
      </c>
      <c r="F42" s="67">
        <v>3000</v>
      </c>
      <c r="G42" s="60" t="s">
        <v>717</v>
      </c>
      <c r="H42" s="60" t="s">
        <v>572</v>
      </c>
      <c r="I42" s="61"/>
      <c r="J42" s="61" t="s">
        <v>720</v>
      </c>
      <c r="K42" s="61"/>
      <c r="L42" s="73">
        <f t="shared" si="1"/>
        <v>46023</v>
      </c>
      <c r="M42" s="65" t="str">
        <f t="shared" ca="1" si="2"/>
        <v>UYGUN</v>
      </c>
      <c r="N42" s="74" t="str">
        <f>IF($C42="","",IF($C42="TANIMSIZ MÜŞTERİ","—",INDEX(MUSTERILER!$C$7:$C$156,MATCH($C42,MUSTERILER!$B$7:$B$156,0))))</f>
        <v>ZÜMRÜT EĞLENCE LTD.ŞTİ.</v>
      </c>
      <c r="O42" s="2"/>
      <c r="P42" s="2"/>
      <c r="Q42" s="1" t="str">
        <f>IF($D42="","",$C42&amp;"|"&amp;COUNTIFS($C$7:$C42,$C42))</f>
        <v>M004|2</v>
      </c>
      <c r="R42" s="1" t="str">
        <f t="shared" si="3"/>
        <v>ZUMRUTEGLENCELTDSTI</v>
      </c>
      <c r="S42" s="1" t="str">
        <f t="shared" si="4"/>
        <v>M004|46039|3000|</v>
      </c>
      <c r="T42" s="1">
        <f>IF($E42="",0,SUMPRODUCT((AY_SONU!$O$7:$O$42="Evet")*(AY_SONU!$B$7:$B$42=DATE(YEAR($E42),MONTH($E42),1))))</f>
        <v>0</v>
      </c>
      <c r="U42" s="1" t="str">
        <f>IF(OR($G42="",$H42="Mahsup"),"",$G42&amp;"|"&amp;COUNTIFS($G$7:$G42,$G42,$H$7:$H42,"&lt;&gt;Mahsup"))</f>
        <v>MERKEZ KASA|19</v>
      </c>
    </row>
    <row r="43" spans="1:21" ht="18" customHeight="1" x14ac:dyDescent="0.3">
      <c r="A43" s="2"/>
      <c r="B43" s="65" t="str">
        <f t="shared" si="0"/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M020</v>
      </c>
      <c r="D43" s="61" t="s">
        <v>623</v>
      </c>
      <c r="E43" s="66">
        <v>46039</v>
      </c>
      <c r="F43" s="67">
        <v>6000</v>
      </c>
      <c r="G43" s="60" t="s">
        <v>717</v>
      </c>
      <c r="H43" s="60" t="s">
        <v>572</v>
      </c>
      <c r="I43" s="61"/>
      <c r="J43" s="61" t="s">
        <v>720</v>
      </c>
      <c r="K43" s="61"/>
      <c r="L43" s="73">
        <f t="shared" si="1"/>
        <v>46023</v>
      </c>
      <c r="M43" s="65" t="str">
        <f t="shared" ca="1" si="2"/>
        <v>UYGUN</v>
      </c>
      <c r="N43" s="74" t="str">
        <f>IF($C43="","",IF($C43="TANIMSIZ MÜŞTERİ","—",INDEX(MUSTERILER!$C$7:$C$156,MATCH($C43,MUSTERILER!$B$7:$B$156,0))))</f>
        <v>KRİSTAL LTD.ŞTİ.</v>
      </c>
      <c r="O43" s="2"/>
      <c r="P43" s="2"/>
      <c r="Q43" s="1" t="str">
        <f>IF($D43="","",$C43&amp;"|"&amp;COUNTIFS($C$7:$C43,$C43))</f>
        <v>M020|1</v>
      </c>
      <c r="R43" s="1" t="str">
        <f t="shared" si="3"/>
        <v>KRISTALLTDSTI</v>
      </c>
      <c r="S43" s="1" t="str">
        <f t="shared" si="4"/>
        <v>M020|46039|6000|</v>
      </c>
      <c r="T43" s="1">
        <f>IF($E43="",0,SUMPRODUCT((AY_SONU!$O$7:$O$42="Evet")*(AY_SONU!$B$7:$B$42=DATE(YEAR($E43),MONTH($E43),1))))</f>
        <v>0</v>
      </c>
      <c r="U43" s="1" t="str">
        <f>IF(OR($G43="",$H43="Mahsup"),"",$G43&amp;"|"&amp;COUNTIFS($G$7:$G43,$G43,$H$7:$H43,"&lt;&gt;Mahsup"))</f>
        <v>MERKEZ KASA|20</v>
      </c>
    </row>
    <row r="44" spans="1:21" ht="18" customHeight="1" x14ac:dyDescent="0.3">
      <c r="A44" s="2"/>
      <c r="B44" s="65" t="str">
        <f t="shared" si="0"/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M020</v>
      </c>
      <c r="D44" s="61" t="s">
        <v>623</v>
      </c>
      <c r="E44" s="66">
        <v>46039</v>
      </c>
      <c r="F44" s="67">
        <v>3000</v>
      </c>
      <c r="G44" s="60" t="s">
        <v>717</v>
      </c>
      <c r="H44" s="60" t="s">
        <v>572</v>
      </c>
      <c r="I44" s="61"/>
      <c r="J44" s="61" t="s">
        <v>720</v>
      </c>
      <c r="K44" s="61"/>
      <c r="L44" s="73">
        <f t="shared" si="1"/>
        <v>46023</v>
      </c>
      <c r="M44" s="65" t="str">
        <f t="shared" ca="1" si="2"/>
        <v>UYGUN</v>
      </c>
      <c r="N44" s="74" t="str">
        <f>IF($C44="","",IF($C44="TANIMSIZ MÜŞTERİ","—",INDEX(MUSTERILER!$C$7:$C$156,MATCH($C44,MUSTERILER!$B$7:$B$156,0))))</f>
        <v>KRİSTAL LTD.ŞTİ.</v>
      </c>
      <c r="O44" s="2"/>
      <c r="P44" s="2"/>
      <c r="Q44" s="1" t="str">
        <f>IF($D44="","",$C44&amp;"|"&amp;COUNTIFS($C$7:$C44,$C44))</f>
        <v>M020|2</v>
      </c>
      <c r="R44" s="1" t="str">
        <f t="shared" si="3"/>
        <v>KRISTALLTDSTI</v>
      </c>
      <c r="S44" s="1" t="str">
        <f t="shared" si="4"/>
        <v>M020|46039|3000|</v>
      </c>
      <c r="T44" s="1">
        <f>IF($E44="",0,SUMPRODUCT((AY_SONU!$O$7:$O$42="Evet")*(AY_SONU!$B$7:$B$42=DATE(YEAR($E44),MONTH($E44),1))))</f>
        <v>0</v>
      </c>
      <c r="U44" s="1" t="str">
        <f>IF(OR($G44="",$H44="Mahsup"),"",$G44&amp;"|"&amp;COUNTIFS($G$7:$G44,$G44,$H$7:$H44,"&lt;&gt;Mahsup"))</f>
        <v>MERKEZ KASA|21</v>
      </c>
    </row>
    <row r="45" spans="1:21" ht="18" customHeight="1" x14ac:dyDescent="0.3">
      <c r="A45" s="2"/>
      <c r="B45" s="65" t="str">
        <f t="shared" si="0"/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M011</v>
      </c>
      <c r="D45" s="61" t="s">
        <v>597</v>
      </c>
      <c r="E45" s="66">
        <v>46041</v>
      </c>
      <c r="F45" s="67">
        <v>3000</v>
      </c>
      <c r="G45" s="60" t="s">
        <v>717</v>
      </c>
      <c r="H45" s="60" t="s">
        <v>572</v>
      </c>
      <c r="I45" s="61"/>
      <c r="J45" s="61" t="s">
        <v>720</v>
      </c>
      <c r="K45" s="61"/>
      <c r="L45" s="73">
        <f t="shared" si="1"/>
        <v>46023</v>
      </c>
      <c r="M45" s="65" t="str">
        <f t="shared" ca="1" si="2"/>
        <v>UYGUN</v>
      </c>
      <c r="N45" s="74" t="str">
        <f>IF($C45="","",IF($C45="TANIMSIZ MÜŞTERİ","—",INDEX(MUSTERILER!$C$7:$C$156,MATCH($C45,MUSTERILER!$B$7:$B$156,0))))</f>
        <v>EĞLENGÖR LTD.ŞTİ.</v>
      </c>
      <c r="O45" s="2"/>
      <c r="P45" s="2"/>
      <c r="Q45" s="1" t="str">
        <f>IF($D45="","",$C45&amp;"|"&amp;COUNTIFS($C$7:$C45,$C45))</f>
        <v>M011|3</v>
      </c>
      <c r="R45" s="1" t="str">
        <f t="shared" si="3"/>
        <v>EGLENGORLTDSTI</v>
      </c>
      <c r="S45" s="1" t="str">
        <f t="shared" si="4"/>
        <v>M011|46041|3000|</v>
      </c>
      <c r="T45" s="1">
        <f>IF($E45="",0,SUMPRODUCT((AY_SONU!$O$7:$O$42="Evet")*(AY_SONU!$B$7:$B$42=DATE(YEAR($E45),MONTH($E45),1))))</f>
        <v>0</v>
      </c>
      <c r="U45" s="1" t="str">
        <f>IF(OR($G45="",$H45="Mahsup"),"",$G45&amp;"|"&amp;COUNTIFS($G$7:$G45,$G45,$H$7:$H45,"&lt;&gt;Mahsup"))</f>
        <v>MERKEZ KASA|22</v>
      </c>
    </row>
    <row r="46" spans="1:21" ht="18" customHeight="1" x14ac:dyDescent="0.3">
      <c r="A46" s="2"/>
      <c r="B46" s="65" t="str">
        <f t="shared" si="0"/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M014</v>
      </c>
      <c r="D46" s="61" t="s">
        <v>605</v>
      </c>
      <c r="E46" s="66">
        <v>46041</v>
      </c>
      <c r="F46" s="67">
        <v>2000</v>
      </c>
      <c r="G46" s="60" t="s">
        <v>717</v>
      </c>
      <c r="H46" s="60" t="s">
        <v>572</v>
      </c>
      <c r="I46" s="61"/>
      <c r="J46" s="61" t="s">
        <v>720</v>
      </c>
      <c r="K46" s="61"/>
      <c r="L46" s="73">
        <f t="shared" si="1"/>
        <v>46023</v>
      </c>
      <c r="M46" s="65" t="str">
        <f t="shared" ca="1" si="2"/>
        <v>UYGUN</v>
      </c>
      <c r="N46" s="74" t="str">
        <f>IF($C46="","",IF($C46="TANIMSIZ MÜŞTERİ","—",INDEX(MUSTERILER!$C$7:$C$156,MATCH($C46,MUSTERILER!$B$7:$B$156,0))))</f>
        <v>FİNAL SİYAH BEYAZ LTD.ŞTİ.</v>
      </c>
      <c r="O46" s="2"/>
      <c r="P46" s="2"/>
      <c r="Q46" s="1" t="str">
        <f>IF($D46="","",$C46&amp;"|"&amp;COUNTIFS($C$7:$C46,$C46))</f>
        <v>M014|2</v>
      </c>
      <c r="R46" s="1" t="str">
        <f t="shared" si="3"/>
        <v>FINALSIYAHBEYAZLTDSTI</v>
      </c>
      <c r="S46" s="1" t="str">
        <f t="shared" si="4"/>
        <v>M014|46041|2000|</v>
      </c>
      <c r="T46" s="1">
        <f>IF($E46="",0,SUMPRODUCT((AY_SONU!$O$7:$O$42="Evet")*(AY_SONU!$B$7:$B$42=DATE(YEAR($E46),MONTH($E46),1))))</f>
        <v>0</v>
      </c>
      <c r="U46" s="1" t="str">
        <f>IF(OR($G46="",$H46="Mahsup"),"",$G46&amp;"|"&amp;COUNTIFS($G$7:$G46,$G46,$H$7:$H46,"&lt;&gt;Mahsup"))</f>
        <v>MERKEZ KASA|23</v>
      </c>
    </row>
    <row r="47" spans="1:21" ht="18" customHeight="1" x14ac:dyDescent="0.3">
      <c r="A47" s="2"/>
      <c r="B47" s="65" t="str">
        <f t="shared" si="0"/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M009</v>
      </c>
      <c r="D47" s="61" t="s">
        <v>652</v>
      </c>
      <c r="E47" s="66">
        <v>46041</v>
      </c>
      <c r="F47" s="67">
        <v>4000</v>
      </c>
      <c r="G47" s="60" t="s">
        <v>717</v>
      </c>
      <c r="H47" s="60" t="s">
        <v>572</v>
      </c>
      <c r="I47" s="61"/>
      <c r="J47" s="61" t="s">
        <v>720</v>
      </c>
      <c r="K47" s="61"/>
      <c r="L47" s="73">
        <f t="shared" si="1"/>
        <v>46023</v>
      </c>
      <c r="M47" s="65" t="str">
        <f t="shared" ca="1" si="2"/>
        <v>UYGUN</v>
      </c>
      <c r="N47" s="74" t="str">
        <f>IF($C47="","",IF($C47="TANIMSIZ MÜŞTERİ","—",INDEX(MUSTERILER!$C$7:$C$156,MATCH($C47,MUSTERILER!$B$7:$B$156,0))))</f>
        <v>PAKYILDIZ LTD.ŞTİ.</v>
      </c>
      <c r="O47" s="2"/>
      <c r="P47" s="2"/>
      <c r="Q47" s="1" t="str">
        <f>IF($D47="","",$C47&amp;"|"&amp;COUNTIFS($C$7:$C47,$C47))</f>
        <v>M009|2</v>
      </c>
      <c r="R47" s="1" t="str">
        <f t="shared" si="3"/>
        <v>PAKYILDIZLTDSTI</v>
      </c>
      <c r="S47" s="1" t="str">
        <f t="shared" si="4"/>
        <v>M009|46041|4000|</v>
      </c>
      <c r="T47" s="1">
        <f>IF($E47="",0,SUMPRODUCT((AY_SONU!$O$7:$O$42="Evet")*(AY_SONU!$B$7:$B$42=DATE(YEAR($E47),MONTH($E47),1))))</f>
        <v>0</v>
      </c>
      <c r="U47" s="1" t="str">
        <f>IF(OR($G47="",$H47="Mahsup"),"",$G47&amp;"|"&amp;COUNTIFS($G$7:$G47,$G47,$H$7:$H47,"&lt;&gt;Mahsup"))</f>
        <v>MERKEZ KASA|24</v>
      </c>
    </row>
    <row r="48" spans="1:21" ht="18" customHeight="1" x14ac:dyDescent="0.3">
      <c r="A48" s="2"/>
      <c r="B48" s="65" t="str">
        <f t="shared" si="0"/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M005</v>
      </c>
      <c r="D48" s="61" t="s">
        <v>680</v>
      </c>
      <c r="E48" s="66">
        <v>46041</v>
      </c>
      <c r="F48" s="67">
        <v>1750</v>
      </c>
      <c r="G48" s="60" t="s">
        <v>717</v>
      </c>
      <c r="H48" s="60" t="s">
        <v>572</v>
      </c>
      <c r="I48" s="61"/>
      <c r="J48" s="61" t="s">
        <v>720</v>
      </c>
      <c r="K48" s="61"/>
      <c r="L48" s="73">
        <f t="shared" si="1"/>
        <v>46023</v>
      </c>
      <c r="M48" s="65" t="str">
        <f t="shared" ca="1" si="2"/>
        <v>UYGUN</v>
      </c>
      <c r="N48" s="74" t="str">
        <f>IF($C48="","",IF($C48="TANIMSIZ MÜŞTERİ","—",INDEX(MUSTERILER!$C$7:$C$156,MATCH($C48,MUSTERILER!$B$7:$B$156,0))))</f>
        <v>ZÜMRÜT GRUP LTD.ŞTİ.</v>
      </c>
      <c r="O48" s="2"/>
      <c r="P48" s="2"/>
      <c r="Q48" s="1" t="str">
        <f>IF($D48="","",$C48&amp;"|"&amp;COUNTIFS($C$7:$C48,$C48))</f>
        <v>M005|4</v>
      </c>
      <c r="R48" s="1" t="str">
        <f t="shared" si="3"/>
        <v>ZUMRUTGRUPLTDSTI</v>
      </c>
      <c r="S48" s="1" t="str">
        <f t="shared" si="4"/>
        <v>M005|46041|1750|</v>
      </c>
      <c r="T48" s="1">
        <f>IF($E48="",0,SUMPRODUCT((AY_SONU!$O$7:$O$42="Evet")*(AY_SONU!$B$7:$B$42=DATE(YEAR($E48),MONTH($E48),1))))</f>
        <v>0</v>
      </c>
      <c r="U48" s="1" t="str">
        <f>IF(OR($G48="",$H48="Mahsup"),"",$G48&amp;"|"&amp;COUNTIFS($G$7:$G48,$G48,$H$7:$H48,"&lt;&gt;Mahsup"))</f>
        <v>MERKEZ KASA|25</v>
      </c>
    </row>
    <row r="49" spans="1:21" ht="18" customHeight="1" x14ac:dyDescent="0.3">
      <c r="A49" s="2"/>
      <c r="B49" s="65" t="str">
        <f t="shared" si="0"/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M018</v>
      </c>
      <c r="D49" s="61" t="s">
        <v>593</v>
      </c>
      <c r="E49" s="66">
        <v>46043</v>
      </c>
      <c r="F49" s="67">
        <v>7500</v>
      </c>
      <c r="G49" s="60" t="s">
        <v>717</v>
      </c>
      <c r="H49" s="60" t="s">
        <v>572</v>
      </c>
      <c r="I49" s="61"/>
      <c r="J49" s="61" t="s">
        <v>720</v>
      </c>
      <c r="K49" s="61"/>
      <c r="L49" s="73">
        <f t="shared" si="1"/>
        <v>46023</v>
      </c>
      <c r="M49" s="65" t="str">
        <f t="shared" ca="1" si="2"/>
        <v>UYGUN</v>
      </c>
      <c r="N49" s="74" t="str">
        <f>IF($C49="","",IF($C49="TANIMSIZ MÜŞTERİ","—",INDEX(MUSTERILER!$C$7:$C$156,MATCH($C49,MUSTERILER!$B$7:$B$156,0))))</f>
        <v>ÇINARHAN LTD.ŞTİ.</v>
      </c>
      <c r="O49" s="2"/>
      <c r="P49" s="2"/>
      <c r="Q49" s="1" t="str">
        <f>IF($D49="","",$C49&amp;"|"&amp;COUNTIFS($C$7:$C49,$C49))</f>
        <v>M018|2</v>
      </c>
      <c r="R49" s="1" t="str">
        <f t="shared" si="3"/>
        <v>CINARHANLTDSTI</v>
      </c>
      <c r="S49" s="1" t="str">
        <f t="shared" si="4"/>
        <v>M018|46043|7500|</v>
      </c>
      <c r="T49" s="1">
        <f>IF($E49="",0,SUMPRODUCT((AY_SONU!$O$7:$O$42="Evet")*(AY_SONU!$B$7:$B$42=DATE(YEAR($E49),MONTH($E49),1))))</f>
        <v>0</v>
      </c>
      <c r="U49" s="1" t="str">
        <f>IF(OR($G49="",$H49="Mahsup"),"",$G49&amp;"|"&amp;COUNTIFS($G$7:$G49,$G49,$H$7:$H49,"&lt;&gt;Mahsup"))</f>
        <v>MERKEZ KASA|26</v>
      </c>
    </row>
    <row r="50" spans="1:21" ht="18" customHeight="1" x14ac:dyDescent="0.3">
      <c r="A50" s="2"/>
      <c r="B50" s="65" t="str">
        <f t="shared" si="0"/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M003</v>
      </c>
      <c r="D50" s="61" t="s">
        <v>666</v>
      </c>
      <c r="E50" s="66">
        <v>46045</v>
      </c>
      <c r="F50" s="67">
        <v>8000</v>
      </c>
      <c r="G50" s="60" t="s">
        <v>717</v>
      </c>
      <c r="H50" s="60" t="s">
        <v>572</v>
      </c>
      <c r="I50" s="61"/>
      <c r="J50" s="61" t="s">
        <v>720</v>
      </c>
      <c r="K50" s="61"/>
      <c r="L50" s="73">
        <f t="shared" si="1"/>
        <v>46023</v>
      </c>
      <c r="M50" s="65" t="str">
        <f t="shared" ca="1" si="2"/>
        <v>UYGUN</v>
      </c>
      <c r="N50" s="74" t="str">
        <f>IF($C50="","",IF($C50="TANIMSIZ MÜŞTERİ","—",INDEX(MUSTERILER!$C$7:$C$156,MATCH($C50,MUSTERILER!$B$7:$B$156,0))))</f>
        <v>TYANA LTD.ŞTİ.</v>
      </c>
      <c r="O50" s="2"/>
      <c r="P50" s="2"/>
      <c r="Q50" s="1" t="str">
        <f>IF($D50="","",$C50&amp;"|"&amp;COUNTIFS($C$7:$C50,$C50))</f>
        <v>M003|2</v>
      </c>
      <c r="R50" s="1" t="str">
        <f t="shared" si="3"/>
        <v>TYANALTDSTI</v>
      </c>
      <c r="S50" s="1" t="str">
        <f t="shared" si="4"/>
        <v>M003|46045|8000|</v>
      </c>
      <c r="T50" s="1">
        <f>IF($E50="",0,SUMPRODUCT((AY_SONU!$O$7:$O$42="Evet")*(AY_SONU!$B$7:$B$42=DATE(YEAR($E50),MONTH($E50),1))))</f>
        <v>0</v>
      </c>
      <c r="U50" s="1" t="str">
        <f>IF(OR($G50="",$H50="Mahsup"),"",$G50&amp;"|"&amp;COUNTIFS($G$7:$G50,$G50,$H$7:$H50,"&lt;&gt;Mahsup"))</f>
        <v>MERKEZ KASA|27</v>
      </c>
    </row>
    <row r="51" spans="1:21" ht="18" customHeight="1" x14ac:dyDescent="0.3">
      <c r="A51" s="2"/>
      <c r="B51" s="65" t="str">
        <f t="shared" si="0"/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M001</v>
      </c>
      <c r="D51" s="61" t="s">
        <v>17</v>
      </c>
      <c r="E51" s="66">
        <v>46046</v>
      </c>
      <c r="F51" s="67">
        <v>8000</v>
      </c>
      <c r="G51" s="60" t="s">
        <v>717</v>
      </c>
      <c r="H51" s="60" t="s">
        <v>572</v>
      </c>
      <c r="I51" s="61"/>
      <c r="J51" s="61" t="s">
        <v>720</v>
      </c>
      <c r="K51" s="61"/>
      <c r="L51" s="73">
        <f t="shared" si="1"/>
        <v>46023</v>
      </c>
      <c r="M51" s="65" t="str">
        <f t="shared" ca="1" si="2"/>
        <v>UYGUN</v>
      </c>
      <c r="N51" s="74" t="str">
        <f>IF($C51="","",IF($C51="TANIMSIZ MÜŞTERİ","—",INDEX(MUSTERILER!$C$7:$C$156,MATCH($C51,MUSTERILER!$B$7:$B$156,0))))</f>
        <v>ANKARA HAVANA LTD.ŞTİ.</v>
      </c>
      <c r="O51" s="2"/>
      <c r="P51" s="2"/>
      <c r="Q51" s="1" t="str">
        <f>IF($D51="","",$C51&amp;"|"&amp;COUNTIFS($C$7:$C51,$C51))</f>
        <v>M001|2</v>
      </c>
      <c r="R51" s="1" t="str">
        <f t="shared" si="3"/>
        <v>ANKARAHAVANALTDSTI</v>
      </c>
      <c r="S51" s="1" t="str">
        <f t="shared" si="4"/>
        <v>M001|46046|8000|</v>
      </c>
      <c r="T51" s="1">
        <f>IF($E51="",0,SUMPRODUCT((AY_SONU!$O$7:$O$42="Evet")*(AY_SONU!$B$7:$B$42=DATE(YEAR($E51),MONTH($E51),1))))</f>
        <v>0</v>
      </c>
      <c r="U51" s="1" t="str">
        <f>IF(OR($G51="",$H51="Mahsup"),"",$G51&amp;"|"&amp;COUNTIFS($G$7:$G51,$G51,$H$7:$H51,"&lt;&gt;Mahsup"))</f>
        <v>MERKEZ KASA|28</v>
      </c>
    </row>
    <row r="52" spans="1:21" ht="18" customHeight="1" x14ac:dyDescent="0.3">
      <c r="A52" s="2"/>
      <c r="B52" s="65" t="str">
        <f t="shared" si="0"/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M025</v>
      </c>
      <c r="D52" s="61" t="s">
        <v>583</v>
      </c>
      <c r="E52" s="66">
        <v>46046</v>
      </c>
      <c r="F52" s="67">
        <v>2000</v>
      </c>
      <c r="G52" s="60" t="s">
        <v>717</v>
      </c>
      <c r="H52" s="60" t="s">
        <v>572</v>
      </c>
      <c r="I52" s="61"/>
      <c r="J52" s="61" t="s">
        <v>720</v>
      </c>
      <c r="K52" s="61"/>
      <c r="L52" s="73">
        <f t="shared" si="1"/>
        <v>46023</v>
      </c>
      <c r="M52" s="65" t="str">
        <f t="shared" ca="1" si="2"/>
        <v>UYGUN</v>
      </c>
      <c r="N52" s="74" t="str">
        <f>IF($C52="","",IF($C52="TANIMSIZ MÜŞTERİ","—",INDEX(MUSTERILER!$C$7:$C$156,MATCH($C52,MUSTERILER!$B$7:$B$156,0))))</f>
        <v>ASIM AÇIKGÖZ</v>
      </c>
      <c r="O52" s="2"/>
      <c r="P52" s="2"/>
      <c r="Q52" s="1" t="str">
        <f>IF($D52="","",$C52&amp;"|"&amp;COUNTIFS($C$7:$C52,$C52))</f>
        <v>M025|3</v>
      </c>
      <c r="R52" s="1" t="str">
        <f t="shared" si="3"/>
        <v>ASIMACIKGOZ</v>
      </c>
      <c r="S52" s="1" t="str">
        <f t="shared" si="4"/>
        <v>M025|46046|2000|</v>
      </c>
      <c r="T52" s="1">
        <f>IF($E52="",0,SUMPRODUCT((AY_SONU!$O$7:$O$42="Evet")*(AY_SONU!$B$7:$B$42=DATE(YEAR($E52),MONTH($E52),1))))</f>
        <v>0</v>
      </c>
      <c r="U52" s="1" t="str">
        <f>IF(OR($G52="",$H52="Mahsup"),"",$G52&amp;"|"&amp;COUNTIFS($G$7:$G52,$G52,$H$7:$H52,"&lt;&gt;Mahsup"))</f>
        <v>MERKEZ KASA|29</v>
      </c>
    </row>
    <row r="53" spans="1:21" ht="18" customHeight="1" x14ac:dyDescent="0.3">
      <c r="A53" s="2"/>
      <c r="B53" s="65" t="str">
        <f t="shared" si="0"/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M017</v>
      </c>
      <c r="D53" s="61" t="s">
        <v>585</v>
      </c>
      <c r="E53" s="66">
        <v>46046</v>
      </c>
      <c r="F53" s="67">
        <v>2500</v>
      </c>
      <c r="G53" s="60" t="s">
        <v>717</v>
      </c>
      <c r="H53" s="60" t="s">
        <v>572</v>
      </c>
      <c r="I53" s="61"/>
      <c r="J53" s="61" t="s">
        <v>720</v>
      </c>
      <c r="K53" s="61"/>
      <c r="L53" s="73">
        <f t="shared" si="1"/>
        <v>46023</v>
      </c>
      <c r="M53" s="65" t="str">
        <f t="shared" ca="1" si="2"/>
        <v>UYGUN</v>
      </c>
      <c r="N53" s="74" t="str">
        <f>IF($C53="","",IF($C53="TANIMSIZ MÜŞTERİ","—",INDEX(MUSTERILER!$C$7:$C$156,MATCH($C53,MUSTERILER!$B$7:$B$156,0))))</f>
        <v>ASM EĞLENCE LTD.ŞTİ.</v>
      </c>
      <c r="O53" s="2"/>
      <c r="P53" s="2"/>
      <c r="Q53" s="1" t="str">
        <f>IF($D53="","",$C53&amp;"|"&amp;COUNTIFS($C$7:$C53,$C53))</f>
        <v>M017|3</v>
      </c>
      <c r="R53" s="1" t="str">
        <f t="shared" si="3"/>
        <v>ASMEGLENCELTDSTI</v>
      </c>
      <c r="S53" s="1" t="str">
        <f t="shared" si="4"/>
        <v>M017|46046|2500|</v>
      </c>
      <c r="T53" s="1">
        <f>IF($E53="",0,SUMPRODUCT((AY_SONU!$O$7:$O$42="Evet")*(AY_SONU!$B$7:$B$42=DATE(YEAR($E53),MONTH($E53),1))))</f>
        <v>0</v>
      </c>
      <c r="U53" s="1" t="str">
        <f>IF(OR($G53="",$H53="Mahsup"),"",$G53&amp;"|"&amp;COUNTIFS($G$7:$G53,$G53,$H$7:$H53,"&lt;&gt;Mahsup"))</f>
        <v>MERKEZ KASA|30</v>
      </c>
    </row>
    <row r="54" spans="1:21" ht="18" customHeight="1" x14ac:dyDescent="0.3">
      <c r="A54" s="2"/>
      <c r="B54" s="65" t="str">
        <f t="shared" si="0"/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M015</v>
      </c>
      <c r="D54" s="61" t="s">
        <v>589</v>
      </c>
      <c r="E54" s="66">
        <v>46046</v>
      </c>
      <c r="F54" s="67">
        <v>3000</v>
      </c>
      <c r="G54" s="60" t="s">
        <v>717</v>
      </c>
      <c r="H54" s="60" t="s">
        <v>572</v>
      </c>
      <c r="I54" s="61"/>
      <c r="J54" s="61" t="s">
        <v>720</v>
      </c>
      <c r="K54" s="61"/>
      <c r="L54" s="73">
        <f t="shared" si="1"/>
        <v>46023</v>
      </c>
      <c r="M54" s="65" t="str">
        <f t="shared" ca="1" si="2"/>
        <v>UYGUN</v>
      </c>
      <c r="N54" s="74" t="str">
        <f>IF($C54="","",IF($C54="TANIMSIZ MÜŞTERİ","—",INDEX(MUSTERILER!$C$7:$C$156,MATCH($C54,MUSTERILER!$B$7:$B$156,0))))</f>
        <v>ÇAYIRALAN LTD.ŞTİ.</v>
      </c>
      <c r="O54" s="2"/>
      <c r="P54" s="2"/>
      <c r="Q54" s="1" t="str">
        <f>IF($D54="","",$C54&amp;"|"&amp;COUNTIFS($C$7:$C54,$C54))</f>
        <v>M015|4</v>
      </c>
      <c r="R54" s="1" t="str">
        <f t="shared" si="3"/>
        <v>CAYIRALANLTDSTI</v>
      </c>
      <c r="S54" s="1" t="str">
        <f t="shared" si="4"/>
        <v>M015|46046|3000|</v>
      </c>
      <c r="T54" s="1">
        <f>IF($E54="",0,SUMPRODUCT((AY_SONU!$O$7:$O$42="Evet")*(AY_SONU!$B$7:$B$42=DATE(YEAR($E54),MONTH($E54),1))))</f>
        <v>0</v>
      </c>
      <c r="U54" s="1" t="str">
        <f>IF(OR($G54="",$H54="Mahsup"),"",$G54&amp;"|"&amp;COUNTIFS($G$7:$G54,$G54,$H$7:$H54,"&lt;&gt;Mahsup"))</f>
        <v>MERKEZ KASA|31</v>
      </c>
    </row>
    <row r="55" spans="1:21" ht="18" customHeight="1" x14ac:dyDescent="0.3">
      <c r="A55" s="2"/>
      <c r="B55" s="65" t="str">
        <f t="shared" si="0"/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M014</v>
      </c>
      <c r="D55" s="61" t="s">
        <v>605</v>
      </c>
      <c r="E55" s="66">
        <v>46046</v>
      </c>
      <c r="F55" s="67">
        <v>2000</v>
      </c>
      <c r="G55" s="60" t="s">
        <v>717</v>
      </c>
      <c r="H55" s="60" t="s">
        <v>572</v>
      </c>
      <c r="I55" s="61"/>
      <c r="J55" s="61" t="s">
        <v>720</v>
      </c>
      <c r="K55" s="61"/>
      <c r="L55" s="73">
        <f t="shared" si="1"/>
        <v>46023</v>
      </c>
      <c r="M55" s="65" t="str">
        <f t="shared" ca="1" si="2"/>
        <v>UYGUN</v>
      </c>
      <c r="N55" s="74" t="str">
        <f>IF($C55="","",IF($C55="TANIMSIZ MÜŞTERİ","—",INDEX(MUSTERILER!$C$7:$C$156,MATCH($C55,MUSTERILER!$B$7:$B$156,0))))</f>
        <v>FİNAL SİYAH BEYAZ LTD.ŞTİ.</v>
      </c>
      <c r="O55" s="2"/>
      <c r="P55" s="2"/>
      <c r="Q55" s="1" t="str">
        <f>IF($D55="","",$C55&amp;"|"&amp;COUNTIFS($C$7:$C55,$C55))</f>
        <v>M014|3</v>
      </c>
      <c r="R55" s="1" t="str">
        <f t="shared" si="3"/>
        <v>FINALSIYAHBEYAZLTDSTI</v>
      </c>
      <c r="S55" s="1" t="str">
        <f t="shared" si="4"/>
        <v>M014|46046|2000|</v>
      </c>
      <c r="T55" s="1">
        <f>IF($E55="",0,SUMPRODUCT((AY_SONU!$O$7:$O$42="Evet")*(AY_SONU!$B$7:$B$42=DATE(YEAR($E55),MONTH($E55),1))))</f>
        <v>0</v>
      </c>
      <c r="U55" s="1" t="str">
        <f>IF(OR($G55="",$H55="Mahsup"),"",$G55&amp;"|"&amp;COUNTIFS($G$7:$G55,$G55,$H$7:$H55,"&lt;&gt;Mahsup"))</f>
        <v>MERKEZ KASA|32</v>
      </c>
    </row>
    <row r="56" spans="1:21" ht="18" customHeight="1" x14ac:dyDescent="0.3">
      <c r="A56" s="2"/>
      <c r="B56" s="65" t="str">
        <f t="shared" si="0"/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M034</v>
      </c>
      <c r="D56" s="61" t="s">
        <v>611</v>
      </c>
      <c r="E56" s="66">
        <v>46046</v>
      </c>
      <c r="F56" s="67">
        <v>1500</v>
      </c>
      <c r="G56" s="60" t="s">
        <v>717</v>
      </c>
      <c r="H56" s="60" t="s">
        <v>572</v>
      </c>
      <c r="I56" s="61"/>
      <c r="J56" s="61" t="s">
        <v>720</v>
      </c>
      <c r="K56" s="61"/>
      <c r="L56" s="73">
        <f t="shared" si="1"/>
        <v>46023</v>
      </c>
      <c r="M56" s="65" t="str">
        <f t="shared" ca="1" si="2"/>
        <v>UYGUN</v>
      </c>
      <c r="N56" s="74" t="str">
        <f>IF($C56="","",IF($C56="TANIMSIZ MÜŞTERİ","—",INDEX(MUSTERILER!$C$7:$C$156,MATCH($C56,MUSTERILER!$B$7:$B$156,0))))</f>
        <v>İBRAHİM MALDAN</v>
      </c>
      <c r="O56" s="2"/>
      <c r="P56" s="2"/>
      <c r="Q56" s="1" t="str">
        <f>IF($D56="","",$C56&amp;"|"&amp;COUNTIFS($C$7:$C56,$C56))</f>
        <v>M034|3</v>
      </c>
      <c r="R56" s="1" t="str">
        <f t="shared" si="3"/>
        <v>IBRAHIMMALDAN</v>
      </c>
      <c r="S56" s="1" t="str">
        <f t="shared" si="4"/>
        <v>M034|46046|1500|</v>
      </c>
      <c r="T56" s="1">
        <f>IF($E56="",0,SUMPRODUCT((AY_SONU!$O$7:$O$42="Evet")*(AY_SONU!$B$7:$B$42=DATE(YEAR($E56),MONTH($E56),1))))</f>
        <v>0</v>
      </c>
      <c r="U56" s="1" t="str">
        <f>IF(OR($G56="",$H56="Mahsup"),"",$G56&amp;"|"&amp;COUNTIFS($G$7:$G56,$G56,$H$7:$H56,"&lt;&gt;Mahsup"))</f>
        <v>MERKEZ KASA|33</v>
      </c>
    </row>
    <row r="57" spans="1:21" ht="18" customHeight="1" x14ac:dyDescent="0.3">
      <c r="A57" s="2"/>
      <c r="B57" s="65" t="str">
        <f t="shared" si="0"/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M012</v>
      </c>
      <c r="D57" s="61" t="s">
        <v>613</v>
      </c>
      <c r="E57" s="66">
        <v>46046</v>
      </c>
      <c r="F57" s="67">
        <v>4000</v>
      </c>
      <c r="G57" s="60" t="s">
        <v>717</v>
      </c>
      <c r="H57" s="60" t="s">
        <v>572</v>
      </c>
      <c r="I57" s="61"/>
      <c r="J57" s="61" t="s">
        <v>720</v>
      </c>
      <c r="K57" s="61"/>
      <c r="L57" s="73">
        <f t="shared" si="1"/>
        <v>46023</v>
      </c>
      <c r="M57" s="65" t="str">
        <f t="shared" ca="1" si="2"/>
        <v>UYGUN</v>
      </c>
      <c r="N57" s="74" t="str">
        <f>IF($C57="","",IF($C57="TANIMSIZ MÜŞTERİ","—",INDEX(MUSTERILER!$C$7:$C$156,MATCH($C57,MUSTERILER!$B$7:$B$156,0))))</f>
        <v>İLDEŞ LTD.ŞTİ.</v>
      </c>
      <c r="O57" s="2"/>
      <c r="P57" s="2"/>
      <c r="Q57" s="1" t="str">
        <f>IF($D57="","",$C57&amp;"|"&amp;COUNTIFS($C$7:$C57,$C57))</f>
        <v>M012|3</v>
      </c>
      <c r="R57" s="1" t="str">
        <f t="shared" si="3"/>
        <v>ILDESLTDSTI</v>
      </c>
      <c r="S57" s="1" t="str">
        <f t="shared" si="4"/>
        <v>M012|46046|4000|</v>
      </c>
      <c r="T57" s="1">
        <f>IF($E57="",0,SUMPRODUCT((AY_SONU!$O$7:$O$42="Evet")*(AY_SONU!$B$7:$B$42=DATE(YEAR($E57),MONTH($E57),1))))</f>
        <v>0</v>
      </c>
      <c r="U57" s="1" t="str">
        <f>IF(OR($G57="",$H57="Mahsup"),"",$G57&amp;"|"&amp;COUNTIFS($G$7:$G57,$G57,$H$7:$H57,"&lt;&gt;Mahsup"))</f>
        <v>MERKEZ KASA|34</v>
      </c>
    </row>
    <row r="58" spans="1:21" ht="18" customHeight="1" x14ac:dyDescent="0.3">
      <c r="A58" s="2"/>
      <c r="B58" s="65" t="str">
        <f t="shared" si="0"/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M008</v>
      </c>
      <c r="D58" s="61" t="s">
        <v>621</v>
      </c>
      <c r="E58" s="66">
        <v>46046</v>
      </c>
      <c r="F58" s="67">
        <v>2500</v>
      </c>
      <c r="G58" s="60" t="s">
        <v>717</v>
      </c>
      <c r="H58" s="60" t="s">
        <v>572</v>
      </c>
      <c r="I58" s="61"/>
      <c r="J58" s="61" t="s">
        <v>720</v>
      </c>
      <c r="K58" s="61"/>
      <c r="L58" s="73">
        <f t="shared" si="1"/>
        <v>46023</v>
      </c>
      <c r="M58" s="65" t="str">
        <f t="shared" ca="1" si="2"/>
        <v>UYGUN</v>
      </c>
      <c r="N58" s="74" t="str">
        <f>IF($C58="","",IF($C58="TANIMSIZ MÜŞTERİ","—",INDEX(MUSTERILER!$C$7:$C$156,MATCH($C58,MUSTERILER!$B$7:$B$156,0))))</f>
        <v>KÖŞK YÜKSELEN LTD.ŞTİ.</v>
      </c>
      <c r="O58" s="2"/>
      <c r="P58" s="2"/>
      <c r="Q58" s="1" t="str">
        <f>IF($D58="","",$C58&amp;"|"&amp;COUNTIFS($C$7:$C58,$C58))</f>
        <v>M008|2</v>
      </c>
      <c r="R58" s="1" t="str">
        <f t="shared" si="3"/>
        <v>KOSKYUKSELENLTDSTI</v>
      </c>
      <c r="S58" s="1" t="str">
        <f t="shared" si="4"/>
        <v>M008|46046|2500|</v>
      </c>
      <c r="T58" s="1">
        <f>IF($E58="",0,SUMPRODUCT((AY_SONU!$O$7:$O$42="Evet")*(AY_SONU!$B$7:$B$42=DATE(YEAR($E58),MONTH($E58),1))))</f>
        <v>0</v>
      </c>
      <c r="U58" s="1" t="str">
        <f>IF(OR($G58="",$H58="Mahsup"),"",$G58&amp;"|"&amp;COUNTIFS($G$7:$G58,$G58,$H$7:$H58,"&lt;&gt;Mahsup"))</f>
        <v>MERKEZ KASA|35</v>
      </c>
    </row>
    <row r="59" spans="1:21" ht="18" customHeight="1" x14ac:dyDescent="0.3">
      <c r="A59" s="2"/>
      <c r="B59" s="65" t="str">
        <f t="shared" si="0"/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M007</v>
      </c>
      <c r="D59" s="61" t="s">
        <v>635</v>
      </c>
      <c r="E59" s="66">
        <v>46046</v>
      </c>
      <c r="F59" s="67">
        <v>3500</v>
      </c>
      <c r="G59" s="60" t="s">
        <v>717</v>
      </c>
      <c r="H59" s="60" t="s">
        <v>572</v>
      </c>
      <c r="I59" s="61"/>
      <c r="J59" s="61" t="s">
        <v>720</v>
      </c>
      <c r="K59" s="61"/>
      <c r="L59" s="73">
        <f t="shared" si="1"/>
        <v>46023</v>
      </c>
      <c r="M59" s="65" t="str">
        <f t="shared" ca="1" si="2"/>
        <v>UYGUN</v>
      </c>
      <c r="N59" s="74" t="str">
        <f>IF($C59="","",IF($C59="TANIMSIZ MÜŞTERİ","—",INDEX(MUSTERILER!$C$7:$C$156,MATCH($C59,MUSTERILER!$B$7:$B$156,0))))</f>
        <v>MONAMOUR LTD.ŞTİ.</v>
      </c>
      <c r="O59" s="2"/>
      <c r="P59" s="2"/>
      <c r="Q59" s="1" t="str">
        <f>IF($D59="","",$C59&amp;"|"&amp;COUNTIFS($C$7:$C59,$C59))</f>
        <v>M007|4</v>
      </c>
      <c r="R59" s="1" t="str">
        <f t="shared" si="3"/>
        <v>MONAMOURLTDSTI</v>
      </c>
      <c r="S59" s="1" t="str">
        <f t="shared" si="4"/>
        <v>M007|46046|3500|</v>
      </c>
      <c r="T59" s="1">
        <f>IF($E59="",0,SUMPRODUCT((AY_SONU!$O$7:$O$42="Evet")*(AY_SONU!$B$7:$B$42=DATE(YEAR($E59),MONTH($E59),1))))</f>
        <v>0</v>
      </c>
      <c r="U59" s="1" t="str">
        <f>IF(OR($G59="",$H59="Mahsup"),"",$G59&amp;"|"&amp;COUNTIFS($G$7:$G59,$G59,$H$7:$H59,"&lt;&gt;Mahsup"))</f>
        <v>MERKEZ KASA|36</v>
      </c>
    </row>
    <row r="60" spans="1:21" ht="18" customHeight="1" x14ac:dyDescent="0.3">
      <c r="A60" s="2"/>
      <c r="B60" s="65" t="str">
        <f t="shared" si="0"/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M013</v>
      </c>
      <c r="D60" s="61" t="s">
        <v>644</v>
      </c>
      <c r="E60" s="66">
        <v>46046</v>
      </c>
      <c r="F60" s="67">
        <v>2000</v>
      </c>
      <c r="G60" s="60" t="s">
        <v>717</v>
      </c>
      <c r="H60" s="60" t="s">
        <v>572</v>
      </c>
      <c r="I60" s="61"/>
      <c r="J60" s="61" t="s">
        <v>720</v>
      </c>
      <c r="K60" s="61"/>
      <c r="L60" s="73">
        <f t="shared" si="1"/>
        <v>46023</v>
      </c>
      <c r="M60" s="65" t="str">
        <f t="shared" ca="1" si="2"/>
        <v>UYGUN</v>
      </c>
      <c r="N60" s="74" t="str">
        <f>IF($C60="","",IF($C60="TANIMSIZ MÜŞTERİ","—",INDEX(MUSTERILER!$C$7:$C$156,MATCH($C60,MUSTERILER!$B$7:$B$156,0))))</f>
        <v>NAZ 1 GIDA LTD.ŞTİ.</v>
      </c>
      <c r="O60" s="2"/>
      <c r="P60" s="2"/>
      <c r="Q60" s="1" t="str">
        <f>IF($D60="","",$C60&amp;"|"&amp;COUNTIFS($C$7:$C60,$C60))</f>
        <v>M013|3</v>
      </c>
      <c r="R60" s="1" t="str">
        <f t="shared" si="3"/>
        <v>NAZ1GIDALTDSTI</v>
      </c>
      <c r="S60" s="1" t="str">
        <f t="shared" si="4"/>
        <v>M013|46046|2000|</v>
      </c>
      <c r="T60" s="1">
        <f>IF($E60="",0,SUMPRODUCT((AY_SONU!$O$7:$O$42="Evet")*(AY_SONU!$B$7:$B$42=DATE(YEAR($E60),MONTH($E60),1))))</f>
        <v>0</v>
      </c>
      <c r="U60" s="1" t="str">
        <f>IF(OR($G60="",$H60="Mahsup"),"",$G60&amp;"|"&amp;COUNTIFS($G$7:$G60,$G60,$H$7:$H60,"&lt;&gt;Mahsup"))</f>
        <v>MERKEZ KASA|37</v>
      </c>
    </row>
    <row r="61" spans="1:21" ht="18" customHeight="1" x14ac:dyDescent="0.3">
      <c r="A61" s="2"/>
      <c r="B61" s="65" t="str">
        <f t="shared" si="0"/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M010</v>
      </c>
      <c r="D61" s="61" t="s">
        <v>650</v>
      </c>
      <c r="E61" s="66">
        <v>46046</v>
      </c>
      <c r="F61" s="67">
        <v>2000</v>
      </c>
      <c r="G61" s="60" t="s">
        <v>717</v>
      </c>
      <c r="H61" s="60" t="s">
        <v>572</v>
      </c>
      <c r="I61" s="61"/>
      <c r="J61" s="61" t="s">
        <v>720</v>
      </c>
      <c r="K61" s="61"/>
      <c r="L61" s="73">
        <f t="shared" si="1"/>
        <v>46023</v>
      </c>
      <c r="M61" s="65" t="str">
        <f t="shared" ca="1" si="2"/>
        <v>UYGUN</v>
      </c>
      <c r="N61" s="74" t="str">
        <f>IF($C61="","",IF($C61="TANIMSIZ MÜŞTERİ","—",INDEX(MUSTERILER!$C$7:$C$156,MATCH($C61,MUSTERILER!$B$7:$B$156,0))))</f>
        <v>ÖZFİDANLAR LTD.ŞTİ.</v>
      </c>
      <c r="O61" s="2"/>
      <c r="P61" s="2"/>
      <c r="Q61" s="1" t="str">
        <f>IF($D61="","",$C61&amp;"|"&amp;COUNTIFS($C$7:$C61,$C61))</f>
        <v>M010|3</v>
      </c>
      <c r="R61" s="1" t="str">
        <f t="shared" si="3"/>
        <v>OZFIDANLARLTDSTI</v>
      </c>
      <c r="S61" s="1" t="str">
        <f t="shared" si="4"/>
        <v>M010|46046|2000|</v>
      </c>
      <c r="T61" s="1">
        <f>IF($E61="",0,SUMPRODUCT((AY_SONU!$O$7:$O$42="Evet")*(AY_SONU!$B$7:$B$42=DATE(YEAR($E61),MONTH($E61),1))))</f>
        <v>0</v>
      </c>
      <c r="U61" s="1" t="str">
        <f>IF(OR($G61="",$H61="Mahsup"),"",$G61&amp;"|"&amp;COUNTIFS($G$7:$G61,$G61,$H$7:$H61,"&lt;&gt;Mahsup"))</f>
        <v>MERKEZ KASA|38</v>
      </c>
    </row>
    <row r="62" spans="1:21" ht="18" customHeight="1" x14ac:dyDescent="0.3">
      <c r="A62" s="2"/>
      <c r="B62" s="65" t="str">
        <f t="shared" si="0"/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M009</v>
      </c>
      <c r="D62" s="61" t="s">
        <v>652</v>
      </c>
      <c r="E62" s="66">
        <v>46046</v>
      </c>
      <c r="F62" s="67">
        <v>2000</v>
      </c>
      <c r="G62" s="60" t="s">
        <v>717</v>
      </c>
      <c r="H62" s="60" t="s">
        <v>572</v>
      </c>
      <c r="I62" s="61"/>
      <c r="J62" s="61" t="s">
        <v>720</v>
      </c>
      <c r="K62" s="61"/>
      <c r="L62" s="73">
        <f t="shared" si="1"/>
        <v>46023</v>
      </c>
      <c r="M62" s="65" t="str">
        <f t="shared" ca="1" si="2"/>
        <v>UYGUN</v>
      </c>
      <c r="N62" s="74" t="str">
        <f>IF($C62="","",IF($C62="TANIMSIZ MÜŞTERİ","—",INDEX(MUSTERILER!$C$7:$C$156,MATCH($C62,MUSTERILER!$B$7:$B$156,0))))</f>
        <v>PAKYILDIZ LTD.ŞTİ.</v>
      </c>
      <c r="O62" s="2"/>
      <c r="P62" s="2"/>
      <c r="Q62" s="1" t="str">
        <f>IF($D62="","",$C62&amp;"|"&amp;COUNTIFS($C$7:$C62,$C62))</f>
        <v>M009|3</v>
      </c>
      <c r="R62" s="1" t="str">
        <f t="shared" si="3"/>
        <v>PAKYILDIZLTDSTI</v>
      </c>
      <c r="S62" s="1" t="str">
        <f t="shared" si="4"/>
        <v>M009|46046|2000|</v>
      </c>
      <c r="T62" s="1">
        <f>IF($E62="",0,SUMPRODUCT((AY_SONU!$O$7:$O$42="Evet")*(AY_SONU!$B$7:$B$42=DATE(YEAR($E62),MONTH($E62),1))))</f>
        <v>0</v>
      </c>
      <c r="U62" s="1" t="str">
        <f>IF(OR($G62="",$H62="Mahsup"),"",$G62&amp;"|"&amp;COUNTIFS($G$7:$G62,$G62,$H$7:$H62,"&lt;&gt;Mahsup"))</f>
        <v>MERKEZ KASA|39</v>
      </c>
    </row>
    <row r="63" spans="1:21" ht="18" customHeight="1" x14ac:dyDescent="0.3">
      <c r="A63" s="2"/>
      <c r="B63" s="65" t="str">
        <f t="shared" si="0"/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M016</v>
      </c>
      <c r="D63" s="61" t="s">
        <v>658</v>
      </c>
      <c r="E63" s="66">
        <v>46046</v>
      </c>
      <c r="F63" s="67">
        <v>2000</v>
      </c>
      <c r="G63" s="60" t="s">
        <v>717</v>
      </c>
      <c r="H63" s="60" t="s">
        <v>572</v>
      </c>
      <c r="I63" s="61"/>
      <c r="J63" s="61" t="s">
        <v>720</v>
      </c>
      <c r="K63" s="61"/>
      <c r="L63" s="73">
        <f t="shared" si="1"/>
        <v>46023</v>
      </c>
      <c r="M63" s="65" t="str">
        <f t="shared" ca="1" si="2"/>
        <v>UYGUN</v>
      </c>
      <c r="N63" s="74" t="str">
        <f>IF($C63="","",IF($C63="TANIMSIZ MÜŞTERİ","—",INDEX(MUSTERILER!$C$7:$C$156,MATCH($C63,MUSTERILER!$B$7:$B$156,0))))</f>
        <v>RİX ŞOW LTD.ŞTİ.</v>
      </c>
      <c r="O63" s="2"/>
      <c r="P63" s="2"/>
      <c r="Q63" s="1" t="str">
        <f>IF($D63="","",$C63&amp;"|"&amp;COUNTIFS($C$7:$C63,$C63))</f>
        <v>M016|4</v>
      </c>
      <c r="R63" s="1" t="str">
        <f t="shared" si="3"/>
        <v>RIXSOWLTDSTI</v>
      </c>
      <c r="S63" s="1" t="str">
        <f t="shared" si="4"/>
        <v>M016|46046|2000|</v>
      </c>
      <c r="T63" s="1">
        <f>IF($E63="",0,SUMPRODUCT((AY_SONU!$O$7:$O$42="Evet")*(AY_SONU!$B$7:$B$42=DATE(YEAR($E63),MONTH($E63),1))))</f>
        <v>0</v>
      </c>
      <c r="U63" s="1" t="str">
        <f>IF(OR($G63="",$H63="Mahsup"),"",$G63&amp;"|"&amp;COUNTIFS($G$7:$G63,$G63,$H$7:$H63,"&lt;&gt;Mahsup"))</f>
        <v>MERKEZ KASA|40</v>
      </c>
    </row>
    <row r="64" spans="1:21" ht="18" customHeight="1" x14ac:dyDescent="0.3">
      <c r="A64" s="2"/>
      <c r="B64" s="65" t="str">
        <f t="shared" si="0"/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M004</v>
      </c>
      <c r="D64" s="61" t="s">
        <v>678</v>
      </c>
      <c r="E64" s="66">
        <v>46046</v>
      </c>
      <c r="F64" s="67">
        <v>3000</v>
      </c>
      <c r="G64" s="60" t="s">
        <v>717</v>
      </c>
      <c r="H64" s="60" t="s">
        <v>572</v>
      </c>
      <c r="I64" s="61"/>
      <c r="J64" s="61" t="s">
        <v>720</v>
      </c>
      <c r="K64" s="61"/>
      <c r="L64" s="73">
        <f t="shared" si="1"/>
        <v>46023</v>
      </c>
      <c r="M64" s="65" t="str">
        <f t="shared" ca="1" si="2"/>
        <v>UYGUN</v>
      </c>
      <c r="N64" s="74" t="str">
        <f>IF($C64="","",IF($C64="TANIMSIZ MÜŞTERİ","—",INDEX(MUSTERILER!$C$7:$C$156,MATCH($C64,MUSTERILER!$B$7:$B$156,0))))</f>
        <v>ZÜMRÜT EĞLENCE LTD.ŞTİ.</v>
      </c>
      <c r="O64" s="2"/>
      <c r="P64" s="2"/>
      <c r="Q64" s="1" t="str">
        <f>IF($D64="","",$C64&amp;"|"&amp;COUNTIFS($C$7:$C64,$C64))</f>
        <v>M004|3</v>
      </c>
      <c r="R64" s="1" t="str">
        <f t="shared" si="3"/>
        <v>ZUMRUTEGLENCELTDSTI</v>
      </c>
      <c r="S64" s="1" t="str">
        <f t="shared" si="4"/>
        <v>M004|46046|3000|</v>
      </c>
      <c r="T64" s="1">
        <f>IF($E64="",0,SUMPRODUCT((AY_SONU!$O$7:$O$42="Evet")*(AY_SONU!$B$7:$B$42=DATE(YEAR($E64),MONTH($E64),1))))</f>
        <v>0</v>
      </c>
      <c r="U64" s="1" t="str">
        <f>IF(OR($G64="",$H64="Mahsup"),"",$G64&amp;"|"&amp;COUNTIFS($G$7:$G64,$G64,$H$7:$H64,"&lt;&gt;Mahsup"))</f>
        <v>MERKEZ KASA|41</v>
      </c>
    </row>
    <row r="65" spans="1:21" ht="18" customHeight="1" x14ac:dyDescent="0.3">
      <c r="A65" s="2"/>
      <c r="B65" s="65" t="str">
        <f t="shared" si="0"/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M005</v>
      </c>
      <c r="D65" s="61" t="s">
        <v>680</v>
      </c>
      <c r="E65" s="66">
        <v>46046</v>
      </c>
      <c r="F65" s="67">
        <v>1750</v>
      </c>
      <c r="G65" s="60" t="s">
        <v>717</v>
      </c>
      <c r="H65" s="60" t="s">
        <v>572</v>
      </c>
      <c r="I65" s="61"/>
      <c r="J65" s="61" t="s">
        <v>720</v>
      </c>
      <c r="K65" s="61"/>
      <c r="L65" s="73">
        <f t="shared" si="1"/>
        <v>46023</v>
      </c>
      <c r="M65" s="65" t="str">
        <f t="shared" ca="1" si="2"/>
        <v>UYGUN</v>
      </c>
      <c r="N65" s="74" t="str">
        <f>IF($C65="","",IF($C65="TANIMSIZ MÜŞTERİ","—",INDEX(MUSTERILER!$C$7:$C$156,MATCH($C65,MUSTERILER!$B$7:$B$156,0))))</f>
        <v>ZÜMRÜT GRUP LTD.ŞTİ.</v>
      </c>
      <c r="O65" s="2"/>
      <c r="P65" s="2"/>
      <c r="Q65" s="1" t="str">
        <f>IF($D65="","",$C65&amp;"|"&amp;COUNTIFS($C$7:$C65,$C65))</f>
        <v>M005|5</v>
      </c>
      <c r="R65" s="1" t="str">
        <f t="shared" si="3"/>
        <v>ZUMRUTGRUPLTDSTI</v>
      </c>
      <c r="S65" s="1" t="str">
        <f t="shared" si="4"/>
        <v>M005|46046|1750|</v>
      </c>
      <c r="T65" s="1">
        <f>IF($E65="",0,SUMPRODUCT((AY_SONU!$O$7:$O$42="Evet")*(AY_SONU!$B$7:$B$42=DATE(YEAR($E65),MONTH($E65),1))))</f>
        <v>0</v>
      </c>
      <c r="U65" s="1" t="str">
        <f>IF(OR($G65="",$H65="Mahsup"),"",$G65&amp;"|"&amp;COUNTIFS($G$7:$G65,$G65,$H$7:$H65,"&lt;&gt;Mahsup"))</f>
        <v>MERKEZ KASA|42</v>
      </c>
    </row>
    <row r="66" spans="1:21" ht="18" customHeight="1" x14ac:dyDescent="0.3">
      <c r="A66" s="2"/>
      <c r="B66" s="65" t="str">
        <f t="shared" si="0"/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M020</v>
      </c>
      <c r="D66" s="61" t="s">
        <v>623</v>
      </c>
      <c r="E66" s="66">
        <v>46046</v>
      </c>
      <c r="F66" s="67">
        <v>3000</v>
      </c>
      <c r="G66" s="60" t="s">
        <v>717</v>
      </c>
      <c r="H66" s="60" t="s">
        <v>572</v>
      </c>
      <c r="I66" s="61"/>
      <c r="J66" s="61" t="s">
        <v>720</v>
      </c>
      <c r="K66" s="61"/>
      <c r="L66" s="73">
        <f t="shared" si="1"/>
        <v>46023</v>
      </c>
      <c r="M66" s="65" t="str">
        <f t="shared" ca="1" si="2"/>
        <v>UYGUN</v>
      </c>
      <c r="N66" s="74" t="str">
        <f>IF($C66="","",IF($C66="TANIMSIZ MÜŞTERİ","—",INDEX(MUSTERILER!$C$7:$C$156,MATCH($C66,MUSTERILER!$B$7:$B$156,0))))</f>
        <v>KRİSTAL LTD.ŞTİ.</v>
      </c>
      <c r="O66" s="2"/>
      <c r="P66" s="2"/>
      <c r="Q66" s="1" t="str">
        <f>IF($D66="","",$C66&amp;"|"&amp;COUNTIFS($C$7:$C66,$C66))</f>
        <v>M020|3</v>
      </c>
      <c r="R66" s="1" t="str">
        <f t="shared" si="3"/>
        <v>KRISTALLTDSTI</v>
      </c>
      <c r="S66" s="1" t="str">
        <f t="shared" si="4"/>
        <v>M020|46046|3000|</v>
      </c>
      <c r="T66" s="1">
        <f>IF($E66="",0,SUMPRODUCT((AY_SONU!$O$7:$O$42="Evet")*(AY_SONU!$B$7:$B$42=DATE(YEAR($E66),MONTH($E66),1))))</f>
        <v>0</v>
      </c>
      <c r="U66" s="1" t="str">
        <f>IF(OR($G66="",$H66="Mahsup"),"",$G66&amp;"|"&amp;COUNTIFS($G$7:$G66,$G66,$H$7:$H66,"&lt;&gt;Mahsup"))</f>
        <v>MERKEZ KASA|43</v>
      </c>
    </row>
    <row r="67" spans="1:21" ht="18" customHeight="1" x14ac:dyDescent="0.3">
      <c r="A67" s="2"/>
      <c r="B67" s="65" t="str">
        <f t="shared" si="0"/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M018</v>
      </c>
      <c r="D67" s="61" t="s">
        <v>593</v>
      </c>
      <c r="E67" s="66">
        <v>46048</v>
      </c>
      <c r="F67" s="67">
        <v>2500</v>
      </c>
      <c r="G67" s="60" t="s">
        <v>717</v>
      </c>
      <c r="H67" s="60" t="s">
        <v>572</v>
      </c>
      <c r="I67" s="61"/>
      <c r="J67" s="61" t="s">
        <v>720</v>
      </c>
      <c r="K67" s="61"/>
      <c r="L67" s="73">
        <f t="shared" si="1"/>
        <v>46023</v>
      </c>
      <c r="M67" s="65" t="str">
        <f t="shared" ca="1" si="2"/>
        <v>UYGUN</v>
      </c>
      <c r="N67" s="74" t="str">
        <f>IF($C67="","",IF($C67="TANIMSIZ MÜŞTERİ","—",INDEX(MUSTERILER!$C$7:$C$156,MATCH($C67,MUSTERILER!$B$7:$B$156,0))))</f>
        <v>ÇINARHAN LTD.ŞTİ.</v>
      </c>
      <c r="O67" s="2"/>
      <c r="P67" s="2"/>
      <c r="Q67" s="1" t="str">
        <f>IF($D67="","",$C67&amp;"|"&amp;COUNTIFS($C$7:$C67,$C67))</f>
        <v>M018|3</v>
      </c>
      <c r="R67" s="1" t="str">
        <f t="shared" si="3"/>
        <v>CINARHANLTDSTI</v>
      </c>
      <c r="S67" s="1" t="str">
        <f t="shared" si="4"/>
        <v>M018|46048|2500|</v>
      </c>
      <c r="T67" s="1">
        <f>IF($E67="",0,SUMPRODUCT((AY_SONU!$O$7:$O$42="Evet")*(AY_SONU!$B$7:$B$42=DATE(YEAR($E67),MONTH($E67),1))))</f>
        <v>0</v>
      </c>
      <c r="U67" s="1" t="str">
        <f>IF(OR($G67="",$H67="Mahsup"),"",$G67&amp;"|"&amp;COUNTIFS($G$7:$G67,$G67,$H$7:$H67,"&lt;&gt;Mahsup"))</f>
        <v>MERKEZ KASA|44</v>
      </c>
    </row>
    <row r="68" spans="1:21" ht="18" customHeight="1" x14ac:dyDescent="0.3">
      <c r="A68" s="2"/>
      <c r="B68" s="65" t="str">
        <f t="shared" si="0"/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M019</v>
      </c>
      <c r="D68" s="61" t="s">
        <v>570</v>
      </c>
      <c r="E68" s="66">
        <v>46049</v>
      </c>
      <c r="F68" s="67">
        <v>1000</v>
      </c>
      <c r="G68" s="60" t="s">
        <v>717</v>
      </c>
      <c r="H68" s="60" t="s">
        <v>572</v>
      </c>
      <c r="I68" s="61"/>
      <c r="J68" s="61" t="s">
        <v>720</v>
      </c>
      <c r="K68" s="61"/>
      <c r="L68" s="73">
        <f t="shared" si="1"/>
        <v>46023</v>
      </c>
      <c r="M68" s="65" t="str">
        <f t="shared" ca="1" si="2"/>
        <v>UYGUN</v>
      </c>
      <c r="N68" s="74" t="str">
        <f>IF($C68="","",IF($C68="TANIMSIZ MÜŞTERİ","—",INDEX(MUSTERILER!$C$7:$C$156,MATCH($C68,MUSTERILER!$B$7:$B$156,0))))</f>
        <v>AC OTEL LTD.ŞTİ.</v>
      </c>
      <c r="O68" s="2"/>
      <c r="P68" s="2"/>
      <c r="Q68" s="1" t="str">
        <f>IF($D68="","",$C68&amp;"|"&amp;COUNTIFS($C$7:$C68,$C68))</f>
        <v>M019|1</v>
      </c>
      <c r="R68" s="1" t="str">
        <f t="shared" si="3"/>
        <v>ACOTELLTDSTI</v>
      </c>
      <c r="S68" s="1" t="str">
        <f t="shared" si="4"/>
        <v>M019|46049|1000|</v>
      </c>
      <c r="T68" s="1">
        <f>IF($E68="",0,SUMPRODUCT((AY_SONU!$O$7:$O$42="Evet")*(AY_SONU!$B$7:$B$42=DATE(YEAR($E68),MONTH($E68),1))))</f>
        <v>0</v>
      </c>
      <c r="U68" s="1" t="str">
        <f>IF(OR($G68="",$H68="Mahsup"),"",$G68&amp;"|"&amp;COUNTIFS($G$7:$G68,$G68,$H$7:$H68,"&lt;&gt;Mahsup"))</f>
        <v>MERKEZ KASA|45</v>
      </c>
    </row>
    <row r="69" spans="1:21" ht="18" customHeight="1" x14ac:dyDescent="0.3">
      <c r="A69" s="2"/>
      <c r="B69" s="65" t="str">
        <f t="shared" si="0"/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M023</v>
      </c>
      <c r="D69" s="61" t="s">
        <v>576</v>
      </c>
      <c r="E69" s="66">
        <v>46053</v>
      </c>
      <c r="F69" s="67">
        <v>12000</v>
      </c>
      <c r="G69" s="60" t="s">
        <v>723</v>
      </c>
      <c r="H69" s="60" t="s">
        <v>572</v>
      </c>
      <c r="I69" s="61"/>
      <c r="J69" s="61" t="s">
        <v>725</v>
      </c>
      <c r="K69" s="61"/>
      <c r="L69" s="73">
        <f t="shared" si="1"/>
        <v>46023</v>
      </c>
      <c r="M69" s="65" t="str">
        <f t="shared" ca="1" si="2"/>
        <v>UYGUN</v>
      </c>
      <c r="N69" s="74" t="str">
        <f>IF($C69="","",IF($C69="TANIMSIZ MÜŞTERİ","—",INDEX(MUSTERILER!$C$7:$C$156,MATCH($C69,MUSTERILER!$B$7:$B$156,0))))</f>
        <v>ALTINEL LTD.ŞTİ.</v>
      </c>
      <c r="O69" s="2"/>
      <c r="P69" s="2"/>
      <c r="Q69" s="1" t="str">
        <f>IF($D69="","",$C69&amp;"|"&amp;COUNTIFS($C$7:$C69,$C69))</f>
        <v>M023|1</v>
      </c>
      <c r="R69" s="1" t="str">
        <f t="shared" si="3"/>
        <v>ALTINELLTDSTI</v>
      </c>
      <c r="S69" s="1" t="str">
        <f t="shared" si="4"/>
        <v>M023|46053|12000|</v>
      </c>
      <c r="T69" s="1">
        <f>IF($E69="",0,SUMPRODUCT((AY_SONU!$O$7:$O$42="Evet")*(AY_SONU!$B$7:$B$42=DATE(YEAR($E69),MONTH($E69),1))))</f>
        <v>0</v>
      </c>
      <c r="U69" s="1" t="str">
        <f>IF(OR($G69="",$H69="Mahsup"),"",$G69&amp;"|"&amp;COUNTIFS($G$7:$G69,$G69,$H$7:$H69,"&lt;&gt;Mahsup"))</f>
        <v>ÖMER KARTAL|18</v>
      </c>
    </row>
    <row r="70" spans="1:21" ht="18" customHeight="1" x14ac:dyDescent="0.3">
      <c r="A70" s="2"/>
      <c r="B70" s="65" t="str">
        <f t="shared" si="0"/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M024</v>
      </c>
      <c r="D70" s="61" t="s">
        <v>579</v>
      </c>
      <c r="E70" s="66">
        <v>46053</v>
      </c>
      <c r="F70" s="67">
        <v>3000</v>
      </c>
      <c r="G70" s="60" t="s">
        <v>723</v>
      </c>
      <c r="H70" s="60" t="s">
        <v>572</v>
      </c>
      <c r="I70" s="61"/>
      <c r="J70" s="61" t="s">
        <v>724</v>
      </c>
      <c r="K70" s="61"/>
      <c r="L70" s="73">
        <f t="shared" si="1"/>
        <v>46023</v>
      </c>
      <c r="M70" s="65" t="str">
        <f t="shared" ca="1" si="2"/>
        <v>UYGUN</v>
      </c>
      <c r="N70" s="74" t="str">
        <f>IF($C70="","",IF($C70="TANIMSIZ MÜŞTERİ","—",INDEX(MUSTERILER!$C$7:$C$156,MATCH($C70,MUSTERILER!$B$7:$B$156,0))))</f>
        <v>ARMAN DİK</v>
      </c>
      <c r="O70" s="2"/>
      <c r="P70" s="2"/>
      <c r="Q70" s="1" t="str">
        <f>IF($D70="","",$C70&amp;"|"&amp;COUNTIFS($C$7:$C70,$C70))</f>
        <v>M024|1</v>
      </c>
      <c r="R70" s="1" t="str">
        <f t="shared" si="3"/>
        <v>ARMANDIK</v>
      </c>
      <c r="S70" s="1" t="str">
        <f t="shared" si="4"/>
        <v>M024|46053|3000|</v>
      </c>
      <c r="T70" s="1">
        <f>IF($E70="",0,SUMPRODUCT((AY_SONU!$O$7:$O$42="Evet")*(AY_SONU!$B$7:$B$42=DATE(YEAR($E70),MONTH($E70),1))))</f>
        <v>0</v>
      </c>
      <c r="U70" s="1" t="str">
        <f>IF(OR($G70="",$H70="Mahsup"),"",$G70&amp;"|"&amp;COUNTIFS($G$7:$G70,$G70,$H$7:$H70,"&lt;&gt;Mahsup"))</f>
        <v>ÖMER KARTAL|19</v>
      </c>
    </row>
    <row r="71" spans="1:21" ht="18" customHeight="1" x14ac:dyDescent="0.3">
      <c r="A71" s="2"/>
      <c r="B71" s="65" t="str">
        <f t="shared" ref="B71:B134" si="5"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M021</v>
      </c>
      <c r="D71" s="61" t="s">
        <v>581</v>
      </c>
      <c r="E71" s="66">
        <v>46053</v>
      </c>
      <c r="F71" s="67">
        <v>20000</v>
      </c>
      <c r="G71" s="60" t="s">
        <v>723</v>
      </c>
      <c r="H71" s="60" t="s">
        <v>572</v>
      </c>
      <c r="I71" s="61"/>
      <c r="J71" s="61" t="s">
        <v>726</v>
      </c>
      <c r="K71" s="61"/>
      <c r="L71" s="73">
        <f t="shared" ref="L71:L134" si="6">IF($E71="","",DATE(YEAR($E71),MONTH($E71),1))</f>
        <v>46023</v>
      </c>
      <c r="M71" s="65" t="str">
        <f t="shared" ref="M71:M134" ca="1" si="7">IF($D71="","",IF($C71="TANIMSIZ MÜŞTERİ","HATA",IF(OR($E71="",$F71&lt;=0,$G71=""),"EKSİK",IF($E71&gt;TODAY(),"İLERİ TARİH",IF(COUNTIF($S$7:$S$2503,$S71)&gt;1,"MÜKERRER?",IF($T71&gt;0,"KAPALI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ARON TOPTAN LTD.ŞTİ.</v>
      </c>
      <c r="O71" s="2"/>
      <c r="P71" s="2"/>
      <c r="Q71" s="1" t="str">
        <f>IF($D71="","",$C71&amp;"|"&amp;COUNTIFS($C$7:$C71,$C71))</f>
        <v>M021|1</v>
      </c>
      <c r="R71" s="1" t="str">
        <f t="shared" ref="R71:R134" si="8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ARONTOPTANLTDSTI</v>
      </c>
      <c r="S71" s="1" t="str">
        <f t="shared" ref="S71:S134" si="9">IF($D71="","",$C71&amp;"|"&amp;TEXT($E71,"0")&amp;"|"&amp;TEXT($F71,"0")&amp;"|"&amp;$I71)</f>
        <v>M021|46053|20000|</v>
      </c>
      <c r="T71" s="1">
        <f>IF($E71="",0,SUMPRODUCT((AY_SONU!$O$7:$O$42="Evet")*(AY_SONU!$B$7:$B$42=DATE(YEAR($E71),MONTH($E71),1))))</f>
        <v>0</v>
      </c>
      <c r="U71" s="1" t="str">
        <f>IF(OR($G71="",$H71="Mahsup"),"",$G71&amp;"|"&amp;COUNTIFS($G$7:$G71,$G71,$H$7:$H71,"&lt;&gt;Mahsup"))</f>
        <v>ÖMER KARTAL|20</v>
      </c>
    </row>
    <row r="72" spans="1:21" ht="18" customHeight="1" x14ac:dyDescent="0.3">
      <c r="A72" s="2"/>
      <c r="B72" s="65" t="str">
        <f t="shared" si="5"/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M018</v>
      </c>
      <c r="D72" s="61" t="s">
        <v>593</v>
      </c>
      <c r="E72" s="66">
        <v>46053</v>
      </c>
      <c r="F72" s="67">
        <v>2500</v>
      </c>
      <c r="G72" s="60" t="s">
        <v>723</v>
      </c>
      <c r="H72" s="60" t="s">
        <v>572</v>
      </c>
      <c r="I72" s="61"/>
      <c r="J72" s="61" t="s">
        <v>724</v>
      </c>
      <c r="K72" s="61"/>
      <c r="L72" s="73">
        <f t="shared" si="6"/>
        <v>46023</v>
      </c>
      <c r="M72" s="65" t="str">
        <f t="shared" ca="1" si="7"/>
        <v>UYGUN</v>
      </c>
      <c r="N72" s="74" t="str">
        <f>IF($C72="","",IF($C72="TANIMSIZ MÜŞTERİ","—",INDEX(MUSTERILER!$C$7:$C$156,MATCH($C72,MUSTERILER!$B$7:$B$156,0))))</f>
        <v>ÇINARHAN LTD.ŞTİ.</v>
      </c>
      <c r="O72" s="2"/>
      <c r="P72" s="2"/>
      <c r="Q72" s="1" t="str">
        <f>IF($D72="","",$C72&amp;"|"&amp;COUNTIFS($C$7:$C72,$C72))</f>
        <v>M018|4</v>
      </c>
      <c r="R72" s="1" t="str">
        <f t="shared" si="8"/>
        <v>CINARHANLTDSTI</v>
      </c>
      <c r="S72" s="1" t="str">
        <f t="shared" si="9"/>
        <v>M018|46053|2500|</v>
      </c>
      <c r="T72" s="1">
        <f>IF($E72="",0,SUMPRODUCT((AY_SONU!$O$7:$O$42="Evet")*(AY_SONU!$B$7:$B$42=DATE(YEAR($E72),MONTH($E72),1))))</f>
        <v>0</v>
      </c>
      <c r="U72" s="1" t="str">
        <f>IF(OR($G72="",$H72="Mahsup"),"",$G72&amp;"|"&amp;COUNTIFS($G$7:$G72,$G72,$H$7:$H72,"&lt;&gt;Mahsup"))</f>
        <v>ÖMER KARTAL|21</v>
      </c>
    </row>
    <row r="73" spans="1:21" ht="18" customHeight="1" x14ac:dyDescent="0.3">
      <c r="A73" s="2"/>
      <c r="B73" s="65" t="str">
        <f t="shared" si="5"/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M011</v>
      </c>
      <c r="D73" s="61" t="s">
        <v>597</v>
      </c>
      <c r="E73" s="66">
        <v>46053</v>
      </c>
      <c r="F73" s="67">
        <v>6000</v>
      </c>
      <c r="G73" s="60" t="s">
        <v>723</v>
      </c>
      <c r="H73" s="60" t="s">
        <v>572</v>
      </c>
      <c r="I73" s="61"/>
      <c r="J73" s="61" t="s">
        <v>724</v>
      </c>
      <c r="K73" s="61"/>
      <c r="L73" s="73">
        <f t="shared" si="6"/>
        <v>46023</v>
      </c>
      <c r="M73" s="65" t="str">
        <f t="shared" ca="1" si="7"/>
        <v>UYGUN</v>
      </c>
      <c r="N73" s="74" t="str">
        <f>IF($C73="","",IF($C73="TANIMSIZ MÜŞTERİ","—",INDEX(MUSTERILER!$C$7:$C$156,MATCH($C73,MUSTERILER!$B$7:$B$156,0))))</f>
        <v>EĞLENGÖR LTD.ŞTİ.</v>
      </c>
      <c r="O73" s="2"/>
      <c r="P73" s="2"/>
      <c r="Q73" s="1" t="str">
        <f>IF($D73="","",$C73&amp;"|"&amp;COUNTIFS($C$7:$C73,$C73))</f>
        <v>M011|4</v>
      </c>
      <c r="R73" s="1" t="str">
        <f t="shared" si="8"/>
        <v>EGLENGORLTDSTI</v>
      </c>
      <c r="S73" s="1" t="str">
        <f t="shared" si="9"/>
        <v>M011|46053|6000|</v>
      </c>
      <c r="T73" s="1">
        <f>IF($E73="",0,SUMPRODUCT((AY_SONU!$O$7:$O$42="Evet")*(AY_SONU!$B$7:$B$42=DATE(YEAR($E73),MONTH($E73),1))))</f>
        <v>0</v>
      </c>
      <c r="U73" s="1" t="str">
        <f>IF(OR($G73="",$H73="Mahsup"),"",$G73&amp;"|"&amp;COUNTIFS($G$7:$G73,$G73,$H$7:$H73,"&lt;&gt;Mahsup"))</f>
        <v>ÖMER KARTAL|22</v>
      </c>
    </row>
    <row r="74" spans="1:21" ht="18" customHeight="1" x14ac:dyDescent="0.3">
      <c r="A74" s="2"/>
      <c r="B74" s="65" t="str">
        <f t="shared" si="5"/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M001</v>
      </c>
      <c r="D74" s="61" t="s">
        <v>17</v>
      </c>
      <c r="E74" s="66">
        <v>46053</v>
      </c>
      <c r="F74" s="67">
        <v>8000</v>
      </c>
      <c r="G74" s="60" t="s">
        <v>717</v>
      </c>
      <c r="H74" s="60" t="s">
        <v>572</v>
      </c>
      <c r="I74" s="61"/>
      <c r="J74" s="61" t="s">
        <v>720</v>
      </c>
      <c r="K74" s="61"/>
      <c r="L74" s="73">
        <f t="shared" si="6"/>
        <v>46023</v>
      </c>
      <c r="M74" s="65" t="str">
        <f t="shared" ca="1" si="7"/>
        <v>UYGUN</v>
      </c>
      <c r="N74" s="74" t="str">
        <f>IF($C74="","",IF($C74="TANIMSIZ MÜŞTERİ","—",INDEX(MUSTERILER!$C$7:$C$156,MATCH($C74,MUSTERILER!$B$7:$B$156,0))))</f>
        <v>ANKARA HAVANA LTD.ŞTİ.</v>
      </c>
      <c r="O74" s="2"/>
      <c r="P74" s="2"/>
      <c r="Q74" s="1" t="str">
        <f>IF($D74="","",$C74&amp;"|"&amp;COUNTIFS($C$7:$C74,$C74))</f>
        <v>M001|3</v>
      </c>
      <c r="R74" s="1" t="str">
        <f t="shared" si="8"/>
        <v>ANKARAHAVANALTDSTI</v>
      </c>
      <c r="S74" s="1" t="str">
        <f t="shared" si="9"/>
        <v>M001|46053|8000|</v>
      </c>
      <c r="T74" s="1">
        <f>IF($E74="",0,SUMPRODUCT((AY_SONU!$O$7:$O$42="Evet")*(AY_SONU!$B$7:$B$42=DATE(YEAR($E74),MONTH($E74),1))))</f>
        <v>0</v>
      </c>
      <c r="U74" s="1" t="str">
        <f>IF(OR($G74="",$H74="Mahsup"),"",$G74&amp;"|"&amp;COUNTIFS($G$7:$G74,$G74,$H$7:$H74,"&lt;&gt;Mahsup"))</f>
        <v>MERKEZ KASA|46</v>
      </c>
    </row>
    <row r="75" spans="1:21" ht="18" customHeight="1" x14ac:dyDescent="0.3">
      <c r="A75" s="2"/>
      <c r="B75" s="65" t="str">
        <f t="shared" si="5"/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M025</v>
      </c>
      <c r="D75" s="61" t="s">
        <v>583</v>
      </c>
      <c r="E75" s="66">
        <v>46053</v>
      </c>
      <c r="F75" s="67">
        <v>2000</v>
      </c>
      <c r="G75" s="60" t="s">
        <v>717</v>
      </c>
      <c r="H75" s="60" t="s">
        <v>572</v>
      </c>
      <c r="I75" s="61"/>
      <c r="J75" s="61" t="s">
        <v>720</v>
      </c>
      <c r="K75" s="61"/>
      <c r="L75" s="73">
        <f t="shared" si="6"/>
        <v>46023</v>
      </c>
      <c r="M75" s="65" t="str">
        <f t="shared" ca="1" si="7"/>
        <v>UYGUN</v>
      </c>
      <c r="N75" s="74" t="str">
        <f>IF($C75="","",IF($C75="TANIMSIZ MÜŞTERİ","—",INDEX(MUSTERILER!$C$7:$C$156,MATCH($C75,MUSTERILER!$B$7:$B$156,0))))</f>
        <v>ASIM AÇIKGÖZ</v>
      </c>
      <c r="O75" s="2"/>
      <c r="P75" s="2"/>
      <c r="Q75" s="1" t="str">
        <f>IF($D75="","",$C75&amp;"|"&amp;COUNTIFS($C$7:$C75,$C75))</f>
        <v>M025|4</v>
      </c>
      <c r="R75" s="1" t="str">
        <f t="shared" si="8"/>
        <v>ASIMACIKGOZ</v>
      </c>
      <c r="S75" s="1" t="str">
        <f t="shared" si="9"/>
        <v>M025|46053|2000|</v>
      </c>
      <c r="T75" s="1">
        <f>IF($E75="",0,SUMPRODUCT((AY_SONU!$O$7:$O$42="Evet")*(AY_SONU!$B$7:$B$42=DATE(YEAR($E75),MONTH($E75),1))))</f>
        <v>0</v>
      </c>
      <c r="U75" s="1" t="str">
        <f>IF(OR($G75="",$H75="Mahsup"),"",$G75&amp;"|"&amp;COUNTIFS($G$7:$G75,$G75,$H$7:$H75,"&lt;&gt;Mahsup"))</f>
        <v>MERKEZ KASA|47</v>
      </c>
    </row>
    <row r="76" spans="1:21" ht="18" customHeight="1" x14ac:dyDescent="0.3">
      <c r="A76" s="2"/>
      <c r="B76" s="65" t="str">
        <f t="shared" si="5"/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M017</v>
      </c>
      <c r="D76" s="61" t="s">
        <v>585</v>
      </c>
      <c r="E76" s="66">
        <v>46053</v>
      </c>
      <c r="F76" s="67">
        <v>2500</v>
      </c>
      <c r="G76" s="60" t="s">
        <v>717</v>
      </c>
      <c r="H76" s="60" t="s">
        <v>572</v>
      </c>
      <c r="I76" s="61"/>
      <c r="J76" s="61" t="s">
        <v>720</v>
      </c>
      <c r="K76" s="61"/>
      <c r="L76" s="73">
        <f t="shared" si="6"/>
        <v>46023</v>
      </c>
      <c r="M76" s="65" t="str">
        <f t="shared" ca="1" si="7"/>
        <v>UYGUN</v>
      </c>
      <c r="N76" s="74" t="str">
        <f>IF($C76="","",IF($C76="TANIMSIZ MÜŞTERİ","—",INDEX(MUSTERILER!$C$7:$C$156,MATCH($C76,MUSTERILER!$B$7:$B$156,0))))</f>
        <v>ASM EĞLENCE LTD.ŞTİ.</v>
      </c>
      <c r="O76" s="2"/>
      <c r="P76" s="2"/>
      <c r="Q76" s="1" t="str">
        <f>IF($D76="","",$C76&amp;"|"&amp;COUNTIFS($C$7:$C76,$C76))</f>
        <v>M017|4</v>
      </c>
      <c r="R76" s="1" t="str">
        <f t="shared" si="8"/>
        <v>ASMEGLENCELTDSTI</v>
      </c>
      <c r="S76" s="1" t="str">
        <f t="shared" si="9"/>
        <v>M017|46053|2500|</v>
      </c>
      <c r="T76" s="1">
        <f>IF($E76="",0,SUMPRODUCT((AY_SONU!$O$7:$O$42="Evet")*(AY_SONU!$B$7:$B$42=DATE(YEAR($E76),MONTH($E76),1))))</f>
        <v>0</v>
      </c>
      <c r="U76" s="1" t="str">
        <f>IF(OR($G76="",$H76="Mahsup"),"",$G76&amp;"|"&amp;COUNTIFS($G$7:$G76,$G76,$H$7:$H76,"&lt;&gt;Mahsup"))</f>
        <v>MERKEZ KASA|48</v>
      </c>
    </row>
    <row r="77" spans="1:21" ht="18" customHeight="1" x14ac:dyDescent="0.3">
      <c r="A77" s="2"/>
      <c r="B77" s="65" t="str">
        <f t="shared" si="5"/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M013</v>
      </c>
      <c r="D77" s="61" t="s">
        <v>644</v>
      </c>
      <c r="E77" s="66">
        <v>46053</v>
      </c>
      <c r="F77" s="67">
        <v>2000</v>
      </c>
      <c r="G77" s="60" t="s">
        <v>723</v>
      </c>
      <c r="H77" s="60" t="s">
        <v>572</v>
      </c>
      <c r="I77" s="61"/>
      <c r="J77" s="61" t="s">
        <v>724</v>
      </c>
      <c r="K77" s="61"/>
      <c r="L77" s="73">
        <f t="shared" si="6"/>
        <v>46023</v>
      </c>
      <c r="M77" s="65" t="str">
        <f t="shared" ca="1" si="7"/>
        <v>UYGUN</v>
      </c>
      <c r="N77" s="74" t="str">
        <f>IF($C77="","",IF($C77="TANIMSIZ MÜŞTERİ","—",INDEX(MUSTERILER!$C$7:$C$156,MATCH($C77,MUSTERILER!$B$7:$B$156,0))))</f>
        <v>NAZ 1 GIDA LTD.ŞTİ.</v>
      </c>
      <c r="O77" s="2"/>
      <c r="P77" s="2"/>
      <c r="Q77" s="1" t="str">
        <f>IF($D77="","",$C77&amp;"|"&amp;COUNTIFS($C$7:$C77,$C77))</f>
        <v>M013|4</v>
      </c>
      <c r="R77" s="1" t="str">
        <f t="shared" si="8"/>
        <v>NAZ1GIDALTDSTI</v>
      </c>
      <c r="S77" s="1" t="str">
        <f t="shared" si="9"/>
        <v>M013|46053|2000|</v>
      </c>
      <c r="T77" s="1">
        <f>IF($E77="",0,SUMPRODUCT((AY_SONU!$O$7:$O$42="Evet")*(AY_SONU!$B$7:$B$42=DATE(YEAR($E77),MONTH($E77),1))))</f>
        <v>0</v>
      </c>
      <c r="U77" s="1" t="str">
        <f>IF(OR($G77="",$H77="Mahsup"),"",$G77&amp;"|"&amp;COUNTIFS($G$7:$G77,$G77,$H$7:$H77,"&lt;&gt;Mahsup"))</f>
        <v>ÖMER KARTAL|23</v>
      </c>
    </row>
    <row r="78" spans="1:21" ht="18" customHeight="1" x14ac:dyDescent="0.3">
      <c r="A78" s="2"/>
      <c r="B78" s="65" t="str">
        <f t="shared" si="5"/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M015</v>
      </c>
      <c r="D78" s="61" t="s">
        <v>589</v>
      </c>
      <c r="E78" s="66">
        <v>46053</v>
      </c>
      <c r="F78" s="67">
        <v>3000</v>
      </c>
      <c r="G78" s="60" t="s">
        <v>717</v>
      </c>
      <c r="H78" s="60" t="s">
        <v>572</v>
      </c>
      <c r="I78" s="61"/>
      <c r="J78" s="61" t="s">
        <v>720</v>
      </c>
      <c r="K78" s="61"/>
      <c r="L78" s="73">
        <f t="shared" si="6"/>
        <v>46023</v>
      </c>
      <c r="M78" s="65" t="str">
        <f t="shared" ca="1" si="7"/>
        <v>UYGUN</v>
      </c>
      <c r="N78" s="74" t="str">
        <f>IF($C78="","",IF($C78="TANIMSIZ MÜŞTERİ","—",INDEX(MUSTERILER!$C$7:$C$156,MATCH($C78,MUSTERILER!$B$7:$B$156,0))))</f>
        <v>ÇAYIRALAN LTD.ŞTİ.</v>
      </c>
      <c r="O78" s="2"/>
      <c r="P78" s="2"/>
      <c r="Q78" s="1" t="str">
        <f>IF($D78="","",$C78&amp;"|"&amp;COUNTIFS($C$7:$C78,$C78))</f>
        <v>M015|5</v>
      </c>
      <c r="R78" s="1" t="str">
        <f t="shared" si="8"/>
        <v>CAYIRALANLTDSTI</v>
      </c>
      <c r="S78" s="1" t="str">
        <f t="shared" si="9"/>
        <v>M015|46053|3000|</v>
      </c>
      <c r="T78" s="1">
        <f>IF($E78="",0,SUMPRODUCT((AY_SONU!$O$7:$O$42="Evet")*(AY_SONU!$B$7:$B$42=DATE(YEAR($E78),MONTH($E78),1))))</f>
        <v>0</v>
      </c>
      <c r="U78" s="1" t="str">
        <f>IF(OR($G78="",$H78="Mahsup"),"",$G78&amp;"|"&amp;COUNTIFS($G$7:$G78,$G78,$H$7:$H78,"&lt;&gt;Mahsup"))</f>
        <v>MERKEZ KASA|49</v>
      </c>
    </row>
    <row r="79" spans="1:21" ht="18" customHeight="1" x14ac:dyDescent="0.3">
      <c r="A79" s="2"/>
      <c r="B79" s="65" t="str">
        <f t="shared" si="5"/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M014</v>
      </c>
      <c r="D79" s="61" t="s">
        <v>605</v>
      </c>
      <c r="E79" s="66">
        <v>46053</v>
      </c>
      <c r="F79" s="67">
        <v>2000</v>
      </c>
      <c r="G79" s="60" t="s">
        <v>717</v>
      </c>
      <c r="H79" s="60" t="s">
        <v>572</v>
      </c>
      <c r="I79" s="61"/>
      <c r="J79" s="61" t="s">
        <v>720</v>
      </c>
      <c r="K79" s="61"/>
      <c r="L79" s="73">
        <f t="shared" si="6"/>
        <v>46023</v>
      </c>
      <c r="M79" s="65" t="str">
        <f t="shared" ca="1" si="7"/>
        <v>UYGUN</v>
      </c>
      <c r="N79" s="74" t="str">
        <f>IF($C79="","",IF($C79="TANIMSIZ MÜŞTERİ","—",INDEX(MUSTERILER!$C$7:$C$156,MATCH($C79,MUSTERILER!$B$7:$B$156,0))))</f>
        <v>FİNAL SİYAH BEYAZ LTD.ŞTİ.</v>
      </c>
      <c r="O79" s="2"/>
      <c r="P79" s="2"/>
      <c r="Q79" s="1" t="str">
        <f>IF($D79="","",$C79&amp;"|"&amp;COUNTIFS($C$7:$C79,$C79))</f>
        <v>M014|4</v>
      </c>
      <c r="R79" s="1" t="str">
        <f t="shared" si="8"/>
        <v>FINALSIYAHBEYAZLTDSTI</v>
      </c>
      <c r="S79" s="1" t="str">
        <f t="shared" si="9"/>
        <v>M014|46053|2000|</v>
      </c>
      <c r="T79" s="1">
        <f>IF($E79="",0,SUMPRODUCT((AY_SONU!$O$7:$O$42="Evet")*(AY_SONU!$B$7:$B$42=DATE(YEAR($E79),MONTH($E79),1))))</f>
        <v>0</v>
      </c>
      <c r="U79" s="1" t="str">
        <f>IF(OR($G79="",$H79="Mahsup"),"",$G79&amp;"|"&amp;COUNTIFS($G$7:$G79,$G79,$H$7:$H79,"&lt;&gt;Mahsup"))</f>
        <v>MERKEZ KASA|50</v>
      </c>
    </row>
    <row r="80" spans="1:21" ht="18" customHeight="1" x14ac:dyDescent="0.3">
      <c r="A80" s="2"/>
      <c r="B80" s="65" t="str">
        <f t="shared" si="5"/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M034</v>
      </c>
      <c r="D80" s="61" t="s">
        <v>611</v>
      </c>
      <c r="E80" s="66">
        <v>46053</v>
      </c>
      <c r="F80" s="67">
        <v>1500</v>
      </c>
      <c r="G80" s="60" t="s">
        <v>717</v>
      </c>
      <c r="H80" s="60" t="s">
        <v>572</v>
      </c>
      <c r="I80" s="61"/>
      <c r="J80" s="61" t="s">
        <v>720</v>
      </c>
      <c r="K80" s="61"/>
      <c r="L80" s="73">
        <f t="shared" si="6"/>
        <v>46023</v>
      </c>
      <c r="M80" s="65" t="str">
        <f t="shared" ca="1" si="7"/>
        <v>UYGUN</v>
      </c>
      <c r="N80" s="74" t="str">
        <f>IF($C80="","",IF($C80="TANIMSIZ MÜŞTERİ","—",INDEX(MUSTERILER!$C$7:$C$156,MATCH($C80,MUSTERILER!$B$7:$B$156,0))))</f>
        <v>İBRAHİM MALDAN</v>
      </c>
      <c r="O80" s="2"/>
      <c r="P80" s="2"/>
      <c r="Q80" s="1" t="str">
        <f>IF($D80="","",$C80&amp;"|"&amp;COUNTIFS($C$7:$C80,$C80))</f>
        <v>M034|4</v>
      </c>
      <c r="R80" s="1" t="str">
        <f t="shared" si="8"/>
        <v>IBRAHIMMALDAN</v>
      </c>
      <c r="S80" s="1" t="str">
        <f t="shared" si="9"/>
        <v>M034|46053|1500|</v>
      </c>
      <c r="T80" s="1">
        <f>IF($E80="",0,SUMPRODUCT((AY_SONU!$O$7:$O$42="Evet")*(AY_SONU!$B$7:$B$42=DATE(YEAR($E80),MONTH($E80),1))))</f>
        <v>0</v>
      </c>
      <c r="U80" s="1" t="str">
        <f>IF(OR($G80="",$H80="Mahsup"),"",$G80&amp;"|"&amp;COUNTIFS($G$7:$G80,$G80,$H$7:$H80,"&lt;&gt;Mahsup"))</f>
        <v>MERKEZ KASA|51</v>
      </c>
    </row>
    <row r="81" spans="1:21" ht="18" customHeight="1" x14ac:dyDescent="0.3">
      <c r="A81" s="2"/>
      <c r="B81" s="65" t="str">
        <f t="shared" si="5"/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M006</v>
      </c>
      <c r="D81" s="61" t="s">
        <v>672</v>
      </c>
      <c r="E81" s="66">
        <v>46053</v>
      </c>
      <c r="F81" s="67">
        <v>1000</v>
      </c>
      <c r="G81" s="60" t="s">
        <v>723</v>
      </c>
      <c r="H81" s="60" t="s">
        <v>572</v>
      </c>
      <c r="I81" s="61"/>
      <c r="J81" s="61" t="s">
        <v>727</v>
      </c>
      <c r="K81" s="61"/>
      <c r="L81" s="73">
        <f t="shared" si="6"/>
        <v>46023</v>
      </c>
      <c r="M81" s="65" t="str">
        <f t="shared" ca="1" si="7"/>
        <v>UYGUN</v>
      </c>
      <c r="N81" s="74" t="str">
        <f>IF($C81="","",IF($C81="TANIMSIZ MÜŞTERİ","—",INDEX(MUSTERILER!$C$7:$C$156,MATCH($C81,MUSTERILER!$B$7:$B$156,0))))</f>
        <v>VOLKAN AÇIK</v>
      </c>
      <c r="O81" s="2"/>
      <c r="P81" s="2"/>
      <c r="Q81" s="1" t="str">
        <f>IF($D81="","",$C81&amp;"|"&amp;COUNTIFS($C$7:$C81,$C81))</f>
        <v>M006|1</v>
      </c>
      <c r="R81" s="1" t="str">
        <f t="shared" si="8"/>
        <v>VOLKANACIK</v>
      </c>
      <c r="S81" s="1" t="str">
        <f t="shared" si="9"/>
        <v>M006|46053|1000|</v>
      </c>
      <c r="T81" s="1">
        <f>IF($E81="",0,SUMPRODUCT((AY_SONU!$O$7:$O$42="Evet")*(AY_SONU!$B$7:$B$42=DATE(YEAR($E81),MONTH($E81),1))))</f>
        <v>0</v>
      </c>
      <c r="U81" s="1" t="str">
        <f>IF(OR($G81="",$H81="Mahsup"),"",$G81&amp;"|"&amp;COUNTIFS($G$7:$G81,$G81,$H$7:$H81,"&lt;&gt;Mahsup"))</f>
        <v>ÖMER KARTAL|24</v>
      </c>
    </row>
    <row r="82" spans="1:21" ht="18" customHeight="1" x14ac:dyDescent="0.3">
      <c r="A82" s="2"/>
      <c r="B82" s="65" t="str">
        <f t="shared" si="5"/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M012</v>
      </c>
      <c r="D82" s="61" t="s">
        <v>613</v>
      </c>
      <c r="E82" s="66">
        <v>46053</v>
      </c>
      <c r="F82" s="67">
        <v>2000</v>
      </c>
      <c r="G82" s="60" t="s">
        <v>717</v>
      </c>
      <c r="H82" s="60" t="s">
        <v>572</v>
      </c>
      <c r="I82" s="61"/>
      <c r="J82" s="61" t="s">
        <v>720</v>
      </c>
      <c r="K82" s="61"/>
      <c r="L82" s="73">
        <f t="shared" si="6"/>
        <v>46023</v>
      </c>
      <c r="M82" s="65" t="str">
        <f t="shared" ca="1" si="7"/>
        <v>UYGUN</v>
      </c>
      <c r="N82" s="74" t="str">
        <f>IF($C82="","",IF($C82="TANIMSIZ MÜŞTERİ","—",INDEX(MUSTERILER!$C$7:$C$156,MATCH($C82,MUSTERILER!$B$7:$B$156,0))))</f>
        <v>İLDEŞ LTD.ŞTİ.</v>
      </c>
      <c r="O82" s="2"/>
      <c r="P82" s="2"/>
      <c r="Q82" s="1" t="str">
        <f>IF($D82="","",$C82&amp;"|"&amp;COUNTIFS($C$7:$C82,$C82))</f>
        <v>M012|4</v>
      </c>
      <c r="R82" s="1" t="str">
        <f t="shared" si="8"/>
        <v>ILDESLTDSTI</v>
      </c>
      <c r="S82" s="1" t="str">
        <f t="shared" si="9"/>
        <v>M012|46053|2000|</v>
      </c>
      <c r="T82" s="1">
        <f>IF($E82="",0,SUMPRODUCT((AY_SONU!$O$7:$O$42="Evet")*(AY_SONU!$B$7:$B$42=DATE(YEAR($E82),MONTH($E82),1))))</f>
        <v>0</v>
      </c>
      <c r="U82" s="1" t="str">
        <f>IF(OR($G82="",$H82="Mahsup"),"",$G82&amp;"|"&amp;COUNTIFS($G$7:$G82,$G82,$H$7:$H82,"&lt;&gt;Mahsup"))</f>
        <v>MERKEZ KASA|52</v>
      </c>
    </row>
    <row r="83" spans="1:21" ht="18" customHeight="1" x14ac:dyDescent="0.3">
      <c r="A83" s="2"/>
      <c r="B83" s="65" t="str">
        <f t="shared" si="5"/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M010</v>
      </c>
      <c r="D83" s="61" t="s">
        <v>650</v>
      </c>
      <c r="E83" s="66">
        <v>46053</v>
      </c>
      <c r="F83" s="67">
        <v>8000</v>
      </c>
      <c r="G83" s="60" t="s">
        <v>717</v>
      </c>
      <c r="H83" s="60" t="s">
        <v>572</v>
      </c>
      <c r="I83" s="61"/>
      <c r="J83" s="61" t="s">
        <v>728</v>
      </c>
      <c r="K83" s="61"/>
      <c r="L83" s="73">
        <f t="shared" si="6"/>
        <v>46023</v>
      </c>
      <c r="M83" s="65" t="str">
        <f t="shared" ca="1" si="7"/>
        <v>UYGUN</v>
      </c>
      <c r="N83" s="74" t="str">
        <f>IF($C83="","",IF($C83="TANIMSIZ MÜŞTERİ","—",INDEX(MUSTERILER!$C$7:$C$156,MATCH($C83,MUSTERILER!$B$7:$B$156,0))))</f>
        <v>ÖZFİDANLAR LTD.ŞTİ.</v>
      </c>
      <c r="O83" s="2"/>
      <c r="P83" s="2"/>
      <c r="Q83" s="1" t="str">
        <f>IF($D83="","",$C83&amp;"|"&amp;COUNTIFS($C$7:$C83,$C83))</f>
        <v>M010|4</v>
      </c>
      <c r="R83" s="1" t="str">
        <f t="shared" si="8"/>
        <v>OZFIDANLARLTDSTI</v>
      </c>
      <c r="S83" s="1" t="str">
        <f t="shared" si="9"/>
        <v>M010|46053|8000|</v>
      </c>
      <c r="T83" s="1">
        <f>IF($E83="",0,SUMPRODUCT((AY_SONU!$O$7:$O$42="Evet")*(AY_SONU!$B$7:$B$42=DATE(YEAR($E83),MONTH($E83),1))))</f>
        <v>0</v>
      </c>
      <c r="U83" s="1" t="str">
        <f>IF(OR($G83="",$H83="Mahsup"),"",$G83&amp;"|"&amp;COUNTIFS($G$7:$G83,$G83,$H$7:$H83,"&lt;&gt;Mahsup"))</f>
        <v>MERKEZ KASA|53</v>
      </c>
    </row>
    <row r="84" spans="1:21" ht="18" customHeight="1" x14ac:dyDescent="0.3">
      <c r="A84" s="2"/>
      <c r="B84" s="65" t="str">
        <f t="shared" si="5"/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M009</v>
      </c>
      <c r="D84" s="61" t="s">
        <v>652</v>
      </c>
      <c r="E84" s="66">
        <v>46053</v>
      </c>
      <c r="F84" s="67">
        <v>2000</v>
      </c>
      <c r="G84" s="60" t="s">
        <v>717</v>
      </c>
      <c r="H84" s="60" t="s">
        <v>572</v>
      </c>
      <c r="I84" s="61"/>
      <c r="J84" s="61" t="s">
        <v>720</v>
      </c>
      <c r="K84" s="61"/>
      <c r="L84" s="73">
        <f t="shared" si="6"/>
        <v>46023</v>
      </c>
      <c r="M84" s="65" t="str">
        <f t="shared" ca="1" si="7"/>
        <v>UYGUN</v>
      </c>
      <c r="N84" s="74" t="str">
        <f>IF($C84="","",IF($C84="TANIMSIZ MÜŞTERİ","—",INDEX(MUSTERILER!$C$7:$C$156,MATCH($C84,MUSTERILER!$B$7:$B$156,0))))</f>
        <v>PAKYILDIZ LTD.ŞTİ.</v>
      </c>
      <c r="O84" s="2"/>
      <c r="P84" s="2"/>
      <c r="Q84" s="1" t="str">
        <f>IF($D84="","",$C84&amp;"|"&amp;COUNTIFS($C$7:$C84,$C84))</f>
        <v>M009|4</v>
      </c>
      <c r="R84" s="1" t="str">
        <f t="shared" si="8"/>
        <v>PAKYILDIZLTDSTI</v>
      </c>
      <c r="S84" s="1" t="str">
        <f t="shared" si="9"/>
        <v>M009|46053|2000|</v>
      </c>
      <c r="T84" s="1">
        <f>IF($E84="",0,SUMPRODUCT((AY_SONU!$O$7:$O$42="Evet")*(AY_SONU!$B$7:$B$42=DATE(YEAR($E84),MONTH($E84),1))))</f>
        <v>0</v>
      </c>
      <c r="U84" s="1" t="str">
        <f>IF(OR($G84="",$H84="Mahsup"),"",$G84&amp;"|"&amp;COUNTIFS($G$7:$G84,$G84,$H$7:$H84,"&lt;&gt;Mahsup"))</f>
        <v>MERKEZ KASA|54</v>
      </c>
    </row>
    <row r="85" spans="1:21" ht="18" customHeight="1" x14ac:dyDescent="0.3">
      <c r="A85" s="2"/>
      <c r="B85" s="65" t="str">
        <f t="shared" si="5"/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M016</v>
      </c>
      <c r="D85" s="61" t="s">
        <v>658</v>
      </c>
      <c r="E85" s="66">
        <v>46053</v>
      </c>
      <c r="F85" s="67">
        <v>1800</v>
      </c>
      <c r="G85" s="60" t="s">
        <v>717</v>
      </c>
      <c r="H85" s="60" t="s">
        <v>572</v>
      </c>
      <c r="I85" s="61"/>
      <c r="J85" s="61" t="s">
        <v>720</v>
      </c>
      <c r="K85" s="61"/>
      <c r="L85" s="73">
        <f t="shared" si="6"/>
        <v>46023</v>
      </c>
      <c r="M85" s="65" t="str">
        <f t="shared" ca="1" si="7"/>
        <v>UYGUN</v>
      </c>
      <c r="N85" s="74" t="str">
        <f>IF($C85="","",IF($C85="TANIMSIZ MÜŞTERİ","—",INDEX(MUSTERILER!$C$7:$C$156,MATCH($C85,MUSTERILER!$B$7:$B$156,0))))</f>
        <v>RİX ŞOW LTD.ŞTİ.</v>
      </c>
      <c r="O85" s="2"/>
      <c r="P85" s="2"/>
      <c r="Q85" s="1" t="str">
        <f>IF($D85="","",$C85&amp;"|"&amp;COUNTIFS($C$7:$C85,$C85))</f>
        <v>M016|5</v>
      </c>
      <c r="R85" s="1" t="str">
        <f t="shared" si="8"/>
        <v>RIXSOWLTDSTI</v>
      </c>
      <c r="S85" s="1" t="str">
        <f t="shared" si="9"/>
        <v>M016|46053|1800|</v>
      </c>
      <c r="T85" s="1">
        <f>IF($E85="",0,SUMPRODUCT((AY_SONU!$O$7:$O$42="Evet")*(AY_SONU!$B$7:$B$42=DATE(YEAR($E85),MONTH($E85),1))))</f>
        <v>0</v>
      </c>
      <c r="U85" s="1" t="str">
        <f>IF(OR($G85="",$H85="Mahsup"),"",$G85&amp;"|"&amp;COUNTIFS($G$7:$G85,$G85,$H$7:$H85,"&lt;&gt;Mahsup"))</f>
        <v>MERKEZ KASA|55</v>
      </c>
    </row>
    <row r="86" spans="1:21" ht="18" customHeight="1" x14ac:dyDescent="0.3">
      <c r="A86" s="2"/>
      <c r="B86" s="65" t="str">
        <f t="shared" si="5"/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M004</v>
      </c>
      <c r="D86" s="61" t="s">
        <v>678</v>
      </c>
      <c r="E86" s="66">
        <v>46053</v>
      </c>
      <c r="F86" s="67">
        <v>3000</v>
      </c>
      <c r="G86" s="60" t="s">
        <v>717</v>
      </c>
      <c r="H86" s="60" t="s">
        <v>572</v>
      </c>
      <c r="I86" s="61"/>
      <c r="J86" s="61" t="s">
        <v>720</v>
      </c>
      <c r="K86" s="61"/>
      <c r="L86" s="73">
        <f t="shared" si="6"/>
        <v>46023</v>
      </c>
      <c r="M86" s="65" t="str">
        <f t="shared" ca="1" si="7"/>
        <v>UYGUN</v>
      </c>
      <c r="N86" s="74" t="str">
        <f>IF($C86="","",IF($C86="TANIMSIZ MÜŞTERİ","—",INDEX(MUSTERILER!$C$7:$C$156,MATCH($C86,MUSTERILER!$B$7:$B$156,0))))</f>
        <v>ZÜMRÜT EĞLENCE LTD.ŞTİ.</v>
      </c>
      <c r="O86" s="2"/>
      <c r="P86" s="2"/>
      <c r="Q86" s="1" t="str">
        <f>IF($D86="","",$C86&amp;"|"&amp;COUNTIFS($C$7:$C86,$C86))</f>
        <v>M004|4</v>
      </c>
      <c r="R86" s="1" t="str">
        <f t="shared" si="8"/>
        <v>ZUMRUTEGLENCELTDSTI</v>
      </c>
      <c r="S86" s="1" t="str">
        <f t="shared" si="9"/>
        <v>M004|46053|3000|</v>
      </c>
      <c r="T86" s="1">
        <f>IF($E86="",0,SUMPRODUCT((AY_SONU!$O$7:$O$42="Evet")*(AY_SONU!$B$7:$B$42=DATE(YEAR($E86),MONTH($E86),1))))</f>
        <v>0</v>
      </c>
      <c r="U86" s="1" t="str">
        <f>IF(OR($G86="",$H86="Mahsup"),"",$G86&amp;"|"&amp;COUNTIFS($G$7:$G86,$G86,$H$7:$H86,"&lt;&gt;Mahsup"))</f>
        <v>MERKEZ KASA|56</v>
      </c>
    </row>
    <row r="87" spans="1:21" ht="18" customHeight="1" x14ac:dyDescent="0.3">
      <c r="A87" s="2"/>
      <c r="B87" s="65" t="str">
        <f t="shared" si="5"/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M005</v>
      </c>
      <c r="D87" s="61" t="s">
        <v>680</v>
      </c>
      <c r="E87" s="66">
        <v>46053</v>
      </c>
      <c r="F87" s="67">
        <v>2000</v>
      </c>
      <c r="G87" s="60" t="s">
        <v>717</v>
      </c>
      <c r="H87" s="60" t="s">
        <v>572</v>
      </c>
      <c r="I87" s="61"/>
      <c r="J87" s="61" t="s">
        <v>720</v>
      </c>
      <c r="K87" s="61"/>
      <c r="L87" s="73">
        <f t="shared" si="6"/>
        <v>46023</v>
      </c>
      <c r="M87" s="65" t="str">
        <f t="shared" ca="1" si="7"/>
        <v>UYGUN</v>
      </c>
      <c r="N87" s="74" t="str">
        <f>IF($C87="","",IF($C87="TANIMSIZ MÜŞTERİ","—",INDEX(MUSTERILER!$C$7:$C$156,MATCH($C87,MUSTERILER!$B$7:$B$156,0))))</f>
        <v>ZÜMRÜT GRUP LTD.ŞTİ.</v>
      </c>
      <c r="O87" s="2"/>
      <c r="P87" s="2"/>
      <c r="Q87" s="1" t="str">
        <f>IF($D87="","",$C87&amp;"|"&amp;COUNTIFS($C$7:$C87,$C87))</f>
        <v>M005|6</v>
      </c>
      <c r="R87" s="1" t="str">
        <f t="shared" si="8"/>
        <v>ZUMRUTGRUPLTDSTI</v>
      </c>
      <c r="S87" s="1" t="str">
        <f t="shared" si="9"/>
        <v>M005|46053|2000|</v>
      </c>
      <c r="T87" s="1">
        <f>IF($E87="",0,SUMPRODUCT((AY_SONU!$O$7:$O$42="Evet")*(AY_SONU!$B$7:$B$42=DATE(YEAR($E87),MONTH($E87),1))))</f>
        <v>0</v>
      </c>
      <c r="U87" s="1" t="str">
        <f>IF(OR($G87="",$H87="Mahsup"),"",$G87&amp;"|"&amp;COUNTIFS($G$7:$G87,$G87,$H$7:$H87,"&lt;&gt;Mahsup"))</f>
        <v>MERKEZ KASA|57</v>
      </c>
    </row>
    <row r="88" spans="1:21" ht="18" customHeight="1" x14ac:dyDescent="0.3">
      <c r="A88" s="2"/>
      <c r="B88" s="65" t="str">
        <f t="shared" si="5"/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M020</v>
      </c>
      <c r="D88" s="61" t="s">
        <v>623</v>
      </c>
      <c r="E88" s="66">
        <v>46053</v>
      </c>
      <c r="F88" s="67">
        <v>3000</v>
      </c>
      <c r="G88" s="60" t="s">
        <v>717</v>
      </c>
      <c r="H88" s="60" t="s">
        <v>572</v>
      </c>
      <c r="I88" s="61"/>
      <c r="J88" s="61" t="s">
        <v>720</v>
      </c>
      <c r="K88" s="61"/>
      <c r="L88" s="73">
        <f t="shared" si="6"/>
        <v>46023</v>
      </c>
      <c r="M88" s="65" t="str">
        <f t="shared" ca="1" si="7"/>
        <v>UYGUN</v>
      </c>
      <c r="N88" s="74" t="str">
        <f>IF($C88="","",IF($C88="TANIMSIZ MÜŞTERİ","—",INDEX(MUSTERILER!$C$7:$C$156,MATCH($C88,MUSTERILER!$B$7:$B$156,0))))</f>
        <v>KRİSTAL LTD.ŞTİ.</v>
      </c>
      <c r="O88" s="2"/>
      <c r="P88" s="2"/>
      <c r="Q88" s="1" t="str">
        <f>IF($D88="","",$C88&amp;"|"&amp;COUNTIFS($C$7:$C88,$C88))</f>
        <v>M020|4</v>
      </c>
      <c r="R88" s="1" t="str">
        <f t="shared" si="8"/>
        <v>KRISTALLTDSTI</v>
      </c>
      <c r="S88" s="1" t="str">
        <f t="shared" si="9"/>
        <v>M020|46053|3000|</v>
      </c>
      <c r="T88" s="1">
        <f>IF($E88="",0,SUMPRODUCT((AY_SONU!$O$7:$O$42="Evet")*(AY_SONU!$B$7:$B$42=DATE(YEAR($E88),MONTH($E88),1))))</f>
        <v>0</v>
      </c>
      <c r="U88" s="1" t="str">
        <f>IF(OR($G88="",$H88="Mahsup"),"",$G88&amp;"|"&amp;COUNTIFS($G$7:$G88,$G88,$H$7:$H88,"&lt;&gt;Mahsup"))</f>
        <v>MERKEZ KASA|58</v>
      </c>
    </row>
    <row r="89" spans="1:21" ht="18" customHeight="1" x14ac:dyDescent="0.3">
      <c r="A89" s="2"/>
      <c r="B89" s="65" t="str">
        <f t="shared" si="5"/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M053</v>
      </c>
      <c r="D89" s="61" t="s">
        <v>676</v>
      </c>
      <c r="E89" s="66">
        <v>46054</v>
      </c>
      <c r="F89" s="67">
        <v>10000</v>
      </c>
      <c r="G89" s="60" t="s">
        <v>723</v>
      </c>
      <c r="H89" s="60" t="s">
        <v>572</v>
      </c>
      <c r="I89" s="61"/>
      <c r="J89" s="61" t="s">
        <v>720</v>
      </c>
      <c r="K89" s="61"/>
      <c r="L89" s="73">
        <f t="shared" si="6"/>
        <v>46054</v>
      </c>
      <c r="M89" s="65" t="str">
        <f t="shared" ca="1" si="7"/>
        <v>UYGUN</v>
      </c>
      <c r="N89" s="74" t="str">
        <f>IF($C89="","",IF($C89="TANIMSIZ MÜŞTERİ","—",INDEX(MUSTERILER!$C$7:$C$156,MATCH($C89,MUSTERILER!$B$7:$B$156,0))))</f>
        <v>YEDİYİRMİDÖRT LTD.ŞTİ.</v>
      </c>
      <c r="O89" s="2"/>
      <c r="P89" s="2"/>
      <c r="Q89" s="1" t="str">
        <f>IF($D89="","",$C89&amp;"|"&amp;COUNTIFS($C$7:$C89,$C89))</f>
        <v>M053|1</v>
      </c>
      <c r="R89" s="1" t="str">
        <f t="shared" si="8"/>
        <v>YEDIYIRMIDORTLTDSTI</v>
      </c>
      <c r="S89" s="1" t="str">
        <f t="shared" si="9"/>
        <v>M053|46054|10000|</v>
      </c>
      <c r="T89" s="1">
        <f>IF($E89="",0,SUMPRODUCT((AY_SONU!$O$7:$O$42="Evet")*(AY_SONU!$B$7:$B$42=DATE(YEAR($E89),MONTH($E89),1))))</f>
        <v>0</v>
      </c>
      <c r="U89" s="1" t="str">
        <f>IF(OR($G89="",$H89="Mahsup"),"",$G89&amp;"|"&amp;COUNTIFS($G$7:$G89,$G89,$H$7:$H89,"&lt;&gt;Mahsup"))</f>
        <v>ÖMER KARTAL|25</v>
      </c>
    </row>
    <row r="90" spans="1:21" ht="18" customHeight="1" x14ac:dyDescent="0.3">
      <c r="A90" s="2"/>
      <c r="B90" s="65" t="str">
        <f t="shared" si="5"/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M001</v>
      </c>
      <c r="D90" s="61" t="s">
        <v>729</v>
      </c>
      <c r="E90" s="66">
        <v>46060</v>
      </c>
      <c r="F90" s="67">
        <v>4000</v>
      </c>
      <c r="G90" s="60" t="s">
        <v>717</v>
      </c>
      <c r="H90" s="60" t="s">
        <v>572</v>
      </c>
      <c r="I90" s="61"/>
      <c r="J90" s="61" t="s">
        <v>720</v>
      </c>
      <c r="K90" s="61"/>
      <c r="L90" s="73">
        <f t="shared" si="6"/>
        <v>46054</v>
      </c>
      <c r="M90" s="65" t="str">
        <f t="shared" ca="1" si="7"/>
        <v>UYGUN</v>
      </c>
      <c r="N90" s="74" t="str">
        <f>IF($C90="","",IF($C90="TANIMSIZ MÜŞTERİ","—",INDEX(MUSTERILER!$C$7:$C$156,MATCH($C90,MUSTERILER!$B$7:$B$156,0))))</f>
        <v>ANKARA HAVANA LTD.ŞTİ.</v>
      </c>
      <c r="O90" s="2"/>
      <c r="P90" s="2"/>
      <c r="Q90" s="1" t="str">
        <f>IF($D90="","",$C90&amp;"|"&amp;COUNTIFS($C$7:$C90,$C90))</f>
        <v>M001|4</v>
      </c>
      <c r="R90" s="1" t="str">
        <f t="shared" si="8"/>
        <v>ANKARAHAVANALTDSTI</v>
      </c>
      <c r="S90" s="1" t="str">
        <f t="shared" si="9"/>
        <v>M001|46060|4000|</v>
      </c>
      <c r="T90" s="1">
        <f>IF($E90="",0,SUMPRODUCT((AY_SONU!$O$7:$O$42="Evet")*(AY_SONU!$B$7:$B$42=DATE(YEAR($E90),MONTH($E90),1))))</f>
        <v>0</v>
      </c>
      <c r="U90" s="1" t="str">
        <f>IF(OR($G90="",$H90="Mahsup"),"",$G90&amp;"|"&amp;COUNTIFS($G$7:$G90,$G90,$H$7:$H90,"&lt;&gt;Mahsup"))</f>
        <v>MERKEZ KASA|59</v>
      </c>
    </row>
    <row r="91" spans="1:21" ht="18" customHeight="1" x14ac:dyDescent="0.3">
      <c r="A91" s="2"/>
      <c r="B91" s="65" t="str">
        <f t="shared" si="5"/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M025</v>
      </c>
      <c r="D91" s="61" t="s">
        <v>583</v>
      </c>
      <c r="E91" s="66">
        <v>46060</v>
      </c>
      <c r="F91" s="67">
        <v>2000</v>
      </c>
      <c r="G91" s="60" t="s">
        <v>717</v>
      </c>
      <c r="H91" s="60" t="s">
        <v>572</v>
      </c>
      <c r="I91" s="61"/>
      <c r="J91" s="61" t="s">
        <v>720</v>
      </c>
      <c r="K91" s="61"/>
      <c r="L91" s="73">
        <f t="shared" si="6"/>
        <v>46054</v>
      </c>
      <c r="M91" s="65" t="str">
        <f t="shared" ca="1" si="7"/>
        <v>UYGUN</v>
      </c>
      <c r="N91" s="74" t="str">
        <f>IF($C91="","",IF($C91="TANIMSIZ MÜŞTERİ","—",INDEX(MUSTERILER!$C$7:$C$156,MATCH($C91,MUSTERILER!$B$7:$B$156,0))))</f>
        <v>ASIM AÇIKGÖZ</v>
      </c>
      <c r="O91" s="2"/>
      <c r="P91" s="2"/>
      <c r="Q91" s="1" t="str">
        <f>IF($D91="","",$C91&amp;"|"&amp;COUNTIFS($C$7:$C91,$C91))</f>
        <v>M025|5</v>
      </c>
      <c r="R91" s="1" t="str">
        <f t="shared" si="8"/>
        <v>ASIMACIKGOZ</v>
      </c>
      <c r="S91" s="1" t="str">
        <f t="shared" si="9"/>
        <v>M025|46060|2000|</v>
      </c>
      <c r="T91" s="1">
        <f>IF($E91="",0,SUMPRODUCT((AY_SONU!$O$7:$O$42="Evet")*(AY_SONU!$B$7:$B$42=DATE(YEAR($E91),MONTH($E91),1))))</f>
        <v>0</v>
      </c>
      <c r="U91" s="1" t="str">
        <f>IF(OR($G91="",$H91="Mahsup"),"",$G91&amp;"|"&amp;COUNTIFS($G$7:$G91,$G91,$H$7:$H91,"&lt;&gt;Mahsup"))</f>
        <v>MERKEZ KASA|60</v>
      </c>
    </row>
    <row r="92" spans="1:21" ht="18" customHeight="1" x14ac:dyDescent="0.3">
      <c r="A92" s="2"/>
      <c r="B92" s="65" t="str">
        <f t="shared" si="5"/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M017</v>
      </c>
      <c r="D92" s="61" t="s">
        <v>585</v>
      </c>
      <c r="E92" s="66">
        <v>46060</v>
      </c>
      <c r="F92" s="67">
        <v>2500</v>
      </c>
      <c r="G92" s="60" t="s">
        <v>717</v>
      </c>
      <c r="H92" s="60" t="s">
        <v>572</v>
      </c>
      <c r="I92" s="61"/>
      <c r="J92" s="61" t="s">
        <v>720</v>
      </c>
      <c r="K92" s="61"/>
      <c r="L92" s="73">
        <f t="shared" si="6"/>
        <v>46054</v>
      </c>
      <c r="M92" s="65" t="str">
        <f t="shared" ca="1" si="7"/>
        <v>UYGUN</v>
      </c>
      <c r="N92" s="74" t="str">
        <f>IF($C92="","",IF($C92="TANIMSIZ MÜŞTERİ","—",INDEX(MUSTERILER!$C$7:$C$156,MATCH($C92,MUSTERILER!$B$7:$B$156,0))))</f>
        <v>ASM EĞLENCE LTD.ŞTİ.</v>
      </c>
      <c r="O92" s="2"/>
      <c r="P92" s="2"/>
      <c r="Q92" s="1" t="str">
        <f>IF($D92="","",$C92&amp;"|"&amp;COUNTIFS($C$7:$C92,$C92))</f>
        <v>M017|5</v>
      </c>
      <c r="R92" s="1" t="str">
        <f t="shared" si="8"/>
        <v>ASMEGLENCELTDSTI</v>
      </c>
      <c r="S92" s="1" t="str">
        <f t="shared" si="9"/>
        <v>M017|46060|2500|</v>
      </c>
      <c r="T92" s="1">
        <f>IF($E92="",0,SUMPRODUCT((AY_SONU!$O$7:$O$42="Evet")*(AY_SONU!$B$7:$B$42=DATE(YEAR($E92),MONTH($E92),1))))</f>
        <v>0</v>
      </c>
      <c r="U92" s="1" t="str">
        <f>IF(OR($G92="",$H92="Mahsup"),"",$G92&amp;"|"&amp;COUNTIFS($G$7:$G92,$G92,$H$7:$H92,"&lt;&gt;Mahsup"))</f>
        <v>MERKEZ KASA|61</v>
      </c>
    </row>
    <row r="93" spans="1:21" ht="18" customHeight="1" x14ac:dyDescent="0.3">
      <c r="A93" s="2"/>
      <c r="B93" s="65" t="str">
        <f t="shared" si="5"/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M015</v>
      </c>
      <c r="D93" s="61" t="s">
        <v>719</v>
      </c>
      <c r="E93" s="66">
        <v>46060</v>
      </c>
      <c r="F93" s="67">
        <v>3000</v>
      </c>
      <c r="G93" s="60" t="s">
        <v>717</v>
      </c>
      <c r="H93" s="60" t="s">
        <v>572</v>
      </c>
      <c r="I93" s="61"/>
      <c r="J93" s="61" t="s">
        <v>720</v>
      </c>
      <c r="K93" s="61"/>
      <c r="L93" s="73">
        <f t="shared" si="6"/>
        <v>46054</v>
      </c>
      <c r="M93" s="65" t="str">
        <f t="shared" ca="1" si="7"/>
        <v>UYGUN</v>
      </c>
      <c r="N93" s="74" t="str">
        <f>IF($C93="","",IF($C93="TANIMSIZ MÜŞTERİ","—",INDEX(MUSTERILER!$C$7:$C$156,MATCH($C93,MUSTERILER!$B$7:$B$156,0))))</f>
        <v>ÇAYIRALAN LTD.ŞTİ.</v>
      </c>
      <c r="O93" s="2"/>
      <c r="P93" s="2"/>
      <c r="Q93" s="1" t="str">
        <f>IF($D93="","",$C93&amp;"|"&amp;COUNTIFS($C$7:$C93,$C93))</f>
        <v>M015|6</v>
      </c>
      <c r="R93" s="1" t="str">
        <f t="shared" si="8"/>
        <v>CAYIRALANLTDSTI</v>
      </c>
      <c r="S93" s="1" t="str">
        <f t="shared" si="9"/>
        <v>M015|46060|3000|</v>
      </c>
      <c r="T93" s="1">
        <f>IF($E93="",0,SUMPRODUCT((AY_SONU!$O$7:$O$42="Evet")*(AY_SONU!$B$7:$B$42=DATE(YEAR($E93),MONTH($E93),1))))</f>
        <v>0</v>
      </c>
      <c r="U93" s="1" t="str">
        <f>IF(OR($G93="",$H93="Mahsup"),"",$G93&amp;"|"&amp;COUNTIFS($G$7:$G93,$G93,$H$7:$H93,"&lt;&gt;Mahsup"))</f>
        <v>MERKEZ KASA|62</v>
      </c>
    </row>
    <row r="94" spans="1:21" ht="18" customHeight="1" x14ac:dyDescent="0.3">
      <c r="A94" s="2"/>
      <c r="B94" s="65" t="str">
        <f t="shared" si="5"/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M011</v>
      </c>
      <c r="D94" s="61" t="s">
        <v>730</v>
      </c>
      <c r="E94" s="66">
        <v>46060</v>
      </c>
      <c r="F94" s="67">
        <v>3000</v>
      </c>
      <c r="G94" s="60" t="s">
        <v>717</v>
      </c>
      <c r="H94" s="60" t="s">
        <v>572</v>
      </c>
      <c r="I94" s="61"/>
      <c r="J94" s="61" t="s">
        <v>720</v>
      </c>
      <c r="K94" s="61"/>
      <c r="L94" s="73">
        <f t="shared" si="6"/>
        <v>46054</v>
      </c>
      <c r="M94" s="65" t="str">
        <f t="shared" ca="1" si="7"/>
        <v>UYGUN</v>
      </c>
      <c r="N94" s="74" t="str">
        <f>IF($C94="","",IF($C94="TANIMSIZ MÜŞTERİ","—",INDEX(MUSTERILER!$C$7:$C$156,MATCH($C94,MUSTERILER!$B$7:$B$156,0))))</f>
        <v>EĞLENGÖR LTD.ŞTİ.</v>
      </c>
      <c r="O94" s="2"/>
      <c r="P94" s="2"/>
      <c r="Q94" s="1" t="str">
        <f>IF($D94="","",$C94&amp;"|"&amp;COUNTIFS($C$7:$C94,$C94))</f>
        <v>M011|5</v>
      </c>
      <c r="R94" s="1" t="str">
        <f t="shared" si="8"/>
        <v>EGLENGORLTDSTI</v>
      </c>
      <c r="S94" s="1" t="str">
        <f t="shared" si="9"/>
        <v>M011|46060|3000|</v>
      </c>
      <c r="T94" s="1">
        <f>IF($E94="",0,SUMPRODUCT((AY_SONU!$O$7:$O$42="Evet")*(AY_SONU!$B$7:$B$42=DATE(YEAR($E94),MONTH($E94),1))))</f>
        <v>0</v>
      </c>
      <c r="U94" s="1" t="str">
        <f>IF(OR($G94="",$H94="Mahsup"),"",$G94&amp;"|"&amp;COUNTIFS($G$7:$G94,$G94,$H$7:$H94,"&lt;&gt;Mahsup"))</f>
        <v>MERKEZ KASA|63</v>
      </c>
    </row>
    <row r="95" spans="1:21" ht="18" customHeight="1" x14ac:dyDescent="0.3">
      <c r="A95" s="2"/>
      <c r="B95" s="65" t="str">
        <f t="shared" si="5"/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M014</v>
      </c>
      <c r="D95" s="61" t="s">
        <v>731</v>
      </c>
      <c r="E95" s="66">
        <v>46060</v>
      </c>
      <c r="F95" s="67">
        <v>2000</v>
      </c>
      <c r="G95" s="60" t="s">
        <v>717</v>
      </c>
      <c r="H95" s="60" t="s">
        <v>572</v>
      </c>
      <c r="I95" s="61"/>
      <c r="J95" s="61" t="s">
        <v>720</v>
      </c>
      <c r="K95" s="61"/>
      <c r="L95" s="73">
        <f t="shared" si="6"/>
        <v>46054</v>
      </c>
      <c r="M95" s="65" t="str">
        <f t="shared" ca="1" si="7"/>
        <v>UYGUN</v>
      </c>
      <c r="N95" s="74" t="str">
        <f>IF($C95="","",IF($C95="TANIMSIZ MÜŞTERİ","—",INDEX(MUSTERILER!$C$7:$C$156,MATCH($C95,MUSTERILER!$B$7:$B$156,0))))</f>
        <v>FİNAL SİYAH BEYAZ LTD.ŞTİ.</v>
      </c>
      <c r="O95" s="2"/>
      <c r="P95" s="2"/>
      <c r="Q95" s="1" t="str">
        <f>IF($D95="","",$C95&amp;"|"&amp;COUNTIFS($C$7:$C95,$C95))</f>
        <v>M014|5</v>
      </c>
      <c r="R95" s="1" t="str">
        <f t="shared" si="8"/>
        <v>FINALSIYAHBEYAZLTDSTI</v>
      </c>
      <c r="S95" s="1" t="str">
        <f t="shared" si="9"/>
        <v>M014|46060|2000|</v>
      </c>
      <c r="T95" s="1">
        <f>IF($E95="",0,SUMPRODUCT((AY_SONU!$O$7:$O$42="Evet")*(AY_SONU!$B$7:$B$42=DATE(YEAR($E95),MONTH($E95),1))))</f>
        <v>0</v>
      </c>
      <c r="U95" s="1" t="str">
        <f>IF(OR($G95="",$H95="Mahsup"),"",$G95&amp;"|"&amp;COUNTIFS($G$7:$G95,$G95,$H$7:$H95,"&lt;&gt;Mahsup"))</f>
        <v>MERKEZ KASA|64</v>
      </c>
    </row>
    <row r="96" spans="1:21" ht="18" customHeight="1" x14ac:dyDescent="0.3">
      <c r="A96" s="2"/>
      <c r="B96" s="65" t="str">
        <f t="shared" si="5"/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M034</v>
      </c>
      <c r="D96" s="61" t="s">
        <v>732</v>
      </c>
      <c r="E96" s="66">
        <v>46060</v>
      </c>
      <c r="F96" s="67">
        <v>1500</v>
      </c>
      <c r="G96" s="60" t="s">
        <v>717</v>
      </c>
      <c r="H96" s="60" t="s">
        <v>572</v>
      </c>
      <c r="I96" s="61"/>
      <c r="J96" s="61" t="s">
        <v>720</v>
      </c>
      <c r="K96" s="61"/>
      <c r="L96" s="73">
        <f t="shared" si="6"/>
        <v>46054</v>
      </c>
      <c r="M96" s="65" t="str">
        <f t="shared" ca="1" si="7"/>
        <v>UYGUN</v>
      </c>
      <c r="N96" s="74" t="str">
        <f>IF($C96="","",IF($C96="TANIMSIZ MÜŞTERİ","—",INDEX(MUSTERILER!$C$7:$C$156,MATCH($C96,MUSTERILER!$B$7:$B$156,0))))</f>
        <v>İBRAHİM MALDAN</v>
      </c>
      <c r="O96" s="2"/>
      <c r="P96" s="2"/>
      <c r="Q96" s="1" t="str">
        <f>IF($D96="","",$C96&amp;"|"&amp;COUNTIFS($C$7:$C96,$C96))</f>
        <v>M034|5</v>
      </c>
      <c r="R96" s="1" t="str">
        <f t="shared" si="8"/>
        <v>IBRAHIMMALDAN</v>
      </c>
      <c r="S96" s="1" t="str">
        <f t="shared" si="9"/>
        <v>M034|46060|1500|</v>
      </c>
      <c r="T96" s="1">
        <f>IF($E96="",0,SUMPRODUCT((AY_SONU!$O$7:$O$42="Evet")*(AY_SONU!$B$7:$B$42=DATE(YEAR($E96),MONTH($E96),1))))</f>
        <v>0</v>
      </c>
      <c r="U96" s="1" t="str">
        <f>IF(OR($G96="",$H96="Mahsup"),"",$G96&amp;"|"&amp;COUNTIFS($G$7:$G96,$G96,$H$7:$H96,"&lt;&gt;Mahsup"))</f>
        <v>MERKEZ KASA|65</v>
      </c>
    </row>
    <row r="97" spans="1:21" ht="18" customHeight="1" x14ac:dyDescent="0.3">
      <c r="A97" s="2"/>
      <c r="B97" s="65" t="str">
        <f t="shared" si="5"/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M012</v>
      </c>
      <c r="D97" s="61" t="s">
        <v>721</v>
      </c>
      <c r="E97" s="66">
        <v>46060</v>
      </c>
      <c r="F97" s="67">
        <v>2000</v>
      </c>
      <c r="G97" s="60" t="s">
        <v>717</v>
      </c>
      <c r="H97" s="60" t="s">
        <v>572</v>
      </c>
      <c r="I97" s="61"/>
      <c r="J97" s="61" t="s">
        <v>720</v>
      </c>
      <c r="K97" s="61"/>
      <c r="L97" s="73">
        <f t="shared" si="6"/>
        <v>46054</v>
      </c>
      <c r="M97" s="65" t="str">
        <f t="shared" ca="1" si="7"/>
        <v>UYGUN</v>
      </c>
      <c r="N97" s="74" t="str">
        <f>IF($C97="","",IF($C97="TANIMSIZ MÜŞTERİ","—",INDEX(MUSTERILER!$C$7:$C$156,MATCH($C97,MUSTERILER!$B$7:$B$156,0))))</f>
        <v>İLDEŞ LTD.ŞTİ.</v>
      </c>
      <c r="O97" s="2"/>
      <c r="P97" s="2"/>
      <c r="Q97" s="1" t="str">
        <f>IF($D97="","",$C97&amp;"|"&amp;COUNTIFS($C$7:$C97,$C97))</f>
        <v>M012|5</v>
      </c>
      <c r="R97" s="1" t="str">
        <f t="shared" si="8"/>
        <v>ILDESLTDSTI</v>
      </c>
      <c r="S97" s="1" t="str">
        <f t="shared" si="9"/>
        <v>M012|46060|2000|</v>
      </c>
      <c r="T97" s="1">
        <f>IF($E97="",0,SUMPRODUCT((AY_SONU!$O$7:$O$42="Evet")*(AY_SONU!$B$7:$B$42=DATE(YEAR($E97),MONTH($E97),1))))</f>
        <v>0</v>
      </c>
      <c r="U97" s="1" t="str">
        <f>IF(OR($G97="",$H97="Mahsup"),"",$G97&amp;"|"&amp;COUNTIFS($G$7:$G97,$G97,$H$7:$H97,"&lt;&gt;Mahsup"))</f>
        <v>MERKEZ KASA|66</v>
      </c>
    </row>
    <row r="98" spans="1:21" ht="18" customHeight="1" x14ac:dyDescent="0.3">
      <c r="A98" s="2"/>
      <c r="B98" s="65" t="str">
        <f t="shared" si="5"/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M007</v>
      </c>
      <c r="D98" s="61" t="s">
        <v>733</v>
      </c>
      <c r="E98" s="66">
        <v>46060</v>
      </c>
      <c r="F98" s="67">
        <v>3500</v>
      </c>
      <c r="G98" s="60" t="s">
        <v>717</v>
      </c>
      <c r="H98" s="60" t="s">
        <v>572</v>
      </c>
      <c r="I98" s="61"/>
      <c r="J98" s="61" t="s">
        <v>720</v>
      </c>
      <c r="K98" s="61"/>
      <c r="L98" s="73">
        <f t="shared" si="6"/>
        <v>46054</v>
      </c>
      <c r="M98" s="65" t="str">
        <f t="shared" ca="1" si="7"/>
        <v>UYGUN</v>
      </c>
      <c r="N98" s="74" t="str">
        <f>IF($C98="","",IF($C98="TANIMSIZ MÜŞTERİ","—",INDEX(MUSTERILER!$C$7:$C$156,MATCH($C98,MUSTERILER!$B$7:$B$156,0))))</f>
        <v>MONAMOUR LTD.ŞTİ.</v>
      </c>
      <c r="O98" s="2"/>
      <c r="P98" s="2"/>
      <c r="Q98" s="1" t="str">
        <f>IF($D98="","",$C98&amp;"|"&amp;COUNTIFS($C$7:$C98,$C98))</f>
        <v>M007|5</v>
      </c>
      <c r="R98" s="1" t="str">
        <f t="shared" si="8"/>
        <v>MONAMOURLTDSTI</v>
      </c>
      <c r="S98" s="1" t="str">
        <f t="shared" si="9"/>
        <v>M007|46060|3500|</v>
      </c>
      <c r="T98" s="1">
        <f>IF($E98="",0,SUMPRODUCT((AY_SONU!$O$7:$O$42="Evet")*(AY_SONU!$B$7:$B$42=DATE(YEAR($E98),MONTH($E98),1))))</f>
        <v>0</v>
      </c>
      <c r="U98" s="1" t="str">
        <f>IF(OR($G98="",$H98="Mahsup"),"",$G98&amp;"|"&amp;COUNTIFS($G$7:$G98,$G98,$H$7:$H98,"&lt;&gt;Mahsup"))</f>
        <v>MERKEZ KASA|67</v>
      </c>
    </row>
    <row r="99" spans="1:21" ht="18" customHeight="1" x14ac:dyDescent="0.3">
      <c r="A99" s="2"/>
      <c r="B99" s="65" t="str">
        <f t="shared" si="5"/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M018</v>
      </c>
      <c r="D99" s="61" t="s">
        <v>593</v>
      </c>
      <c r="E99" s="66">
        <v>46060</v>
      </c>
      <c r="F99" s="67">
        <v>2500</v>
      </c>
      <c r="G99" s="60" t="s">
        <v>723</v>
      </c>
      <c r="H99" s="60" t="s">
        <v>572</v>
      </c>
      <c r="I99" s="61"/>
      <c r="J99" s="61" t="s">
        <v>720</v>
      </c>
      <c r="K99" s="61"/>
      <c r="L99" s="73">
        <f t="shared" si="6"/>
        <v>46054</v>
      </c>
      <c r="M99" s="65" t="str">
        <f t="shared" ca="1" si="7"/>
        <v>UYGUN</v>
      </c>
      <c r="N99" s="74" t="str">
        <f>IF($C99="","",IF($C99="TANIMSIZ MÜŞTERİ","—",INDEX(MUSTERILER!$C$7:$C$156,MATCH($C99,MUSTERILER!$B$7:$B$156,0))))</f>
        <v>ÇINARHAN LTD.ŞTİ.</v>
      </c>
      <c r="O99" s="2"/>
      <c r="P99" s="2"/>
      <c r="Q99" s="1" t="str">
        <f>IF($D99="","",$C99&amp;"|"&amp;COUNTIFS($C$7:$C99,$C99))</f>
        <v>M018|5</v>
      </c>
      <c r="R99" s="1" t="str">
        <f t="shared" si="8"/>
        <v>CINARHANLTDSTI</v>
      </c>
      <c r="S99" s="1" t="str">
        <f t="shared" si="9"/>
        <v>M018|46060|2500|</v>
      </c>
      <c r="T99" s="1">
        <f>IF($E99="",0,SUMPRODUCT((AY_SONU!$O$7:$O$42="Evet")*(AY_SONU!$B$7:$B$42=DATE(YEAR($E99),MONTH($E99),1))))</f>
        <v>0</v>
      </c>
      <c r="U99" s="1" t="str">
        <f>IF(OR($G99="",$H99="Mahsup"),"",$G99&amp;"|"&amp;COUNTIFS($G$7:$G99,$G99,$H$7:$H99,"&lt;&gt;Mahsup"))</f>
        <v>ÖMER KARTAL|26</v>
      </c>
    </row>
    <row r="100" spans="1:21" ht="18" customHeight="1" x14ac:dyDescent="0.3">
      <c r="A100" s="2"/>
      <c r="B100" s="65" t="str">
        <f t="shared" si="5"/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M013</v>
      </c>
      <c r="D100" s="61" t="s">
        <v>734</v>
      </c>
      <c r="E100" s="66">
        <v>46060</v>
      </c>
      <c r="F100" s="67">
        <v>2000</v>
      </c>
      <c r="G100" s="60" t="s">
        <v>717</v>
      </c>
      <c r="H100" s="60" t="s">
        <v>572</v>
      </c>
      <c r="I100" s="61"/>
      <c r="J100" s="61" t="s">
        <v>720</v>
      </c>
      <c r="K100" s="61"/>
      <c r="L100" s="73">
        <f t="shared" si="6"/>
        <v>46054</v>
      </c>
      <c r="M100" s="65" t="str">
        <f t="shared" ca="1" si="7"/>
        <v>UYGUN</v>
      </c>
      <c r="N100" s="74" t="str">
        <f>IF($C100="","",IF($C100="TANIMSIZ MÜŞTERİ","—",INDEX(MUSTERILER!$C$7:$C$156,MATCH($C100,MUSTERILER!$B$7:$B$156,0))))</f>
        <v>NAZ 1 GIDA LTD.ŞTİ.</v>
      </c>
      <c r="O100" s="2"/>
      <c r="P100" s="2"/>
      <c r="Q100" s="1" t="str">
        <f>IF($D100="","",$C100&amp;"|"&amp;COUNTIFS($C$7:$C100,$C100))</f>
        <v>M013|5</v>
      </c>
      <c r="R100" s="1" t="str">
        <f t="shared" si="8"/>
        <v>NAZ1GIDALTDSTI</v>
      </c>
      <c r="S100" s="1" t="str">
        <f t="shared" si="9"/>
        <v>M013|46060|2000|</v>
      </c>
      <c r="T100" s="1">
        <f>IF($E100="",0,SUMPRODUCT((AY_SONU!$O$7:$O$42="Evet")*(AY_SONU!$B$7:$B$42=DATE(YEAR($E100),MONTH($E100),1))))</f>
        <v>0</v>
      </c>
      <c r="U100" s="1" t="str">
        <f>IF(OR($G100="",$H100="Mahsup"),"",$G100&amp;"|"&amp;COUNTIFS($G$7:$G100,$G100,$H$7:$H100,"&lt;&gt;Mahsup"))</f>
        <v>MERKEZ KASA|68</v>
      </c>
    </row>
    <row r="101" spans="1:21" ht="18" customHeight="1" x14ac:dyDescent="0.3">
      <c r="A101" s="2"/>
      <c r="B101" s="65" t="str">
        <f t="shared" si="5"/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M009</v>
      </c>
      <c r="D101" s="61" t="s">
        <v>735</v>
      </c>
      <c r="E101" s="66">
        <v>46060</v>
      </c>
      <c r="F101" s="67">
        <v>2000</v>
      </c>
      <c r="G101" s="60" t="s">
        <v>717</v>
      </c>
      <c r="H101" s="60" t="s">
        <v>572</v>
      </c>
      <c r="I101" s="61"/>
      <c r="J101" s="61" t="s">
        <v>720</v>
      </c>
      <c r="K101" s="61"/>
      <c r="L101" s="73">
        <f t="shared" si="6"/>
        <v>46054</v>
      </c>
      <c r="M101" s="65" t="str">
        <f t="shared" ca="1" si="7"/>
        <v>UYGUN</v>
      </c>
      <c r="N101" s="74" t="str">
        <f>IF($C101="","",IF($C101="TANIMSIZ MÜŞTERİ","—",INDEX(MUSTERILER!$C$7:$C$156,MATCH($C101,MUSTERILER!$B$7:$B$156,0))))</f>
        <v>PAKYILDIZ LTD.ŞTİ.</v>
      </c>
      <c r="O101" s="2"/>
      <c r="P101" s="2"/>
      <c r="Q101" s="1" t="str">
        <f>IF($D101="","",$C101&amp;"|"&amp;COUNTIFS($C$7:$C101,$C101))</f>
        <v>M009|5</v>
      </c>
      <c r="R101" s="1" t="str">
        <f t="shared" si="8"/>
        <v>PAKYILDIZLTDSTI</v>
      </c>
      <c r="S101" s="1" t="str">
        <f t="shared" si="9"/>
        <v>M009|46060|2000|</v>
      </c>
      <c r="T101" s="1">
        <f>IF($E101="",0,SUMPRODUCT((AY_SONU!$O$7:$O$42="Evet")*(AY_SONU!$B$7:$B$42=DATE(YEAR($E101),MONTH($E101),1))))</f>
        <v>0</v>
      </c>
      <c r="U101" s="1" t="str">
        <f>IF(OR($G101="",$H101="Mahsup"),"",$G101&amp;"|"&amp;COUNTIFS($G$7:$G101,$G101,$H$7:$H101,"&lt;&gt;Mahsup"))</f>
        <v>MERKEZ KASA|69</v>
      </c>
    </row>
    <row r="102" spans="1:21" ht="18" customHeight="1" x14ac:dyDescent="0.3">
      <c r="A102" s="2"/>
      <c r="B102" s="65" t="str">
        <f t="shared" si="5"/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M016</v>
      </c>
      <c r="D102" s="61" t="s">
        <v>736</v>
      </c>
      <c r="E102" s="66">
        <v>46060</v>
      </c>
      <c r="F102" s="67">
        <v>2000</v>
      </c>
      <c r="G102" s="60" t="s">
        <v>717</v>
      </c>
      <c r="H102" s="60" t="s">
        <v>572</v>
      </c>
      <c r="I102" s="61"/>
      <c r="J102" s="61" t="s">
        <v>720</v>
      </c>
      <c r="K102" s="61"/>
      <c r="L102" s="73">
        <f t="shared" si="6"/>
        <v>46054</v>
      </c>
      <c r="M102" s="65" t="str">
        <f t="shared" ca="1" si="7"/>
        <v>UYGUN</v>
      </c>
      <c r="N102" s="74" t="str">
        <f>IF($C102="","",IF($C102="TANIMSIZ MÜŞTERİ","—",INDEX(MUSTERILER!$C$7:$C$156,MATCH($C102,MUSTERILER!$B$7:$B$156,0))))</f>
        <v>RİX ŞOW LTD.ŞTİ.</v>
      </c>
      <c r="O102" s="2"/>
      <c r="P102" s="2"/>
      <c r="Q102" s="1" t="str">
        <f>IF($D102="","",$C102&amp;"|"&amp;COUNTIFS($C$7:$C102,$C102))</f>
        <v>M016|6</v>
      </c>
      <c r="R102" s="1" t="str">
        <f t="shared" si="8"/>
        <v>RIXSOWLTDSTI</v>
      </c>
      <c r="S102" s="1" t="str">
        <f t="shared" si="9"/>
        <v>M016|46060|2000|</v>
      </c>
      <c r="T102" s="1">
        <f>IF($E102="",0,SUMPRODUCT((AY_SONU!$O$7:$O$42="Evet")*(AY_SONU!$B$7:$B$42=DATE(YEAR($E102),MONTH($E102),1))))</f>
        <v>0</v>
      </c>
      <c r="U102" s="1" t="str">
        <f>IF(OR($G102="",$H102="Mahsup"),"",$G102&amp;"|"&amp;COUNTIFS($G$7:$G102,$G102,$H$7:$H102,"&lt;&gt;Mahsup"))</f>
        <v>MERKEZ KASA|70</v>
      </c>
    </row>
    <row r="103" spans="1:21" ht="18" customHeight="1" x14ac:dyDescent="0.3">
      <c r="A103" s="2"/>
      <c r="B103" s="65" t="str">
        <f t="shared" si="5"/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M005</v>
      </c>
      <c r="D103" s="61" t="s">
        <v>722</v>
      </c>
      <c r="E103" s="66">
        <v>46060</v>
      </c>
      <c r="F103" s="67">
        <v>1750</v>
      </c>
      <c r="G103" s="60" t="s">
        <v>717</v>
      </c>
      <c r="H103" s="60" t="s">
        <v>572</v>
      </c>
      <c r="I103" s="61"/>
      <c r="J103" s="61" t="s">
        <v>720</v>
      </c>
      <c r="K103" s="61"/>
      <c r="L103" s="73">
        <f t="shared" si="6"/>
        <v>46054</v>
      </c>
      <c r="M103" s="65" t="str">
        <f t="shared" ca="1" si="7"/>
        <v>UYGUN</v>
      </c>
      <c r="N103" s="74" t="str">
        <f>IF($C103="","",IF($C103="TANIMSIZ MÜŞTERİ","—",INDEX(MUSTERILER!$C$7:$C$156,MATCH($C103,MUSTERILER!$B$7:$B$156,0))))</f>
        <v>ZÜMRÜT GRUP LTD.ŞTİ.</v>
      </c>
      <c r="O103" s="2"/>
      <c r="P103" s="2"/>
      <c r="Q103" s="1" t="str">
        <f>IF($D103="","",$C103&amp;"|"&amp;COUNTIFS($C$7:$C103,$C103))</f>
        <v>M005|7</v>
      </c>
      <c r="R103" s="1" t="str">
        <f t="shared" si="8"/>
        <v>ZUMRUTGRUPLTDSTI</v>
      </c>
      <c r="S103" s="1" t="str">
        <f t="shared" si="9"/>
        <v>M005|46060|1750|</v>
      </c>
      <c r="T103" s="1">
        <f>IF($E103="",0,SUMPRODUCT((AY_SONU!$O$7:$O$42="Evet")*(AY_SONU!$B$7:$B$42=DATE(YEAR($E103),MONTH($E103),1))))</f>
        <v>0</v>
      </c>
      <c r="U103" s="1" t="str">
        <f>IF(OR($G103="",$H103="Mahsup"),"",$G103&amp;"|"&amp;COUNTIFS($G$7:$G103,$G103,$H$7:$H103,"&lt;&gt;Mahsup"))</f>
        <v>MERKEZ KASA|71</v>
      </c>
    </row>
    <row r="104" spans="1:21" ht="18" customHeight="1" x14ac:dyDescent="0.3">
      <c r="A104" s="2"/>
      <c r="B104" s="65" t="str">
        <f t="shared" si="5"/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M020</v>
      </c>
      <c r="D104" s="61" t="s">
        <v>623</v>
      </c>
      <c r="E104" s="66">
        <v>46060</v>
      </c>
      <c r="F104" s="67">
        <v>3000</v>
      </c>
      <c r="G104" s="60" t="s">
        <v>717</v>
      </c>
      <c r="H104" s="60" t="s">
        <v>572</v>
      </c>
      <c r="I104" s="61"/>
      <c r="J104" s="61" t="s">
        <v>720</v>
      </c>
      <c r="K104" s="61"/>
      <c r="L104" s="73">
        <f t="shared" si="6"/>
        <v>46054</v>
      </c>
      <c r="M104" s="65" t="str">
        <f t="shared" ca="1" si="7"/>
        <v>UYGUN</v>
      </c>
      <c r="N104" s="74" t="str">
        <f>IF($C104="","",IF($C104="TANIMSIZ MÜŞTERİ","—",INDEX(MUSTERILER!$C$7:$C$156,MATCH($C104,MUSTERILER!$B$7:$B$156,0))))</f>
        <v>KRİSTAL LTD.ŞTİ.</v>
      </c>
      <c r="O104" s="2"/>
      <c r="P104" s="2"/>
      <c r="Q104" s="1" t="str">
        <f>IF($D104="","",$C104&amp;"|"&amp;COUNTIFS($C$7:$C104,$C104))</f>
        <v>M020|5</v>
      </c>
      <c r="R104" s="1" t="str">
        <f t="shared" si="8"/>
        <v>KRISTALLTDSTI</v>
      </c>
      <c r="S104" s="1" t="str">
        <f t="shared" si="9"/>
        <v>M020|46060|3000|</v>
      </c>
      <c r="T104" s="1">
        <f>IF($E104="",0,SUMPRODUCT((AY_SONU!$O$7:$O$42="Evet")*(AY_SONU!$B$7:$B$42=DATE(YEAR($E104),MONTH($E104),1))))</f>
        <v>0</v>
      </c>
      <c r="U104" s="1" t="str">
        <f>IF(OR($G104="",$H104="Mahsup"),"",$G104&amp;"|"&amp;COUNTIFS($G$7:$G104,$G104,$H$7:$H104,"&lt;&gt;Mahsup"))</f>
        <v>MERKEZ KASA|72</v>
      </c>
    </row>
    <row r="105" spans="1:21" ht="18" customHeight="1" x14ac:dyDescent="0.3">
      <c r="A105" s="2"/>
      <c r="B105" s="65" t="str">
        <f t="shared" si="5"/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M007</v>
      </c>
      <c r="D105" s="61" t="s">
        <v>733</v>
      </c>
      <c r="E105" s="66">
        <v>46063</v>
      </c>
      <c r="F105" s="67">
        <v>3500</v>
      </c>
      <c r="G105" s="60" t="s">
        <v>723</v>
      </c>
      <c r="H105" s="60" t="s">
        <v>572</v>
      </c>
      <c r="I105" s="61"/>
      <c r="J105" s="61" t="s">
        <v>724</v>
      </c>
      <c r="K105" s="61"/>
      <c r="L105" s="73">
        <f t="shared" si="6"/>
        <v>46054</v>
      </c>
      <c r="M105" s="65" t="str">
        <f t="shared" ca="1" si="7"/>
        <v>UYGUN</v>
      </c>
      <c r="N105" s="74" t="str">
        <f>IF($C105="","",IF($C105="TANIMSIZ MÜŞTERİ","—",INDEX(MUSTERILER!$C$7:$C$156,MATCH($C105,MUSTERILER!$B$7:$B$156,0))))</f>
        <v>MONAMOUR LTD.ŞTİ.</v>
      </c>
      <c r="O105" s="2"/>
      <c r="P105" s="2"/>
      <c r="Q105" s="1" t="str">
        <f>IF($D105="","",$C105&amp;"|"&amp;COUNTIFS($C$7:$C105,$C105))</f>
        <v>M007|6</v>
      </c>
      <c r="R105" s="1" t="str">
        <f t="shared" si="8"/>
        <v>MONAMOURLTDSTI</v>
      </c>
      <c r="S105" s="1" t="str">
        <f t="shared" si="9"/>
        <v>M007|46063|3500|</v>
      </c>
      <c r="T105" s="1">
        <f>IF($E105="",0,SUMPRODUCT((AY_SONU!$O$7:$O$42="Evet")*(AY_SONU!$B$7:$B$42=DATE(YEAR($E105),MONTH($E105),1))))</f>
        <v>0</v>
      </c>
      <c r="U105" s="1" t="str">
        <f>IF(OR($G105="",$H105="Mahsup"),"",$G105&amp;"|"&amp;COUNTIFS($G$7:$G105,$G105,$H$7:$H105,"&lt;&gt;Mahsup"))</f>
        <v>ÖMER KARTAL|27</v>
      </c>
    </row>
    <row r="106" spans="1:21" ht="18" customHeight="1" x14ac:dyDescent="0.3">
      <c r="A106" s="2"/>
      <c r="B106" s="65" t="str">
        <f t="shared" si="5"/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M040</v>
      </c>
      <c r="D106" s="61" t="s">
        <v>631</v>
      </c>
      <c r="E106" s="66">
        <v>46063</v>
      </c>
      <c r="F106" s="67">
        <v>1500</v>
      </c>
      <c r="G106" s="60" t="s">
        <v>717</v>
      </c>
      <c r="H106" s="60" t="s">
        <v>572</v>
      </c>
      <c r="I106" s="61"/>
      <c r="J106" s="61" t="s">
        <v>720</v>
      </c>
      <c r="K106" s="61"/>
      <c r="L106" s="73">
        <f t="shared" si="6"/>
        <v>46054</v>
      </c>
      <c r="M106" s="65" t="str">
        <f t="shared" ca="1" si="7"/>
        <v>UYGUN</v>
      </c>
      <c r="N106" s="74" t="str">
        <f>IF($C106="","",IF($C106="TANIMSIZ MÜŞTERİ","—",INDEX(MUSTERILER!$C$7:$C$156,MATCH($C106,MUSTERILER!$B$7:$B$156,0))))</f>
        <v>MENEKŞE AKAN</v>
      </c>
      <c r="O106" s="2"/>
      <c r="P106" s="2"/>
      <c r="Q106" s="1" t="str">
        <f>IF($D106="","",$C106&amp;"|"&amp;COUNTIFS($C$7:$C106,$C106))</f>
        <v>M040|1</v>
      </c>
      <c r="R106" s="1" t="str">
        <f t="shared" si="8"/>
        <v>MENEKSEAKAN</v>
      </c>
      <c r="S106" s="1" t="str">
        <f t="shared" si="9"/>
        <v>M040|46063|1500|</v>
      </c>
      <c r="T106" s="1">
        <f>IF($E106="",0,SUMPRODUCT((AY_SONU!$O$7:$O$42="Evet")*(AY_SONU!$B$7:$B$42=DATE(YEAR($E106),MONTH($E106),1))))</f>
        <v>0</v>
      </c>
      <c r="U106" s="1" t="str">
        <f>IF(OR($G106="",$H106="Mahsup"),"",$G106&amp;"|"&amp;COUNTIFS($G$7:$G106,$G106,$H$7:$H106,"&lt;&gt;Mahsup"))</f>
        <v>MERKEZ KASA|73</v>
      </c>
    </row>
    <row r="107" spans="1:21" ht="18" customHeight="1" x14ac:dyDescent="0.3">
      <c r="A107" s="2"/>
      <c r="B107" s="65" t="str">
        <f t="shared" si="5"/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M051</v>
      </c>
      <c r="D107" s="61" t="s">
        <v>668</v>
      </c>
      <c r="E107" s="66">
        <v>46066</v>
      </c>
      <c r="F107" s="67">
        <v>3000</v>
      </c>
      <c r="G107" s="60" t="s">
        <v>723</v>
      </c>
      <c r="H107" s="60" t="s">
        <v>572</v>
      </c>
      <c r="I107" s="61"/>
      <c r="J107" s="61" t="s">
        <v>720</v>
      </c>
      <c r="K107" s="61"/>
      <c r="L107" s="73">
        <f t="shared" si="6"/>
        <v>46054</v>
      </c>
      <c r="M107" s="65" t="str">
        <f t="shared" ca="1" si="7"/>
        <v>UYGUN</v>
      </c>
      <c r="N107" s="74" t="str">
        <f>IF($C107="","",IF($C107="TANIMSIZ MÜŞTERİ","—",INDEX(MUSTERILER!$C$7:$C$156,MATCH($C107,MUSTERILER!$B$7:$B$156,0))))</f>
        <v>UFUK YILMAZ</v>
      </c>
      <c r="O107" s="2"/>
      <c r="P107" s="2"/>
      <c r="Q107" s="1" t="str">
        <f>IF($D107="","",$C107&amp;"|"&amp;COUNTIFS($C$7:$C107,$C107))</f>
        <v>M051|2</v>
      </c>
      <c r="R107" s="1" t="str">
        <f t="shared" si="8"/>
        <v>UFUKYILMAZ</v>
      </c>
      <c r="S107" s="1" t="str">
        <f t="shared" si="9"/>
        <v>M051|46066|3000|</v>
      </c>
      <c r="T107" s="1">
        <f>IF($E107="",0,SUMPRODUCT((AY_SONU!$O$7:$O$42="Evet")*(AY_SONU!$B$7:$B$42=DATE(YEAR($E107),MONTH($E107),1))))</f>
        <v>0</v>
      </c>
      <c r="U107" s="1" t="str">
        <f>IF(OR($G107="",$H107="Mahsup"),"",$G107&amp;"|"&amp;COUNTIFS($G$7:$G107,$G107,$H$7:$H107,"&lt;&gt;Mahsup"))</f>
        <v>ÖMER KARTAL|28</v>
      </c>
    </row>
    <row r="108" spans="1:21" ht="18" customHeight="1" x14ac:dyDescent="0.3">
      <c r="A108" s="2"/>
      <c r="B108" s="65" t="str">
        <f t="shared" si="5"/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M001</v>
      </c>
      <c r="D108" s="61" t="s">
        <v>729</v>
      </c>
      <c r="E108" s="66">
        <v>46067</v>
      </c>
      <c r="F108" s="67">
        <v>4000</v>
      </c>
      <c r="G108" s="60" t="s">
        <v>717</v>
      </c>
      <c r="H108" s="60" t="s">
        <v>572</v>
      </c>
      <c r="I108" s="61"/>
      <c r="J108" s="61" t="s">
        <v>720</v>
      </c>
      <c r="K108" s="61"/>
      <c r="L108" s="73">
        <f t="shared" si="6"/>
        <v>46054</v>
      </c>
      <c r="M108" s="65" t="str">
        <f t="shared" ca="1" si="7"/>
        <v>UYGUN</v>
      </c>
      <c r="N108" s="74" t="str">
        <f>IF($C108="","",IF($C108="TANIMSIZ MÜŞTERİ","—",INDEX(MUSTERILER!$C$7:$C$156,MATCH($C108,MUSTERILER!$B$7:$B$156,0))))</f>
        <v>ANKARA HAVANA LTD.ŞTİ.</v>
      </c>
      <c r="O108" s="2"/>
      <c r="P108" s="2"/>
      <c r="Q108" s="1" t="str">
        <f>IF($D108="","",$C108&amp;"|"&amp;COUNTIFS($C$7:$C108,$C108))</f>
        <v>M001|5</v>
      </c>
      <c r="R108" s="1" t="str">
        <f t="shared" si="8"/>
        <v>ANKARAHAVANALTDSTI</v>
      </c>
      <c r="S108" s="1" t="str">
        <f t="shared" si="9"/>
        <v>M001|46067|4000|</v>
      </c>
      <c r="T108" s="1">
        <f>IF($E108="",0,SUMPRODUCT((AY_SONU!$O$7:$O$42="Evet")*(AY_SONU!$B$7:$B$42=DATE(YEAR($E108),MONTH($E108),1))))</f>
        <v>0</v>
      </c>
      <c r="U108" s="1" t="str">
        <f>IF(OR($G108="",$H108="Mahsup"),"",$G108&amp;"|"&amp;COUNTIFS($G$7:$G108,$G108,$H$7:$H108,"&lt;&gt;Mahsup"))</f>
        <v>MERKEZ KASA|74</v>
      </c>
    </row>
    <row r="109" spans="1:21" ht="18" customHeight="1" x14ac:dyDescent="0.3">
      <c r="A109" s="2"/>
      <c r="B109" s="65" t="str">
        <f t="shared" si="5"/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M025</v>
      </c>
      <c r="D109" s="61" t="s">
        <v>583</v>
      </c>
      <c r="E109" s="66">
        <v>46067</v>
      </c>
      <c r="F109" s="67">
        <v>2000</v>
      </c>
      <c r="G109" s="60" t="s">
        <v>717</v>
      </c>
      <c r="H109" s="60" t="s">
        <v>572</v>
      </c>
      <c r="I109" s="61"/>
      <c r="J109" s="61" t="s">
        <v>720</v>
      </c>
      <c r="K109" s="61"/>
      <c r="L109" s="73">
        <f t="shared" si="6"/>
        <v>46054</v>
      </c>
      <c r="M109" s="65" t="str">
        <f t="shared" ca="1" si="7"/>
        <v>UYGUN</v>
      </c>
      <c r="N109" s="74" t="str">
        <f>IF($C109="","",IF($C109="TANIMSIZ MÜŞTERİ","—",INDEX(MUSTERILER!$C$7:$C$156,MATCH($C109,MUSTERILER!$B$7:$B$156,0))))</f>
        <v>ASIM AÇIKGÖZ</v>
      </c>
      <c r="O109" s="2"/>
      <c r="P109" s="2"/>
      <c r="Q109" s="1" t="str">
        <f>IF($D109="","",$C109&amp;"|"&amp;COUNTIFS($C$7:$C109,$C109))</f>
        <v>M025|6</v>
      </c>
      <c r="R109" s="1" t="str">
        <f t="shared" si="8"/>
        <v>ASIMACIKGOZ</v>
      </c>
      <c r="S109" s="1" t="str">
        <f t="shared" si="9"/>
        <v>M025|46067|2000|</v>
      </c>
      <c r="T109" s="1">
        <f>IF($E109="",0,SUMPRODUCT((AY_SONU!$O$7:$O$42="Evet")*(AY_SONU!$B$7:$B$42=DATE(YEAR($E109),MONTH($E109),1))))</f>
        <v>0</v>
      </c>
      <c r="U109" s="1" t="str">
        <f>IF(OR($G109="",$H109="Mahsup"),"",$G109&amp;"|"&amp;COUNTIFS($G$7:$G109,$G109,$H$7:$H109,"&lt;&gt;Mahsup"))</f>
        <v>MERKEZ KASA|75</v>
      </c>
    </row>
    <row r="110" spans="1:21" ht="18" customHeight="1" x14ac:dyDescent="0.3">
      <c r="A110" s="2"/>
      <c r="B110" s="65" t="str">
        <f t="shared" si="5"/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M017</v>
      </c>
      <c r="D110" s="61" t="s">
        <v>585</v>
      </c>
      <c r="E110" s="66">
        <v>46067</v>
      </c>
      <c r="F110" s="67">
        <v>2500</v>
      </c>
      <c r="G110" s="60" t="s">
        <v>717</v>
      </c>
      <c r="H110" s="60" t="s">
        <v>572</v>
      </c>
      <c r="I110" s="61"/>
      <c r="J110" s="61" t="s">
        <v>720</v>
      </c>
      <c r="K110" s="61"/>
      <c r="L110" s="73">
        <f t="shared" si="6"/>
        <v>46054</v>
      </c>
      <c r="M110" s="65" t="str">
        <f t="shared" ca="1" si="7"/>
        <v>UYGUN</v>
      </c>
      <c r="N110" s="74" t="str">
        <f>IF($C110="","",IF($C110="TANIMSIZ MÜŞTERİ","—",INDEX(MUSTERILER!$C$7:$C$156,MATCH($C110,MUSTERILER!$B$7:$B$156,0))))</f>
        <v>ASM EĞLENCE LTD.ŞTİ.</v>
      </c>
      <c r="O110" s="2"/>
      <c r="P110" s="2"/>
      <c r="Q110" s="1" t="str">
        <f>IF($D110="","",$C110&amp;"|"&amp;COUNTIFS($C$7:$C110,$C110))</f>
        <v>M017|6</v>
      </c>
      <c r="R110" s="1" t="str">
        <f t="shared" si="8"/>
        <v>ASMEGLENCELTDSTI</v>
      </c>
      <c r="S110" s="1" t="str">
        <f t="shared" si="9"/>
        <v>M017|46067|2500|</v>
      </c>
      <c r="T110" s="1">
        <f>IF($E110="",0,SUMPRODUCT((AY_SONU!$O$7:$O$42="Evet")*(AY_SONU!$B$7:$B$42=DATE(YEAR($E110),MONTH($E110),1))))</f>
        <v>0</v>
      </c>
      <c r="U110" s="1" t="str">
        <f>IF(OR($G110="",$H110="Mahsup"),"",$G110&amp;"|"&amp;COUNTIFS($G$7:$G110,$G110,$H$7:$H110,"&lt;&gt;Mahsup"))</f>
        <v>MERKEZ KASA|76</v>
      </c>
    </row>
    <row r="111" spans="1:21" ht="18" customHeight="1" x14ac:dyDescent="0.3">
      <c r="A111" s="2"/>
      <c r="B111" s="65" t="str">
        <f t="shared" si="5"/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M015</v>
      </c>
      <c r="D111" s="61" t="s">
        <v>719</v>
      </c>
      <c r="E111" s="66">
        <v>46067</v>
      </c>
      <c r="F111" s="67">
        <v>3000</v>
      </c>
      <c r="G111" s="60" t="s">
        <v>717</v>
      </c>
      <c r="H111" s="60" t="s">
        <v>572</v>
      </c>
      <c r="I111" s="61"/>
      <c r="J111" s="61" t="s">
        <v>720</v>
      </c>
      <c r="K111" s="61"/>
      <c r="L111" s="73">
        <f t="shared" si="6"/>
        <v>46054</v>
      </c>
      <c r="M111" s="65" t="str">
        <f t="shared" ca="1" si="7"/>
        <v>UYGUN</v>
      </c>
      <c r="N111" s="74" t="str">
        <f>IF($C111="","",IF($C111="TANIMSIZ MÜŞTERİ","—",INDEX(MUSTERILER!$C$7:$C$156,MATCH($C111,MUSTERILER!$B$7:$B$156,0))))</f>
        <v>ÇAYIRALAN LTD.ŞTİ.</v>
      </c>
      <c r="O111" s="2"/>
      <c r="P111" s="2"/>
      <c r="Q111" s="1" t="str">
        <f>IF($D111="","",$C111&amp;"|"&amp;COUNTIFS($C$7:$C111,$C111))</f>
        <v>M015|7</v>
      </c>
      <c r="R111" s="1" t="str">
        <f t="shared" si="8"/>
        <v>CAYIRALANLTDSTI</v>
      </c>
      <c r="S111" s="1" t="str">
        <f t="shared" si="9"/>
        <v>M015|46067|3000|</v>
      </c>
      <c r="T111" s="1">
        <f>IF($E111="",0,SUMPRODUCT((AY_SONU!$O$7:$O$42="Evet")*(AY_SONU!$B$7:$B$42=DATE(YEAR($E111),MONTH($E111),1))))</f>
        <v>0</v>
      </c>
      <c r="U111" s="1" t="str">
        <f>IF(OR($G111="",$H111="Mahsup"),"",$G111&amp;"|"&amp;COUNTIFS($G$7:$G111,$G111,$H$7:$H111,"&lt;&gt;Mahsup"))</f>
        <v>MERKEZ KASA|77</v>
      </c>
    </row>
    <row r="112" spans="1:21" ht="18" customHeight="1" x14ac:dyDescent="0.3">
      <c r="A112" s="2"/>
      <c r="B112" s="65" t="str">
        <f t="shared" si="5"/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M011</v>
      </c>
      <c r="D112" s="61" t="s">
        <v>730</v>
      </c>
      <c r="E112" s="66">
        <v>46067</v>
      </c>
      <c r="F112" s="67">
        <v>3000</v>
      </c>
      <c r="G112" s="60" t="s">
        <v>717</v>
      </c>
      <c r="H112" s="60" t="s">
        <v>572</v>
      </c>
      <c r="I112" s="61"/>
      <c r="J112" s="61" t="s">
        <v>720</v>
      </c>
      <c r="K112" s="61"/>
      <c r="L112" s="73">
        <f t="shared" si="6"/>
        <v>46054</v>
      </c>
      <c r="M112" s="65" t="str">
        <f t="shared" ca="1" si="7"/>
        <v>UYGUN</v>
      </c>
      <c r="N112" s="74" t="str">
        <f>IF($C112="","",IF($C112="TANIMSIZ MÜŞTERİ","—",INDEX(MUSTERILER!$C$7:$C$156,MATCH($C112,MUSTERILER!$B$7:$B$156,0))))</f>
        <v>EĞLENGÖR LTD.ŞTİ.</v>
      </c>
      <c r="O112" s="2"/>
      <c r="P112" s="2"/>
      <c r="Q112" s="1" t="str">
        <f>IF($D112="","",$C112&amp;"|"&amp;COUNTIFS($C$7:$C112,$C112))</f>
        <v>M011|6</v>
      </c>
      <c r="R112" s="1" t="str">
        <f t="shared" si="8"/>
        <v>EGLENGORLTDSTI</v>
      </c>
      <c r="S112" s="1" t="str">
        <f t="shared" si="9"/>
        <v>M011|46067|3000|</v>
      </c>
      <c r="T112" s="1">
        <f>IF($E112="",0,SUMPRODUCT((AY_SONU!$O$7:$O$42="Evet")*(AY_SONU!$B$7:$B$42=DATE(YEAR($E112),MONTH($E112),1))))</f>
        <v>0</v>
      </c>
      <c r="U112" s="1" t="str">
        <f>IF(OR($G112="",$H112="Mahsup"),"",$G112&amp;"|"&amp;COUNTIFS($G$7:$G112,$G112,$H$7:$H112,"&lt;&gt;Mahsup"))</f>
        <v>MERKEZ KASA|78</v>
      </c>
    </row>
    <row r="113" spans="1:21" ht="18" customHeight="1" x14ac:dyDescent="0.3">
      <c r="A113" s="2"/>
      <c r="B113" s="65" t="str">
        <f t="shared" si="5"/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M014</v>
      </c>
      <c r="D113" s="61" t="s">
        <v>731</v>
      </c>
      <c r="E113" s="66">
        <v>46067</v>
      </c>
      <c r="F113" s="67">
        <v>2000</v>
      </c>
      <c r="G113" s="60" t="s">
        <v>717</v>
      </c>
      <c r="H113" s="60" t="s">
        <v>572</v>
      </c>
      <c r="I113" s="61"/>
      <c r="J113" s="61" t="s">
        <v>720</v>
      </c>
      <c r="K113" s="61"/>
      <c r="L113" s="73">
        <f t="shared" si="6"/>
        <v>46054</v>
      </c>
      <c r="M113" s="65" t="str">
        <f t="shared" ca="1" si="7"/>
        <v>UYGUN</v>
      </c>
      <c r="N113" s="74" t="str">
        <f>IF($C113="","",IF($C113="TANIMSIZ MÜŞTERİ","—",INDEX(MUSTERILER!$C$7:$C$156,MATCH($C113,MUSTERILER!$B$7:$B$156,0))))</f>
        <v>FİNAL SİYAH BEYAZ LTD.ŞTİ.</v>
      </c>
      <c r="O113" s="2"/>
      <c r="P113" s="2"/>
      <c r="Q113" s="1" t="str">
        <f>IF($D113="","",$C113&amp;"|"&amp;COUNTIFS($C$7:$C113,$C113))</f>
        <v>M014|6</v>
      </c>
      <c r="R113" s="1" t="str">
        <f t="shared" si="8"/>
        <v>FINALSIYAHBEYAZLTDSTI</v>
      </c>
      <c r="S113" s="1" t="str">
        <f t="shared" si="9"/>
        <v>M014|46067|2000|</v>
      </c>
      <c r="T113" s="1">
        <f>IF($E113="",0,SUMPRODUCT((AY_SONU!$O$7:$O$42="Evet")*(AY_SONU!$B$7:$B$42=DATE(YEAR($E113),MONTH($E113),1))))</f>
        <v>0</v>
      </c>
      <c r="U113" s="1" t="str">
        <f>IF(OR($G113="",$H113="Mahsup"),"",$G113&amp;"|"&amp;COUNTIFS($G$7:$G113,$G113,$H$7:$H113,"&lt;&gt;Mahsup"))</f>
        <v>MERKEZ KASA|79</v>
      </c>
    </row>
    <row r="114" spans="1:21" ht="18" customHeight="1" x14ac:dyDescent="0.3">
      <c r="A114" s="2"/>
      <c r="B114" s="65" t="str">
        <f t="shared" si="5"/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M034</v>
      </c>
      <c r="D114" s="61" t="s">
        <v>732</v>
      </c>
      <c r="E114" s="66">
        <v>46067</v>
      </c>
      <c r="F114" s="67">
        <v>1500</v>
      </c>
      <c r="G114" s="60" t="s">
        <v>717</v>
      </c>
      <c r="H114" s="60" t="s">
        <v>572</v>
      </c>
      <c r="I114" s="61"/>
      <c r="J114" s="61" t="s">
        <v>720</v>
      </c>
      <c r="K114" s="61"/>
      <c r="L114" s="73">
        <f t="shared" si="6"/>
        <v>46054</v>
      </c>
      <c r="M114" s="65" t="str">
        <f t="shared" ca="1" si="7"/>
        <v>UYGUN</v>
      </c>
      <c r="N114" s="74" t="str">
        <f>IF($C114="","",IF($C114="TANIMSIZ MÜŞTERİ","—",INDEX(MUSTERILER!$C$7:$C$156,MATCH($C114,MUSTERILER!$B$7:$B$156,0))))</f>
        <v>İBRAHİM MALDAN</v>
      </c>
      <c r="O114" s="2"/>
      <c r="P114" s="2"/>
      <c r="Q114" s="1" t="str">
        <f>IF($D114="","",$C114&amp;"|"&amp;COUNTIFS($C$7:$C114,$C114))</f>
        <v>M034|6</v>
      </c>
      <c r="R114" s="1" t="str">
        <f t="shared" si="8"/>
        <v>IBRAHIMMALDAN</v>
      </c>
      <c r="S114" s="1" t="str">
        <f t="shared" si="9"/>
        <v>M034|46067|1500|</v>
      </c>
      <c r="T114" s="1">
        <f>IF($E114="",0,SUMPRODUCT((AY_SONU!$O$7:$O$42="Evet")*(AY_SONU!$B$7:$B$42=DATE(YEAR($E114),MONTH($E114),1))))</f>
        <v>0</v>
      </c>
      <c r="U114" s="1" t="str">
        <f>IF(OR($G114="",$H114="Mahsup"),"",$G114&amp;"|"&amp;COUNTIFS($G$7:$G114,$G114,$H$7:$H114,"&lt;&gt;Mahsup"))</f>
        <v>MERKEZ KASA|80</v>
      </c>
    </row>
    <row r="115" spans="1:21" ht="18" customHeight="1" x14ac:dyDescent="0.3">
      <c r="A115" s="2"/>
      <c r="B115" s="65" t="str">
        <f t="shared" si="5"/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M007</v>
      </c>
      <c r="D115" s="61" t="s">
        <v>733</v>
      </c>
      <c r="E115" s="66">
        <v>46067</v>
      </c>
      <c r="F115" s="67">
        <v>3500</v>
      </c>
      <c r="G115" s="60" t="s">
        <v>717</v>
      </c>
      <c r="H115" s="60" t="s">
        <v>572</v>
      </c>
      <c r="I115" s="61"/>
      <c r="J115" s="61" t="s">
        <v>720</v>
      </c>
      <c r="K115" s="61"/>
      <c r="L115" s="73">
        <f t="shared" si="6"/>
        <v>46054</v>
      </c>
      <c r="M115" s="65" t="str">
        <f t="shared" ca="1" si="7"/>
        <v>UYGUN</v>
      </c>
      <c r="N115" s="74" t="str">
        <f>IF($C115="","",IF($C115="TANIMSIZ MÜŞTERİ","—",INDEX(MUSTERILER!$C$7:$C$156,MATCH($C115,MUSTERILER!$B$7:$B$156,0))))</f>
        <v>MONAMOUR LTD.ŞTİ.</v>
      </c>
      <c r="O115" s="2"/>
      <c r="P115" s="2"/>
      <c r="Q115" s="1" t="str">
        <f>IF($D115="","",$C115&amp;"|"&amp;COUNTIFS($C$7:$C115,$C115))</f>
        <v>M007|7</v>
      </c>
      <c r="R115" s="1" t="str">
        <f t="shared" si="8"/>
        <v>MONAMOURLTDSTI</v>
      </c>
      <c r="S115" s="1" t="str">
        <f t="shared" si="9"/>
        <v>M007|46067|3500|</v>
      </c>
      <c r="T115" s="1">
        <f>IF($E115="",0,SUMPRODUCT((AY_SONU!$O$7:$O$42="Evet")*(AY_SONU!$B$7:$B$42=DATE(YEAR($E115),MONTH($E115),1))))</f>
        <v>0</v>
      </c>
      <c r="U115" s="1" t="str">
        <f>IF(OR($G115="",$H115="Mahsup"),"",$G115&amp;"|"&amp;COUNTIFS($G$7:$G115,$G115,$H$7:$H115,"&lt;&gt;Mahsup"))</f>
        <v>MERKEZ KASA|81</v>
      </c>
    </row>
    <row r="116" spans="1:21" ht="18" customHeight="1" x14ac:dyDescent="0.3">
      <c r="A116" s="2"/>
      <c r="B116" s="65" t="str">
        <f t="shared" si="5"/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M013</v>
      </c>
      <c r="D116" s="61" t="s">
        <v>734</v>
      </c>
      <c r="E116" s="66">
        <v>46067</v>
      </c>
      <c r="F116" s="67">
        <v>2000</v>
      </c>
      <c r="G116" s="60" t="s">
        <v>717</v>
      </c>
      <c r="H116" s="60" t="s">
        <v>572</v>
      </c>
      <c r="I116" s="61"/>
      <c r="J116" s="61" t="s">
        <v>720</v>
      </c>
      <c r="K116" s="61"/>
      <c r="L116" s="73">
        <f t="shared" si="6"/>
        <v>46054</v>
      </c>
      <c r="M116" s="65" t="str">
        <f t="shared" ca="1" si="7"/>
        <v>UYGUN</v>
      </c>
      <c r="N116" s="74" t="str">
        <f>IF($C116="","",IF($C116="TANIMSIZ MÜŞTERİ","—",INDEX(MUSTERILER!$C$7:$C$156,MATCH($C116,MUSTERILER!$B$7:$B$156,0))))</f>
        <v>NAZ 1 GIDA LTD.ŞTİ.</v>
      </c>
      <c r="O116" s="2"/>
      <c r="P116" s="2"/>
      <c r="Q116" s="1" t="str">
        <f>IF($D116="","",$C116&amp;"|"&amp;COUNTIFS($C$7:$C116,$C116))</f>
        <v>M013|6</v>
      </c>
      <c r="R116" s="1" t="str">
        <f t="shared" si="8"/>
        <v>NAZ1GIDALTDSTI</v>
      </c>
      <c r="S116" s="1" t="str">
        <f t="shared" si="9"/>
        <v>M013|46067|2000|</v>
      </c>
      <c r="T116" s="1">
        <f>IF($E116="",0,SUMPRODUCT((AY_SONU!$O$7:$O$42="Evet")*(AY_SONU!$B$7:$B$42=DATE(YEAR($E116),MONTH($E116),1))))</f>
        <v>0</v>
      </c>
      <c r="U116" s="1" t="str">
        <f>IF(OR($G116="",$H116="Mahsup"),"",$G116&amp;"|"&amp;COUNTIFS($G$7:$G116,$G116,$H$7:$H116,"&lt;&gt;Mahsup"))</f>
        <v>MERKEZ KASA|82</v>
      </c>
    </row>
    <row r="117" spans="1:21" ht="18" customHeight="1" x14ac:dyDescent="0.3">
      <c r="A117" s="2"/>
      <c r="B117" s="65" t="str">
        <f t="shared" si="5"/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M009</v>
      </c>
      <c r="D117" s="61" t="s">
        <v>735</v>
      </c>
      <c r="E117" s="66">
        <v>46067</v>
      </c>
      <c r="F117" s="67">
        <v>2000</v>
      </c>
      <c r="G117" s="60" t="s">
        <v>717</v>
      </c>
      <c r="H117" s="60" t="s">
        <v>572</v>
      </c>
      <c r="I117" s="61"/>
      <c r="J117" s="61" t="s">
        <v>720</v>
      </c>
      <c r="K117" s="61"/>
      <c r="L117" s="73">
        <f t="shared" si="6"/>
        <v>46054</v>
      </c>
      <c r="M117" s="65" t="str">
        <f t="shared" ca="1" si="7"/>
        <v>UYGUN</v>
      </c>
      <c r="N117" s="74" t="str">
        <f>IF($C117="","",IF($C117="TANIMSIZ MÜŞTERİ","—",INDEX(MUSTERILER!$C$7:$C$156,MATCH($C117,MUSTERILER!$B$7:$B$156,0))))</f>
        <v>PAKYILDIZ LTD.ŞTİ.</v>
      </c>
      <c r="O117" s="2"/>
      <c r="P117" s="2"/>
      <c r="Q117" s="1" t="str">
        <f>IF($D117="","",$C117&amp;"|"&amp;COUNTIFS($C$7:$C117,$C117))</f>
        <v>M009|6</v>
      </c>
      <c r="R117" s="1" t="str">
        <f t="shared" si="8"/>
        <v>PAKYILDIZLTDSTI</v>
      </c>
      <c r="S117" s="1" t="str">
        <f t="shared" si="9"/>
        <v>M009|46067|2000|</v>
      </c>
      <c r="T117" s="1">
        <f>IF($E117="",0,SUMPRODUCT((AY_SONU!$O$7:$O$42="Evet")*(AY_SONU!$B$7:$B$42=DATE(YEAR($E117),MONTH($E117),1))))</f>
        <v>0</v>
      </c>
      <c r="U117" s="1" t="str">
        <f>IF(OR($G117="",$H117="Mahsup"),"",$G117&amp;"|"&amp;COUNTIFS($G$7:$G117,$G117,$H$7:$H117,"&lt;&gt;Mahsup"))</f>
        <v>MERKEZ KASA|83</v>
      </c>
    </row>
    <row r="118" spans="1:21" ht="18" customHeight="1" x14ac:dyDescent="0.3">
      <c r="A118" s="2"/>
      <c r="B118" s="65" t="str">
        <f t="shared" si="5"/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M016</v>
      </c>
      <c r="D118" s="61" t="s">
        <v>736</v>
      </c>
      <c r="E118" s="66">
        <v>46067</v>
      </c>
      <c r="F118" s="67">
        <v>4000</v>
      </c>
      <c r="G118" s="60" t="s">
        <v>717</v>
      </c>
      <c r="H118" s="60" t="s">
        <v>572</v>
      </c>
      <c r="I118" s="61"/>
      <c r="J118" s="61" t="s">
        <v>720</v>
      </c>
      <c r="K118" s="61"/>
      <c r="L118" s="73">
        <f t="shared" si="6"/>
        <v>46054</v>
      </c>
      <c r="M118" s="65" t="str">
        <f t="shared" ca="1" si="7"/>
        <v>UYGUN</v>
      </c>
      <c r="N118" s="74" t="str">
        <f>IF($C118="","",IF($C118="TANIMSIZ MÜŞTERİ","—",INDEX(MUSTERILER!$C$7:$C$156,MATCH($C118,MUSTERILER!$B$7:$B$156,0))))</f>
        <v>RİX ŞOW LTD.ŞTİ.</v>
      </c>
      <c r="O118" s="2"/>
      <c r="P118" s="2"/>
      <c r="Q118" s="1" t="str">
        <f>IF($D118="","",$C118&amp;"|"&amp;COUNTIFS($C$7:$C118,$C118))</f>
        <v>M016|7</v>
      </c>
      <c r="R118" s="1" t="str">
        <f t="shared" si="8"/>
        <v>RIXSOWLTDSTI</v>
      </c>
      <c r="S118" s="1" t="str">
        <f t="shared" si="9"/>
        <v>M016|46067|4000|</v>
      </c>
      <c r="T118" s="1">
        <f>IF($E118="",0,SUMPRODUCT((AY_SONU!$O$7:$O$42="Evet")*(AY_SONU!$B$7:$B$42=DATE(YEAR($E118),MONTH($E118),1))))</f>
        <v>0</v>
      </c>
      <c r="U118" s="1" t="str">
        <f>IF(OR($G118="",$H118="Mahsup"),"",$G118&amp;"|"&amp;COUNTIFS($G$7:$G118,$G118,$H$7:$H118,"&lt;&gt;Mahsup"))</f>
        <v>MERKEZ KASA|84</v>
      </c>
    </row>
    <row r="119" spans="1:21" ht="18" customHeight="1" x14ac:dyDescent="0.3">
      <c r="A119" s="2"/>
      <c r="B119" s="65" t="str">
        <f t="shared" si="5"/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M005</v>
      </c>
      <c r="D119" s="61" t="s">
        <v>722</v>
      </c>
      <c r="E119" s="66">
        <v>46067</v>
      </c>
      <c r="F119" s="67">
        <v>1750</v>
      </c>
      <c r="G119" s="60" t="s">
        <v>717</v>
      </c>
      <c r="H119" s="60" t="s">
        <v>572</v>
      </c>
      <c r="I119" s="61"/>
      <c r="J119" s="61" t="s">
        <v>720</v>
      </c>
      <c r="K119" s="61"/>
      <c r="L119" s="73">
        <f t="shared" si="6"/>
        <v>46054</v>
      </c>
      <c r="M119" s="65" t="str">
        <f t="shared" ca="1" si="7"/>
        <v>UYGUN</v>
      </c>
      <c r="N119" s="74" t="str">
        <f>IF($C119="","",IF($C119="TANIMSIZ MÜŞTERİ","—",INDEX(MUSTERILER!$C$7:$C$156,MATCH($C119,MUSTERILER!$B$7:$B$156,0))))</f>
        <v>ZÜMRÜT GRUP LTD.ŞTİ.</v>
      </c>
      <c r="O119" s="2"/>
      <c r="P119" s="2"/>
      <c r="Q119" s="1" t="str">
        <f>IF($D119="","",$C119&amp;"|"&amp;COUNTIFS($C$7:$C119,$C119))</f>
        <v>M005|8</v>
      </c>
      <c r="R119" s="1" t="str">
        <f t="shared" si="8"/>
        <v>ZUMRUTGRUPLTDSTI</v>
      </c>
      <c r="S119" s="1" t="str">
        <f t="shared" si="9"/>
        <v>M005|46067|1750|</v>
      </c>
      <c r="T119" s="1">
        <f>IF($E119="",0,SUMPRODUCT((AY_SONU!$O$7:$O$42="Evet")*(AY_SONU!$B$7:$B$42=DATE(YEAR($E119),MONTH($E119),1))))</f>
        <v>0</v>
      </c>
      <c r="U119" s="1" t="str">
        <f>IF(OR($G119="",$H119="Mahsup"),"",$G119&amp;"|"&amp;COUNTIFS($G$7:$G119,$G119,$H$7:$H119,"&lt;&gt;Mahsup"))</f>
        <v>MERKEZ KASA|85</v>
      </c>
    </row>
    <row r="120" spans="1:21" ht="18" customHeight="1" x14ac:dyDescent="0.3">
      <c r="A120" s="2"/>
      <c r="B120" s="65" t="str">
        <f t="shared" si="5"/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M035</v>
      </c>
      <c r="D120" s="61" t="s">
        <v>615</v>
      </c>
      <c r="E120" s="66">
        <v>46067</v>
      </c>
      <c r="F120" s="67">
        <v>3500</v>
      </c>
      <c r="G120" s="60" t="s">
        <v>717</v>
      </c>
      <c r="H120" s="60" t="s">
        <v>572</v>
      </c>
      <c r="I120" s="61"/>
      <c r="J120" s="61" t="s">
        <v>720</v>
      </c>
      <c r="K120" s="61"/>
      <c r="L120" s="73">
        <f t="shared" si="6"/>
        <v>46054</v>
      </c>
      <c r="M120" s="65" t="str">
        <f t="shared" ca="1" si="7"/>
        <v>UYGUN</v>
      </c>
      <c r="N120" s="74" t="str">
        <f>IF($C120="","",IF($C120="TANIMSIZ MÜŞTERİ","—",INDEX(MUSTERILER!$C$7:$C$156,MATCH($C120,MUSTERILER!$B$7:$B$156,0))))</f>
        <v>İSA DEMİRCİ</v>
      </c>
      <c r="O120" s="2"/>
      <c r="P120" s="2"/>
      <c r="Q120" s="1" t="str">
        <f>IF($D120="","",$C120&amp;"|"&amp;COUNTIFS($C$7:$C120,$C120))</f>
        <v>M035|1</v>
      </c>
      <c r="R120" s="1" t="str">
        <f t="shared" si="8"/>
        <v>ISADEMIRCI</v>
      </c>
      <c r="S120" s="1" t="str">
        <f t="shared" si="9"/>
        <v>M035|46067|3500|</v>
      </c>
      <c r="T120" s="1">
        <f>IF($E120="",0,SUMPRODUCT((AY_SONU!$O$7:$O$42="Evet")*(AY_SONU!$B$7:$B$42=DATE(YEAR($E120),MONTH($E120),1))))</f>
        <v>0</v>
      </c>
      <c r="U120" s="1" t="str">
        <f>IF(OR($G120="",$H120="Mahsup"),"",$G120&amp;"|"&amp;COUNTIFS($G$7:$G120,$G120,$H$7:$H120,"&lt;&gt;Mahsup"))</f>
        <v>MERKEZ KASA|86</v>
      </c>
    </row>
    <row r="121" spans="1:21" ht="18" customHeight="1" x14ac:dyDescent="0.3">
      <c r="A121" s="2"/>
      <c r="B121" s="65" t="str">
        <f t="shared" si="5"/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61" t="s">
        <v>623</v>
      </c>
      <c r="E121" s="66">
        <v>46067</v>
      </c>
      <c r="F121" s="67">
        <v>3000</v>
      </c>
      <c r="G121" s="60" t="s">
        <v>717</v>
      </c>
      <c r="H121" s="60" t="s">
        <v>572</v>
      </c>
      <c r="I121" s="61"/>
      <c r="J121" s="61" t="s">
        <v>720</v>
      </c>
      <c r="K121" s="61"/>
      <c r="L121" s="73">
        <f t="shared" si="6"/>
        <v>46054</v>
      </c>
      <c r="M121" s="65" t="str">
        <f t="shared" ca="1" si="7"/>
        <v>UYGUN</v>
      </c>
      <c r="N121" s="74" t="str">
        <f>IF($C121="","",IF($C121="TANIMSIZ MÜŞTERİ","—",INDEX(MUSTERILER!$C$7:$C$156,MATCH($C121,MUSTERILER!$B$7:$B$156,0))))</f>
        <v>KRİSTAL LTD.ŞTİ.</v>
      </c>
      <c r="O121" s="2"/>
      <c r="P121" s="2"/>
      <c r="Q121" s="1" t="str">
        <f>IF($D121="","",$C121&amp;"|"&amp;COUNTIFS($C$7:$C121,$C121))</f>
        <v>M020|6</v>
      </c>
      <c r="R121" s="1" t="str">
        <f t="shared" si="8"/>
        <v>KRISTALLTDSTI</v>
      </c>
      <c r="S121" s="1" t="str">
        <f t="shared" si="9"/>
        <v>M020|46067|3000|</v>
      </c>
      <c r="T121" s="1">
        <f>IF($E121="",0,SUMPRODUCT((AY_SONU!$O$7:$O$42="Evet")*(AY_SONU!$B$7:$B$42=DATE(YEAR($E121),MONTH($E121),1))))</f>
        <v>0</v>
      </c>
      <c r="U121" s="1" t="str">
        <f>IF(OR($G121="",$H121="Mahsup"),"",$G121&amp;"|"&amp;COUNTIFS($G$7:$G121,$G121,$H$7:$H121,"&lt;&gt;Mahsup"))</f>
        <v>MERKEZ KASA|87</v>
      </c>
    </row>
    <row r="122" spans="1:21" ht="18" customHeight="1" x14ac:dyDescent="0.3">
      <c r="A122" s="2"/>
      <c r="B122" s="65" t="str">
        <f t="shared" si="5"/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M045</v>
      </c>
      <c r="D122" s="61" t="s">
        <v>646</v>
      </c>
      <c r="E122" s="66">
        <v>46069</v>
      </c>
      <c r="F122" s="67">
        <v>7500</v>
      </c>
      <c r="G122" s="60" t="s">
        <v>723</v>
      </c>
      <c r="H122" s="60" t="s">
        <v>572</v>
      </c>
      <c r="I122" s="61"/>
      <c r="J122" s="61" t="s">
        <v>724</v>
      </c>
      <c r="K122" s="61"/>
      <c r="L122" s="73">
        <f t="shared" si="6"/>
        <v>46054</v>
      </c>
      <c r="M122" s="65" t="str">
        <f t="shared" ca="1" si="7"/>
        <v>UYGUN</v>
      </c>
      <c r="N122" s="74" t="str">
        <f>IF($C122="","",IF($C122="TANIMSIZ MÜŞTERİ","—",INDEX(MUSTERILER!$C$7:$C$156,MATCH($C122,MUSTERILER!$B$7:$B$156,0))))</f>
        <v>NERO E TİCARET LTD.ŞTİ.</v>
      </c>
      <c r="O122" s="2"/>
      <c r="P122" s="2"/>
      <c r="Q122" s="1" t="str">
        <f>IF($D122="","",$C122&amp;"|"&amp;COUNTIFS($C$7:$C122,$C122))</f>
        <v>M045|1</v>
      </c>
      <c r="R122" s="1" t="str">
        <f t="shared" si="8"/>
        <v>NEROETICARETLTDSTI</v>
      </c>
      <c r="S122" s="1" t="str">
        <f t="shared" si="9"/>
        <v>M045|46069|7500|</v>
      </c>
      <c r="T122" s="1">
        <f>IF($E122="",0,SUMPRODUCT((AY_SONU!$O$7:$O$42="Evet")*(AY_SONU!$B$7:$B$42=DATE(YEAR($E122),MONTH($E122),1))))</f>
        <v>0</v>
      </c>
      <c r="U122" s="1" t="str">
        <f>IF(OR($G122="",$H122="Mahsup"),"",$G122&amp;"|"&amp;COUNTIFS($G$7:$G122,$G122,$H$7:$H122,"&lt;&gt;Mahsup"))</f>
        <v>ÖMER KARTAL|29</v>
      </c>
    </row>
    <row r="123" spans="1:21" ht="18" customHeight="1" x14ac:dyDescent="0.3">
      <c r="A123" s="2"/>
      <c r="B123" s="65" t="str">
        <f t="shared" si="5"/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M031</v>
      </c>
      <c r="D123" s="61" t="s">
        <v>607</v>
      </c>
      <c r="E123" s="66">
        <v>46069</v>
      </c>
      <c r="F123" s="67">
        <v>3000</v>
      </c>
      <c r="G123" s="60" t="s">
        <v>717</v>
      </c>
      <c r="H123" s="60" t="s">
        <v>572</v>
      </c>
      <c r="I123" s="61"/>
      <c r="J123" s="61" t="s">
        <v>720</v>
      </c>
      <c r="K123" s="61"/>
      <c r="L123" s="73">
        <f t="shared" si="6"/>
        <v>46054</v>
      </c>
      <c r="M123" s="65" t="str">
        <f t="shared" ca="1" si="7"/>
        <v>UYGUN</v>
      </c>
      <c r="N123" s="74" t="str">
        <f>IF($C123="","",IF($C123="TANIMSIZ MÜŞTERİ","—",INDEX(MUSTERILER!$C$7:$C$156,MATCH($C123,MUSTERILER!$B$7:$B$156,0))))</f>
        <v>HALİL AVŞAR</v>
      </c>
      <c r="O123" s="2"/>
      <c r="P123" s="2"/>
      <c r="Q123" s="1" t="str">
        <f>IF($D123="","",$C123&amp;"|"&amp;COUNTIFS($C$7:$C123,$C123))</f>
        <v>M031|1</v>
      </c>
      <c r="R123" s="1" t="str">
        <f t="shared" si="8"/>
        <v>HALILAVSAR</v>
      </c>
      <c r="S123" s="1" t="str">
        <f t="shared" si="9"/>
        <v>M031|46069|3000|</v>
      </c>
      <c r="T123" s="1">
        <f>IF($E123="",0,SUMPRODUCT((AY_SONU!$O$7:$O$42="Evet")*(AY_SONU!$B$7:$B$42=DATE(YEAR($E123),MONTH($E123),1))))</f>
        <v>0</v>
      </c>
      <c r="U123" s="1" t="str">
        <f>IF(OR($G123="",$H123="Mahsup"),"",$G123&amp;"|"&amp;COUNTIFS($G$7:$G123,$G123,$H$7:$H123,"&lt;&gt;Mahsup"))</f>
        <v>MERKEZ KASA|88</v>
      </c>
    </row>
    <row r="124" spans="1:21" ht="18" customHeight="1" x14ac:dyDescent="0.3">
      <c r="A124" s="2"/>
      <c r="B124" s="65" t="str">
        <f t="shared" si="5"/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M019</v>
      </c>
      <c r="D124" s="61" t="s">
        <v>570</v>
      </c>
      <c r="E124" s="66">
        <v>46071</v>
      </c>
      <c r="F124" s="67">
        <v>3000</v>
      </c>
      <c r="G124" s="60" t="s">
        <v>717</v>
      </c>
      <c r="H124" s="60" t="s">
        <v>572</v>
      </c>
      <c r="I124" s="61"/>
      <c r="J124" s="61" t="s">
        <v>720</v>
      </c>
      <c r="K124" s="61"/>
      <c r="L124" s="73">
        <f t="shared" si="6"/>
        <v>46054</v>
      </c>
      <c r="M124" s="65" t="str">
        <f t="shared" ca="1" si="7"/>
        <v>UYGUN</v>
      </c>
      <c r="N124" s="74" t="str">
        <f>IF($C124="","",IF($C124="TANIMSIZ MÜŞTERİ","—",INDEX(MUSTERILER!$C$7:$C$156,MATCH($C124,MUSTERILER!$B$7:$B$156,0))))</f>
        <v>AC OTEL LTD.ŞTİ.</v>
      </c>
      <c r="O124" s="2"/>
      <c r="P124" s="2"/>
      <c r="Q124" s="1" t="str">
        <f>IF($D124="","",$C124&amp;"|"&amp;COUNTIFS($C$7:$C124,$C124))</f>
        <v>M019|2</v>
      </c>
      <c r="R124" s="1" t="str">
        <f t="shared" si="8"/>
        <v>ACOTELLTDSTI</v>
      </c>
      <c r="S124" s="1" t="str">
        <f t="shared" si="9"/>
        <v>M019|46071|3000|</v>
      </c>
      <c r="T124" s="1">
        <f>IF($E124="",0,SUMPRODUCT((AY_SONU!$O$7:$O$42="Evet")*(AY_SONU!$B$7:$B$42=DATE(YEAR($E124),MONTH($E124),1))))</f>
        <v>0</v>
      </c>
      <c r="U124" s="1" t="str">
        <f>IF(OR($G124="",$H124="Mahsup"),"",$G124&amp;"|"&amp;COUNTIFS($G$7:$G124,$G124,$H$7:$H124,"&lt;&gt;Mahsup"))</f>
        <v>MERKEZ KASA|89</v>
      </c>
    </row>
    <row r="125" spans="1:21" ht="18" customHeight="1" x14ac:dyDescent="0.3">
      <c r="A125" s="2"/>
      <c r="B125" s="65" t="str">
        <f t="shared" si="5"/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M017</v>
      </c>
      <c r="D125" s="61" t="s">
        <v>585</v>
      </c>
      <c r="E125" s="66">
        <v>46074</v>
      </c>
      <c r="F125" s="67">
        <v>2500</v>
      </c>
      <c r="G125" s="60" t="s">
        <v>723</v>
      </c>
      <c r="H125" s="60" t="s">
        <v>572</v>
      </c>
      <c r="I125" s="61"/>
      <c r="J125" s="61" t="s">
        <v>724</v>
      </c>
      <c r="K125" s="61"/>
      <c r="L125" s="73">
        <f t="shared" si="6"/>
        <v>46054</v>
      </c>
      <c r="M125" s="65" t="str">
        <f t="shared" ca="1" si="7"/>
        <v>UYGUN</v>
      </c>
      <c r="N125" s="74" t="str">
        <f>IF($C125="","",IF($C125="TANIMSIZ MÜŞTERİ","—",INDEX(MUSTERILER!$C$7:$C$156,MATCH($C125,MUSTERILER!$B$7:$B$156,0))))</f>
        <v>ASM EĞLENCE LTD.ŞTİ.</v>
      </c>
      <c r="O125" s="2"/>
      <c r="P125" s="2"/>
      <c r="Q125" s="1" t="str">
        <f>IF($D125="","",$C125&amp;"|"&amp;COUNTIFS($C$7:$C125,$C125))</f>
        <v>M017|7</v>
      </c>
      <c r="R125" s="1" t="str">
        <f t="shared" si="8"/>
        <v>ASMEGLENCELTDSTI</v>
      </c>
      <c r="S125" s="1" t="str">
        <f t="shared" si="9"/>
        <v>M017|46074|2500|</v>
      </c>
      <c r="T125" s="1">
        <f>IF($E125="",0,SUMPRODUCT((AY_SONU!$O$7:$O$42="Evet")*(AY_SONU!$B$7:$B$42=DATE(YEAR($E125),MONTH($E125),1))))</f>
        <v>0</v>
      </c>
      <c r="U125" s="1" t="str">
        <f>IF(OR($G125="",$H125="Mahsup"),"",$G125&amp;"|"&amp;COUNTIFS($G$7:$G125,$G125,$H$7:$H125,"&lt;&gt;Mahsup"))</f>
        <v>ÖMER KARTAL|30</v>
      </c>
    </row>
    <row r="126" spans="1:21" ht="18" customHeight="1" x14ac:dyDescent="0.3">
      <c r="A126" s="2"/>
      <c r="B126" s="65" t="str">
        <f t="shared" si="5"/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61" t="s">
        <v>721</v>
      </c>
      <c r="E126" s="66">
        <v>46074</v>
      </c>
      <c r="F126" s="67">
        <v>4000</v>
      </c>
      <c r="G126" s="60" t="s">
        <v>723</v>
      </c>
      <c r="H126" s="60" t="s">
        <v>572</v>
      </c>
      <c r="I126" s="61"/>
      <c r="J126" s="61" t="s">
        <v>724</v>
      </c>
      <c r="K126" s="61"/>
      <c r="L126" s="73">
        <f t="shared" si="6"/>
        <v>46054</v>
      </c>
      <c r="M126" s="65" t="str">
        <f t="shared" ca="1" si="7"/>
        <v>UYGUN</v>
      </c>
      <c r="N126" s="74" t="str">
        <f>IF($C126="","",IF($C126="TANIMSIZ MÜŞTERİ","—",INDEX(MUSTERILER!$C$7:$C$156,MATCH($C126,MUSTERILER!$B$7:$B$156,0))))</f>
        <v>İLDEŞ LTD.ŞTİ.</v>
      </c>
      <c r="O126" s="2"/>
      <c r="P126" s="2"/>
      <c r="Q126" s="1" t="str">
        <f>IF($D126="","",$C126&amp;"|"&amp;COUNTIFS($C$7:$C126,$C126))</f>
        <v>M012|6</v>
      </c>
      <c r="R126" s="1" t="str">
        <f t="shared" si="8"/>
        <v>ILDESLTDSTI</v>
      </c>
      <c r="S126" s="1" t="str">
        <f t="shared" si="9"/>
        <v>M012|46074|4000|</v>
      </c>
      <c r="T126" s="1">
        <f>IF($E126="",0,SUMPRODUCT((AY_SONU!$O$7:$O$42="Evet")*(AY_SONU!$B$7:$B$42=DATE(YEAR($E126),MONTH($E126),1))))</f>
        <v>0</v>
      </c>
      <c r="U126" s="1" t="str">
        <f>IF(OR($G126="",$H126="Mahsup"),"",$G126&amp;"|"&amp;COUNTIFS($G$7:$G126,$G126,$H$7:$H126,"&lt;&gt;Mahsup"))</f>
        <v>ÖMER KARTAL|31</v>
      </c>
    </row>
    <row r="127" spans="1:21" ht="18" customHeight="1" x14ac:dyDescent="0.3">
      <c r="A127" s="2"/>
      <c r="B127" s="65" t="str">
        <f t="shared" si="5"/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M010</v>
      </c>
      <c r="D127" s="61" t="s">
        <v>737</v>
      </c>
      <c r="E127" s="66">
        <v>46074</v>
      </c>
      <c r="F127" s="67">
        <v>8000</v>
      </c>
      <c r="G127" s="60" t="s">
        <v>723</v>
      </c>
      <c r="H127" s="60" t="s">
        <v>572</v>
      </c>
      <c r="I127" s="61"/>
      <c r="J127" s="61" t="s">
        <v>724</v>
      </c>
      <c r="K127" s="61"/>
      <c r="L127" s="73">
        <f t="shared" si="6"/>
        <v>46054</v>
      </c>
      <c r="M127" s="65" t="str">
        <f t="shared" ca="1" si="7"/>
        <v>UYGUN</v>
      </c>
      <c r="N127" s="74" t="str">
        <f>IF($C127="","",IF($C127="TANIMSIZ MÜŞTERİ","—",INDEX(MUSTERILER!$C$7:$C$156,MATCH($C127,MUSTERILER!$B$7:$B$156,0))))</f>
        <v>ÖZFİDANLAR LTD.ŞTİ.</v>
      </c>
      <c r="O127" s="2"/>
      <c r="P127" s="2"/>
      <c r="Q127" s="1" t="str">
        <f>IF($D127="","",$C127&amp;"|"&amp;COUNTIFS($C$7:$C127,$C127))</f>
        <v>M010|5</v>
      </c>
      <c r="R127" s="1" t="str">
        <f t="shared" si="8"/>
        <v>OZFIDANLARLTDSTI</v>
      </c>
      <c r="S127" s="1" t="str">
        <f t="shared" si="9"/>
        <v>M010|46074|8000|</v>
      </c>
      <c r="T127" s="1">
        <f>IF($E127="",0,SUMPRODUCT((AY_SONU!$O$7:$O$42="Evet")*(AY_SONU!$B$7:$B$42=DATE(YEAR($E127),MONTH($E127),1))))</f>
        <v>0</v>
      </c>
      <c r="U127" s="1" t="str">
        <f>IF(OR($G127="",$H127="Mahsup"),"",$G127&amp;"|"&amp;COUNTIFS($G$7:$G127,$G127,$H$7:$H127,"&lt;&gt;Mahsup"))</f>
        <v>ÖMER KARTAL|32</v>
      </c>
    </row>
    <row r="128" spans="1:21" ht="18" customHeight="1" x14ac:dyDescent="0.3">
      <c r="A128" s="2"/>
      <c r="B128" s="65" t="str">
        <f t="shared" si="5"/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M016</v>
      </c>
      <c r="D128" s="61" t="s">
        <v>736</v>
      </c>
      <c r="E128" s="66">
        <v>46074</v>
      </c>
      <c r="F128" s="67">
        <v>3000</v>
      </c>
      <c r="G128" s="60" t="s">
        <v>723</v>
      </c>
      <c r="H128" s="60" t="s">
        <v>572</v>
      </c>
      <c r="I128" s="61"/>
      <c r="J128" s="61" t="s">
        <v>724</v>
      </c>
      <c r="K128" s="61"/>
      <c r="L128" s="73">
        <f t="shared" si="6"/>
        <v>46054</v>
      </c>
      <c r="M128" s="65" t="str">
        <f t="shared" ca="1" si="7"/>
        <v>UYGUN</v>
      </c>
      <c r="N128" s="74" t="str">
        <f>IF($C128="","",IF($C128="TANIMSIZ MÜŞTERİ","—",INDEX(MUSTERILER!$C$7:$C$156,MATCH($C128,MUSTERILER!$B$7:$B$156,0))))</f>
        <v>RİX ŞOW LTD.ŞTİ.</v>
      </c>
      <c r="O128" s="2"/>
      <c r="P128" s="2"/>
      <c r="Q128" s="1" t="str">
        <f>IF($D128="","",$C128&amp;"|"&amp;COUNTIFS($C$7:$C128,$C128))</f>
        <v>M016|8</v>
      </c>
      <c r="R128" s="1" t="str">
        <f t="shared" si="8"/>
        <v>RIXSOWLTDSTI</v>
      </c>
      <c r="S128" s="1" t="str">
        <f t="shared" si="9"/>
        <v>M016|46074|3000|</v>
      </c>
      <c r="T128" s="1">
        <f>IF($E128="",0,SUMPRODUCT((AY_SONU!$O$7:$O$42="Evet")*(AY_SONU!$B$7:$B$42=DATE(YEAR($E128),MONTH($E128),1))))</f>
        <v>0</v>
      </c>
      <c r="U128" s="1" t="str">
        <f>IF(OR($G128="",$H128="Mahsup"),"",$G128&amp;"|"&amp;COUNTIFS($G$7:$G128,$G128,$H$7:$H128,"&lt;&gt;Mahsup"))</f>
        <v>ÖMER KARTAL|33</v>
      </c>
    </row>
    <row r="129" spans="1:21" ht="18" customHeight="1" x14ac:dyDescent="0.3">
      <c r="A129" s="2"/>
      <c r="B129" s="65" t="str">
        <f t="shared" si="5"/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61" t="s">
        <v>623</v>
      </c>
      <c r="E129" s="66">
        <v>46074</v>
      </c>
      <c r="F129" s="67">
        <v>3000</v>
      </c>
      <c r="G129" s="60" t="s">
        <v>723</v>
      </c>
      <c r="H129" s="60" t="s">
        <v>572</v>
      </c>
      <c r="I129" s="61"/>
      <c r="J129" s="61" t="s">
        <v>720</v>
      </c>
      <c r="K129" s="61"/>
      <c r="L129" s="73">
        <f t="shared" si="6"/>
        <v>46054</v>
      </c>
      <c r="M129" s="65" t="str">
        <f t="shared" ca="1" si="7"/>
        <v>UYGUN</v>
      </c>
      <c r="N129" s="74" t="str">
        <f>IF($C129="","",IF($C129="TANIMSIZ MÜŞTERİ","—",INDEX(MUSTERILER!$C$7:$C$156,MATCH($C129,MUSTERILER!$B$7:$B$156,0))))</f>
        <v>KRİSTAL LTD.ŞTİ.</v>
      </c>
      <c r="O129" s="2"/>
      <c r="P129" s="2"/>
      <c r="Q129" s="1" t="str">
        <f>IF($D129="","",$C129&amp;"|"&amp;COUNTIFS($C$7:$C129,$C129))</f>
        <v>M020|7</v>
      </c>
      <c r="R129" s="1" t="str">
        <f t="shared" si="8"/>
        <v>KRISTALLTDSTI</v>
      </c>
      <c r="S129" s="1" t="str">
        <f t="shared" si="9"/>
        <v>M020|46074|3000|</v>
      </c>
      <c r="T129" s="1">
        <f>IF($E129="",0,SUMPRODUCT((AY_SONU!$O$7:$O$42="Evet")*(AY_SONU!$B$7:$B$42=DATE(YEAR($E129),MONTH($E129),1))))</f>
        <v>0</v>
      </c>
      <c r="U129" s="1" t="str">
        <f>IF(OR($G129="",$H129="Mahsup"),"",$G129&amp;"|"&amp;COUNTIFS($G$7:$G129,$G129,$H$7:$H129,"&lt;&gt;Mahsup"))</f>
        <v>ÖMER KARTAL|34</v>
      </c>
    </row>
    <row r="130" spans="1:21" ht="18" customHeight="1" x14ac:dyDescent="0.3">
      <c r="A130" s="2"/>
      <c r="B130" s="65" t="str">
        <f t="shared" si="5"/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M002</v>
      </c>
      <c r="D130" s="61" t="s">
        <v>601</v>
      </c>
      <c r="E130" s="66">
        <v>46074</v>
      </c>
      <c r="F130" s="67">
        <v>3500</v>
      </c>
      <c r="G130" s="60" t="s">
        <v>723</v>
      </c>
      <c r="H130" s="60" t="s">
        <v>572</v>
      </c>
      <c r="I130" s="61"/>
      <c r="J130" s="61" t="s">
        <v>724</v>
      </c>
      <c r="K130" s="61"/>
      <c r="L130" s="73">
        <f t="shared" si="6"/>
        <v>46054</v>
      </c>
      <c r="M130" s="65" t="str">
        <f t="shared" ca="1" si="7"/>
        <v>UYGUN</v>
      </c>
      <c r="N130" s="74" t="str">
        <f>IF($C130="","",IF($C130="TANIMSIZ MÜŞTERİ","—",INDEX(MUSTERILER!$C$7:$C$156,MATCH($C130,MUSTERILER!$B$7:$B$156,0))))</f>
        <v>ESERLİ LTD.ŞTİ.</v>
      </c>
      <c r="O130" s="2"/>
      <c r="P130" s="2"/>
      <c r="Q130" s="1" t="str">
        <f>IF($D130="","",$C130&amp;"|"&amp;COUNTIFS($C$7:$C130,$C130))</f>
        <v>M002|1</v>
      </c>
      <c r="R130" s="1" t="str">
        <f t="shared" si="8"/>
        <v>ESERLILTDSTI</v>
      </c>
      <c r="S130" s="1" t="str">
        <f t="shared" si="9"/>
        <v>M002|46074|3500|</v>
      </c>
      <c r="T130" s="1">
        <f>IF($E130="",0,SUMPRODUCT((AY_SONU!$O$7:$O$42="Evet")*(AY_SONU!$B$7:$B$42=DATE(YEAR($E130),MONTH($E130),1))))</f>
        <v>0</v>
      </c>
      <c r="U130" s="1" t="str">
        <f>IF(OR($G130="",$H130="Mahsup"),"",$G130&amp;"|"&amp;COUNTIFS($G$7:$G130,$G130,$H$7:$H130,"&lt;&gt;Mahsup"))</f>
        <v>ÖMER KARTAL|35</v>
      </c>
    </row>
    <row r="131" spans="1:21" ht="18" customHeight="1" x14ac:dyDescent="0.3">
      <c r="A131" s="2"/>
      <c r="B131" s="65" t="str">
        <f t="shared" si="5"/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M011</v>
      </c>
      <c r="D131" s="61" t="s">
        <v>597</v>
      </c>
      <c r="E131" s="66">
        <v>46074</v>
      </c>
      <c r="F131" s="67">
        <v>3000</v>
      </c>
      <c r="G131" s="60" t="s">
        <v>717</v>
      </c>
      <c r="H131" s="60" t="s">
        <v>572</v>
      </c>
      <c r="I131" s="61"/>
      <c r="J131" s="61" t="s">
        <v>720</v>
      </c>
      <c r="K131" s="61"/>
      <c r="L131" s="73">
        <f t="shared" si="6"/>
        <v>46054</v>
      </c>
      <c r="M131" s="65" t="str">
        <f t="shared" ca="1" si="7"/>
        <v>UYGUN</v>
      </c>
      <c r="N131" s="74" t="str">
        <f>IF($C131="","",IF($C131="TANIMSIZ MÜŞTERİ","—",INDEX(MUSTERILER!$C$7:$C$156,MATCH($C131,MUSTERILER!$B$7:$B$156,0))))</f>
        <v>EĞLENGÖR LTD.ŞTİ.</v>
      </c>
      <c r="O131" s="2"/>
      <c r="P131" s="2"/>
      <c r="Q131" s="1" t="str">
        <f>IF($D131="","",$C131&amp;"|"&amp;COUNTIFS($C$7:$C131,$C131))</f>
        <v>M011|7</v>
      </c>
      <c r="R131" s="1" t="str">
        <f t="shared" si="8"/>
        <v>EGLENGORLTDSTI</v>
      </c>
      <c r="S131" s="1" t="str">
        <f t="shared" si="9"/>
        <v>M011|46074|3000|</v>
      </c>
      <c r="T131" s="1">
        <f>IF($E131="",0,SUMPRODUCT((AY_SONU!$O$7:$O$42="Evet")*(AY_SONU!$B$7:$B$42=DATE(YEAR($E131),MONTH($E131),1))))</f>
        <v>0</v>
      </c>
      <c r="U131" s="1" t="str">
        <f>IF(OR($G131="",$H131="Mahsup"),"",$G131&amp;"|"&amp;COUNTIFS($G$7:$G131,$G131,$H$7:$H131,"&lt;&gt;Mahsup"))</f>
        <v>MERKEZ KASA|90</v>
      </c>
    </row>
    <row r="132" spans="1:21" ht="18" customHeight="1" x14ac:dyDescent="0.3">
      <c r="A132" s="2"/>
      <c r="B132" s="65" t="str">
        <f t="shared" si="5"/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M030</v>
      </c>
      <c r="D132" s="61" t="s">
        <v>603</v>
      </c>
      <c r="E132" s="66">
        <v>46076</v>
      </c>
      <c r="F132" s="67">
        <v>2000</v>
      </c>
      <c r="G132" s="60" t="s">
        <v>717</v>
      </c>
      <c r="H132" s="60" t="s">
        <v>572</v>
      </c>
      <c r="I132" s="61"/>
      <c r="J132" s="61" t="s">
        <v>720</v>
      </c>
      <c r="K132" s="61"/>
      <c r="L132" s="73">
        <f t="shared" si="6"/>
        <v>46054</v>
      </c>
      <c r="M132" s="65" t="str">
        <f t="shared" ca="1" si="7"/>
        <v>UYGUN</v>
      </c>
      <c r="N132" s="74" t="str">
        <f>IF($C132="","",IF($C132="TANIMSIZ MÜŞTERİ","—",INDEX(MUSTERILER!$C$7:$C$156,MATCH($C132,MUSTERILER!$B$7:$B$156,0))))</f>
        <v>FARUK DEMİRCİ</v>
      </c>
      <c r="O132" s="2"/>
      <c r="P132" s="2"/>
      <c r="Q132" s="1" t="str">
        <f>IF($D132="","",$C132&amp;"|"&amp;COUNTIFS($C$7:$C132,$C132))</f>
        <v>M030|1</v>
      </c>
      <c r="R132" s="1" t="str">
        <f t="shared" si="8"/>
        <v>FARUKDEMIRCI</v>
      </c>
      <c r="S132" s="1" t="str">
        <f t="shared" si="9"/>
        <v>M030|46076|2000|</v>
      </c>
      <c r="T132" s="1">
        <f>IF($E132="",0,SUMPRODUCT((AY_SONU!$O$7:$O$42="Evet")*(AY_SONU!$B$7:$B$42=DATE(YEAR($E132),MONTH($E132),1))))</f>
        <v>0</v>
      </c>
      <c r="U132" s="1" t="str">
        <f>IF(OR($G132="",$H132="Mahsup"),"",$G132&amp;"|"&amp;COUNTIFS($G$7:$G132,$G132,$H$7:$H132,"&lt;&gt;Mahsup"))</f>
        <v>MERKEZ KASA|91</v>
      </c>
    </row>
    <row r="133" spans="1:21" ht="18" customHeight="1" x14ac:dyDescent="0.3">
      <c r="A133" s="2"/>
      <c r="B133" s="65" t="str">
        <f t="shared" si="5"/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M003</v>
      </c>
      <c r="D133" s="61" t="s">
        <v>666</v>
      </c>
      <c r="E133" s="66">
        <v>46077</v>
      </c>
      <c r="F133" s="67">
        <v>12000</v>
      </c>
      <c r="G133" s="60" t="s">
        <v>717</v>
      </c>
      <c r="H133" s="60" t="s">
        <v>572</v>
      </c>
      <c r="I133" s="61"/>
      <c r="J133" s="61" t="s">
        <v>720</v>
      </c>
      <c r="K133" s="61"/>
      <c r="L133" s="73">
        <f t="shared" si="6"/>
        <v>46054</v>
      </c>
      <c r="M133" s="65" t="str">
        <f t="shared" ca="1" si="7"/>
        <v>UYGUN</v>
      </c>
      <c r="N133" s="74" t="str">
        <f>IF($C133="","",IF($C133="TANIMSIZ MÜŞTERİ","—",INDEX(MUSTERILER!$C$7:$C$156,MATCH($C133,MUSTERILER!$B$7:$B$156,0))))</f>
        <v>TYANA LTD.ŞTİ.</v>
      </c>
      <c r="O133" s="2"/>
      <c r="P133" s="2"/>
      <c r="Q133" s="1" t="str">
        <f>IF($D133="","",$C133&amp;"|"&amp;COUNTIFS($C$7:$C133,$C133))</f>
        <v>M003|3</v>
      </c>
      <c r="R133" s="1" t="str">
        <f t="shared" si="8"/>
        <v>TYANALTDSTI</v>
      </c>
      <c r="S133" s="1" t="str">
        <f t="shared" si="9"/>
        <v>M003|46077|12000|</v>
      </c>
      <c r="T133" s="1">
        <f>IF($E133="",0,SUMPRODUCT((AY_SONU!$O$7:$O$42="Evet")*(AY_SONU!$B$7:$B$42=DATE(YEAR($E133),MONTH($E133),1))))</f>
        <v>0</v>
      </c>
      <c r="U133" s="1" t="str">
        <f>IF(OR($G133="",$H133="Mahsup"),"",$G133&amp;"|"&amp;COUNTIFS($G$7:$G133,$G133,$H$7:$H133,"&lt;&gt;Mahsup"))</f>
        <v>MERKEZ KASA|92</v>
      </c>
    </row>
    <row r="134" spans="1:21" ht="18" customHeight="1" x14ac:dyDescent="0.3">
      <c r="A134" s="2"/>
      <c r="B134" s="65" t="str">
        <f t="shared" si="5"/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M037</v>
      </c>
      <c r="D134" s="61" t="s">
        <v>625</v>
      </c>
      <c r="E134" s="66">
        <v>46078</v>
      </c>
      <c r="F134" s="67">
        <v>2000</v>
      </c>
      <c r="G134" s="60" t="s">
        <v>723</v>
      </c>
      <c r="H134" s="60" t="s">
        <v>572</v>
      </c>
      <c r="I134" s="61"/>
      <c r="J134" s="61" t="s">
        <v>724</v>
      </c>
      <c r="K134" s="61"/>
      <c r="L134" s="73">
        <f t="shared" si="6"/>
        <v>46054</v>
      </c>
      <c r="M134" s="65" t="str">
        <f t="shared" ca="1" si="7"/>
        <v>UYGUN</v>
      </c>
      <c r="N134" s="74" t="str">
        <f>IF($C134="","",IF($C134="TANIMSIZ MÜŞTERİ","—",INDEX(MUSTERILER!$C$7:$C$156,MATCH($C134,MUSTERILER!$B$7:$B$156,0))))</f>
        <v>MEHMET EVREN KILINÇ</v>
      </c>
      <c r="O134" s="2"/>
      <c r="P134" s="2"/>
      <c r="Q134" s="1" t="str">
        <f>IF($D134="","",$C134&amp;"|"&amp;COUNTIFS($C$7:$C134,$C134))</f>
        <v>M037|1</v>
      </c>
      <c r="R134" s="1" t="str">
        <f t="shared" si="8"/>
        <v>MEHMETEVRENKILINC</v>
      </c>
      <c r="S134" s="1" t="str">
        <f t="shared" si="9"/>
        <v>M037|46078|2000|</v>
      </c>
      <c r="T134" s="1">
        <f>IF($E134="",0,SUMPRODUCT((AY_SONU!$O$7:$O$42="Evet")*(AY_SONU!$B$7:$B$42=DATE(YEAR($E134),MONTH($E134),1))))</f>
        <v>0</v>
      </c>
      <c r="U134" s="1" t="str">
        <f>IF(OR($G134="",$H134="Mahsup"),"",$G134&amp;"|"&amp;COUNTIFS($G$7:$G134,$G134,$H$7:$H134,"&lt;&gt;Mahsup"))</f>
        <v>ÖMER KARTAL|36</v>
      </c>
    </row>
    <row r="135" spans="1:21" ht="18" customHeight="1" x14ac:dyDescent="0.3">
      <c r="A135" s="2"/>
      <c r="B135" s="65" t="str">
        <f t="shared" ref="B135:B198" si="10"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M053</v>
      </c>
      <c r="D135" s="61" t="s">
        <v>676</v>
      </c>
      <c r="E135" s="66">
        <v>46079</v>
      </c>
      <c r="F135" s="67">
        <v>20000</v>
      </c>
      <c r="G135" s="60" t="s">
        <v>717</v>
      </c>
      <c r="H135" s="60" t="s">
        <v>572</v>
      </c>
      <c r="I135" s="61"/>
      <c r="J135" s="61" t="s">
        <v>720</v>
      </c>
      <c r="K135" s="61"/>
      <c r="L135" s="73">
        <f t="shared" ref="L135:L198" si="11">IF($E135="","",DATE(YEAR($E135),MONTH($E135),1))</f>
        <v>46054</v>
      </c>
      <c r="M135" s="65" t="str">
        <f t="shared" ref="M135:M198" ca="1" si="12">IF($D135="","",IF($C135="TANIMSIZ MÜŞTERİ","HATA",IF(OR($E135="",$F135&lt;=0,$G135=""),"EKSİK",IF($E135&gt;TODAY(),"İLERİ TARİH",IF(COUNTIF($S$7:$S$2503,$S135)&gt;1,"MÜKERRER?",IF($T135&gt;0,"KAPALI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YEDİYİRMİDÖRT LTD.ŞTİ.</v>
      </c>
      <c r="O135" s="2"/>
      <c r="P135" s="2"/>
      <c r="Q135" s="1" t="str">
        <f>IF($D135="","",$C135&amp;"|"&amp;COUNTIFS($C$7:$C135,$C135))</f>
        <v>M053|2</v>
      </c>
      <c r="R135" s="1" t="str">
        <f t="shared" ref="R135:R198" si="13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YEDIYIRMIDORTLTDSTI</v>
      </c>
      <c r="S135" s="1" t="str">
        <f t="shared" ref="S135:S198" si="14">IF($D135="","",$C135&amp;"|"&amp;TEXT($E135,"0")&amp;"|"&amp;TEXT($F135,"0")&amp;"|"&amp;$I135)</f>
        <v>M053|46079|20000|</v>
      </c>
      <c r="T135" s="1">
        <f>IF($E135="",0,SUMPRODUCT((AY_SONU!$O$7:$O$42="Evet")*(AY_SONU!$B$7:$B$42=DATE(YEAR($E135),MONTH($E135),1))))</f>
        <v>0</v>
      </c>
      <c r="U135" s="1" t="str">
        <f>IF(OR($G135="",$H135="Mahsup"),"",$G135&amp;"|"&amp;COUNTIFS($G$7:$G135,$G135,$H$7:$H135,"&lt;&gt;Mahsup"))</f>
        <v>MERKEZ KASA|93</v>
      </c>
    </row>
    <row r="136" spans="1:21" ht="18" customHeight="1" x14ac:dyDescent="0.3">
      <c r="A136" s="2"/>
      <c r="B136" s="65" t="str">
        <f t="shared" si="10"/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M023</v>
      </c>
      <c r="D136" s="61" t="s">
        <v>576</v>
      </c>
      <c r="E136" s="66">
        <v>46081</v>
      </c>
      <c r="F136" s="67">
        <v>12000</v>
      </c>
      <c r="G136" s="60" t="s">
        <v>723</v>
      </c>
      <c r="H136" s="60" t="s">
        <v>572</v>
      </c>
      <c r="I136" s="61"/>
      <c r="J136" s="61" t="s">
        <v>725</v>
      </c>
      <c r="K136" s="61"/>
      <c r="L136" s="73">
        <f t="shared" si="11"/>
        <v>46054</v>
      </c>
      <c r="M136" s="65" t="str">
        <f t="shared" ca="1" si="12"/>
        <v>UYGUN</v>
      </c>
      <c r="N136" s="74" t="str">
        <f>IF($C136="","",IF($C136="TANIMSIZ MÜŞTERİ","—",INDEX(MUSTERILER!$C$7:$C$156,MATCH($C136,MUSTERILER!$B$7:$B$156,0))))</f>
        <v>ALTINEL LTD.ŞTİ.</v>
      </c>
      <c r="O136" s="2"/>
      <c r="P136" s="2"/>
      <c r="Q136" s="1" t="str">
        <f>IF($D136="","",$C136&amp;"|"&amp;COUNTIFS($C$7:$C136,$C136))</f>
        <v>M023|2</v>
      </c>
      <c r="R136" s="1" t="str">
        <f t="shared" si="13"/>
        <v>ALTINELLTDSTI</v>
      </c>
      <c r="S136" s="1" t="str">
        <f t="shared" si="14"/>
        <v>M023|46081|12000|</v>
      </c>
      <c r="T136" s="1">
        <f>IF($E136="",0,SUMPRODUCT((AY_SONU!$O$7:$O$42="Evet")*(AY_SONU!$B$7:$B$42=DATE(YEAR($E136),MONTH($E136),1))))</f>
        <v>0</v>
      </c>
      <c r="U136" s="1" t="str">
        <f>IF(OR($G136="",$H136="Mahsup"),"",$G136&amp;"|"&amp;COUNTIFS($G$7:$G136,$G136,$H$7:$H136,"&lt;&gt;Mahsup"))</f>
        <v>ÖMER KARTAL|37</v>
      </c>
    </row>
    <row r="137" spans="1:21" ht="18" customHeight="1" x14ac:dyDescent="0.3">
      <c r="A137" s="2"/>
      <c r="B137" s="65" t="str">
        <f t="shared" si="10"/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M025</v>
      </c>
      <c r="D137" s="61" t="s">
        <v>583</v>
      </c>
      <c r="E137" s="66">
        <v>46081</v>
      </c>
      <c r="F137" s="67">
        <v>2000</v>
      </c>
      <c r="G137" s="60" t="s">
        <v>717</v>
      </c>
      <c r="H137" s="60" t="s">
        <v>572</v>
      </c>
      <c r="I137" s="61"/>
      <c r="J137" s="61" t="s">
        <v>720</v>
      </c>
      <c r="K137" s="61"/>
      <c r="L137" s="73">
        <f t="shared" si="11"/>
        <v>46054</v>
      </c>
      <c r="M137" s="65" t="str">
        <f t="shared" ca="1" si="12"/>
        <v>UYGUN</v>
      </c>
      <c r="N137" s="74" t="str">
        <f>IF($C137="","",IF($C137="TANIMSIZ MÜŞTERİ","—",INDEX(MUSTERILER!$C$7:$C$156,MATCH($C137,MUSTERILER!$B$7:$B$156,0))))</f>
        <v>ASIM AÇIKGÖZ</v>
      </c>
      <c r="O137" s="2"/>
      <c r="P137" s="2"/>
      <c r="Q137" s="1" t="str">
        <f>IF($D137="","",$C137&amp;"|"&amp;COUNTIFS($C$7:$C137,$C137))</f>
        <v>M025|7</v>
      </c>
      <c r="R137" s="1" t="str">
        <f t="shared" si="13"/>
        <v>ASIMACIKGOZ</v>
      </c>
      <c r="S137" s="1" t="str">
        <f t="shared" si="14"/>
        <v>M025|46081|2000|</v>
      </c>
      <c r="T137" s="1">
        <f>IF($E137="",0,SUMPRODUCT((AY_SONU!$O$7:$O$42="Evet")*(AY_SONU!$B$7:$B$42=DATE(YEAR($E137),MONTH($E137),1))))</f>
        <v>0</v>
      </c>
      <c r="U137" s="1" t="str">
        <f>IF(OR($G137="",$H137="Mahsup"),"",$G137&amp;"|"&amp;COUNTIFS($G$7:$G137,$G137,$H$7:$H137,"&lt;&gt;Mahsup"))</f>
        <v>MERKEZ KASA|94</v>
      </c>
    </row>
    <row r="138" spans="1:21" ht="18" customHeight="1" x14ac:dyDescent="0.3">
      <c r="A138" s="2"/>
      <c r="B138" s="65" t="str">
        <f t="shared" si="10"/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M014</v>
      </c>
      <c r="D138" s="61" t="s">
        <v>731</v>
      </c>
      <c r="E138" s="66">
        <v>46081</v>
      </c>
      <c r="F138" s="67">
        <v>4000</v>
      </c>
      <c r="G138" s="60" t="s">
        <v>717</v>
      </c>
      <c r="H138" s="60" t="s">
        <v>572</v>
      </c>
      <c r="I138" s="61"/>
      <c r="J138" s="61" t="s">
        <v>720</v>
      </c>
      <c r="K138" s="61"/>
      <c r="L138" s="73">
        <f t="shared" si="11"/>
        <v>46054</v>
      </c>
      <c r="M138" s="65" t="str">
        <f t="shared" ca="1" si="12"/>
        <v>UYGUN</v>
      </c>
      <c r="N138" s="74" t="str">
        <f>IF($C138="","",IF($C138="TANIMSIZ MÜŞTERİ","—",INDEX(MUSTERILER!$C$7:$C$156,MATCH($C138,MUSTERILER!$B$7:$B$156,0))))</f>
        <v>FİNAL SİYAH BEYAZ LTD.ŞTİ.</v>
      </c>
      <c r="O138" s="2"/>
      <c r="P138" s="2"/>
      <c r="Q138" s="1" t="str">
        <f>IF($D138="","",$C138&amp;"|"&amp;COUNTIFS($C$7:$C138,$C138))</f>
        <v>M014|7</v>
      </c>
      <c r="R138" s="1" t="str">
        <f t="shared" si="13"/>
        <v>FINALSIYAHBEYAZLTDSTI</v>
      </c>
      <c r="S138" s="1" t="str">
        <f t="shared" si="14"/>
        <v>M014|46081|4000|</v>
      </c>
      <c r="T138" s="1">
        <f>IF($E138="",0,SUMPRODUCT((AY_SONU!$O$7:$O$42="Evet")*(AY_SONU!$B$7:$B$42=DATE(YEAR($E138),MONTH($E138),1))))</f>
        <v>0</v>
      </c>
      <c r="U138" s="1" t="str">
        <f>IF(OR($G138="",$H138="Mahsup"),"",$G138&amp;"|"&amp;COUNTIFS($G$7:$G138,$G138,$H$7:$H138,"&lt;&gt;Mahsup"))</f>
        <v>MERKEZ KASA|95</v>
      </c>
    </row>
    <row r="139" spans="1:21" ht="18" customHeight="1" x14ac:dyDescent="0.3">
      <c r="A139" s="2"/>
      <c r="B139" s="65" t="str">
        <f t="shared" si="10"/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M012</v>
      </c>
      <c r="D139" s="61" t="s">
        <v>721</v>
      </c>
      <c r="E139" s="66">
        <v>46081</v>
      </c>
      <c r="F139" s="67">
        <v>4000</v>
      </c>
      <c r="G139" s="60" t="s">
        <v>717</v>
      </c>
      <c r="H139" s="60" t="s">
        <v>572</v>
      </c>
      <c r="I139" s="61"/>
      <c r="J139" s="61" t="s">
        <v>720</v>
      </c>
      <c r="K139" s="61"/>
      <c r="L139" s="73">
        <f t="shared" si="11"/>
        <v>46054</v>
      </c>
      <c r="M139" s="65" t="str">
        <f t="shared" ca="1" si="12"/>
        <v>UYGUN</v>
      </c>
      <c r="N139" s="74" t="str">
        <f>IF($C139="","",IF($C139="TANIMSIZ MÜŞTERİ","—",INDEX(MUSTERILER!$C$7:$C$156,MATCH($C139,MUSTERILER!$B$7:$B$156,0))))</f>
        <v>İLDEŞ LTD.ŞTİ.</v>
      </c>
      <c r="O139" s="2"/>
      <c r="P139" s="2"/>
      <c r="Q139" s="1" t="str">
        <f>IF($D139="","",$C139&amp;"|"&amp;COUNTIFS($C$7:$C139,$C139))</f>
        <v>M012|7</v>
      </c>
      <c r="R139" s="1" t="str">
        <f t="shared" si="13"/>
        <v>ILDESLTDSTI</v>
      </c>
      <c r="S139" s="1" t="str">
        <f t="shared" si="14"/>
        <v>M012|46081|4000|</v>
      </c>
      <c r="T139" s="1">
        <f>IF($E139="",0,SUMPRODUCT((AY_SONU!$O$7:$O$42="Evet")*(AY_SONU!$B$7:$B$42=DATE(YEAR($E139),MONTH($E139),1))))</f>
        <v>0</v>
      </c>
      <c r="U139" s="1" t="str">
        <f>IF(OR($G139="",$H139="Mahsup"),"",$G139&amp;"|"&amp;COUNTIFS($G$7:$G139,$G139,$H$7:$H139,"&lt;&gt;Mahsup"))</f>
        <v>MERKEZ KASA|96</v>
      </c>
    </row>
    <row r="140" spans="1:21" ht="18" customHeight="1" x14ac:dyDescent="0.3">
      <c r="A140" s="2"/>
      <c r="B140" s="65" t="str">
        <f t="shared" si="10"/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M004</v>
      </c>
      <c r="D140" s="61" t="s">
        <v>738</v>
      </c>
      <c r="E140" s="66">
        <v>46081</v>
      </c>
      <c r="F140" s="67">
        <v>3500</v>
      </c>
      <c r="G140" s="60" t="s">
        <v>717</v>
      </c>
      <c r="H140" s="60" t="s">
        <v>572</v>
      </c>
      <c r="I140" s="61"/>
      <c r="J140" s="61" t="s">
        <v>720</v>
      </c>
      <c r="K140" s="61"/>
      <c r="L140" s="73">
        <f t="shared" si="11"/>
        <v>46054</v>
      </c>
      <c r="M140" s="65" t="str">
        <f t="shared" ca="1" si="12"/>
        <v>UYGUN</v>
      </c>
      <c r="N140" s="74" t="str">
        <f>IF($C140="","",IF($C140="TANIMSIZ MÜŞTERİ","—",INDEX(MUSTERILER!$C$7:$C$156,MATCH($C140,MUSTERILER!$B$7:$B$156,0))))</f>
        <v>ZÜMRÜT EĞLENCE LTD.ŞTİ.</v>
      </c>
      <c r="O140" s="2"/>
      <c r="P140" s="2"/>
      <c r="Q140" s="1" t="str">
        <f>IF($D140="","",$C140&amp;"|"&amp;COUNTIFS($C$7:$C140,$C140))</f>
        <v>M004|5</v>
      </c>
      <c r="R140" s="1" t="str">
        <f t="shared" si="13"/>
        <v>ZUMRUTEGLENCELTDSTI</v>
      </c>
      <c r="S140" s="1" t="str">
        <f t="shared" si="14"/>
        <v>M004|46081|3500|</v>
      </c>
      <c r="T140" s="1">
        <f>IF($E140="",0,SUMPRODUCT((AY_SONU!$O$7:$O$42="Evet")*(AY_SONU!$B$7:$B$42=DATE(YEAR($E140),MONTH($E140),1))))</f>
        <v>0</v>
      </c>
      <c r="U140" s="1" t="str">
        <f>IF(OR($G140="",$H140="Mahsup"),"",$G140&amp;"|"&amp;COUNTIFS($G$7:$G140,$G140,$H$7:$H140,"&lt;&gt;Mahsup"))</f>
        <v>MERKEZ KASA|97</v>
      </c>
    </row>
    <row r="141" spans="1:21" ht="18" customHeight="1" x14ac:dyDescent="0.3">
      <c r="A141" s="2"/>
      <c r="B141" s="65" t="str">
        <f t="shared" si="10"/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M011</v>
      </c>
      <c r="D141" s="61" t="s">
        <v>597</v>
      </c>
      <c r="E141" s="66">
        <v>46081</v>
      </c>
      <c r="F141" s="67">
        <v>3000</v>
      </c>
      <c r="G141" s="60" t="s">
        <v>717</v>
      </c>
      <c r="H141" s="60" t="s">
        <v>572</v>
      </c>
      <c r="I141" s="61"/>
      <c r="J141" s="61" t="s">
        <v>720</v>
      </c>
      <c r="K141" s="61"/>
      <c r="L141" s="73">
        <f t="shared" si="11"/>
        <v>46054</v>
      </c>
      <c r="M141" s="65" t="str">
        <f t="shared" ca="1" si="12"/>
        <v>UYGUN</v>
      </c>
      <c r="N141" s="74" t="str">
        <f>IF($C141="","",IF($C141="TANIMSIZ MÜŞTERİ","—",INDEX(MUSTERILER!$C$7:$C$156,MATCH($C141,MUSTERILER!$B$7:$B$156,0))))</f>
        <v>EĞLENGÖR LTD.ŞTİ.</v>
      </c>
      <c r="O141" s="2"/>
      <c r="P141" s="2"/>
      <c r="Q141" s="1" t="str">
        <f>IF($D141="","",$C141&amp;"|"&amp;COUNTIFS($C$7:$C141,$C141))</f>
        <v>M011|8</v>
      </c>
      <c r="R141" s="1" t="str">
        <f t="shared" si="13"/>
        <v>EGLENGORLTDSTI</v>
      </c>
      <c r="S141" s="1" t="str">
        <f t="shared" si="14"/>
        <v>M011|46081|3000|</v>
      </c>
      <c r="T141" s="1">
        <f>IF($E141="",0,SUMPRODUCT((AY_SONU!$O$7:$O$42="Evet")*(AY_SONU!$B$7:$B$42=DATE(YEAR($E141),MONTH($E141),1))))</f>
        <v>0</v>
      </c>
      <c r="U141" s="1" t="str">
        <f>IF(OR($G141="",$H141="Mahsup"),"",$G141&amp;"|"&amp;COUNTIFS($G$7:$G141,$G141,$H$7:$H141,"&lt;&gt;Mahsup"))</f>
        <v>MERKEZ KASA|98</v>
      </c>
    </row>
    <row r="142" spans="1:21" ht="18" customHeight="1" x14ac:dyDescent="0.3">
      <c r="A142" s="2"/>
      <c r="B142" s="65" t="str">
        <f t="shared" si="10"/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61" t="s">
        <v>623</v>
      </c>
      <c r="E142" s="66">
        <v>46081</v>
      </c>
      <c r="F142" s="67">
        <v>3000</v>
      </c>
      <c r="G142" s="60" t="s">
        <v>717</v>
      </c>
      <c r="H142" s="60" t="s">
        <v>572</v>
      </c>
      <c r="I142" s="61"/>
      <c r="J142" s="61" t="s">
        <v>720</v>
      </c>
      <c r="K142" s="61"/>
      <c r="L142" s="73">
        <f t="shared" si="11"/>
        <v>46054</v>
      </c>
      <c r="M142" s="65" t="str">
        <f t="shared" ca="1" si="12"/>
        <v>UYGUN</v>
      </c>
      <c r="N142" s="74" t="str">
        <f>IF($C142="","",IF($C142="TANIMSIZ MÜŞTERİ","—",INDEX(MUSTERILER!$C$7:$C$156,MATCH($C142,MUSTERILER!$B$7:$B$156,0))))</f>
        <v>KRİSTAL LTD.ŞTİ.</v>
      </c>
      <c r="O142" s="2"/>
      <c r="P142" s="2"/>
      <c r="Q142" s="1" t="str">
        <f>IF($D142="","",$C142&amp;"|"&amp;COUNTIFS($C$7:$C142,$C142))</f>
        <v>M020|8</v>
      </c>
      <c r="R142" s="1" t="str">
        <f t="shared" si="13"/>
        <v>KRISTALLTDSTI</v>
      </c>
      <c r="S142" s="1" t="str">
        <f t="shared" si="14"/>
        <v>M020|46081|3000|</v>
      </c>
      <c r="T142" s="1">
        <f>IF($E142="",0,SUMPRODUCT((AY_SONU!$O$7:$O$42="Evet")*(AY_SONU!$B$7:$B$42=DATE(YEAR($E142),MONTH($E142),1))))</f>
        <v>0</v>
      </c>
      <c r="U142" s="1" t="str">
        <f>IF(OR($G142="",$H142="Mahsup"),"",$G142&amp;"|"&amp;COUNTIFS($G$7:$G142,$G142,$H$7:$H142,"&lt;&gt;Mahsup"))</f>
        <v>MERKEZ KASA|99</v>
      </c>
    </row>
    <row r="143" spans="1:21" ht="18" customHeight="1" x14ac:dyDescent="0.3">
      <c r="A143" s="2"/>
      <c r="B143" s="65" t="str">
        <f t="shared" si="10"/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M033</v>
      </c>
      <c r="D143" s="61" t="s">
        <v>617</v>
      </c>
      <c r="E143" s="66">
        <v>46081</v>
      </c>
      <c r="F143" s="67">
        <v>5000</v>
      </c>
      <c r="G143" s="60" t="s">
        <v>723</v>
      </c>
      <c r="H143" s="60" t="s">
        <v>572</v>
      </c>
      <c r="I143" s="61"/>
      <c r="J143" s="61" t="s">
        <v>724</v>
      </c>
      <c r="K143" s="61"/>
      <c r="L143" s="73">
        <f t="shared" si="11"/>
        <v>46054</v>
      </c>
      <c r="M143" s="65" t="str">
        <f t="shared" ca="1" si="12"/>
        <v>UYGUN</v>
      </c>
      <c r="N143" s="74" t="str">
        <f>IF($C143="","",IF($C143="TANIMSIZ MÜŞTERİ","—",INDEX(MUSTERILER!$C$7:$C$156,MATCH($C143,MUSTERILER!$B$7:$B$156,0))))</f>
        <v>IŞIL GRUP LTD.ŞTİ.</v>
      </c>
      <c r="O143" s="2"/>
      <c r="P143" s="2"/>
      <c r="Q143" s="1" t="str">
        <f>IF($D143="","",$C143&amp;"|"&amp;COUNTIFS($C$7:$C143,$C143))</f>
        <v>M033|1</v>
      </c>
      <c r="R143" s="1" t="str">
        <f t="shared" si="13"/>
        <v>ISILGRUPLTDSTI</v>
      </c>
      <c r="S143" s="1" t="str">
        <f t="shared" si="14"/>
        <v>M033|46081|5000|</v>
      </c>
      <c r="T143" s="1">
        <f>IF($E143="",0,SUMPRODUCT((AY_SONU!$O$7:$O$42="Evet")*(AY_SONU!$B$7:$B$42=DATE(YEAR($E143),MONTH($E143),1))))</f>
        <v>0</v>
      </c>
      <c r="U143" s="1" t="str">
        <f>IF(OR($G143="",$H143="Mahsup"),"",$G143&amp;"|"&amp;COUNTIFS($G$7:$G143,$G143,$H$7:$H143,"&lt;&gt;Mahsup"))</f>
        <v>ÖMER KARTAL|38</v>
      </c>
    </row>
    <row r="144" spans="1:21" ht="18" customHeight="1" x14ac:dyDescent="0.3">
      <c r="A144" s="2"/>
      <c r="B144" s="65" t="str">
        <f t="shared" si="10"/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M053</v>
      </c>
      <c r="D144" s="61" t="s">
        <v>676</v>
      </c>
      <c r="E144" s="66">
        <v>46082</v>
      </c>
      <c r="F144" s="67">
        <v>10000</v>
      </c>
      <c r="G144" s="60" t="s">
        <v>723</v>
      </c>
      <c r="H144" s="60" t="s">
        <v>572</v>
      </c>
      <c r="I144" s="61"/>
      <c r="J144" s="61" t="s">
        <v>720</v>
      </c>
      <c r="K144" s="61"/>
      <c r="L144" s="73">
        <f t="shared" si="11"/>
        <v>46082</v>
      </c>
      <c r="M144" s="65" t="str">
        <f t="shared" ca="1" si="12"/>
        <v>UYGUN</v>
      </c>
      <c r="N144" s="74" t="str">
        <f>IF($C144="","",IF($C144="TANIMSIZ MÜŞTERİ","—",INDEX(MUSTERILER!$C$7:$C$156,MATCH($C144,MUSTERILER!$B$7:$B$156,0))))</f>
        <v>YEDİYİRMİDÖRT LTD.ŞTİ.</v>
      </c>
      <c r="O144" s="2"/>
      <c r="P144" s="2"/>
      <c r="Q144" s="1" t="str">
        <f>IF($D144="","",$C144&amp;"|"&amp;COUNTIFS($C$7:$C144,$C144))</f>
        <v>M053|3</v>
      </c>
      <c r="R144" s="1" t="str">
        <f t="shared" si="13"/>
        <v>YEDIYIRMIDORTLTDSTI</v>
      </c>
      <c r="S144" s="1" t="str">
        <f t="shared" si="14"/>
        <v>M053|46082|10000|</v>
      </c>
      <c r="T144" s="1">
        <f>IF($E144="",0,SUMPRODUCT((AY_SONU!$O$7:$O$42="Evet")*(AY_SONU!$B$7:$B$42=DATE(YEAR($E144),MONTH($E144),1))))</f>
        <v>0</v>
      </c>
      <c r="U144" s="1" t="str">
        <f>IF(OR($G144="",$H144="Mahsup"),"",$G144&amp;"|"&amp;COUNTIFS($G$7:$G144,$G144,$H$7:$H144,"&lt;&gt;Mahsup"))</f>
        <v>ÖMER KARTAL|39</v>
      </c>
    </row>
    <row r="145" spans="1:21" ht="18" customHeight="1" x14ac:dyDescent="0.3">
      <c r="A145" s="2"/>
      <c r="B145" s="65" t="str">
        <f t="shared" si="10"/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M021</v>
      </c>
      <c r="D145" s="61" t="s">
        <v>581</v>
      </c>
      <c r="E145" s="66">
        <v>46088</v>
      </c>
      <c r="F145" s="67">
        <v>10000</v>
      </c>
      <c r="G145" s="60" t="s">
        <v>717</v>
      </c>
      <c r="H145" s="60" t="s">
        <v>572</v>
      </c>
      <c r="I145" s="61"/>
      <c r="J145" s="61" t="s">
        <v>720</v>
      </c>
      <c r="K145" s="61"/>
      <c r="L145" s="73">
        <f t="shared" si="11"/>
        <v>46082</v>
      </c>
      <c r="M145" s="65" t="str">
        <f t="shared" ca="1" si="12"/>
        <v>UYGUN</v>
      </c>
      <c r="N145" s="74" t="str">
        <f>IF($C145="","",IF($C145="TANIMSIZ MÜŞTERİ","—",INDEX(MUSTERILER!$C$7:$C$156,MATCH($C145,MUSTERILER!$B$7:$B$156,0))))</f>
        <v>ARON TOPTAN LTD.ŞTİ.</v>
      </c>
      <c r="O145" s="2"/>
      <c r="P145" s="2"/>
      <c r="Q145" s="1" t="str">
        <f>IF($D145="","",$C145&amp;"|"&amp;COUNTIFS($C$7:$C145,$C145))</f>
        <v>M021|2</v>
      </c>
      <c r="R145" s="1" t="str">
        <f t="shared" si="13"/>
        <v>ARONTOPTANLTDSTI</v>
      </c>
      <c r="S145" s="1" t="str">
        <f t="shared" si="14"/>
        <v>M021|46088|10000|</v>
      </c>
      <c r="T145" s="1">
        <f>IF($E145="",0,SUMPRODUCT((AY_SONU!$O$7:$O$42="Evet")*(AY_SONU!$B$7:$B$42=DATE(YEAR($E145),MONTH($E145),1))))</f>
        <v>0</v>
      </c>
      <c r="U145" s="1" t="str">
        <f>IF(OR($G145="",$H145="Mahsup"),"",$G145&amp;"|"&amp;COUNTIFS($G$7:$G145,$G145,$H$7:$H145,"&lt;&gt;Mahsup"))</f>
        <v>MERKEZ KASA|100</v>
      </c>
    </row>
    <row r="146" spans="1:21" ht="18" customHeight="1" x14ac:dyDescent="0.3">
      <c r="A146" s="2"/>
      <c r="B146" s="65" t="str">
        <f t="shared" si="10"/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M025</v>
      </c>
      <c r="D146" s="61" t="s">
        <v>583</v>
      </c>
      <c r="E146" s="66">
        <v>46088</v>
      </c>
      <c r="F146" s="67">
        <v>2000</v>
      </c>
      <c r="G146" s="60" t="s">
        <v>717</v>
      </c>
      <c r="H146" s="60" t="s">
        <v>572</v>
      </c>
      <c r="I146" s="61"/>
      <c r="J146" s="61" t="s">
        <v>720</v>
      </c>
      <c r="K146" s="61"/>
      <c r="L146" s="73">
        <f t="shared" si="11"/>
        <v>46082</v>
      </c>
      <c r="M146" s="65" t="str">
        <f t="shared" ca="1" si="12"/>
        <v>UYGUN</v>
      </c>
      <c r="N146" s="74" t="str">
        <f>IF($C146="","",IF($C146="TANIMSIZ MÜŞTERİ","—",INDEX(MUSTERILER!$C$7:$C$156,MATCH($C146,MUSTERILER!$B$7:$B$156,0))))</f>
        <v>ASIM AÇIKGÖZ</v>
      </c>
      <c r="O146" s="2"/>
      <c r="P146" s="2"/>
      <c r="Q146" s="1" t="str">
        <f>IF($D146="","",$C146&amp;"|"&amp;COUNTIFS($C$7:$C146,$C146))</f>
        <v>M025|8</v>
      </c>
      <c r="R146" s="1" t="str">
        <f t="shared" si="13"/>
        <v>ASIMACIKGOZ</v>
      </c>
      <c r="S146" s="1" t="str">
        <f t="shared" si="14"/>
        <v>M025|46088|2000|</v>
      </c>
      <c r="T146" s="1">
        <f>IF($E146="",0,SUMPRODUCT((AY_SONU!$O$7:$O$42="Evet")*(AY_SONU!$B$7:$B$42=DATE(YEAR($E146),MONTH($E146),1))))</f>
        <v>0</v>
      </c>
      <c r="U146" s="1" t="str">
        <f>IF(OR($G146="",$H146="Mahsup"),"",$G146&amp;"|"&amp;COUNTIFS($G$7:$G146,$G146,$H$7:$H146,"&lt;&gt;Mahsup"))</f>
        <v>MERKEZ KASA|101</v>
      </c>
    </row>
    <row r="147" spans="1:21" ht="18" customHeight="1" x14ac:dyDescent="0.3">
      <c r="A147" s="2"/>
      <c r="B147" s="65" t="str">
        <f t="shared" si="10"/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M017</v>
      </c>
      <c r="D147" s="61" t="s">
        <v>585</v>
      </c>
      <c r="E147" s="66">
        <v>46088</v>
      </c>
      <c r="F147" s="67">
        <v>2500</v>
      </c>
      <c r="G147" s="60" t="s">
        <v>717</v>
      </c>
      <c r="H147" s="60" t="s">
        <v>572</v>
      </c>
      <c r="I147" s="61"/>
      <c r="J147" s="61" t="s">
        <v>720</v>
      </c>
      <c r="K147" s="61"/>
      <c r="L147" s="73">
        <f t="shared" si="11"/>
        <v>46082</v>
      </c>
      <c r="M147" s="65" t="str">
        <f t="shared" ca="1" si="12"/>
        <v>UYGUN</v>
      </c>
      <c r="N147" s="74" t="str">
        <f>IF($C147="","",IF($C147="TANIMSIZ MÜŞTERİ","—",INDEX(MUSTERILER!$C$7:$C$156,MATCH($C147,MUSTERILER!$B$7:$B$156,0))))</f>
        <v>ASM EĞLENCE LTD.ŞTİ.</v>
      </c>
      <c r="O147" s="2"/>
      <c r="P147" s="2"/>
      <c r="Q147" s="1" t="str">
        <f>IF($D147="","",$C147&amp;"|"&amp;COUNTIFS($C$7:$C147,$C147))</f>
        <v>M017|8</v>
      </c>
      <c r="R147" s="1" t="str">
        <f t="shared" si="13"/>
        <v>ASMEGLENCELTDSTI</v>
      </c>
      <c r="S147" s="1" t="str">
        <f t="shared" si="14"/>
        <v>M017|46088|2500|</v>
      </c>
      <c r="T147" s="1">
        <f>IF($E147="",0,SUMPRODUCT((AY_SONU!$O$7:$O$42="Evet")*(AY_SONU!$B$7:$B$42=DATE(YEAR($E147),MONTH($E147),1))))</f>
        <v>0</v>
      </c>
      <c r="U147" s="1" t="str">
        <f>IF(OR($G147="",$H147="Mahsup"),"",$G147&amp;"|"&amp;COUNTIFS($G$7:$G147,$G147,$H$7:$H147,"&lt;&gt;Mahsup"))</f>
        <v>MERKEZ KASA|102</v>
      </c>
    </row>
    <row r="148" spans="1:21" ht="18" customHeight="1" x14ac:dyDescent="0.3">
      <c r="A148" s="2"/>
      <c r="B148" s="65" t="str">
        <f t="shared" si="10"/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M014</v>
      </c>
      <c r="D148" s="61" t="s">
        <v>731</v>
      </c>
      <c r="E148" s="66">
        <v>46088</v>
      </c>
      <c r="F148" s="67">
        <v>2000</v>
      </c>
      <c r="G148" s="60" t="s">
        <v>717</v>
      </c>
      <c r="H148" s="60" t="s">
        <v>572</v>
      </c>
      <c r="I148" s="61"/>
      <c r="J148" s="61" t="s">
        <v>720</v>
      </c>
      <c r="K148" s="61"/>
      <c r="L148" s="73">
        <f t="shared" si="11"/>
        <v>46082</v>
      </c>
      <c r="M148" s="65" t="str">
        <f t="shared" ca="1" si="12"/>
        <v>UYGUN</v>
      </c>
      <c r="N148" s="74" t="str">
        <f>IF($C148="","",IF($C148="TANIMSIZ MÜŞTERİ","—",INDEX(MUSTERILER!$C$7:$C$156,MATCH($C148,MUSTERILER!$B$7:$B$156,0))))</f>
        <v>FİNAL SİYAH BEYAZ LTD.ŞTİ.</v>
      </c>
      <c r="O148" s="2"/>
      <c r="P148" s="2"/>
      <c r="Q148" s="1" t="str">
        <f>IF($D148="","",$C148&amp;"|"&amp;COUNTIFS($C$7:$C148,$C148))</f>
        <v>M014|8</v>
      </c>
      <c r="R148" s="1" t="str">
        <f t="shared" si="13"/>
        <v>FINALSIYAHBEYAZLTDSTI</v>
      </c>
      <c r="S148" s="1" t="str">
        <f t="shared" si="14"/>
        <v>M014|46088|2000|</v>
      </c>
      <c r="T148" s="1">
        <f>IF($E148="",0,SUMPRODUCT((AY_SONU!$O$7:$O$42="Evet")*(AY_SONU!$B$7:$B$42=DATE(YEAR($E148),MONTH($E148),1))))</f>
        <v>0</v>
      </c>
      <c r="U148" s="1" t="str">
        <f>IF(OR($G148="",$H148="Mahsup"),"",$G148&amp;"|"&amp;COUNTIFS($G$7:$G148,$G148,$H$7:$H148,"&lt;&gt;Mahsup"))</f>
        <v>MERKEZ KASA|103</v>
      </c>
    </row>
    <row r="149" spans="1:21" ht="18" customHeight="1" x14ac:dyDescent="0.3">
      <c r="A149" s="2"/>
      <c r="B149" s="65" t="str">
        <f t="shared" si="10"/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M012</v>
      </c>
      <c r="D149" s="61" t="s">
        <v>721</v>
      </c>
      <c r="E149" s="66">
        <v>46088</v>
      </c>
      <c r="F149" s="67">
        <v>4000</v>
      </c>
      <c r="G149" s="60" t="s">
        <v>717</v>
      </c>
      <c r="H149" s="60" t="s">
        <v>572</v>
      </c>
      <c r="I149" s="61"/>
      <c r="J149" s="61" t="s">
        <v>720</v>
      </c>
      <c r="K149" s="61"/>
      <c r="L149" s="73">
        <f t="shared" si="11"/>
        <v>46082</v>
      </c>
      <c r="M149" s="65" t="str">
        <f t="shared" ca="1" si="12"/>
        <v>UYGUN</v>
      </c>
      <c r="N149" s="74" t="str">
        <f>IF($C149="","",IF($C149="TANIMSIZ MÜŞTERİ","—",INDEX(MUSTERILER!$C$7:$C$156,MATCH($C149,MUSTERILER!$B$7:$B$156,0))))</f>
        <v>İLDEŞ LTD.ŞTİ.</v>
      </c>
      <c r="O149" s="2"/>
      <c r="P149" s="2"/>
      <c r="Q149" s="1" t="str">
        <f>IF($D149="","",$C149&amp;"|"&amp;COUNTIFS($C$7:$C149,$C149))</f>
        <v>M012|8</v>
      </c>
      <c r="R149" s="1" t="str">
        <f t="shared" si="13"/>
        <v>ILDESLTDSTI</v>
      </c>
      <c r="S149" s="1" t="str">
        <f t="shared" si="14"/>
        <v>M012|46088|4000|</v>
      </c>
      <c r="T149" s="1">
        <f>IF($E149="",0,SUMPRODUCT((AY_SONU!$O$7:$O$42="Evet")*(AY_SONU!$B$7:$B$42=DATE(YEAR($E149),MONTH($E149),1))))</f>
        <v>0</v>
      </c>
      <c r="U149" s="1" t="str">
        <f>IF(OR($G149="",$H149="Mahsup"),"",$G149&amp;"|"&amp;COUNTIFS($G$7:$G149,$G149,$H$7:$H149,"&lt;&gt;Mahsup"))</f>
        <v>MERKEZ KASA|104</v>
      </c>
    </row>
    <row r="150" spans="1:21" ht="18" customHeight="1" x14ac:dyDescent="0.3">
      <c r="A150" s="2"/>
      <c r="B150" s="65" t="str">
        <f t="shared" si="10"/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M010</v>
      </c>
      <c r="D150" s="61" t="s">
        <v>737</v>
      </c>
      <c r="E150" s="66">
        <v>46088</v>
      </c>
      <c r="F150" s="67">
        <v>4000</v>
      </c>
      <c r="G150" s="60" t="s">
        <v>717</v>
      </c>
      <c r="H150" s="60" t="s">
        <v>572</v>
      </c>
      <c r="I150" s="61"/>
      <c r="J150" s="61" t="s">
        <v>720</v>
      </c>
      <c r="K150" s="61"/>
      <c r="L150" s="73">
        <f t="shared" si="11"/>
        <v>46082</v>
      </c>
      <c r="M150" s="65" t="str">
        <f t="shared" ca="1" si="12"/>
        <v>UYGUN</v>
      </c>
      <c r="N150" s="74" t="str">
        <f>IF($C150="","",IF($C150="TANIMSIZ MÜŞTERİ","—",INDEX(MUSTERILER!$C$7:$C$156,MATCH($C150,MUSTERILER!$B$7:$B$156,0))))</f>
        <v>ÖZFİDANLAR LTD.ŞTİ.</v>
      </c>
      <c r="O150" s="2"/>
      <c r="P150" s="2"/>
      <c r="Q150" s="1" t="str">
        <f>IF($D150="","",$C150&amp;"|"&amp;COUNTIFS($C$7:$C150,$C150))</f>
        <v>M010|6</v>
      </c>
      <c r="R150" s="1" t="str">
        <f t="shared" si="13"/>
        <v>OZFIDANLARLTDSTI</v>
      </c>
      <c r="S150" s="1" t="str">
        <f t="shared" si="14"/>
        <v>M010|46088|4000|</v>
      </c>
      <c r="T150" s="1">
        <f>IF($E150="",0,SUMPRODUCT((AY_SONU!$O$7:$O$42="Evet")*(AY_SONU!$B$7:$B$42=DATE(YEAR($E150),MONTH($E150),1))))</f>
        <v>0</v>
      </c>
      <c r="U150" s="1" t="str">
        <f>IF(OR($G150="",$H150="Mahsup"),"",$G150&amp;"|"&amp;COUNTIFS($G$7:$G150,$G150,$H$7:$H150,"&lt;&gt;Mahsup"))</f>
        <v>MERKEZ KASA|105</v>
      </c>
    </row>
    <row r="151" spans="1:21" ht="18" customHeight="1" x14ac:dyDescent="0.3">
      <c r="A151" s="2"/>
      <c r="B151" s="65" t="str">
        <f t="shared" si="10"/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M016</v>
      </c>
      <c r="D151" s="61" t="s">
        <v>736</v>
      </c>
      <c r="E151" s="66">
        <v>46088</v>
      </c>
      <c r="F151" s="67">
        <v>3000</v>
      </c>
      <c r="G151" s="60" t="s">
        <v>717</v>
      </c>
      <c r="H151" s="60" t="s">
        <v>572</v>
      </c>
      <c r="I151" s="61"/>
      <c r="J151" s="61" t="s">
        <v>720</v>
      </c>
      <c r="K151" s="61"/>
      <c r="L151" s="73">
        <f t="shared" si="11"/>
        <v>46082</v>
      </c>
      <c r="M151" s="65" t="str">
        <f t="shared" ca="1" si="12"/>
        <v>UYGUN</v>
      </c>
      <c r="N151" s="74" t="str">
        <f>IF($C151="","",IF($C151="TANIMSIZ MÜŞTERİ","—",INDEX(MUSTERILER!$C$7:$C$156,MATCH($C151,MUSTERILER!$B$7:$B$156,0))))</f>
        <v>RİX ŞOW LTD.ŞTİ.</v>
      </c>
      <c r="O151" s="2"/>
      <c r="P151" s="2"/>
      <c r="Q151" s="1" t="str">
        <f>IF($D151="","",$C151&amp;"|"&amp;COUNTIFS($C$7:$C151,$C151))</f>
        <v>M016|9</v>
      </c>
      <c r="R151" s="1" t="str">
        <f t="shared" si="13"/>
        <v>RIXSOWLTDSTI</v>
      </c>
      <c r="S151" s="1" t="str">
        <f t="shared" si="14"/>
        <v>M016|46088|3000|</v>
      </c>
      <c r="T151" s="1">
        <f>IF($E151="",0,SUMPRODUCT((AY_SONU!$O$7:$O$42="Evet")*(AY_SONU!$B$7:$B$42=DATE(YEAR($E151),MONTH($E151),1))))</f>
        <v>0</v>
      </c>
      <c r="U151" s="1" t="str">
        <f>IF(OR($G151="",$H151="Mahsup"),"",$G151&amp;"|"&amp;COUNTIFS($G$7:$G151,$G151,$H$7:$H151,"&lt;&gt;Mahsup"))</f>
        <v>MERKEZ KASA|106</v>
      </c>
    </row>
    <row r="152" spans="1:21" ht="18" customHeight="1" x14ac:dyDescent="0.3">
      <c r="A152" s="2"/>
      <c r="B152" s="65" t="str">
        <f t="shared" si="10"/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M005</v>
      </c>
      <c r="D152" s="61" t="s">
        <v>722</v>
      </c>
      <c r="E152" s="66">
        <v>46088</v>
      </c>
      <c r="F152" s="67">
        <v>1750</v>
      </c>
      <c r="G152" s="60" t="s">
        <v>717</v>
      </c>
      <c r="H152" s="60" t="s">
        <v>572</v>
      </c>
      <c r="I152" s="61"/>
      <c r="J152" s="61" t="s">
        <v>720</v>
      </c>
      <c r="K152" s="61"/>
      <c r="L152" s="73">
        <f t="shared" si="11"/>
        <v>46082</v>
      </c>
      <c r="M152" s="65" t="str">
        <f t="shared" ca="1" si="12"/>
        <v>UYGUN</v>
      </c>
      <c r="N152" s="74" t="str">
        <f>IF($C152="","",IF($C152="TANIMSIZ MÜŞTERİ","—",INDEX(MUSTERILER!$C$7:$C$156,MATCH($C152,MUSTERILER!$B$7:$B$156,0))))</f>
        <v>ZÜMRÜT GRUP LTD.ŞTİ.</v>
      </c>
      <c r="O152" s="2"/>
      <c r="P152" s="2"/>
      <c r="Q152" s="1" t="str">
        <f>IF($D152="","",$C152&amp;"|"&amp;COUNTIFS($C$7:$C152,$C152))</f>
        <v>M005|9</v>
      </c>
      <c r="R152" s="1" t="str">
        <f t="shared" si="13"/>
        <v>ZUMRUTGRUPLTDSTI</v>
      </c>
      <c r="S152" s="1" t="str">
        <f t="shared" si="14"/>
        <v>M005|46088|1750|</v>
      </c>
      <c r="T152" s="1">
        <f>IF($E152="",0,SUMPRODUCT((AY_SONU!$O$7:$O$42="Evet")*(AY_SONU!$B$7:$B$42=DATE(YEAR($E152),MONTH($E152),1))))</f>
        <v>0</v>
      </c>
      <c r="U152" s="1" t="str">
        <f>IF(OR($G152="",$H152="Mahsup"),"",$G152&amp;"|"&amp;COUNTIFS($G$7:$G152,$G152,$H$7:$H152,"&lt;&gt;Mahsup"))</f>
        <v>MERKEZ KASA|107</v>
      </c>
    </row>
    <row r="153" spans="1:21" ht="18" customHeight="1" x14ac:dyDescent="0.3">
      <c r="A153" s="2"/>
      <c r="B153" s="65" t="str">
        <f t="shared" si="10"/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M054</v>
      </c>
      <c r="D153" s="61" t="s">
        <v>674</v>
      </c>
      <c r="E153" s="66">
        <v>46088</v>
      </c>
      <c r="F153" s="67">
        <v>4000</v>
      </c>
      <c r="G153" s="60" t="s">
        <v>717</v>
      </c>
      <c r="H153" s="60" t="s">
        <v>572</v>
      </c>
      <c r="I153" s="61"/>
      <c r="J153" s="61" t="s">
        <v>720</v>
      </c>
      <c r="K153" s="61"/>
      <c r="L153" s="73">
        <f t="shared" si="11"/>
        <v>46082</v>
      </c>
      <c r="M153" s="65" t="str">
        <f t="shared" ca="1" si="12"/>
        <v>UYGUN</v>
      </c>
      <c r="N153" s="74" t="str">
        <f>IF($C153="","",IF($C153="TANIMSIZ MÜŞTERİ","—",INDEX(MUSTERILER!$C$7:$C$156,MATCH($C153,MUSTERILER!$B$7:$B$156,0))))</f>
        <v>YALIKENT LTD.ŞTİ.</v>
      </c>
      <c r="O153" s="2"/>
      <c r="P153" s="2"/>
      <c r="Q153" s="1" t="str">
        <f>IF($D153="","",$C153&amp;"|"&amp;COUNTIFS($C$7:$C153,$C153))</f>
        <v>M054|1</v>
      </c>
      <c r="R153" s="1" t="str">
        <f t="shared" si="13"/>
        <v>YALIKENTLTDSTI</v>
      </c>
      <c r="S153" s="1" t="str">
        <f t="shared" si="14"/>
        <v>M054|46088|4000|</v>
      </c>
      <c r="T153" s="1">
        <f>IF($E153="",0,SUMPRODUCT((AY_SONU!$O$7:$O$42="Evet")*(AY_SONU!$B$7:$B$42=DATE(YEAR($E153),MONTH($E153),1))))</f>
        <v>0</v>
      </c>
      <c r="U153" s="1" t="str">
        <f>IF(OR($G153="",$H153="Mahsup"),"",$G153&amp;"|"&amp;COUNTIFS($G$7:$G153,$G153,$H$7:$H153,"&lt;&gt;Mahsup"))</f>
        <v>MERKEZ KASA|108</v>
      </c>
    </row>
    <row r="154" spans="1:21" ht="18" customHeight="1" x14ac:dyDescent="0.3">
      <c r="A154" s="2"/>
      <c r="B154" s="65" t="str">
        <f t="shared" si="10"/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M011</v>
      </c>
      <c r="D154" s="61" t="s">
        <v>597</v>
      </c>
      <c r="E154" s="66">
        <v>46088</v>
      </c>
      <c r="F154" s="67">
        <v>3000</v>
      </c>
      <c r="G154" s="60" t="s">
        <v>717</v>
      </c>
      <c r="H154" s="60" t="s">
        <v>572</v>
      </c>
      <c r="I154" s="61"/>
      <c r="J154" s="61" t="s">
        <v>720</v>
      </c>
      <c r="K154" s="61"/>
      <c r="L154" s="73">
        <f t="shared" si="11"/>
        <v>46082</v>
      </c>
      <c r="M154" s="65" t="str">
        <f t="shared" ca="1" si="12"/>
        <v>UYGUN</v>
      </c>
      <c r="N154" s="74" t="str">
        <f>IF($C154="","",IF($C154="TANIMSIZ MÜŞTERİ","—",INDEX(MUSTERILER!$C$7:$C$156,MATCH($C154,MUSTERILER!$B$7:$B$156,0))))</f>
        <v>EĞLENGÖR LTD.ŞTİ.</v>
      </c>
      <c r="O154" s="2"/>
      <c r="P154" s="2"/>
      <c r="Q154" s="1" t="str">
        <f>IF($D154="","",$C154&amp;"|"&amp;COUNTIFS($C$7:$C154,$C154))</f>
        <v>M011|9</v>
      </c>
      <c r="R154" s="1" t="str">
        <f t="shared" si="13"/>
        <v>EGLENGORLTDSTI</v>
      </c>
      <c r="S154" s="1" t="str">
        <f t="shared" si="14"/>
        <v>M011|46088|3000|</v>
      </c>
      <c r="T154" s="1">
        <f>IF($E154="",0,SUMPRODUCT((AY_SONU!$O$7:$O$42="Evet")*(AY_SONU!$B$7:$B$42=DATE(YEAR($E154),MONTH($E154),1))))</f>
        <v>0</v>
      </c>
      <c r="U154" s="1" t="str">
        <f>IF(OR($G154="",$H154="Mahsup"),"",$G154&amp;"|"&amp;COUNTIFS($G$7:$G154,$G154,$H$7:$H154,"&lt;&gt;Mahsup"))</f>
        <v>MERKEZ KASA|109</v>
      </c>
    </row>
    <row r="155" spans="1:21" ht="18" customHeight="1" x14ac:dyDescent="0.3">
      <c r="A155" s="2"/>
      <c r="B155" s="65" t="str">
        <f t="shared" si="10"/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M002</v>
      </c>
      <c r="D155" s="61" t="s">
        <v>601</v>
      </c>
      <c r="E155" s="66">
        <v>46088</v>
      </c>
      <c r="F155" s="67">
        <v>3500</v>
      </c>
      <c r="G155" s="60" t="s">
        <v>717</v>
      </c>
      <c r="H155" s="60" t="s">
        <v>572</v>
      </c>
      <c r="I155" s="61"/>
      <c r="J155" s="61" t="s">
        <v>720</v>
      </c>
      <c r="K155" s="61"/>
      <c r="L155" s="73">
        <f t="shared" si="11"/>
        <v>46082</v>
      </c>
      <c r="M155" s="65" t="str">
        <f t="shared" ca="1" si="12"/>
        <v>UYGUN</v>
      </c>
      <c r="N155" s="74" t="str">
        <f>IF($C155="","",IF($C155="TANIMSIZ MÜŞTERİ","—",INDEX(MUSTERILER!$C$7:$C$156,MATCH($C155,MUSTERILER!$B$7:$B$156,0))))</f>
        <v>ESERLİ LTD.ŞTİ.</v>
      </c>
      <c r="O155" s="2"/>
      <c r="P155" s="2"/>
      <c r="Q155" s="1" t="str">
        <f>IF($D155="","",$C155&amp;"|"&amp;COUNTIFS($C$7:$C155,$C155))</f>
        <v>M002|2</v>
      </c>
      <c r="R155" s="1" t="str">
        <f t="shared" si="13"/>
        <v>ESERLILTDSTI</v>
      </c>
      <c r="S155" s="1" t="str">
        <f t="shared" si="14"/>
        <v>M002|46088|3500|</v>
      </c>
      <c r="T155" s="1">
        <f>IF($E155="",0,SUMPRODUCT((AY_SONU!$O$7:$O$42="Evet")*(AY_SONU!$B$7:$B$42=DATE(YEAR($E155),MONTH($E155),1))))</f>
        <v>0</v>
      </c>
      <c r="U155" s="1" t="str">
        <f>IF(OR($G155="",$H155="Mahsup"),"",$G155&amp;"|"&amp;COUNTIFS($G$7:$G155,$G155,$H$7:$H155,"&lt;&gt;Mahsup"))</f>
        <v>MERKEZ KASA|110</v>
      </c>
    </row>
    <row r="156" spans="1:21" ht="18" customHeight="1" x14ac:dyDescent="0.3">
      <c r="A156" s="2"/>
      <c r="B156" s="65" t="str">
        <f t="shared" si="10"/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61" t="s">
        <v>623</v>
      </c>
      <c r="E156" s="66">
        <v>46088</v>
      </c>
      <c r="F156" s="67">
        <v>3000</v>
      </c>
      <c r="G156" s="60" t="s">
        <v>717</v>
      </c>
      <c r="H156" s="60" t="s">
        <v>572</v>
      </c>
      <c r="I156" s="61"/>
      <c r="J156" s="61" t="s">
        <v>720</v>
      </c>
      <c r="K156" s="61"/>
      <c r="L156" s="73">
        <f t="shared" si="11"/>
        <v>46082</v>
      </c>
      <c r="M156" s="65" t="str">
        <f t="shared" ca="1" si="12"/>
        <v>UYGUN</v>
      </c>
      <c r="N156" s="74" t="str">
        <f>IF($C156="","",IF($C156="TANIMSIZ MÜŞTERİ","—",INDEX(MUSTERILER!$C$7:$C$156,MATCH($C156,MUSTERILER!$B$7:$B$156,0))))</f>
        <v>KRİSTAL LTD.ŞTİ.</v>
      </c>
      <c r="O156" s="2"/>
      <c r="P156" s="2"/>
      <c r="Q156" s="1" t="str">
        <f>IF($D156="","",$C156&amp;"|"&amp;COUNTIFS($C$7:$C156,$C156))</f>
        <v>M020|9</v>
      </c>
      <c r="R156" s="1" t="str">
        <f t="shared" si="13"/>
        <v>KRISTALLTDSTI</v>
      </c>
      <c r="S156" s="1" t="str">
        <f t="shared" si="14"/>
        <v>M020|46088|3000|</v>
      </c>
      <c r="T156" s="1">
        <f>IF($E156="",0,SUMPRODUCT((AY_SONU!$O$7:$O$42="Evet")*(AY_SONU!$B$7:$B$42=DATE(YEAR($E156),MONTH($E156),1))))</f>
        <v>0</v>
      </c>
      <c r="U156" s="1" t="str">
        <f>IF(OR($G156="",$H156="Mahsup"),"",$G156&amp;"|"&amp;COUNTIFS($G$7:$G156,$G156,$H$7:$H156,"&lt;&gt;Mahsup"))</f>
        <v>MERKEZ KASA|111</v>
      </c>
    </row>
    <row r="157" spans="1:21" ht="18" customHeight="1" x14ac:dyDescent="0.3">
      <c r="A157" s="2"/>
      <c r="B157" s="65" t="str">
        <f t="shared" si="10"/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61" t="s">
        <v>654</v>
      </c>
      <c r="E157" s="66">
        <v>46088</v>
      </c>
      <c r="F157" s="67">
        <v>4000</v>
      </c>
      <c r="G157" s="60" t="s">
        <v>717</v>
      </c>
      <c r="H157" s="60" t="s">
        <v>572</v>
      </c>
      <c r="I157" s="61"/>
      <c r="J157" s="61" t="s">
        <v>720</v>
      </c>
      <c r="K157" s="61"/>
      <c r="L157" s="73">
        <f t="shared" si="11"/>
        <v>46082</v>
      </c>
      <c r="M157" s="65" t="str">
        <f t="shared" ca="1" si="12"/>
        <v>UYGUN</v>
      </c>
      <c r="N157" s="74" t="str">
        <f>IF($C157="","",IF($C157="TANIMSIZ MÜŞTERİ","—",INDEX(MUSTERILER!$C$7:$C$156,MATCH($C157,MUSTERILER!$B$7:$B$156,0))))</f>
        <v>PALAOĞULLARI LTD.ŞTİ.</v>
      </c>
      <c r="O157" s="2"/>
      <c r="P157" s="2"/>
      <c r="Q157" s="1" t="str">
        <f>IF($D157="","",$C157&amp;"|"&amp;COUNTIFS($C$7:$C157,$C157))</f>
        <v>M047|2</v>
      </c>
      <c r="R157" s="1" t="str">
        <f t="shared" si="13"/>
        <v>PALAOGULLARILTDSTI</v>
      </c>
      <c r="S157" s="1" t="str">
        <f t="shared" si="14"/>
        <v>M047|46088|4000|</v>
      </c>
      <c r="T157" s="1">
        <f>IF($E157="",0,SUMPRODUCT((AY_SONU!$O$7:$O$42="Evet")*(AY_SONU!$B$7:$B$42=DATE(YEAR($E157),MONTH($E157),1))))</f>
        <v>0</v>
      </c>
      <c r="U157" s="1" t="str">
        <f>IF(OR($G157="",$H157="Mahsup"),"",$G157&amp;"|"&amp;COUNTIFS($G$7:$G157,$G157,$H$7:$H157,"&lt;&gt;Mahsup"))</f>
        <v>MERKEZ KASA|112</v>
      </c>
    </row>
    <row r="158" spans="1:21" ht="18" customHeight="1" x14ac:dyDescent="0.3">
      <c r="A158" s="2"/>
      <c r="B158" s="65" t="str">
        <f t="shared" si="10"/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M019</v>
      </c>
      <c r="D158" s="61" t="s">
        <v>570</v>
      </c>
      <c r="E158" s="66">
        <v>46090</v>
      </c>
      <c r="F158" s="67">
        <v>4000</v>
      </c>
      <c r="G158" s="60" t="s">
        <v>717</v>
      </c>
      <c r="H158" s="60" t="s">
        <v>572</v>
      </c>
      <c r="I158" s="61"/>
      <c r="J158" s="61" t="s">
        <v>720</v>
      </c>
      <c r="K158" s="61"/>
      <c r="L158" s="73">
        <f t="shared" si="11"/>
        <v>46082</v>
      </c>
      <c r="M158" s="65" t="str">
        <f t="shared" ca="1" si="12"/>
        <v>UYGUN</v>
      </c>
      <c r="N158" s="74" t="str">
        <f>IF($C158="","",IF($C158="TANIMSIZ MÜŞTERİ","—",INDEX(MUSTERILER!$C$7:$C$156,MATCH($C158,MUSTERILER!$B$7:$B$156,0))))</f>
        <v>AC OTEL LTD.ŞTİ.</v>
      </c>
      <c r="O158" s="2"/>
      <c r="P158" s="2"/>
      <c r="Q158" s="1" t="str">
        <f>IF($D158="","",$C158&amp;"|"&amp;COUNTIFS($C$7:$C158,$C158))</f>
        <v>M019|3</v>
      </c>
      <c r="R158" s="1" t="str">
        <f t="shared" si="13"/>
        <v>ACOTELLTDSTI</v>
      </c>
      <c r="S158" s="1" t="str">
        <f t="shared" si="14"/>
        <v>M019|46090|4000|</v>
      </c>
      <c r="T158" s="1">
        <f>IF($E158="",0,SUMPRODUCT((AY_SONU!$O$7:$O$42="Evet")*(AY_SONU!$B$7:$B$42=DATE(YEAR($E158),MONTH($E158),1))))</f>
        <v>0</v>
      </c>
      <c r="U158" s="1" t="str">
        <f>IF(OR($G158="",$H158="Mahsup"),"",$G158&amp;"|"&amp;COUNTIFS($G$7:$G158,$G158,$H$7:$H158,"&lt;&gt;Mahsup"))</f>
        <v>MERKEZ KASA|113</v>
      </c>
    </row>
    <row r="159" spans="1:21" ht="18" customHeight="1" x14ac:dyDescent="0.3">
      <c r="A159" s="2"/>
      <c r="B159" s="65" t="str">
        <f t="shared" si="10"/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M040</v>
      </c>
      <c r="D159" s="61" t="s">
        <v>631</v>
      </c>
      <c r="E159" s="66">
        <v>46093</v>
      </c>
      <c r="F159" s="67">
        <v>17000</v>
      </c>
      <c r="G159" s="60" t="s">
        <v>723</v>
      </c>
      <c r="H159" s="60" t="s">
        <v>572</v>
      </c>
      <c r="I159" s="61"/>
      <c r="J159" s="61" t="s">
        <v>739</v>
      </c>
      <c r="K159" s="61"/>
      <c r="L159" s="73">
        <f t="shared" si="11"/>
        <v>46082</v>
      </c>
      <c r="M159" s="65" t="str">
        <f t="shared" ca="1" si="12"/>
        <v>UYGUN</v>
      </c>
      <c r="N159" s="74" t="str">
        <f>IF($C159="","",IF($C159="TANIMSIZ MÜŞTERİ","—",INDEX(MUSTERILER!$C$7:$C$156,MATCH($C159,MUSTERILER!$B$7:$B$156,0))))</f>
        <v>MENEKŞE AKAN</v>
      </c>
      <c r="O159" s="2"/>
      <c r="P159" s="2"/>
      <c r="Q159" s="1" t="str">
        <f>IF($D159="","",$C159&amp;"|"&amp;COUNTIFS($C$7:$C159,$C159))</f>
        <v>M040|2</v>
      </c>
      <c r="R159" s="1" t="str">
        <f t="shared" si="13"/>
        <v>MENEKSEAKAN</v>
      </c>
      <c r="S159" s="1" t="str">
        <f t="shared" si="14"/>
        <v>M040|46093|17000|</v>
      </c>
      <c r="T159" s="1">
        <f>IF($E159="",0,SUMPRODUCT((AY_SONU!$O$7:$O$42="Evet")*(AY_SONU!$B$7:$B$42=DATE(YEAR($E159),MONTH($E159),1))))</f>
        <v>0</v>
      </c>
      <c r="U159" s="1" t="str">
        <f>IF(OR($G159="",$H159="Mahsup"),"",$G159&amp;"|"&amp;COUNTIFS($G$7:$G159,$G159,$H$7:$H159,"&lt;&gt;Mahsup"))</f>
        <v>ÖMER KARTAL|40</v>
      </c>
    </row>
    <row r="160" spans="1:21" ht="18" customHeight="1" x14ac:dyDescent="0.3">
      <c r="A160" s="2"/>
      <c r="B160" s="65" t="str">
        <f t="shared" si="10"/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M011</v>
      </c>
      <c r="D160" s="61" t="s">
        <v>597</v>
      </c>
      <c r="E160" s="66">
        <v>46095</v>
      </c>
      <c r="F160" s="67">
        <v>3000</v>
      </c>
      <c r="G160" s="60" t="s">
        <v>717</v>
      </c>
      <c r="H160" s="60" t="s">
        <v>572</v>
      </c>
      <c r="I160" s="61"/>
      <c r="J160" s="61" t="s">
        <v>720</v>
      </c>
      <c r="K160" s="61"/>
      <c r="L160" s="73">
        <f t="shared" si="11"/>
        <v>46082</v>
      </c>
      <c r="M160" s="65" t="str">
        <f t="shared" ca="1" si="12"/>
        <v>UYGUN</v>
      </c>
      <c r="N160" s="74" t="str">
        <f>IF($C160="","",IF($C160="TANIMSIZ MÜŞTERİ","—",INDEX(MUSTERILER!$C$7:$C$156,MATCH($C160,MUSTERILER!$B$7:$B$156,0))))</f>
        <v>EĞLENGÖR LTD.ŞTİ.</v>
      </c>
      <c r="O160" s="2"/>
      <c r="P160" s="2"/>
      <c r="Q160" s="1" t="str">
        <f>IF($D160="","",$C160&amp;"|"&amp;COUNTIFS($C$7:$C160,$C160))</f>
        <v>M011|10</v>
      </c>
      <c r="R160" s="1" t="str">
        <f t="shared" si="13"/>
        <v>EGLENGORLTDSTI</v>
      </c>
      <c r="S160" s="1" t="str">
        <f t="shared" si="14"/>
        <v>M011|46095|3000|</v>
      </c>
      <c r="T160" s="1">
        <f>IF($E160="",0,SUMPRODUCT((AY_SONU!$O$7:$O$42="Evet")*(AY_SONU!$B$7:$B$42=DATE(YEAR($E160),MONTH($E160),1))))</f>
        <v>0</v>
      </c>
      <c r="U160" s="1" t="str">
        <f>IF(OR($G160="",$H160="Mahsup"),"",$G160&amp;"|"&amp;COUNTIFS($G$7:$G160,$G160,$H$7:$H160,"&lt;&gt;Mahsup"))</f>
        <v>MERKEZ KASA|114</v>
      </c>
    </row>
    <row r="161" spans="1:21" ht="18" customHeight="1" x14ac:dyDescent="0.3">
      <c r="A161" s="2"/>
      <c r="B161" s="65" t="str">
        <f t="shared" si="10"/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M017</v>
      </c>
      <c r="D161" s="61" t="s">
        <v>585</v>
      </c>
      <c r="E161" s="66">
        <v>46096</v>
      </c>
      <c r="F161" s="67">
        <v>2500</v>
      </c>
      <c r="G161" s="60" t="s">
        <v>723</v>
      </c>
      <c r="H161" s="60" t="s">
        <v>572</v>
      </c>
      <c r="I161" s="61"/>
      <c r="J161" s="61" t="s">
        <v>720</v>
      </c>
      <c r="K161" s="61"/>
      <c r="L161" s="73">
        <f t="shared" si="11"/>
        <v>46082</v>
      </c>
      <c r="M161" s="65" t="str">
        <f t="shared" ca="1" si="12"/>
        <v>UYGUN</v>
      </c>
      <c r="N161" s="74" t="str">
        <f>IF($C161="","",IF($C161="TANIMSIZ MÜŞTERİ","—",INDEX(MUSTERILER!$C$7:$C$156,MATCH($C161,MUSTERILER!$B$7:$B$156,0))))</f>
        <v>ASM EĞLENCE LTD.ŞTİ.</v>
      </c>
      <c r="O161" s="2"/>
      <c r="P161" s="2"/>
      <c r="Q161" s="1" t="str">
        <f>IF($D161="","",$C161&amp;"|"&amp;COUNTIFS($C$7:$C161,$C161))</f>
        <v>M017|9</v>
      </c>
      <c r="R161" s="1" t="str">
        <f t="shared" si="13"/>
        <v>ASMEGLENCELTDSTI</v>
      </c>
      <c r="S161" s="1" t="str">
        <f t="shared" si="14"/>
        <v>M017|46096|2500|</v>
      </c>
      <c r="T161" s="1">
        <f>IF($E161="",0,SUMPRODUCT((AY_SONU!$O$7:$O$42="Evet")*(AY_SONU!$B$7:$B$42=DATE(YEAR($E161),MONTH($E161),1))))</f>
        <v>0</v>
      </c>
      <c r="U161" s="1" t="str">
        <f>IF(OR($G161="",$H161="Mahsup"),"",$G161&amp;"|"&amp;COUNTIFS($G$7:$G161,$G161,$H$7:$H161,"&lt;&gt;Mahsup"))</f>
        <v>ÖMER KARTAL|41</v>
      </c>
    </row>
    <row r="162" spans="1:21" ht="18" customHeight="1" x14ac:dyDescent="0.3">
      <c r="A162" s="2"/>
      <c r="B162" s="65" t="str">
        <f t="shared" si="10"/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M015</v>
      </c>
      <c r="D162" s="61" t="s">
        <v>719</v>
      </c>
      <c r="E162" s="66">
        <v>46096</v>
      </c>
      <c r="F162" s="67">
        <v>12000</v>
      </c>
      <c r="G162" s="60" t="s">
        <v>723</v>
      </c>
      <c r="H162" s="60" t="s">
        <v>572</v>
      </c>
      <c r="I162" s="61"/>
      <c r="J162" s="61" t="s">
        <v>724</v>
      </c>
      <c r="K162" s="61"/>
      <c r="L162" s="73">
        <f t="shared" si="11"/>
        <v>46082</v>
      </c>
      <c r="M162" s="65" t="str">
        <f t="shared" ca="1" si="12"/>
        <v>UYGUN</v>
      </c>
      <c r="N162" s="74" t="str">
        <f>IF($C162="","",IF($C162="TANIMSIZ MÜŞTERİ","—",INDEX(MUSTERILER!$C$7:$C$156,MATCH($C162,MUSTERILER!$B$7:$B$156,0))))</f>
        <v>ÇAYIRALAN LTD.ŞTİ.</v>
      </c>
      <c r="O162" s="2"/>
      <c r="P162" s="2"/>
      <c r="Q162" s="1" t="str">
        <f>IF($D162="","",$C162&amp;"|"&amp;COUNTIFS($C$7:$C162,$C162))</f>
        <v>M015|8</v>
      </c>
      <c r="R162" s="1" t="str">
        <f t="shared" si="13"/>
        <v>CAYIRALANLTDSTI</v>
      </c>
      <c r="S162" s="1" t="str">
        <f t="shared" si="14"/>
        <v>M015|46096|12000|</v>
      </c>
      <c r="T162" s="1">
        <f>IF($E162="",0,SUMPRODUCT((AY_SONU!$O$7:$O$42="Evet")*(AY_SONU!$B$7:$B$42=DATE(YEAR($E162),MONTH($E162),1))))</f>
        <v>0</v>
      </c>
      <c r="U162" s="1" t="str">
        <f>IF(OR($G162="",$H162="Mahsup"),"",$G162&amp;"|"&amp;COUNTIFS($G$7:$G162,$G162,$H$7:$H162,"&lt;&gt;Mahsup"))</f>
        <v>ÖMER KARTAL|42</v>
      </c>
    </row>
    <row r="163" spans="1:21" ht="18" customHeight="1" x14ac:dyDescent="0.3">
      <c r="A163" s="2"/>
      <c r="B163" s="65" t="str">
        <f t="shared" si="10"/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M034</v>
      </c>
      <c r="D163" s="61" t="s">
        <v>732</v>
      </c>
      <c r="E163" s="66">
        <v>46096</v>
      </c>
      <c r="F163" s="67">
        <v>4000</v>
      </c>
      <c r="G163" s="60" t="s">
        <v>723</v>
      </c>
      <c r="H163" s="60" t="s">
        <v>572</v>
      </c>
      <c r="I163" s="61"/>
      <c r="J163" s="61" t="s">
        <v>724</v>
      </c>
      <c r="K163" s="61"/>
      <c r="L163" s="73">
        <f t="shared" si="11"/>
        <v>46082</v>
      </c>
      <c r="M163" s="65" t="str">
        <f t="shared" ca="1" si="12"/>
        <v>UYGUN</v>
      </c>
      <c r="N163" s="74" t="str">
        <f>IF($C163="","",IF($C163="TANIMSIZ MÜŞTERİ","—",INDEX(MUSTERILER!$C$7:$C$156,MATCH($C163,MUSTERILER!$B$7:$B$156,0))))</f>
        <v>İBRAHİM MALDAN</v>
      </c>
      <c r="O163" s="2"/>
      <c r="P163" s="2"/>
      <c r="Q163" s="1" t="str">
        <f>IF($D163="","",$C163&amp;"|"&amp;COUNTIFS($C$7:$C163,$C163))</f>
        <v>M034|7</v>
      </c>
      <c r="R163" s="1" t="str">
        <f t="shared" si="13"/>
        <v>IBRAHIMMALDAN</v>
      </c>
      <c r="S163" s="1" t="str">
        <f t="shared" si="14"/>
        <v>M034|46096|4000|</v>
      </c>
      <c r="T163" s="1">
        <f>IF($E163="",0,SUMPRODUCT((AY_SONU!$O$7:$O$42="Evet")*(AY_SONU!$B$7:$B$42=DATE(YEAR($E163),MONTH($E163),1))))</f>
        <v>0</v>
      </c>
      <c r="U163" s="1" t="str">
        <f>IF(OR($G163="",$H163="Mahsup"),"",$G163&amp;"|"&amp;COUNTIFS($G$7:$G163,$G163,$H$7:$H163,"&lt;&gt;Mahsup"))</f>
        <v>ÖMER KARTAL|43</v>
      </c>
    </row>
    <row r="164" spans="1:21" ht="18" customHeight="1" x14ac:dyDescent="0.3">
      <c r="A164" s="2"/>
      <c r="B164" s="65" t="str">
        <f t="shared" si="10"/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M016</v>
      </c>
      <c r="D164" s="61" t="s">
        <v>736</v>
      </c>
      <c r="E164" s="66">
        <v>46096</v>
      </c>
      <c r="F164" s="67">
        <v>3000</v>
      </c>
      <c r="G164" s="60" t="s">
        <v>723</v>
      </c>
      <c r="H164" s="60" t="s">
        <v>572</v>
      </c>
      <c r="I164" s="61"/>
      <c r="J164" s="61" t="s">
        <v>724</v>
      </c>
      <c r="K164" s="61"/>
      <c r="L164" s="73">
        <f t="shared" si="11"/>
        <v>46082</v>
      </c>
      <c r="M164" s="65" t="str">
        <f t="shared" ca="1" si="12"/>
        <v>UYGUN</v>
      </c>
      <c r="N164" s="74" t="str">
        <f>IF($C164="","",IF($C164="TANIMSIZ MÜŞTERİ","—",INDEX(MUSTERILER!$C$7:$C$156,MATCH($C164,MUSTERILER!$B$7:$B$156,0))))</f>
        <v>RİX ŞOW LTD.ŞTİ.</v>
      </c>
      <c r="O164" s="2"/>
      <c r="P164" s="2"/>
      <c r="Q164" s="1" t="str">
        <f>IF($D164="","",$C164&amp;"|"&amp;COUNTIFS($C$7:$C164,$C164))</f>
        <v>M016|10</v>
      </c>
      <c r="R164" s="1" t="str">
        <f t="shared" si="13"/>
        <v>RIXSOWLTDSTI</v>
      </c>
      <c r="S164" s="1" t="str">
        <f t="shared" si="14"/>
        <v>M016|46096|3000|</v>
      </c>
      <c r="T164" s="1">
        <f>IF($E164="",0,SUMPRODUCT((AY_SONU!$O$7:$O$42="Evet")*(AY_SONU!$B$7:$B$42=DATE(YEAR($E164),MONTH($E164),1))))</f>
        <v>0</v>
      </c>
      <c r="U164" s="1" t="str">
        <f>IF(OR($G164="",$H164="Mahsup"),"",$G164&amp;"|"&amp;COUNTIFS($G$7:$G164,$G164,$H$7:$H164,"&lt;&gt;Mahsup"))</f>
        <v>ÖMER KARTAL|44</v>
      </c>
    </row>
    <row r="165" spans="1:21" ht="18" customHeight="1" x14ac:dyDescent="0.3">
      <c r="A165" s="2"/>
      <c r="B165" s="65" t="str">
        <f t="shared" si="10"/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M025</v>
      </c>
      <c r="D165" s="61" t="s">
        <v>583</v>
      </c>
      <c r="E165" s="66">
        <v>46096</v>
      </c>
      <c r="F165" s="67">
        <v>2000</v>
      </c>
      <c r="G165" s="60" t="s">
        <v>717</v>
      </c>
      <c r="H165" s="60" t="s">
        <v>572</v>
      </c>
      <c r="I165" s="61"/>
      <c r="J165" s="61" t="s">
        <v>720</v>
      </c>
      <c r="K165" s="61"/>
      <c r="L165" s="73">
        <f t="shared" si="11"/>
        <v>46082</v>
      </c>
      <c r="M165" s="65" t="str">
        <f t="shared" ca="1" si="12"/>
        <v>UYGUN</v>
      </c>
      <c r="N165" s="74" t="str">
        <f>IF($C165="","",IF($C165="TANIMSIZ MÜŞTERİ","—",INDEX(MUSTERILER!$C$7:$C$156,MATCH($C165,MUSTERILER!$B$7:$B$156,0))))</f>
        <v>ASIM AÇIKGÖZ</v>
      </c>
      <c r="O165" s="2"/>
      <c r="P165" s="2"/>
      <c r="Q165" s="1" t="str">
        <f>IF($D165="","",$C165&amp;"|"&amp;COUNTIFS($C$7:$C165,$C165))</f>
        <v>M025|9</v>
      </c>
      <c r="R165" s="1" t="str">
        <f t="shared" si="13"/>
        <v>ASIMACIKGOZ</v>
      </c>
      <c r="S165" s="1" t="str">
        <f t="shared" si="14"/>
        <v>M025|46096|2000|</v>
      </c>
      <c r="T165" s="1">
        <f>IF($E165="",0,SUMPRODUCT((AY_SONU!$O$7:$O$42="Evet")*(AY_SONU!$B$7:$B$42=DATE(YEAR($E165),MONTH($E165),1))))</f>
        <v>0</v>
      </c>
      <c r="U165" s="1" t="str">
        <f>IF(OR($G165="",$H165="Mahsup"),"",$G165&amp;"|"&amp;COUNTIFS($G$7:$G165,$G165,$H$7:$H165,"&lt;&gt;Mahsup"))</f>
        <v>MERKEZ KASA|115</v>
      </c>
    </row>
    <row r="166" spans="1:21" ht="18" customHeight="1" x14ac:dyDescent="0.3">
      <c r="A166" s="2"/>
      <c r="B166" s="65" t="str">
        <f t="shared" si="10"/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M047</v>
      </c>
      <c r="D166" s="61" t="s">
        <v>654</v>
      </c>
      <c r="E166" s="66">
        <v>46096</v>
      </c>
      <c r="F166" s="67">
        <v>4000</v>
      </c>
      <c r="G166" s="60" t="s">
        <v>723</v>
      </c>
      <c r="H166" s="60" t="s">
        <v>572</v>
      </c>
      <c r="I166" s="61"/>
      <c r="J166" s="61" t="s">
        <v>720</v>
      </c>
      <c r="K166" s="61"/>
      <c r="L166" s="73">
        <f t="shared" si="11"/>
        <v>46082</v>
      </c>
      <c r="M166" s="65" t="str">
        <f t="shared" ca="1" si="12"/>
        <v>UYGUN</v>
      </c>
      <c r="N166" s="74" t="str">
        <f>IF($C166="","",IF($C166="TANIMSIZ MÜŞTERİ","—",INDEX(MUSTERILER!$C$7:$C$156,MATCH($C166,MUSTERILER!$B$7:$B$156,0))))</f>
        <v>PALAOĞULLARI LTD.ŞTİ.</v>
      </c>
      <c r="O166" s="2"/>
      <c r="P166" s="2"/>
      <c r="Q166" s="1" t="str">
        <f>IF($D166="","",$C166&amp;"|"&amp;COUNTIFS($C$7:$C166,$C166))</f>
        <v>M047|3</v>
      </c>
      <c r="R166" s="1" t="str">
        <f t="shared" si="13"/>
        <v>PALAOGULLARILTDSTI</v>
      </c>
      <c r="S166" s="1" t="str">
        <f t="shared" si="14"/>
        <v>M047|46096|4000|</v>
      </c>
      <c r="T166" s="1">
        <f>IF($E166="",0,SUMPRODUCT((AY_SONU!$O$7:$O$42="Evet")*(AY_SONU!$B$7:$B$42=DATE(YEAR($E166),MONTH($E166),1))))</f>
        <v>0</v>
      </c>
      <c r="U166" s="1" t="str">
        <f>IF(OR($G166="",$H166="Mahsup"),"",$G166&amp;"|"&amp;COUNTIFS($G$7:$G166,$G166,$H$7:$H166,"&lt;&gt;Mahsup"))</f>
        <v>ÖMER KARTAL|45</v>
      </c>
    </row>
    <row r="167" spans="1:21" ht="18" customHeight="1" x14ac:dyDescent="0.3">
      <c r="A167" s="2"/>
      <c r="B167" s="65" t="str">
        <f t="shared" si="10"/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M003</v>
      </c>
      <c r="D167" s="61" t="s">
        <v>666</v>
      </c>
      <c r="E167" s="66">
        <v>46096</v>
      </c>
      <c r="F167" s="67">
        <v>4000</v>
      </c>
      <c r="G167" s="60" t="s">
        <v>723</v>
      </c>
      <c r="H167" s="60" t="s">
        <v>572</v>
      </c>
      <c r="I167" s="61"/>
      <c r="J167" s="61" t="s">
        <v>720</v>
      </c>
      <c r="K167" s="61"/>
      <c r="L167" s="73">
        <f t="shared" si="11"/>
        <v>46082</v>
      </c>
      <c r="M167" s="65" t="str">
        <f t="shared" ca="1" si="12"/>
        <v>UYGUN</v>
      </c>
      <c r="N167" s="74" t="str">
        <f>IF($C167="","",IF($C167="TANIMSIZ MÜŞTERİ","—",INDEX(MUSTERILER!$C$7:$C$156,MATCH($C167,MUSTERILER!$B$7:$B$156,0))))</f>
        <v>TYANA LTD.ŞTİ.</v>
      </c>
      <c r="O167" s="2"/>
      <c r="P167" s="2"/>
      <c r="Q167" s="1" t="str">
        <f>IF($D167="","",$C167&amp;"|"&amp;COUNTIFS($C$7:$C167,$C167))</f>
        <v>M003|4</v>
      </c>
      <c r="R167" s="1" t="str">
        <f t="shared" si="13"/>
        <v>TYANALTDSTI</v>
      </c>
      <c r="S167" s="1" t="str">
        <f t="shared" si="14"/>
        <v>M003|46096|4000|</v>
      </c>
      <c r="T167" s="1">
        <f>IF($E167="",0,SUMPRODUCT((AY_SONU!$O$7:$O$42="Evet")*(AY_SONU!$B$7:$B$42=DATE(YEAR($E167),MONTH($E167),1))))</f>
        <v>0</v>
      </c>
      <c r="U167" s="1" t="str">
        <f>IF(OR($G167="",$H167="Mahsup"),"",$G167&amp;"|"&amp;COUNTIFS($G$7:$G167,$G167,$H$7:$H167,"&lt;&gt;Mahsup"))</f>
        <v>ÖMER KARTAL|46</v>
      </c>
    </row>
    <row r="168" spans="1:21" ht="18" customHeight="1" x14ac:dyDescent="0.3">
      <c r="A168" s="2"/>
      <c r="B168" s="65" t="str">
        <f t="shared" si="10"/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M014</v>
      </c>
      <c r="D168" s="61" t="s">
        <v>731</v>
      </c>
      <c r="E168" s="66">
        <v>46096</v>
      </c>
      <c r="F168" s="67">
        <v>2000</v>
      </c>
      <c r="G168" s="60" t="s">
        <v>717</v>
      </c>
      <c r="H168" s="60" t="s">
        <v>572</v>
      </c>
      <c r="I168" s="61"/>
      <c r="J168" s="61" t="s">
        <v>720</v>
      </c>
      <c r="K168" s="61"/>
      <c r="L168" s="73">
        <f t="shared" si="11"/>
        <v>46082</v>
      </c>
      <c r="M168" s="65" t="str">
        <f t="shared" ca="1" si="12"/>
        <v>UYGUN</v>
      </c>
      <c r="N168" s="74" t="str">
        <f>IF($C168="","",IF($C168="TANIMSIZ MÜŞTERİ","—",INDEX(MUSTERILER!$C$7:$C$156,MATCH($C168,MUSTERILER!$B$7:$B$156,0))))</f>
        <v>FİNAL SİYAH BEYAZ LTD.ŞTİ.</v>
      </c>
      <c r="O168" s="2"/>
      <c r="P168" s="2"/>
      <c r="Q168" s="1" t="str">
        <f>IF($D168="","",$C168&amp;"|"&amp;COUNTIFS($C$7:$C168,$C168))</f>
        <v>M014|9</v>
      </c>
      <c r="R168" s="1" t="str">
        <f t="shared" si="13"/>
        <v>FINALSIYAHBEYAZLTDSTI</v>
      </c>
      <c r="S168" s="1" t="str">
        <f t="shared" si="14"/>
        <v>M014|46096|2000|</v>
      </c>
      <c r="T168" s="1">
        <f>IF($E168="",0,SUMPRODUCT((AY_SONU!$O$7:$O$42="Evet")*(AY_SONU!$B$7:$B$42=DATE(YEAR($E168),MONTH($E168),1))))</f>
        <v>0</v>
      </c>
      <c r="U168" s="1" t="str">
        <f>IF(OR($G168="",$H168="Mahsup"),"",$G168&amp;"|"&amp;COUNTIFS($G$7:$G168,$G168,$H$7:$H168,"&lt;&gt;Mahsup"))</f>
        <v>MERKEZ KASA|116</v>
      </c>
    </row>
    <row r="169" spans="1:21" ht="18" customHeight="1" x14ac:dyDescent="0.3">
      <c r="A169" s="2"/>
      <c r="B169" s="65" t="str">
        <f t="shared" si="10"/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M012</v>
      </c>
      <c r="D169" s="61" t="s">
        <v>721</v>
      </c>
      <c r="E169" s="66">
        <v>46096</v>
      </c>
      <c r="F169" s="67">
        <v>4000</v>
      </c>
      <c r="G169" s="60" t="s">
        <v>717</v>
      </c>
      <c r="H169" s="60" t="s">
        <v>572</v>
      </c>
      <c r="I169" s="61"/>
      <c r="J169" s="61" t="s">
        <v>720</v>
      </c>
      <c r="K169" s="61"/>
      <c r="L169" s="73">
        <f t="shared" si="11"/>
        <v>46082</v>
      </c>
      <c r="M169" s="65" t="str">
        <f t="shared" ca="1" si="12"/>
        <v>UYGUN</v>
      </c>
      <c r="N169" s="74" t="str">
        <f>IF($C169="","",IF($C169="TANIMSIZ MÜŞTERİ","—",INDEX(MUSTERILER!$C$7:$C$156,MATCH($C169,MUSTERILER!$B$7:$B$156,0))))</f>
        <v>İLDEŞ LTD.ŞTİ.</v>
      </c>
      <c r="O169" s="2"/>
      <c r="P169" s="2"/>
      <c r="Q169" s="1" t="str">
        <f>IF($D169="","",$C169&amp;"|"&amp;COUNTIFS($C$7:$C169,$C169))</f>
        <v>M012|9</v>
      </c>
      <c r="R169" s="1" t="str">
        <f t="shared" si="13"/>
        <v>ILDESLTDSTI</v>
      </c>
      <c r="S169" s="1" t="str">
        <f t="shared" si="14"/>
        <v>M012|46096|4000|</v>
      </c>
      <c r="T169" s="1">
        <f>IF($E169="",0,SUMPRODUCT((AY_SONU!$O$7:$O$42="Evet")*(AY_SONU!$B$7:$B$42=DATE(YEAR($E169),MONTH($E169),1))))</f>
        <v>0</v>
      </c>
      <c r="U169" s="1" t="str">
        <f>IF(OR($G169="",$H169="Mahsup"),"",$G169&amp;"|"&amp;COUNTIFS($G$7:$G169,$G169,$H$7:$H169,"&lt;&gt;Mahsup"))</f>
        <v>MERKEZ KASA|117</v>
      </c>
    </row>
    <row r="170" spans="1:21" ht="18" customHeight="1" x14ac:dyDescent="0.3">
      <c r="A170" s="2"/>
      <c r="B170" s="65" t="str">
        <f t="shared" si="10"/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M007</v>
      </c>
      <c r="D170" s="61" t="s">
        <v>733</v>
      </c>
      <c r="E170" s="66">
        <v>46096</v>
      </c>
      <c r="F170" s="67">
        <v>3500</v>
      </c>
      <c r="G170" s="60" t="s">
        <v>717</v>
      </c>
      <c r="H170" s="60" t="s">
        <v>572</v>
      </c>
      <c r="I170" s="61"/>
      <c r="J170" s="61" t="s">
        <v>720</v>
      </c>
      <c r="K170" s="61"/>
      <c r="L170" s="73">
        <f t="shared" si="11"/>
        <v>46082</v>
      </c>
      <c r="M170" s="65" t="str">
        <f t="shared" ca="1" si="12"/>
        <v>UYGUN</v>
      </c>
      <c r="N170" s="74" t="str">
        <f>IF($C170="","",IF($C170="TANIMSIZ MÜŞTERİ","—",INDEX(MUSTERILER!$C$7:$C$156,MATCH($C170,MUSTERILER!$B$7:$B$156,0))))</f>
        <v>MONAMOUR LTD.ŞTİ.</v>
      </c>
      <c r="O170" s="2"/>
      <c r="P170" s="2"/>
      <c r="Q170" s="1" t="str">
        <f>IF($D170="","",$C170&amp;"|"&amp;COUNTIFS($C$7:$C170,$C170))</f>
        <v>M007|8</v>
      </c>
      <c r="R170" s="1" t="str">
        <f t="shared" si="13"/>
        <v>MONAMOURLTDSTI</v>
      </c>
      <c r="S170" s="1" t="str">
        <f t="shared" si="14"/>
        <v>M007|46096|3500|</v>
      </c>
      <c r="T170" s="1">
        <f>IF($E170="",0,SUMPRODUCT((AY_SONU!$O$7:$O$42="Evet")*(AY_SONU!$B$7:$B$42=DATE(YEAR($E170),MONTH($E170),1))))</f>
        <v>0</v>
      </c>
      <c r="U170" s="1" t="str">
        <f>IF(OR($G170="",$H170="Mahsup"),"",$G170&amp;"|"&amp;COUNTIFS($G$7:$G170,$G170,$H$7:$H170,"&lt;&gt;Mahsup"))</f>
        <v>MERKEZ KASA|118</v>
      </c>
    </row>
    <row r="171" spans="1:21" ht="18" customHeight="1" x14ac:dyDescent="0.3">
      <c r="A171" s="2"/>
      <c r="B171" s="65" t="str">
        <f t="shared" si="10"/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61" t="s">
        <v>722</v>
      </c>
      <c r="E171" s="66">
        <v>46096</v>
      </c>
      <c r="F171" s="67">
        <v>1750</v>
      </c>
      <c r="G171" s="60" t="s">
        <v>717</v>
      </c>
      <c r="H171" s="60" t="s">
        <v>572</v>
      </c>
      <c r="I171" s="61"/>
      <c r="J171" s="61" t="s">
        <v>720</v>
      </c>
      <c r="K171" s="61"/>
      <c r="L171" s="73">
        <f t="shared" si="11"/>
        <v>46082</v>
      </c>
      <c r="M171" s="65" t="str">
        <f t="shared" ca="1" si="12"/>
        <v>UYGUN</v>
      </c>
      <c r="N171" s="74" t="str">
        <f>IF($C171="","",IF($C171="TANIMSIZ MÜŞTERİ","—",INDEX(MUSTERILER!$C$7:$C$156,MATCH($C171,MUSTERILER!$B$7:$B$156,0))))</f>
        <v>ZÜMRÜT GRUP LTD.ŞTİ.</v>
      </c>
      <c r="O171" s="2"/>
      <c r="P171" s="2"/>
      <c r="Q171" s="1" t="str">
        <f>IF($D171="","",$C171&amp;"|"&amp;COUNTIFS($C$7:$C171,$C171))</f>
        <v>M005|10</v>
      </c>
      <c r="R171" s="1" t="str">
        <f t="shared" si="13"/>
        <v>ZUMRUTGRUPLTDSTI</v>
      </c>
      <c r="S171" s="1" t="str">
        <f t="shared" si="14"/>
        <v>M005|46096|1750|</v>
      </c>
      <c r="T171" s="1">
        <f>IF($E171="",0,SUMPRODUCT((AY_SONU!$O$7:$O$42="Evet")*(AY_SONU!$B$7:$B$42=DATE(YEAR($E171),MONTH($E171),1))))</f>
        <v>0</v>
      </c>
      <c r="U171" s="1" t="str">
        <f>IF(OR($G171="",$H171="Mahsup"),"",$G171&amp;"|"&amp;COUNTIFS($G$7:$G171,$G171,$H$7:$H171,"&lt;&gt;Mahsup"))</f>
        <v>MERKEZ KASA|119</v>
      </c>
    </row>
    <row r="172" spans="1:21" ht="18" customHeight="1" x14ac:dyDescent="0.3">
      <c r="A172" s="2"/>
      <c r="B172" s="65" t="str">
        <f t="shared" si="10"/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M020</v>
      </c>
      <c r="D172" s="61" t="s">
        <v>623</v>
      </c>
      <c r="E172" s="66">
        <v>46096</v>
      </c>
      <c r="F172" s="67">
        <v>3000</v>
      </c>
      <c r="G172" s="60" t="s">
        <v>717</v>
      </c>
      <c r="H172" s="60" t="s">
        <v>572</v>
      </c>
      <c r="I172" s="61"/>
      <c r="J172" s="61" t="s">
        <v>720</v>
      </c>
      <c r="K172" s="61"/>
      <c r="L172" s="73">
        <f t="shared" si="11"/>
        <v>46082</v>
      </c>
      <c r="M172" s="65" t="str">
        <f t="shared" ca="1" si="12"/>
        <v>UYGUN</v>
      </c>
      <c r="N172" s="74" t="str">
        <f>IF($C172="","",IF($C172="TANIMSIZ MÜŞTERİ","—",INDEX(MUSTERILER!$C$7:$C$156,MATCH($C172,MUSTERILER!$B$7:$B$156,0))))</f>
        <v>KRİSTAL LTD.ŞTİ.</v>
      </c>
      <c r="O172" s="2"/>
      <c r="P172" s="2"/>
      <c r="Q172" s="1" t="str">
        <f>IF($D172="","",$C172&amp;"|"&amp;COUNTIFS($C$7:$C172,$C172))</f>
        <v>M020|10</v>
      </c>
      <c r="R172" s="1" t="str">
        <f t="shared" si="13"/>
        <v>KRISTALLTDSTI</v>
      </c>
      <c r="S172" s="1" t="str">
        <f t="shared" si="14"/>
        <v>M020|46096|3000|</v>
      </c>
      <c r="T172" s="1">
        <f>IF($E172="",0,SUMPRODUCT((AY_SONU!$O$7:$O$42="Evet")*(AY_SONU!$B$7:$B$42=DATE(YEAR($E172),MONTH($E172),1))))</f>
        <v>0</v>
      </c>
      <c r="U172" s="1" t="str">
        <f>IF(OR($G172="",$H172="Mahsup"),"",$G172&amp;"|"&amp;COUNTIFS($G$7:$G172,$G172,$H$7:$H172,"&lt;&gt;Mahsup"))</f>
        <v>MERKEZ KASA|120</v>
      </c>
    </row>
    <row r="173" spans="1:21" ht="18" customHeight="1" x14ac:dyDescent="0.3">
      <c r="A173" s="2"/>
      <c r="B173" s="65" t="str">
        <f t="shared" si="10"/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M054</v>
      </c>
      <c r="D173" s="61" t="s">
        <v>674</v>
      </c>
      <c r="E173" s="66">
        <v>46096</v>
      </c>
      <c r="F173" s="67">
        <v>4000</v>
      </c>
      <c r="G173" s="60" t="s">
        <v>717</v>
      </c>
      <c r="H173" s="60" t="s">
        <v>572</v>
      </c>
      <c r="I173" s="61"/>
      <c r="J173" s="61" t="s">
        <v>720</v>
      </c>
      <c r="K173" s="61"/>
      <c r="L173" s="73">
        <f t="shared" si="11"/>
        <v>46082</v>
      </c>
      <c r="M173" s="65" t="str">
        <f t="shared" ca="1" si="12"/>
        <v>UYGUN</v>
      </c>
      <c r="N173" s="74" t="str">
        <f>IF($C173="","",IF($C173="TANIMSIZ MÜŞTERİ","—",INDEX(MUSTERILER!$C$7:$C$156,MATCH($C173,MUSTERILER!$B$7:$B$156,0))))</f>
        <v>YALIKENT LTD.ŞTİ.</v>
      </c>
      <c r="O173" s="2"/>
      <c r="P173" s="2"/>
      <c r="Q173" s="1" t="str">
        <f>IF($D173="","",$C173&amp;"|"&amp;COUNTIFS($C$7:$C173,$C173))</f>
        <v>M054|2</v>
      </c>
      <c r="R173" s="1" t="str">
        <f t="shared" si="13"/>
        <v>YALIKENTLTDSTI</v>
      </c>
      <c r="S173" s="1" t="str">
        <f t="shared" si="14"/>
        <v>M054|46096|4000|</v>
      </c>
      <c r="T173" s="1">
        <f>IF($E173="",0,SUMPRODUCT((AY_SONU!$O$7:$O$42="Evet")*(AY_SONU!$B$7:$B$42=DATE(YEAR($E173),MONTH($E173),1))))</f>
        <v>0</v>
      </c>
      <c r="U173" s="1" t="str">
        <f>IF(OR($G173="",$H173="Mahsup"),"",$G173&amp;"|"&amp;COUNTIFS($G$7:$G173,$G173,$H$7:$H173,"&lt;&gt;Mahsup"))</f>
        <v>MERKEZ KASA|121</v>
      </c>
    </row>
    <row r="174" spans="1:21" ht="18" customHeight="1" x14ac:dyDescent="0.3">
      <c r="A174" s="2"/>
      <c r="B174" s="65" t="str">
        <f t="shared" si="10"/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M055</v>
      </c>
      <c r="D174" s="61" t="s">
        <v>660</v>
      </c>
      <c r="E174" s="66">
        <v>46098</v>
      </c>
      <c r="F174" s="67">
        <v>4000</v>
      </c>
      <c r="G174" s="60" t="s">
        <v>717</v>
      </c>
      <c r="H174" s="60" t="s">
        <v>572</v>
      </c>
      <c r="I174" s="61"/>
      <c r="J174" s="61" t="s">
        <v>720</v>
      </c>
      <c r="K174" s="61"/>
      <c r="L174" s="73">
        <f t="shared" si="11"/>
        <v>46082</v>
      </c>
      <c r="M174" s="65" t="str">
        <f t="shared" ca="1" si="12"/>
        <v>UYGUN</v>
      </c>
      <c r="N174" s="74" t="str">
        <f>IF($C174="","",IF($C174="TANIMSIZ MÜŞTERİ","—",INDEX(MUSTERILER!$C$7:$C$156,MATCH($C174,MUSTERILER!$B$7:$B$156,0))))</f>
        <v>SEMRA GÜMÜŞ</v>
      </c>
      <c r="O174" s="2"/>
      <c r="P174" s="2"/>
      <c r="Q174" s="1" t="str">
        <f>IF($D174="","",$C174&amp;"|"&amp;COUNTIFS($C$7:$C174,$C174))</f>
        <v>M055|1</v>
      </c>
      <c r="R174" s="1" t="str">
        <f t="shared" si="13"/>
        <v>SEMRAGUMUS</v>
      </c>
      <c r="S174" s="1" t="str">
        <f t="shared" si="14"/>
        <v>M055|46098|4000|</v>
      </c>
      <c r="T174" s="1">
        <f>IF($E174="",0,SUMPRODUCT((AY_SONU!$O$7:$O$42="Evet")*(AY_SONU!$B$7:$B$42=DATE(YEAR($E174),MONTH($E174),1))))</f>
        <v>0</v>
      </c>
      <c r="U174" s="1" t="str">
        <f>IF(OR($G174="",$H174="Mahsup"),"",$G174&amp;"|"&amp;COUNTIFS($G$7:$G174,$G174,$H$7:$H174,"&lt;&gt;Mahsup"))</f>
        <v>MERKEZ KASA|122</v>
      </c>
    </row>
    <row r="175" spans="1:21" ht="18" customHeight="1" x14ac:dyDescent="0.3">
      <c r="A175" s="2"/>
      <c r="B175" s="65" t="str">
        <f t="shared" si="10"/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M055</v>
      </c>
      <c r="D175" s="61" t="s">
        <v>660</v>
      </c>
      <c r="E175" s="66">
        <v>46099</v>
      </c>
      <c r="F175" s="67">
        <v>4000</v>
      </c>
      <c r="G175" s="60" t="s">
        <v>717</v>
      </c>
      <c r="H175" s="60" t="s">
        <v>572</v>
      </c>
      <c r="I175" s="61"/>
      <c r="J175" s="61" t="s">
        <v>720</v>
      </c>
      <c r="K175" s="61"/>
      <c r="L175" s="73">
        <f t="shared" si="11"/>
        <v>46082</v>
      </c>
      <c r="M175" s="65" t="str">
        <f t="shared" ca="1" si="12"/>
        <v>UYGUN</v>
      </c>
      <c r="N175" s="74" t="str">
        <f>IF($C175="","",IF($C175="TANIMSIZ MÜŞTERİ","—",INDEX(MUSTERILER!$C$7:$C$156,MATCH($C175,MUSTERILER!$B$7:$B$156,0))))</f>
        <v>SEMRA GÜMÜŞ</v>
      </c>
      <c r="O175" s="2"/>
      <c r="P175" s="2"/>
      <c r="Q175" s="1" t="str">
        <f>IF($D175="","",$C175&amp;"|"&amp;COUNTIFS($C$7:$C175,$C175))</f>
        <v>M055|2</v>
      </c>
      <c r="R175" s="1" t="str">
        <f t="shared" si="13"/>
        <v>SEMRAGUMUS</v>
      </c>
      <c r="S175" s="1" t="str">
        <f t="shared" si="14"/>
        <v>M055|46099|4000|</v>
      </c>
      <c r="T175" s="1">
        <f>IF($E175="",0,SUMPRODUCT((AY_SONU!$O$7:$O$42="Evet")*(AY_SONU!$B$7:$B$42=DATE(YEAR($E175),MONTH($E175),1))))</f>
        <v>0</v>
      </c>
      <c r="U175" s="1" t="str">
        <f>IF(OR($G175="",$H175="Mahsup"),"",$G175&amp;"|"&amp;COUNTIFS($G$7:$G175,$G175,$H$7:$H175,"&lt;&gt;Mahsup"))</f>
        <v>MERKEZ KASA|123</v>
      </c>
    </row>
    <row r="176" spans="1:21" ht="18" customHeight="1" x14ac:dyDescent="0.3">
      <c r="A176" s="2"/>
      <c r="B176" s="65" t="str">
        <f t="shared" si="10"/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M051</v>
      </c>
      <c r="D176" s="61" t="s">
        <v>668</v>
      </c>
      <c r="E176" s="66">
        <v>46099</v>
      </c>
      <c r="F176" s="67">
        <v>3000</v>
      </c>
      <c r="G176" s="60" t="s">
        <v>717</v>
      </c>
      <c r="H176" s="60" t="s">
        <v>572</v>
      </c>
      <c r="I176" s="61"/>
      <c r="J176" s="61" t="s">
        <v>720</v>
      </c>
      <c r="K176" s="61"/>
      <c r="L176" s="73">
        <f t="shared" si="11"/>
        <v>46082</v>
      </c>
      <c r="M176" s="65" t="str">
        <f t="shared" ca="1" si="12"/>
        <v>UYGUN</v>
      </c>
      <c r="N176" s="74" t="str">
        <f>IF($C176="","",IF($C176="TANIMSIZ MÜŞTERİ","—",INDEX(MUSTERILER!$C$7:$C$156,MATCH($C176,MUSTERILER!$B$7:$B$156,0))))</f>
        <v>UFUK YILMAZ</v>
      </c>
      <c r="O176" s="2"/>
      <c r="P176" s="2"/>
      <c r="Q176" s="1" t="str">
        <f>IF($D176="","",$C176&amp;"|"&amp;COUNTIFS($C$7:$C176,$C176))</f>
        <v>M051|3</v>
      </c>
      <c r="R176" s="1" t="str">
        <f t="shared" si="13"/>
        <v>UFUKYILMAZ</v>
      </c>
      <c r="S176" s="1" t="str">
        <f t="shared" si="14"/>
        <v>M051|46099|3000|</v>
      </c>
      <c r="T176" s="1">
        <f>IF($E176="",0,SUMPRODUCT((AY_SONU!$O$7:$O$42="Evet")*(AY_SONU!$B$7:$B$42=DATE(YEAR($E176),MONTH($E176),1))))</f>
        <v>0</v>
      </c>
      <c r="U176" s="1" t="str">
        <f>IF(OR($G176="",$H176="Mahsup"),"",$G176&amp;"|"&amp;COUNTIFS($G$7:$G176,$G176,$H$7:$H176,"&lt;&gt;Mahsup"))</f>
        <v>MERKEZ KASA|124</v>
      </c>
    </row>
    <row r="177" spans="1:21" ht="18" customHeight="1" x14ac:dyDescent="0.3">
      <c r="A177" s="2"/>
      <c r="B177" s="65" t="str">
        <f t="shared" si="10"/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M024</v>
      </c>
      <c r="D177" s="61" t="s">
        <v>579</v>
      </c>
      <c r="E177" s="66">
        <v>46100</v>
      </c>
      <c r="F177" s="67">
        <v>3000</v>
      </c>
      <c r="G177" s="60" t="s">
        <v>717</v>
      </c>
      <c r="H177" s="60" t="s">
        <v>572</v>
      </c>
      <c r="I177" s="61"/>
      <c r="J177" s="61" t="s">
        <v>720</v>
      </c>
      <c r="K177" s="61"/>
      <c r="L177" s="73">
        <f t="shared" si="11"/>
        <v>46082</v>
      </c>
      <c r="M177" s="65" t="str">
        <f t="shared" ca="1" si="12"/>
        <v>UYGUN</v>
      </c>
      <c r="N177" s="74" t="str">
        <f>IF($C177="","",IF($C177="TANIMSIZ MÜŞTERİ","—",INDEX(MUSTERILER!$C$7:$C$156,MATCH($C177,MUSTERILER!$B$7:$B$156,0))))</f>
        <v>ARMAN DİK</v>
      </c>
      <c r="O177" s="2"/>
      <c r="P177" s="2"/>
      <c r="Q177" s="1" t="str">
        <f>IF($D177="","",$C177&amp;"|"&amp;COUNTIFS($C$7:$C177,$C177))</f>
        <v>M024|2</v>
      </c>
      <c r="R177" s="1" t="str">
        <f t="shared" si="13"/>
        <v>ARMANDIK</v>
      </c>
      <c r="S177" s="1" t="str">
        <f t="shared" si="14"/>
        <v>M024|46100|3000|</v>
      </c>
      <c r="T177" s="1">
        <f>IF($E177="",0,SUMPRODUCT((AY_SONU!$O$7:$O$42="Evet")*(AY_SONU!$B$7:$B$42=DATE(YEAR($E177),MONTH($E177),1))))</f>
        <v>0</v>
      </c>
      <c r="U177" s="1" t="str">
        <f>IF(OR($G177="",$H177="Mahsup"),"",$G177&amp;"|"&amp;COUNTIFS($G$7:$G177,$G177,$H$7:$H177,"&lt;&gt;Mahsup"))</f>
        <v>MERKEZ KASA|125</v>
      </c>
    </row>
    <row r="178" spans="1:21" ht="18" customHeight="1" x14ac:dyDescent="0.3">
      <c r="A178" s="2"/>
      <c r="B178" s="65" t="str">
        <f t="shared" si="10"/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M011</v>
      </c>
      <c r="D178" s="61" t="s">
        <v>597</v>
      </c>
      <c r="E178" s="66">
        <v>46102</v>
      </c>
      <c r="F178" s="67">
        <v>1000</v>
      </c>
      <c r="G178" s="60" t="s">
        <v>717</v>
      </c>
      <c r="H178" s="60" t="s">
        <v>572</v>
      </c>
      <c r="I178" s="61"/>
      <c r="J178" s="61" t="s">
        <v>720</v>
      </c>
      <c r="K178" s="61"/>
      <c r="L178" s="73">
        <f t="shared" si="11"/>
        <v>46082</v>
      </c>
      <c r="M178" s="65" t="str">
        <f t="shared" ca="1" si="12"/>
        <v>UYGUN</v>
      </c>
      <c r="N178" s="74" t="str">
        <f>IF($C178="","",IF($C178="TANIMSIZ MÜŞTERİ","—",INDEX(MUSTERILER!$C$7:$C$156,MATCH($C178,MUSTERILER!$B$7:$B$156,0))))</f>
        <v>EĞLENGÖR LTD.ŞTİ.</v>
      </c>
      <c r="O178" s="2"/>
      <c r="P178" s="2"/>
      <c r="Q178" s="1" t="str">
        <f>IF($D178="","",$C178&amp;"|"&amp;COUNTIFS($C$7:$C178,$C178))</f>
        <v>M011|11</v>
      </c>
      <c r="R178" s="1" t="str">
        <f t="shared" si="13"/>
        <v>EGLENGORLTDSTI</v>
      </c>
      <c r="S178" s="1" t="str">
        <f t="shared" si="14"/>
        <v>M011|46102|1000|</v>
      </c>
      <c r="T178" s="1">
        <f>IF($E178="",0,SUMPRODUCT((AY_SONU!$O$7:$O$42="Evet")*(AY_SONU!$B$7:$B$42=DATE(YEAR($E178),MONTH($E178),1))))</f>
        <v>0</v>
      </c>
      <c r="U178" s="1" t="str">
        <f>IF(OR($G178="",$H178="Mahsup"),"",$G178&amp;"|"&amp;COUNTIFS($G$7:$G178,$G178,$H$7:$H178,"&lt;&gt;Mahsup"))</f>
        <v>MERKEZ KASA|126</v>
      </c>
    </row>
    <row r="179" spans="1:21" ht="18" customHeight="1" x14ac:dyDescent="0.3">
      <c r="A179" s="2"/>
      <c r="B179" s="65" t="str">
        <f t="shared" si="10"/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M017</v>
      </c>
      <c r="D179" s="61" t="s">
        <v>585</v>
      </c>
      <c r="E179" s="66">
        <v>46103</v>
      </c>
      <c r="F179" s="67">
        <v>5000</v>
      </c>
      <c r="G179" s="60" t="s">
        <v>717</v>
      </c>
      <c r="H179" s="60" t="s">
        <v>572</v>
      </c>
      <c r="I179" s="61"/>
      <c r="J179" s="61" t="s">
        <v>720</v>
      </c>
      <c r="K179" s="61"/>
      <c r="L179" s="73">
        <f t="shared" si="11"/>
        <v>46082</v>
      </c>
      <c r="M179" s="65" t="str">
        <f t="shared" ca="1" si="12"/>
        <v>UYGUN</v>
      </c>
      <c r="N179" s="74" t="str">
        <f>IF($C179="","",IF($C179="TANIMSIZ MÜŞTERİ","—",INDEX(MUSTERILER!$C$7:$C$156,MATCH($C179,MUSTERILER!$B$7:$B$156,0))))</f>
        <v>ASM EĞLENCE LTD.ŞTİ.</v>
      </c>
      <c r="O179" s="2"/>
      <c r="P179" s="2"/>
      <c r="Q179" s="1" t="str">
        <f>IF($D179="","",$C179&amp;"|"&amp;COUNTIFS($C$7:$C179,$C179))</f>
        <v>M017|10</v>
      </c>
      <c r="R179" s="1" t="str">
        <f t="shared" si="13"/>
        <v>ASMEGLENCELTDSTI</v>
      </c>
      <c r="S179" s="1" t="str">
        <f t="shared" si="14"/>
        <v>M017|46103|5000|</v>
      </c>
      <c r="T179" s="1">
        <f>IF($E179="",0,SUMPRODUCT((AY_SONU!$O$7:$O$42="Evet")*(AY_SONU!$B$7:$B$42=DATE(YEAR($E179),MONTH($E179),1))))</f>
        <v>0</v>
      </c>
      <c r="U179" s="1" t="str">
        <f>IF(OR($G179="",$H179="Mahsup"),"",$G179&amp;"|"&amp;COUNTIFS($G$7:$G179,$G179,$H$7:$H179,"&lt;&gt;Mahsup"))</f>
        <v>MERKEZ KASA|127</v>
      </c>
    </row>
    <row r="180" spans="1:21" ht="18" customHeight="1" x14ac:dyDescent="0.3">
      <c r="A180" s="2"/>
      <c r="B180" s="65" t="str">
        <f t="shared" si="10"/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M015</v>
      </c>
      <c r="D180" s="61" t="s">
        <v>719</v>
      </c>
      <c r="E180" s="66">
        <v>46103</v>
      </c>
      <c r="F180" s="67">
        <v>3000</v>
      </c>
      <c r="G180" s="60" t="s">
        <v>717</v>
      </c>
      <c r="H180" s="60" t="s">
        <v>572</v>
      </c>
      <c r="I180" s="61"/>
      <c r="J180" s="61" t="s">
        <v>720</v>
      </c>
      <c r="K180" s="61"/>
      <c r="L180" s="73">
        <f t="shared" si="11"/>
        <v>46082</v>
      </c>
      <c r="M180" s="65" t="str">
        <f t="shared" ca="1" si="12"/>
        <v>UYGUN</v>
      </c>
      <c r="N180" s="74" t="str">
        <f>IF($C180="","",IF($C180="TANIMSIZ MÜŞTERİ","—",INDEX(MUSTERILER!$C$7:$C$156,MATCH($C180,MUSTERILER!$B$7:$B$156,0))))</f>
        <v>ÇAYIRALAN LTD.ŞTİ.</v>
      </c>
      <c r="O180" s="2"/>
      <c r="P180" s="2"/>
      <c r="Q180" s="1" t="str">
        <f>IF($D180="","",$C180&amp;"|"&amp;COUNTIFS($C$7:$C180,$C180))</f>
        <v>M015|9</v>
      </c>
      <c r="R180" s="1" t="str">
        <f t="shared" si="13"/>
        <v>CAYIRALANLTDSTI</v>
      </c>
      <c r="S180" s="1" t="str">
        <f t="shared" si="14"/>
        <v>M015|46103|3000|</v>
      </c>
      <c r="T180" s="1">
        <f>IF($E180="",0,SUMPRODUCT((AY_SONU!$O$7:$O$42="Evet")*(AY_SONU!$B$7:$B$42=DATE(YEAR($E180),MONTH($E180),1))))</f>
        <v>0</v>
      </c>
      <c r="U180" s="1" t="str">
        <f>IF(OR($G180="",$H180="Mahsup"),"",$G180&amp;"|"&amp;COUNTIFS($G$7:$G180,$G180,$H$7:$H180,"&lt;&gt;Mahsup"))</f>
        <v>MERKEZ KASA|128</v>
      </c>
    </row>
    <row r="181" spans="1:21" ht="18" customHeight="1" x14ac:dyDescent="0.3">
      <c r="A181" s="2"/>
      <c r="B181" s="65" t="str">
        <f t="shared" si="10"/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M014</v>
      </c>
      <c r="D181" s="61" t="s">
        <v>731</v>
      </c>
      <c r="E181" s="66">
        <v>46103</v>
      </c>
      <c r="F181" s="67">
        <v>2000</v>
      </c>
      <c r="G181" s="60" t="s">
        <v>717</v>
      </c>
      <c r="H181" s="60" t="s">
        <v>572</v>
      </c>
      <c r="I181" s="61"/>
      <c r="J181" s="61" t="s">
        <v>720</v>
      </c>
      <c r="K181" s="61"/>
      <c r="L181" s="73">
        <f t="shared" si="11"/>
        <v>46082</v>
      </c>
      <c r="M181" s="65" t="str">
        <f t="shared" ca="1" si="12"/>
        <v>UYGUN</v>
      </c>
      <c r="N181" s="74" t="str">
        <f>IF($C181="","",IF($C181="TANIMSIZ MÜŞTERİ","—",INDEX(MUSTERILER!$C$7:$C$156,MATCH($C181,MUSTERILER!$B$7:$B$156,0))))</f>
        <v>FİNAL SİYAH BEYAZ LTD.ŞTİ.</v>
      </c>
      <c r="O181" s="2"/>
      <c r="P181" s="2"/>
      <c r="Q181" s="1" t="str">
        <f>IF($D181="","",$C181&amp;"|"&amp;COUNTIFS($C$7:$C181,$C181))</f>
        <v>M014|10</v>
      </c>
      <c r="R181" s="1" t="str">
        <f t="shared" si="13"/>
        <v>FINALSIYAHBEYAZLTDSTI</v>
      </c>
      <c r="S181" s="1" t="str">
        <f t="shared" si="14"/>
        <v>M014|46103|2000|</v>
      </c>
      <c r="T181" s="1">
        <f>IF($E181="",0,SUMPRODUCT((AY_SONU!$O$7:$O$42="Evet")*(AY_SONU!$B$7:$B$42=DATE(YEAR($E181),MONTH($E181),1))))</f>
        <v>0</v>
      </c>
      <c r="U181" s="1" t="str">
        <f>IF(OR($G181="",$H181="Mahsup"),"",$G181&amp;"|"&amp;COUNTIFS($G$7:$G181,$G181,$H$7:$H181,"&lt;&gt;Mahsup"))</f>
        <v>MERKEZ KASA|129</v>
      </c>
    </row>
    <row r="182" spans="1:21" ht="18" customHeight="1" x14ac:dyDescent="0.3">
      <c r="A182" s="2"/>
      <c r="B182" s="65" t="str">
        <f t="shared" si="10"/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61" t="s">
        <v>721</v>
      </c>
      <c r="E182" s="66">
        <v>46103</v>
      </c>
      <c r="F182" s="67">
        <v>4000</v>
      </c>
      <c r="G182" s="60" t="s">
        <v>717</v>
      </c>
      <c r="H182" s="60" t="s">
        <v>572</v>
      </c>
      <c r="I182" s="61"/>
      <c r="J182" s="61" t="s">
        <v>720</v>
      </c>
      <c r="K182" s="61"/>
      <c r="L182" s="73">
        <f t="shared" si="11"/>
        <v>46082</v>
      </c>
      <c r="M182" s="65" t="str">
        <f t="shared" ca="1" si="12"/>
        <v>UYGUN</v>
      </c>
      <c r="N182" s="74" t="str">
        <f>IF($C182="","",IF($C182="TANIMSIZ MÜŞTERİ","—",INDEX(MUSTERILER!$C$7:$C$156,MATCH($C182,MUSTERILER!$B$7:$B$156,0))))</f>
        <v>İLDEŞ LTD.ŞTİ.</v>
      </c>
      <c r="O182" s="2"/>
      <c r="P182" s="2"/>
      <c r="Q182" s="1" t="str">
        <f>IF($D182="","",$C182&amp;"|"&amp;COUNTIFS($C$7:$C182,$C182))</f>
        <v>M012|10</v>
      </c>
      <c r="R182" s="1" t="str">
        <f t="shared" si="13"/>
        <v>ILDESLTDSTI</v>
      </c>
      <c r="S182" s="1" t="str">
        <f t="shared" si="14"/>
        <v>M012|46103|4000|</v>
      </c>
      <c r="T182" s="1">
        <f>IF($E182="",0,SUMPRODUCT((AY_SONU!$O$7:$O$42="Evet")*(AY_SONU!$B$7:$B$42=DATE(YEAR($E182),MONTH($E182),1))))</f>
        <v>0</v>
      </c>
      <c r="U182" s="1" t="str">
        <f>IF(OR($G182="",$H182="Mahsup"),"",$G182&amp;"|"&amp;COUNTIFS($G$7:$G182,$G182,$H$7:$H182,"&lt;&gt;Mahsup"))</f>
        <v>MERKEZ KASA|130</v>
      </c>
    </row>
    <row r="183" spans="1:21" ht="18" customHeight="1" x14ac:dyDescent="0.3">
      <c r="A183" s="2"/>
      <c r="B183" s="65" t="str">
        <f t="shared" si="10"/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M009</v>
      </c>
      <c r="D183" s="61" t="s">
        <v>735</v>
      </c>
      <c r="E183" s="66">
        <v>46103</v>
      </c>
      <c r="F183" s="67">
        <v>2000</v>
      </c>
      <c r="G183" s="60" t="s">
        <v>717</v>
      </c>
      <c r="H183" s="60" t="s">
        <v>572</v>
      </c>
      <c r="I183" s="61"/>
      <c r="J183" s="61" t="s">
        <v>720</v>
      </c>
      <c r="K183" s="61"/>
      <c r="L183" s="73">
        <f t="shared" si="11"/>
        <v>46082</v>
      </c>
      <c r="M183" s="65" t="str">
        <f t="shared" ca="1" si="12"/>
        <v>UYGUN</v>
      </c>
      <c r="N183" s="74" t="str">
        <f>IF($C183="","",IF($C183="TANIMSIZ MÜŞTERİ","—",INDEX(MUSTERILER!$C$7:$C$156,MATCH($C183,MUSTERILER!$B$7:$B$156,0))))</f>
        <v>PAKYILDIZ LTD.ŞTİ.</v>
      </c>
      <c r="O183" s="2"/>
      <c r="P183" s="2"/>
      <c r="Q183" s="1" t="str">
        <f>IF($D183="","",$C183&amp;"|"&amp;COUNTIFS($C$7:$C183,$C183))</f>
        <v>M009|7</v>
      </c>
      <c r="R183" s="1" t="str">
        <f t="shared" si="13"/>
        <v>PAKYILDIZLTDSTI</v>
      </c>
      <c r="S183" s="1" t="str">
        <f t="shared" si="14"/>
        <v>M009|46103|2000|</v>
      </c>
      <c r="T183" s="1">
        <f>IF($E183="",0,SUMPRODUCT((AY_SONU!$O$7:$O$42="Evet")*(AY_SONU!$B$7:$B$42=DATE(YEAR($E183),MONTH($E183),1))))</f>
        <v>0</v>
      </c>
      <c r="U183" s="1" t="str">
        <f>IF(OR($G183="",$H183="Mahsup"),"",$G183&amp;"|"&amp;COUNTIFS($G$7:$G183,$G183,$H$7:$H183,"&lt;&gt;Mahsup"))</f>
        <v>MERKEZ KASA|131</v>
      </c>
    </row>
    <row r="184" spans="1:21" ht="18" customHeight="1" x14ac:dyDescent="0.3">
      <c r="A184" s="2"/>
      <c r="B184" s="65" t="str">
        <f t="shared" si="10"/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M016</v>
      </c>
      <c r="D184" s="61" t="s">
        <v>736</v>
      </c>
      <c r="E184" s="66">
        <v>46103</v>
      </c>
      <c r="F184" s="67">
        <v>3000</v>
      </c>
      <c r="G184" s="60" t="s">
        <v>717</v>
      </c>
      <c r="H184" s="60" t="s">
        <v>572</v>
      </c>
      <c r="I184" s="61"/>
      <c r="J184" s="61" t="s">
        <v>720</v>
      </c>
      <c r="K184" s="61"/>
      <c r="L184" s="73">
        <f t="shared" si="11"/>
        <v>46082</v>
      </c>
      <c r="M184" s="65" t="str">
        <f t="shared" ca="1" si="12"/>
        <v>UYGUN</v>
      </c>
      <c r="N184" s="74" t="str">
        <f>IF($C184="","",IF($C184="TANIMSIZ MÜŞTERİ","—",INDEX(MUSTERILER!$C$7:$C$156,MATCH($C184,MUSTERILER!$B$7:$B$156,0))))</f>
        <v>RİX ŞOW LTD.ŞTİ.</v>
      </c>
      <c r="O184" s="2"/>
      <c r="P184" s="2"/>
      <c r="Q184" s="1" t="str">
        <f>IF($D184="","",$C184&amp;"|"&amp;COUNTIFS($C$7:$C184,$C184))</f>
        <v>M016|11</v>
      </c>
      <c r="R184" s="1" t="str">
        <f t="shared" si="13"/>
        <v>RIXSOWLTDSTI</v>
      </c>
      <c r="S184" s="1" t="str">
        <f t="shared" si="14"/>
        <v>M016|46103|3000|</v>
      </c>
      <c r="T184" s="1">
        <f>IF($E184="",0,SUMPRODUCT((AY_SONU!$O$7:$O$42="Evet")*(AY_SONU!$B$7:$B$42=DATE(YEAR($E184),MONTH($E184),1))))</f>
        <v>0</v>
      </c>
      <c r="U184" s="1" t="str">
        <f>IF(OR($G184="",$H184="Mahsup"),"",$G184&amp;"|"&amp;COUNTIFS($G$7:$G184,$G184,$H$7:$H184,"&lt;&gt;Mahsup"))</f>
        <v>MERKEZ KASA|132</v>
      </c>
    </row>
    <row r="185" spans="1:21" ht="18" customHeight="1" x14ac:dyDescent="0.3">
      <c r="A185" s="2"/>
      <c r="B185" s="65" t="str">
        <f t="shared" si="10"/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M005</v>
      </c>
      <c r="D185" s="61" t="s">
        <v>722</v>
      </c>
      <c r="E185" s="66">
        <v>46103</v>
      </c>
      <c r="F185" s="67">
        <v>1750</v>
      </c>
      <c r="G185" s="60" t="s">
        <v>717</v>
      </c>
      <c r="H185" s="60" t="s">
        <v>572</v>
      </c>
      <c r="I185" s="61"/>
      <c r="J185" s="61" t="s">
        <v>720</v>
      </c>
      <c r="K185" s="61"/>
      <c r="L185" s="73">
        <f t="shared" si="11"/>
        <v>46082</v>
      </c>
      <c r="M185" s="65" t="str">
        <f t="shared" ca="1" si="12"/>
        <v>UYGUN</v>
      </c>
      <c r="N185" s="74" t="str">
        <f>IF($C185="","",IF($C185="TANIMSIZ MÜŞTERİ","—",INDEX(MUSTERILER!$C$7:$C$156,MATCH($C185,MUSTERILER!$B$7:$B$156,0))))</f>
        <v>ZÜMRÜT GRUP LTD.ŞTİ.</v>
      </c>
      <c r="O185" s="2"/>
      <c r="P185" s="2"/>
      <c r="Q185" s="1" t="str">
        <f>IF($D185="","",$C185&amp;"|"&amp;COUNTIFS($C$7:$C185,$C185))</f>
        <v>M005|11</v>
      </c>
      <c r="R185" s="1" t="str">
        <f t="shared" si="13"/>
        <v>ZUMRUTGRUPLTDSTI</v>
      </c>
      <c r="S185" s="1" t="str">
        <f t="shared" si="14"/>
        <v>M005|46103|1750|</v>
      </c>
      <c r="T185" s="1">
        <f>IF($E185="",0,SUMPRODUCT((AY_SONU!$O$7:$O$42="Evet")*(AY_SONU!$B$7:$B$42=DATE(YEAR($E185),MONTH($E185),1))))</f>
        <v>0</v>
      </c>
      <c r="U185" s="1" t="str">
        <f>IF(OR($G185="",$H185="Mahsup"),"",$G185&amp;"|"&amp;COUNTIFS($G$7:$G185,$G185,$H$7:$H185,"&lt;&gt;Mahsup"))</f>
        <v>MERKEZ KASA|133</v>
      </c>
    </row>
    <row r="186" spans="1:21" ht="18" customHeight="1" x14ac:dyDescent="0.3">
      <c r="A186" s="2"/>
      <c r="B186" s="65" t="str">
        <f t="shared" si="10"/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M018</v>
      </c>
      <c r="D186" s="61" t="s">
        <v>593</v>
      </c>
      <c r="E186" s="66">
        <v>46103</v>
      </c>
      <c r="F186" s="67">
        <v>2500</v>
      </c>
      <c r="G186" s="60" t="s">
        <v>717</v>
      </c>
      <c r="H186" s="60" t="s">
        <v>572</v>
      </c>
      <c r="I186" s="61"/>
      <c r="J186" s="61" t="s">
        <v>720</v>
      </c>
      <c r="K186" s="61"/>
      <c r="L186" s="73">
        <f t="shared" si="11"/>
        <v>46082</v>
      </c>
      <c r="M186" s="65" t="str">
        <f t="shared" ca="1" si="12"/>
        <v>UYGUN</v>
      </c>
      <c r="N186" s="74" t="str">
        <f>IF($C186="","",IF($C186="TANIMSIZ MÜŞTERİ","—",INDEX(MUSTERILER!$C$7:$C$156,MATCH($C186,MUSTERILER!$B$7:$B$156,0))))</f>
        <v>ÇINARHAN LTD.ŞTİ.</v>
      </c>
      <c r="O186" s="2"/>
      <c r="P186" s="2"/>
      <c r="Q186" s="1" t="str">
        <f>IF($D186="","",$C186&amp;"|"&amp;COUNTIFS($C$7:$C186,$C186))</f>
        <v>M018|6</v>
      </c>
      <c r="R186" s="1" t="str">
        <f t="shared" si="13"/>
        <v>CINARHANLTDSTI</v>
      </c>
      <c r="S186" s="1" t="str">
        <f t="shared" si="14"/>
        <v>M018|46103|2500|</v>
      </c>
      <c r="T186" s="1">
        <f>IF($E186="",0,SUMPRODUCT((AY_SONU!$O$7:$O$42="Evet")*(AY_SONU!$B$7:$B$42=DATE(YEAR($E186),MONTH($E186),1))))</f>
        <v>0</v>
      </c>
      <c r="U186" s="1" t="str">
        <f>IF(OR($G186="",$H186="Mahsup"),"",$G186&amp;"|"&amp;COUNTIFS($G$7:$G186,$G186,$H$7:$H186,"&lt;&gt;Mahsup"))</f>
        <v>MERKEZ KASA|134</v>
      </c>
    </row>
    <row r="187" spans="1:21" ht="18" customHeight="1" x14ac:dyDescent="0.3">
      <c r="A187" s="2"/>
      <c r="B187" s="65" t="str">
        <f t="shared" si="10"/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M020</v>
      </c>
      <c r="D187" s="61" t="s">
        <v>623</v>
      </c>
      <c r="E187" s="66">
        <v>46103</v>
      </c>
      <c r="F187" s="67">
        <v>3000</v>
      </c>
      <c r="G187" s="60" t="s">
        <v>717</v>
      </c>
      <c r="H187" s="60" t="s">
        <v>572</v>
      </c>
      <c r="I187" s="61"/>
      <c r="J187" s="61" t="s">
        <v>720</v>
      </c>
      <c r="K187" s="61"/>
      <c r="L187" s="73">
        <f t="shared" si="11"/>
        <v>46082</v>
      </c>
      <c r="M187" s="65" t="str">
        <f t="shared" ca="1" si="12"/>
        <v>UYGUN</v>
      </c>
      <c r="N187" s="74" t="str">
        <f>IF($C187="","",IF($C187="TANIMSIZ MÜŞTERİ","—",INDEX(MUSTERILER!$C$7:$C$156,MATCH($C187,MUSTERILER!$B$7:$B$156,0))))</f>
        <v>KRİSTAL LTD.ŞTİ.</v>
      </c>
      <c r="O187" s="2"/>
      <c r="P187" s="2"/>
      <c r="Q187" s="1" t="str">
        <f>IF($D187="","",$C187&amp;"|"&amp;COUNTIFS($C$7:$C187,$C187))</f>
        <v>M020|11</v>
      </c>
      <c r="R187" s="1" t="str">
        <f t="shared" si="13"/>
        <v>KRISTALLTDSTI</v>
      </c>
      <c r="S187" s="1" t="str">
        <f t="shared" si="14"/>
        <v>M020|46103|3000|</v>
      </c>
      <c r="T187" s="1">
        <f>IF($E187="",0,SUMPRODUCT((AY_SONU!$O$7:$O$42="Evet")*(AY_SONU!$B$7:$B$42=DATE(YEAR($E187),MONTH($E187),1))))</f>
        <v>0</v>
      </c>
      <c r="U187" s="1" t="str">
        <f>IF(OR($G187="",$H187="Mahsup"),"",$G187&amp;"|"&amp;COUNTIFS($G$7:$G187,$G187,$H$7:$H187,"&lt;&gt;Mahsup"))</f>
        <v>MERKEZ KASA|135</v>
      </c>
    </row>
    <row r="188" spans="1:21" ht="18" customHeight="1" x14ac:dyDescent="0.3">
      <c r="A188" s="2"/>
      <c r="B188" s="65" t="str">
        <f t="shared" si="10"/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M047</v>
      </c>
      <c r="D188" s="61" t="s">
        <v>654</v>
      </c>
      <c r="E188" s="66">
        <v>46103</v>
      </c>
      <c r="F188" s="67">
        <v>4000</v>
      </c>
      <c r="G188" s="60" t="s">
        <v>717</v>
      </c>
      <c r="H188" s="60" t="s">
        <v>572</v>
      </c>
      <c r="I188" s="61"/>
      <c r="J188" s="61" t="s">
        <v>720</v>
      </c>
      <c r="K188" s="61"/>
      <c r="L188" s="73">
        <f t="shared" si="11"/>
        <v>46082</v>
      </c>
      <c r="M188" s="65" t="str">
        <f t="shared" ca="1" si="12"/>
        <v>UYGUN</v>
      </c>
      <c r="N188" s="74" t="str">
        <f>IF($C188="","",IF($C188="TANIMSIZ MÜŞTERİ","—",INDEX(MUSTERILER!$C$7:$C$156,MATCH($C188,MUSTERILER!$B$7:$B$156,0))))</f>
        <v>PALAOĞULLARI LTD.ŞTİ.</v>
      </c>
      <c r="O188" s="2"/>
      <c r="P188" s="2"/>
      <c r="Q188" s="1" t="str">
        <f>IF($D188="","",$C188&amp;"|"&amp;COUNTIFS($C$7:$C188,$C188))</f>
        <v>M047|4</v>
      </c>
      <c r="R188" s="1" t="str">
        <f t="shared" si="13"/>
        <v>PALAOGULLARILTDSTI</v>
      </c>
      <c r="S188" s="1" t="str">
        <f t="shared" si="14"/>
        <v>M047|46103|4000|</v>
      </c>
      <c r="T188" s="1">
        <f>IF($E188="",0,SUMPRODUCT((AY_SONU!$O$7:$O$42="Evet")*(AY_SONU!$B$7:$B$42=DATE(YEAR($E188),MONTH($E188),1))))</f>
        <v>0</v>
      </c>
      <c r="U188" s="1" t="str">
        <f>IF(OR($G188="",$H188="Mahsup"),"",$G188&amp;"|"&amp;COUNTIFS($G$7:$G188,$G188,$H$7:$H188,"&lt;&gt;Mahsup"))</f>
        <v>MERKEZ KASA|136</v>
      </c>
    </row>
    <row r="189" spans="1:21" ht="18" customHeight="1" x14ac:dyDescent="0.3">
      <c r="A189" s="2"/>
      <c r="B189" s="65" t="str">
        <f t="shared" si="10"/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M013</v>
      </c>
      <c r="D189" s="61" t="s">
        <v>734</v>
      </c>
      <c r="E189" s="66">
        <v>46107</v>
      </c>
      <c r="F189" s="67">
        <v>6000</v>
      </c>
      <c r="G189" s="60" t="s">
        <v>723</v>
      </c>
      <c r="H189" s="60" t="s">
        <v>572</v>
      </c>
      <c r="I189" s="61"/>
      <c r="J189" s="61" t="s">
        <v>724</v>
      </c>
      <c r="K189" s="61"/>
      <c r="L189" s="73">
        <f t="shared" si="11"/>
        <v>46082</v>
      </c>
      <c r="M189" s="65" t="str">
        <f t="shared" ca="1" si="12"/>
        <v>UYGUN</v>
      </c>
      <c r="N189" s="74" t="str">
        <f>IF($C189="","",IF($C189="TANIMSIZ MÜŞTERİ","—",INDEX(MUSTERILER!$C$7:$C$156,MATCH($C189,MUSTERILER!$B$7:$B$156,0))))</f>
        <v>NAZ 1 GIDA LTD.ŞTİ.</v>
      </c>
      <c r="O189" s="2"/>
      <c r="P189" s="2"/>
      <c r="Q189" s="1" t="str">
        <f>IF($D189="","",$C189&amp;"|"&amp;COUNTIFS($C$7:$C189,$C189))</f>
        <v>M013|7</v>
      </c>
      <c r="R189" s="1" t="str">
        <f t="shared" si="13"/>
        <v>NAZ1GIDALTDSTI</v>
      </c>
      <c r="S189" s="1" t="str">
        <f t="shared" si="14"/>
        <v>M013|46107|6000|</v>
      </c>
      <c r="T189" s="1">
        <f>IF($E189="",0,SUMPRODUCT((AY_SONU!$O$7:$O$42="Evet")*(AY_SONU!$B$7:$B$42=DATE(YEAR($E189),MONTH($E189),1))))</f>
        <v>0</v>
      </c>
      <c r="U189" s="1" t="str">
        <f>IF(OR($G189="",$H189="Mahsup"),"",$G189&amp;"|"&amp;COUNTIFS($G$7:$G189,$G189,$H$7:$H189,"&lt;&gt;Mahsup"))</f>
        <v>ÖMER KARTAL|47</v>
      </c>
    </row>
    <row r="190" spans="1:21" ht="18" customHeight="1" x14ac:dyDescent="0.3">
      <c r="A190" s="2"/>
      <c r="B190" s="65" t="str">
        <f t="shared" si="10"/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M025</v>
      </c>
      <c r="D190" s="61" t="s">
        <v>583</v>
      </c>
      <c r="E190" s="66">
        <v>46109</v>
      </c>
      <c r="F190" s="67">
        <v>2000</v>
      </c>
      <c r="G190" s="60" t="s">
        <v>717</v>
      </c>
      <c r="H190" s="60" t="s">
        <v>572</v>
      </c>
      <c r="I190" s="61"/>
      <c r="J190" s="61" t="s">
        <v>720</v>
      </c>
      <c r="K190" s="61"/>
      <c r="L190" s="73">
        <f t="shared" si="11"/>
        <v>46082</v>
      </c>
      <c r="M190" s="65" t="str">
        <f t="shared" ca="1" si="12"/>
        <v>UYGUN</v>
      </c>
      <c r="N190" s="74" t="str">
        <f>IF($C190="","",IF($C190="TANIMSIZ MÜŞTERİ","—",INDEX(MUSTERILER!$C$7:$C$156,MATCH($C190,MUSTERILER!$B$7:$B$156,0))))</f>
        <v>ASIM AÇIKGÖZ</v>
      </c>
      <c r="O190" s="2"/>
      <c r="P190" s="2"/>
      <c r="Q190" s="1" t="str">
        <f>IF($D190="","",$C190&amp;"|"&amp;COUNTIFS($C$7:$C190,$C190))</f>
        <v>M025|10</v>
      </c>
      <c r="R190" s="1" t="str">
        <f t="shared" si="13"/>
        <v>ASIMACIKGOZ</v>
      </c>
      <c r="S190" s="1" t="str">
        <f t="shared" si="14"/>
        <v>M025|46109|2000|</v>
      </c>
      <c r="T190" s="1">
        <f>IF($E190="",0,SUMPRODUCT((AY_SONU!$O$7:$O$42="Evet")*(AY_SONU!$B$7:$B$42=DATE(YEAR($E190),MONTH($E190),1))))</f>
        <v>0</v>
      </c>
      <c r="U190" s="1" t="str">
        <f>IF(OR($G190="",$H190="Mahsup"),"",$G190&amp;"|"&amp;COUNTIFS($G$7:$G190,$G190,$H$7:$H190,"&lt;&gt;Mahsup"))</f>
        <v>MERKEZ KASA|137</v>
      </c>
    </row>
    <row r="191" spans="1:21" ht="18" customHeight="1" x14ac:dyDescent="0.3">
      <c r="A191" s="2"/>
      <c r="B191" s="65" t="str">
        <f t="shared" si="10"/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M017</v>
      </c>
      <c r="D191" s="61" t="s">
        <v>585</v>
      </c>
      <c r="E191" s="66">
        <v>46109</v>
      </c>
      <c r="F191" s="67">
        <v>2500</v>
      </c>
      <c r="G191" s="60" t="s">
        <v>717</v>
      </c>
      <c r="H191" s="60" t="s">
        <v>572</v>
      </c>
      <c r="I191" s="61"/>
      <c r="J191" s="61" t="s">
        <v>720</v>
      </c>
      <c r="K191" s="61"/>
      <c r="L191" s="73">
        <f t="shared" si="11"/>
        <v>46082</v>
      </c>
      <c r="M191" s="65" t="str">
        <f t="shared" ca="1" si="12"/>
        <v>UYGUN</v>
      </c>
      <c r="N191" s="74" t="str">
        <f>IF($C191="","",IF($C191="TANIMSIZ MÜŞTERİ","—",INDEX(MUSTERILER!$C$7:$C$156,MATCH($C191,MUSTERILER!$B$7:$B$156,0))))</f>
        <v>ASM EĞLENCE LTD.ŞTİ.</v>
      </c>
      <c r="O191" s="2"/>
      <c r="P191" s="2"/>
      <c r="Q191" s="1" t="str">
        <f>IF($D191="","",$C191&amp;"|"&amp;COUNTIFS($C$7:$C191,$C191))</f>
        <v>M017|11</v>
      </c>
      <c r="R191" s="1" t="str">
        <f t="shared" si="13"/>
        <v>ASMEGLENCELTDSTI</v>
      </c>
      <c r="S191" s="1" t="str">
        <f t="shared" si="14"/>
        <v>M017|46109|2500|</v>
      </c>
      <c r="T191" s="1">
        <f>IF($E191="",0,SUMPRODUCT((AY_SONU!$O$7:$O$42="Evet")*(AY_SONU!$B$7:$B$42=DATE(YEAR($E191),MONTH($E191),1))))</f>
        <v>0</v>
      </c>
      <c r="U191" s="1" t="str">
        <f>IF(OR($G191="",$H191="Mahsup"),"",$G191&amp;"|"&amp;COUNTIFS($G$7:$G191,$G191,$H$7:$H191,"&lt;&gt;Mahsup"))</f>
        <v>MERKEZ KASA|138</v>
      </c>
    </row>
    <row r="192" spans="1:21" ht="18" customHeight="1" x14ac:dyDescent="0.3">
      <c r="A192" s="2"/>
      <c r="B192" s="65" t="str">
        <f t="shared" si="10"/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M015</v>
      </c>
      <c r="D192" s="61" t="s">
        <v>719</v>
      </c>
      <c r="E192" s="66">
        <v>46109</v>
      </c>
      <c r="F192" s="67">
        <v>3000</v>
      </c>
      <c r="G192" s="60" t="s">
        <v>717</v>
      </c>
      <c r="H192" s="60" t="s">
        <v>572</v>
      </c>
      <c r="I192" s="61"/>
      <c r="J192" s="61" t="s">
        <v>720</v>
      </c>
      <c r="K192" s="61"/>
      <c r="L192" s="73">
        <f t="shared" si="11"/>
        <v>46082</v>
      </c>
      <c r="M192" s="65" t="str">
        <f t="shared" ca="1" si="12"/>
        <v>UYGUN</v>
      </c>
      <c r="N192" s="74" t="str">
        <f>IF($C192="","",IF($C192="TANIMSIZ MÜŞTERİ","—",INDEX(MUSTERILER!$C$7:$C$156,MATCH($C192,MUSTERILER!$B$7:$B$156,0))))</f>
        <v>ÇAYIRALAN LTD.ŞTİ.</v>
      </c>
      <c r="O192" s="2"/>
      <c r="P192" s="2"/>
      <c r="Q192" s="1" t="str">
        <f>IF($D192="","",$C192&amp;"|"&amp;COUNTIFS($C$7:$C192,$C192))</f>
        <v>M015|10</v>
      </c>
      <c r="R192" s="1" t="str">
        <f t="shared" si="13"/>
        <v>CAYIRALANLTDSTI</v>
      </c>
      <c r="S192" s="1" t="str">
        <f t="shared" si="14"/>
        <v>M015|46109|3000|</v>
      </c>
      <c r="T192" s="1">
        <f>IF($E192="",0,SUMPRODUCT((AY_SONU!$O$7:$O$42="Evet")*(AY_SONU!$B$7:$B$42=DATE(YEAR($E192),MONTH($E192),1))))</f>
        <v>0</v>
      </c>
      <c r="U192" s="1" t="str">
        <f>IF(OR($G192="",$H192="Mahsup"),"",$G192&amp;"|"&amp;COUNTIFS($G$7:$G192,$G192,$H$7:$H192,"&lt;&gt;Mahsup"))</f>
        <v>MERKEZ KASA|139</v>
      </c>
    </row>
    <row r="193" spans="1:21" ht="18" customHeight="1" x14ac:dyDescent="0.3">
      <c r="A193" s="2"/>
      <c r="B193" s="65" t="str">
        <f t="shared" si="10"/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M011</v>
      </c>
      <c r="D193" s="61" t="s">
        <v>730</v>
      </c>
      <c r="E193" s="66">
        <v>46109</v>
      </c>
      <c r="F193" s="67">
        <v>3000</v>
      </c>
      <c r="G193" s="60" t="s">
        <v>717</v>
      </c>
      <c r="H193" s="60" t="s">
        <v>572</v>
      </c>
      <c r="I193" s="61"/>
      <c r="J193" s="61" t="s">
        <v>720</v>
      </c>
      <c r="K193" s="61"/>
      <c r="L193" s="73">
        <f t="shared" si="11"/>
        <v>46082</v>
      </c>
      <c r="M193" s="65" t="str">
        <f t="shared" ca="1" si="12"/>
        <v>UYGUN</v>
      </c>
      <c r="N193" s="74" t="str">
        <f>IF($C193="","",IF($C193="TANIMSIZ MÜŞTERİ","—",INDEX(MUSTERILER!$C$7:$C$156,MATCH($C193,MUSTERILER!$B$7:$B$156,0))))</f>
        <v>EĞLENGÖR LTD.ŞTİ.</v>
      </c>
      <c r="O193" s="2"/>
      <c r="P193" s="2"/>
      <c r="Q193" s="1" t="str">
        <f>IF($D193="","",$C193&amp;"|"&amp;COUNTIFS($C$7:$C193,$C193))</f>
        <v>M011|12</v>
      </c>
      <c r="R193" s="1" t="str">
        <f t="shared" si="13"/>
        <v>EGLENGORLTDSTI</v>
      </c>
      <c r="S193" s="1" t="str">
        <f t="shared" si="14"/>
        <v>M011|46109|3000|</v>
      </c>
      <c r="T193" s="1">
        <f>IF($E193="",0,SUMPRODUCT((AY_SONU!$O$7:$O$42="Evet")*(AY_SONU!$B$7:$B$42=DATE(YEAR($E193),MONTH($E193),1))))</f>
        <v>0</v>
      </c>
      <c r="U193" s="1" t="str">
        <f>IF(OR($G193="",$H193="Mahsup"),"",$G193&amp;"|"&amp;COUNTIFS($G$7:$G193,$G193,$H$7:$H193,"&lt;&gt;Mahsup"))</f>
        <v>MERKEZ KASA|140</v>
      </c>
    </row>
    <row r="194" spans="1:21" ht="18" customHeight="1" x14ac:dyDescent="0.3">
      <c r="A194" s="2"/>
      <c r="B194" s="65" t="str">
        <f t="shared" si="10"/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M014</v>
      </c>
      <c r="D194" s="61" t="s">
        <v>731</v>
      </c>
      <c r="E194" s="66">
        <v>46109</v>
      </c>
      <c r="F194" s="67">
        <v>2000</v>
      </c>
      <c r="G194" s="60" t="s">
        <v>717</v>
      </c>
      <c r="H194" s="60" t="s">
        <v>572</v>
      </c>
      <c r="I194" s="61"/>
      <c r="J194" s="61" t="s">
        <v>720</v>
      </c>
      <c r="K194" s="61"/>
      <c r="L194" s="73">
        <f t="shared" si="11"/>
        <v>46082</v>
      </c>
      <c r="M194" s="65" t="str">
        <f t="shared" ca="1" si="12"/>
        <v>UYGUN</v>
      </c>
      <c r="N194" s="74" t="str">
        <f>IF($C194="","",IF($C194="TANIMSIZ MÜŞTERİ","—",INDEX(MUSTERILER!$C$7:$C$156,MATCH($C194,MUSTERILER!$B$7:$B$156,0))))</f>
        <v>FİNAL SİYAH BEYAZ LTD.ŞTİ.</v>
      </c>
      <c r="O194" s="2"/>
      <c r="P194" s="2"/>
      <c r="Q194" s="1" t="str">
        <f>IF($D194="","",$C194&amp;"|"&amp;COUNTIFS($C$7:$C194,$C194))</f>
        <v>M014|11</v>
      </c>
      <c r="R194" s="1" t="str">
        <f t="shared" si="13"/>
        <v>FINALSIYAHBEYAZLTDSTI</v>
      </c>
      <c r="S194" s="1" t="str">
        <f t="shared" si="14"/>
        <v>M014|46109|2000|</v>
      </c>
      <c r="T194" s="1">
        <f>IF($E194="",0,SUMPRODUCT((AY_SONU!$O$7:$O$42="Evet")*(AY_SONU!$B$7:$B$42=DATE(YEAR($E194),MONTH($E194),1))))</f>
        <v>0</v>
      </c>
      <c r="U194" s="1" t="str">
        <f>IF(OR($G194="",$H194="Mahsup"),"",$G194&amp;"|"&amp;COUNTIFS($G$7:$G194,$G194,$H$7:$H194,"&lt;&gt;Mahsup"))</f>
        <v>MERKEZ KASA|141</v>
      </c>
    </row>
    <row r="195" spans="1:21" ht="18" customHeight="1" x14ac:dyDescent="0.3">
      <c r="A195" s="2"/>
      <c r="B195" s="65" t="str">
        <f t="shared" si="10"/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M034</v>
      </c>
      <c r="D195" s="61" t="s">
        <v>732</v>
      </c>
      <c r="E195" s="66">
        <v>46109</v>
      </c>
      <c r="F195" s="67">
        <v>4000</v>
      </c>
      <c r="G195" s="60" t="s">
        <v>717</v>
      </c>
      <c r="H195" s="60" t="s">
        <v>572</v>
      </c>
      <c r="I195" s="61"/>
      <c r="J195" s="61" t="s">
        <v>720</v>
      </c>
      <c r="K195" s="61"/>
      <c r="L195" s="73">
        <f t="shared" si="11"/>
        <v>46082</v>
      </c>
      <c r="M195" s="65" t="str">
        <f t="shared" ca="1" si="12"/>
        <v>UYGUN</v>
      </c>
      <c r="N195" s="74" t="str">
        <f>IF($C195="","",IF($C195="TANIMSIZ MÜŞTERİ","—",INDEX(MUSTERILER!$C$7:$C$156,MATCH($C195,MUSTERILER!$B$7:$B$156,0))))</f>
        <v>İBRAHİM MALDAN</v>
      </c>
      <c r="O195" s="2"/>
      <c r="P195" s="2"/>
      <c r="Q195" s="1" t="str">
        <f>IF($D195="","",$C195&amp;"|"&amp;COUNTIFS($C$7:$C195,$C195))</f>
        <v>M034|8</v>
      </c>
      <c r="R195" s="1" t="str">
        <f t="shared" si="13"/>
        <v>IBRAHIMMALDAN</v>
      </c>
      <c r="S195" s="1" t="str">
        <f t="shared" si="14"/>
        <v>M034|46109|4000|</v>
      </c>
      <c r="T195" s="1">
        <f>IF($E195="",0,SUMPRODUCT((AY_SONU!$O$7:$O$42="Evet")*(AY_SONU!$B$7:$B$42=DATE(YEAR($E195),MONTH($E195),1))))</f>
        <v>0</v>
      </c>
      <c r="U195" s="1" t="str">
        <f>IF(OR($G195="",$H195="Mahsup"),"",$G195&amp;"|"&amp;COUNTIFS($G$7:$G195,$G195,$H$7:$H195,"&lt;&gt;Mahsup"))</f>
        <v>MERKEZ KASA|142</v>
      </c>
    </row>
    <row r="196" spans="1:21" ht="18" customHeight="1" x14ac:dyDescent="0.3">
      <c r="A196" s="2"/>
      <c r="B196" s="65" t="str">
        <f t="shared" si="10"/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M004</v>
      </c>
      <c r="D196" s="61" t="s">
        <v>738</v>
      </c>
      <c r="E196" s="66">
        <v>46109</v>
      </c>
      <c r="F196" s="67">
        <v>5500</v>
      </c>
      <c r="G196" s="60" t="s">
        <v>723</v>
      </c>
      <c r="H196" s="60" t="s">
        <v>572</v>
      </c>
      <c r="I196" s="61"/>
      <c r="J196" s="61" t="s">
        <v>724</v>
      </c>
      <c r="K196" s="61"/>
      <c r="L196" s="73">
        <f t="shared" si="11"/>
        <v>46082</v>
      </c>
      <c r="M196" s="65" t="str">
        <f t="shared" ca="1" si="12"/>
        <v>UYGUN</v>
      </c>
      <c r="N196" s="74" t="str">
        <f>IF($C196="","",IF($C196="TANIMSIZ MÜŞTERİ","—",INDEX(MUSTERILER!$C$7:$C$156,MATCH($C196,MUSTERILER!$B$7:$B$156,0))))</f>
        <v>ZÜMRÜT EĞLENCE LTD.ŞTİ.</v>
      </c>
      <c r="O196" s="2"/>
      <c r="P196" s="2"/>
      <c r="Q196" s="1" t="str">
        <f>IF($D196="","",$C196&amp;"|"&amp;COUNTIFS($C$7:$C196,$C196))</f>
        <v>M004|6</v>
      </c>
      <c r="R196" s="1" t="str">
        <f t="shared" si="13"/>
        <v>ZUMRUTEGLENCELTDSTI</v>
      </c>
      <c r="S196" s="1" t="str">
        <f t="shared" si="14"/>
        <v>M004|46109|5500|</v>
      </c>
      <c r="T196" s="1">
        <f>IF($E196="",0,SUMPRODUCT((AY_SONU!$O$7:$O$42="Evet")*(AY_SONU!$B$7:$B$42=DATE(YEAR($E196),MONTH($E196),1))))</f>
        <v>0</v>
      </c>
      <c r="U196" s="1" t="str">
        <f>IF(OR($G196="",$H196="Mahsup"),"",$G196&amp;"|"&amp;COUNTIFS($G$7:$G196,$G196,$H$7:$H196,"&lt;&gt;Mahsup"))</f>
        <v>ÖMER KARTAL|48</v>
      </c>
    </row>
    <row r="197" spans="1:21" ht="18" customHeight="1" x14ac:dyDescent="0.3">
      <c r="A197" s="2"/>
      <c r="B197" s="65" t="str">
        <f t="shared" si="10"/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M012</v>
      </c>
      <c r="D197" s="61" t="s">
        <v>721</v>
      </c>
      <c r="E197" s="66">
        <v>46109</v>
      </c>
      <c r="F197" s="67">
        <v>4000</v>
      </c>
      <c r="G197" s="60" t="s">
        <v>717</v>
      </c>
      <c r="H197" s="60" t="s">
        <v>572</v>
      </c>
      <c r="I197" s="61"/>
      <c r="J197" s="61" t="s">
        <v>720</v>
      </c>
      <c r="K197" s="61"/>
      <c r="L197" s="73">
        <f t="shared" si="11"/>
        <v>46082</v>
      </c>
      <c r="M197" s="65" t="str">
        <f t="shared" ca="1" si="12"/>
        <v>UYGUN</v>
      </c>
      <c r="N197" s="74" t="str">
        <f>IF($C197="","",IF($C197="TANIMSIZ MÜŞTERİ","—",INDEX(MUSTERILER!$C$7:$C$156,MATCH($C197,MUSTERILER!$B$7:$B$156,0))))</f>
        <v>İLDEŞ LTD.ŞTİ.</v>
      </c>
      <c r="O197" s="2"/>
      <c r="P197" s="2"/>
      <c r="Q197" s="1" t="str">
        <f>IF($D197="","",$C197&amp;"|"&amp;COUNTIFS($C$7:$C197,$C197))</f>
        <v>M012|11</v>
      </c>
      <c r="R197" s="1" t="str">
        <f t="shared" si="13"/>
        <v>ILDESLTDSTI</v>
      </c>
      <c r="S197" s="1" t="str">
        <f t="shared" si="14"/>
        <v>M012|46109|4000|</v>
      </c>
      <c r="T197" s="1">
        <f>IF($E197="",0,SUMPRODUCT((AY_SONU!$O$7:$O$42="Evet")*(AY_SONU!$B$7:$B$42=DATE(YEAR($E197),MONTH($E197),1))))</f>
        <v>0</v>
      </c>
      <c r="U197" s="1" t="str">
        <f>IF(OR($G197="",$H197="Mahsup"),"",$G197&amp;"|"&amp;COUNTIFS($G$7:$G197,$G197,$H$7:$H197,"&lt;&gt;Mahsup"))</f>
        <v>MERKEZ KASA|143</v>
      </c>
    </row>
    <row r="198" spans="1:21" ht="18" customHeight="1" x14ac:dyDescent="0.3">
      <c r="A198" s="2"/>
      <c r="B198" s="65" t="str">
        <f t="shared" si="10"/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M007</v>
      </c>
      <c r="D198" s="61" t="s">
        <v>733</v>
      </c>
      <c r="E198" s="66">
        <v>46109</v>
      </c>
      <c r="F198" s="67">
        <v>10500</v>
      </c>
      <c r="G198" s="60" t="s">
        <v>717</v>
      </c>
      <c r="H198" s="60" t="s">
        <v>572</v>
      </c>
      <c r="I198" s="61"/>
      <c r="J198" s="61" t="s">
        <v>720</v>
      </c>
      <c r="K198" s="61"/>
      <c r="L198" s="73">
        <f t="shared" si="11"/>
        <v>46082</v>
      </c>
      <c r="M198" s="65" t="str">
        <f t="shared" ca="1" si="12"/>
        <v>UYGUN</v>
      </c>
      <c r="N198" s="74" t="str">
        <f>IF($C198="","",IF($C198="TANIMSIZ MÜŞTERİ","—",INDEX(MUSTERILER!$C$7:$C$156,MATCH($C198,MUSTERILER!$B$7:$B$156,0))))</f>
        <v>MONAMOUR LTD.ŞTİ.</v>
      </c>
      <c r="O198" s="2"/>
      <c r="P198" s="2"/>
      <c r="Q198" s="1" t="str">
        <f>IF($D198="","",$C198&amp;"|"&amp;COUNTIFS($C$7:$C198,$C198))</f>
        <v>M007|9</v>
      </c>
      <c r="R198" s="1" t="str">
        <f t="shared" si="13"/>
        <v>MONAMOURLTDSTI</v>
      </c>
      <c r="S198" s="1" t="str">
        <f t="shared" si="14"/>
        <v>M007|46109|10500|</v>
      </c>
      <c r="T198" s="1">
        <f>IF($E198="",0,SUMPRODUCT((AY_SONU!$O$7:$O$42="Evet")*(AY_SONU!$B$7:$B$42=DATE(YEAR($E198),MONTH($E198),1))))</f>
        <v>0</v>
      </c>
      <c r="U198" s="1" t="str">
        <f>IF(OR($G198="",$H198="Mahsup"),"",$G198&amp;"|"&amp;COUNTIFS($G$7:$G198,$G198,$H$7:$H198,"&lt;&gt;Mahsup"))</f>
        <v>MERKEZ KASA|144</v>
      </c>
    </row>
    <row r="199" spans="1:21" ht="18" customHeight="1" x14ac:dyDescent="0.3">
      <c r="A199" s="2"/>
      <c r="B199" s="65" t="str">
        <f t="shared" ref="B199:B262" si="15"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M013</v>
      </c>
      <c r="D199" s="61" t="s">
        <v>734</v>
      </c>
      <c r="E199" s="66">
        <v>46109</v>
      </c>
      <c r="F199" s="67">
        <v>2000</v>
      </c>
      <c r="G199" s="60" t="s">
        <v>717</v>
      </c>
      <c r="H199" s="60" t="s">
        <v>572</v>
      </c>
      <c r="I199" s="61"/>
      <c r="J199" s="61" t="s">
        <v>720</v>
      </c>
      <c r="K199" s="61"/>
      <c r="L199" s="73">
        <f t="shared" ref="L199:L262" si="16">IF($E199="","",DATE(YEAR($E199),MONTH($E199),1))</f>
        <v>46082</v>
      </c>
      <c r="M199" s="65" t="str">
        <f t="shared" ref="M199:M262" ca="1" si="17">IF($D199="","",IF($C199="TANIMSIZ MÜŞTERİ","HATA",IF(OR($E199="",$F199&lt;=0,$G199=""),"EKSİK",IF($E199&gt;TODAY(),"İLERİ TARİH",IF(COUNTIF($S$7:$S$2503,$S199)&gt;1,"MÜKERRER?",IF($T199&gt;0,"KAPALI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NAZ 1 GIDA LTD.ŞTİ.</v>
      </c>
      <c r="O199" s="2"/>
      <c r="P199" s="2"/>
      <c r="Q199" s="1" t="str">
        <f>IF($D199="","",$C199&amp;"|"&amp;COUNTIFS($C$7:$C199,$C199))</f>
        <v>M013|8</v>
      </c>
      <c r="R199" s="1" t="str">
        <f t="shared" ref="R199:R262" si="18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NAZ1GIDALTDSTI</v>
      </c>
      <c r="S199" s="1" t="str">
        <f t="shared" ref="S199:S262" si="19">IF($D199="","",$C199&amp;"|"&amp;TEXT($E199,"0")&amp;"|"&amp;TEXT($F199,"0")&amp;"|"&amp;$I199)</f>
        <v>M013|46109|2000|</v>
      </c>
      <c r="T199" s="1">
        <f>IF($E199="",0,SUMPRODUCT((AY_SONU!$O$7:$O$42="Evet")*(AY_SONU!$B$7:$B$42=DATE(YEAR($E199),MONTH($E199),1))))</f>
        <v>0</v>
      </c>
      <c r="U199" s="1" t="str">
        <f>IF(OR($G199="",$H199="Mahsup"),"",$G199&amp;"|"&amp;COUNTIFS($G$7:$G199,$G199,$H$7:$H199,"&lt;&gt;Mahsup"))</f>
        <v>MERKEZ KASA|145</v>
      </c>
    </row>
    <row r="200" spans="1:21" ht="18" customHeight="1" x14ac:dyDescent="0.3">
      <c r="A200" s="2"/>
      <c r="B200" s="65" t="str">
        <f t="shared" si="15"/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M016</v>
      </c>
      <c r="D200" s="61" t="s">
        <v>736</v>
      </c>
      <c r="E200" s="66">
        <v>46109</v>
      </c>
      <c r="F200" s="67">
        <v>3000</v>
      </c>
      <c r="G200" s="60" t="s">
        <v>717</v>
      </c>
      <c r="H200" s="60" t="s">
        <v>572</v>
      </c>
      <c r="I200" s="61"/>
      <c r="J200" s="61" t="s">
        <v>720</v>
      </c>
      <c r="K200" s="61"/>
      <c r="L200" s="73">
        <f t="shared" si="16"/>
        <v>46082</v>
      </c>
      <c r="M200" s="65" t="str">
        <f t="shared" ca="1" si="17"/>
        <v>UYGUN</v>
      </c>
      <c r="N200" s="74" t="str">
        <f>IF($C200="","",IF($C200="TANIMSIZ MÜŞTERİ","—",INDEX(MUSTERILER!$C$7:$C$156,MATCH($C200,MUSTERILER!$B$7:$B$156,0))))</f>
        <v>RİX ŞOW LTD.ŞTİ.</v>
      </c>
      <c r="O200" s="2"/>
      <c r="P200" s="2"/>
      <c r="Q200" s="1" t="str">
        <f>IF($D200="","",$C200&amp;"|"&amp;COUNTIFS($C$7:$C200,$C200))</f>
        <v>M016|12</v>
      </c>
      <c r="R200" s="1" t="str">
        <f t="shared" si="18"/>
        <v>RIXSOWLTDSTI</v>
      </c>
      <c r="S200" s="1" t="str">
        <f t="shared" si="19"/>
        <v>M016|46109|3000|</v>
      </c>
      <c r="T200" s="1">
        <f>IF($E200="",0,SUMPRODUCT((AY_SONU!$O$7:$O$42="Evet")*(AY_SONU!$B$7:$B$42=DATE(YEAR($E200),MONTH($E200),1))))</f>
        <v>0</v>
      </c>
      <c r="U200" s="1" t="str">
        <f>IF(OR($G200="",$H200="Mahsup"),"",$G200&amp;"|"&amp;COUNTIFS($G$7:$G200,$G200,$H$7:$H200,"&lt;&gt;Mahsup"))</f>
        <v>MERKEZ KASA|146</v>
      </c>
    </row>
    <row r="201" spans="1:21" ht="18" customHeight="1" x14ac:dyDescent="0.3">
      <c r="A201" s="2"/>
      <c r="B201" s="65" t="str">
        <f t="shared" si="15"/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M004</v>
      </c>
      <c r="D201" s="61" t="s">
        <v>738</v>
      </c>
      <c r="E201" s="66">
        <v>46109</v>
      </c>
      <c r="F201" s="67">
        <v>3000</v>
      </c>
      <c r="G201" s="60" t="s">
        <v>717</v>
      </c>
      <c r="H201" s="60" t="s">
        <v>572</v>
      </c>
      <c r="I201" s="61"/>
      <c r="J201" s="61" t="s">
        <v>720</v>
      </c>
      <c r="K201" s="61"/>
      <c r="L201" s="73">
        <f t="shared" si="16"/>
        <v>46082</v>
      </c>
      <c r="M201" s="65" t="str">
        <f t="shared" ca="1" si="17"/>
        <v>UYGUN</v>
      </c>
      <c r="N201" s="74" t="str">
        <f>IF($C201="","",IF($C201="TANIMSIZ MÜŞTERİ","—",INDEX(MUSTERILER!$C$7:$C$156,MATCH($C201,MUSTERILER!$B$7:$B$156,0))))</f>
        <v>ZÜMRÜT EĞLENCE LTD.ŞTİ.</v>
      </c>
      <c r="O201" s="2"/>
      <c r="P201" s="2"/>
      <c r="Q201" s="1" t="str">
        <f>IF($D201="","",$C201&amp;"|"&amp;COUNTIFS($C$7:$C201,$C201))</f>
        <v>M004|7</v>
      </c>
      <c r="R201" s="1" t="str">
        <f t="shared" si="18"/>
        <v>ZUMRUTEGLENCELTDSTI</v>
      </c>
      <c r="S201" s="1" t="str">
        <f t="shared" si="19"/>
        <v>M004|46109|3000|</v>
      </c>
      <c r="T201" s="1">
        <f>IF($E201="",0,SUMPRODUCT((AY_SONU!$O$7:$O$42="Evet")*(AY_SONU!$B$7:$B$42=DATE(YEAR($E201),MONTH($E201),1))))</f>
        <v>0</v>
      </c>
      <c r="U201" s="1" t="str">
        <f>IF(OR($G201="",$H201="Mahsup"),"",$G201&amp;"|"&amp;COUNTIFS($G$7:$G201,$G201,$H$7:$H201,"&lt;&gt;Mahsup"))</f>
        <v>MERKEZ KASA|147</v>
      </c>
    </row>
    <row r="202" spans="1:21" ht="18" customHeight="1" x14ac:dyDescent="0.3">
      <c r="A202" s="2"/>
      <c r="B202" s="65" t="str">
        <f t="shared" si="15"/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M018</v>
      </c>
      <c r="D202" s="61" t="s">
        <v>593</v>
      </c>
      <c r="E202" s="66">
        <v>46109</v>
      </c>
      <c r="F202" s="67">
        <v>2500</v>
      </c>
      <c r="G202" s="60" t="s">
        <v>717</v>
      </c>
      <c r="H202" s="60" t="s">
        <v>572</v>
      </c>
      <c r="I202" s="61"/>
      <c r="J202" s="61" t="s">
        <v>720</v>
      </c>
      <c r="K202" s="61"/>
      <c r="L202" s="73">
        <f t="shared" si="16"/>
        <v>46082</v>
      </c>
      <c r="M202" s="65" t="str">
        <f t="shared" ca="1" si="17"/>
        <v>UYGUN</v>
      </c>
      <c r="N202" s="74" t="str">
        <f>IF($C202="","",IF($C202="TANIMSIZ MÜŞTERİ","—",INDEX(MUSTERILER!$C$7:$C$156,MATCH($C202,MUSTERILER!$B$7:$B$156,0))))</f>
        <v>ÇINARHAN LTD.ŞTİ.</v>
      </c>
      <c r="O202" s="2"/>
      <c r="P202" s="2"/>
      <c r="Q202" s="1" t="str">
        <f>IF($D202="","",$C202&amp;"|"&amp;COUNTIFS($C$7:$C202,$C202))</f>
        <v>M018|7</v>
      </c>
      <c r="R202" s="1" t="str">
        <f t="shared" si="18"/>
        <v>CINARHANLTDSTI</v>
      </c>
      <c r="S202" s="1" t="str">
        <f t="shared" si="19"/>
        <v>M018|46109|2500|</v>
      </c>
      <c r="T202" s="1">
        <f>IF($E202="",0,SUMPRODUCT((AY_SONU!$O$7:$O$42="Evet")*(AY_SONU!$B$7:$B$42=DATE(YEAR($E202),MONTH($E202),1))))</f>
        <v>0</v>
      </c>
      <c r="U202" s="1" t="str">
        <f>IF(OR($G202="",$H202="Mahsup"),"",$G202&amp;"|"&amp;COUNTIFS($G$7:$G202,$G202,$H$7:$H202,"&lt;&gt;Mahsup"))</f>
        <v>MERKEZ KASA|148</v>
      </c>
    </row>
    <row r="203" spans="1:21" ht="18" customHeight="1" x14ac:dyDescent="0.3">
      <c r="A203" s="2"/>
      <c r="B203" s="65" t="str">
        <f t="shared" si="15"/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M035</v>
      </c>
      <c r="D203" s="61" t="s">
        <v>615</v>
      </c>
      <c r="E203" s="66">
        <v>46109</v>
      </c>
      <c r="F203" s="67">
        <v>3500</v>
      </c>
      <c r="G203" s="60" t="s">
        <v>717</v>
      </c>
      <c r="H203" s="60" t="s">
        <v>572</v>
      </c>
      <c r="I203" s="61"/>
      <c r="J203" s="61" t="s">
        <v>720</v>
      </c>
      <c r="K203" s="61"/>
      <c r="L203" s="73">
        <f t="shared" si="16"/>
        <v>46082</v>
      </c>
      <c r="M203" s="65" t="str">
        <f t="shared" ca="1" si="17"/>
        <v>UYGUN</v>
      </c>
      <c r="N203" s="74" t="str">
        <f>IF($C203="","",IF($C203="TANIMSIZ MÜŞTERİ","—",INDEX(MUSTERILER!$C$7:$C$156,MATCH($C203,MUSTERILER!$B$7:$B$156,0))))</f>
        <v>İSA DEMİRCİ</v>
      </c>
      <c r="O203" s="2"/>
      <c r="P203" s="2"/>
      <c r="Q203" s="1" t="str">
        <f>IF($D203="","",$C203&amp;"|"&amp;COUNTIFS($C$7:$C203,$C203))</f>
        <v>M035|2</v>
      </c>
      <c r="R203" s="1" t="str">
        <f t="shared" si="18"/>
        <v>ISADEMIRCI</v>
      </c>
      <c r="S203" s="1" t="str">
        <f t="shared" si="19"/>
        <v>M035|46109|3500|</v>
      </c>
      <c r="T203" s="1">
        <f>IF($E203="",0,SUMPRODUCT((AY_SONU!$O$7:$O$42="Evet")*(AY_SONU!$B$7:$B$42=DATE(YEAR($E203),MONTH($E203),1))))</f>
        <v>0</v>
      </c>
      <c r="U203" s="1" t="str">
        <f>IF(OR($G203="",$H203="Mahsup"),"",$G203&amp;"|"&amp;COUNTIFS($G$7:$G203,$G203,$H$7:$H203,"&lt;&gt;Mahsup"))</f>
        <v>MERKEZ KASA|149</v>
      </c>
    </row>
    <row r="204" spans="1:21" ht="18" customHeight="1" x14ac:dyDescent="0.3">
      <c r="A204" s="2"/>
      <c r="B204" s="65" t="str">
        <f t="shared" si="15"/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M020</v>
      </c>
      <c r="D204" s="61" t="s">
        <v>623</v>
      </c>
      <c r="E204" s="66">
        <v>46109</v>
      </c>
      <c r="F204" s="67">
        <v>3000</v>
      </c>
      <c r="G204" s="60" t="s">
        <v>717</v>
      </c>
      <c r="H204" s="60" t="s">
        <v>572</v>
      </c>
      <c r="I204" s="61"/>
      <c r="J204" s="61" t="s">
        <v>720</v>
      </c>
      <c r="K204" s="61"/>
      <c r="L204" s="73">
        <f t="shared" si="16"/>
        <v>46082</v>
      </c>
      <c r="M204" s="65" t="str">
        <f t="shared" ca="1" si="17"/>
        <v>UYGUN</v>
      </c>
      <c r="N204" s="74" t="str">
        <f>IF($C204="","",IF($C204="TANIMSIZ MÜŞTERİ","—",INDEX(MUSTERILER!$C$7:$C$156,MATCH($C204,MUSTERILER!$B$7:$B$156,0))))</f>
        <v>KRİSTAL LTD.ŞTİ.</v>
      </c>
      <c r="O204" s="2"/>
      <c r="P204" s="2"/>
      <c r="Q204" s="1" t="str">
        <f>IF($D204="","",$C204&amp;"|"&amp;COUNTIFS($C$7:$C204,$C204))</f>
        <v>M020|12</v>
      </c>
      <c r="R204" s="1" t="str">
        <f t="shared" si="18"/>
        <v>KRISTALLTDSTI</v>
      </c>
      <c r="S204" s="1" t="str">
        <f t="shared" si="19"/>
        <v>M020|46109|3000|</v>
      </c>
      <c r="T204" s="1">
        <f>IF($E204="",0,SUMPRODUCT((AY_SONU!$O$7:$O$42="Evet")*(AY_SONU!$B$7:$B$42=DATE(YEAR($E204),MONTH($E204),1))))</f>
        <v>0</v>
      </c>
      <c r="U204" s="1" t="str">
        <f>IF(OR($G204="",$H204="Mahsup"),"",$G204&amp;"|"&amp;COUNTIFS($G$7:$G204,$G204,$H$7:$H204,"&lt;&gt;Mahsup"))</f>
        <v>MERKEZ KASA|150</v>
      </c>
    </row>
    <row r="205" spans="1:21" ht="18" customHeight="1" x14ac:dyDescent="0.3">
      <c r="A205" s="2"/>
      <c r="B205" s="65" t="str">
        <f t="shared" si="15"/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M047</v>
      </c>
      <c r="D205" s="61" t="s">
        <v>654</v>
      </c>
      <c r="E205" s="66">
        <v>46109</v>
      </c>
      <c r="F205" s="67">
        <v>4000</v>
      </c>
      <c r="G205" s="60" t="s">
        <v>717</v>
      </c>
      <c r="H205" s="60" t="s">
        <v>572</v>
      </c>
      <c r="I205" s="61"/>
      <c r="J205" s="61" t="s">
        <v>720</v>
      </c>
      <c r="K205" s="61"/>
      <c r="L205" s="73">
        <f t="shared" si="16"/>
        <v>46082</v>
      </c>
      <c r="M205" s="65" t="str">
        <f t="shared" ca="1" si="17"/>
        <v>UYGUN</v>
      </c>
      <c r="N205" s="74" t="str">
        <f>IF($C205="","",IF($C205="TANIMSIZ MÜŞTERİ","—",INDEX(MUSTERILER!$C$7:$C$156,MATCH($C205,MUSTERILER!$B$7:$B$156,0))))</f>
        <v>PALAOĞULLARI LTD.ŞTİ.</v>
      </c>
      <c r="O205" s="2"/>
      <c r="P205" s="2"/>
      <c r="Q205" s="1" t="str">
        <f>IF($D205="","",$C205&amp;"|"&amp;COUNTIFS($C$7:$C205,$C205))</f>
        <v>M047|5</v>
      </c>
      <c r="R205" s="1" t="str">
        <f t="shared" si="18"/>
        <v>PALAOGULLARILTDSTI</v>
      </c>
      <c r="S205" s="1" t="str">
        <f t="shared" si="19"/>
        <v>M047|46109|4000|</v>
      </c>
      <c r="T205" s="1">
        <f>IF($E205="",0,SUMPRODUCT((AY_SONU!$O$7:$O$42="Evet")*(AY_SONU!$B$7:$B$42=DATE(YEAR($E205),MONTH($E205),1))))</f>
        <v>0</v>
      </c>
      <c r="U205" s="1" t="str">
        <f>IF(OR($G205="",$H205="Mahsup"),"",$G205&amp;"|"&amp;COUNTIFS($G$7:$G205,$G205,$H$7:$H205,"&lt;&gt;Mahsup"))</f>
        <v>MERKEZ KASA|151</v>
      </c>
    </row>
    <row r="206" spans="1:21" ht="18" customHeight="1" x14ac:dyDescent="0.3">
      <c r="A206" s="2"/>
      <c r="B206" s="65" t="str">
        <f t="shared" si="15"/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M016</v>
      </c>
      <c r="D206" s="61" t="s">
        <v>736</v>
      </c>
      <c r="E206" s="66">
        <v>46110</v>
      </c>
      <c r="F206" s="67">
        <v>3000</v>
      </c>
      <c r="G206" s="60" t="s">
        <v>717</v>
      </c>
      <c r="H206" s="60" t="s">
        <v>572</v>
      </c>
      <c r="I206" s="61"/>
      <c r="J206" s="61" t="s">
        <v>720</v>
      </c>
      <c r="K206" s="61"/>
      <c r="L206" s="73">
        <f t="shared" si="16"/>
        <v>46082</v>
      </c>
      <c r="M206" s="65" t="str">
        <f t="shared" ca="1" si="17"/>
        <v>UYGUN</v>
      </c>
      <c r="N206" s="74" t="str">
        <f>IF($C206="","",IF($C206="TANIMSIZ MÜŞTERİ","—",INDEX(MUSTERILER!$C$7:$C$156,MATCH($C206,MUSTERILER!$B$7:$B$156,0))))</f>
        <v>RİX ŞOW LTD.ŞTİ.</v>
      </c>
      <c r="O206" s="2"/>
      <c r="P206" s="2"/>
      <c r="Q206" s="1" t="str">
        <f>IF($D206="","",$C206&amp;"|"&amp;COUNTIFS($C$7:$C206,$C206))</f>
        <v>M016|13</v>
      </c>
      <c r="R206" s="1" t="str">
        <f t="shared" si="18"/>
        <v>RIXSOWLTDSTI</v>
      </c>
      <c r="S206" s="1" t="str">
        <f t="shared" si="19"/>
        <v>M016|46110|3000|</v>
      </c>
      <c r="T206" s="1">
        <f>IF($E206="",0,SUMPRODUCT((AY_SONU!$O$7:$O$42="Evet")*(AY_SONU!$B$7:$B$42=DATE(YEAR($E206),MONTH($E206),1))))</f>
        <v>0</v>
      </c>
      <c r="U206" s="1" t="str">
        <f>IF(OR($G206="",$H206="Mahsup"),"",$G206&amp;"|"&amp;COUNTIFS($G$7:$G206,$G206,$H$7:$H206,"&lt;&gt;Mahsup"))</f>
        <v>MERKEZ KASA|152</v>
      </c>
    </row>
    <row r="207" spans="1:21" ht="18" customHeight="1" x14ac:dyDescent="0.3">
      <c r="A207" s="2"/>
      <c r="B207" s="65" t="str">
        <f t="shared" si="15"/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M037</v>
      </c>
      <c r="D207" s="61" t="s">
        <v>625</v>
      </c>
      <c r="E207" s="66">
        <v>46111</v>
      </c>
      <c r="F207" s="67">
        <v>2000</v>
      </c>
      <c r="G207" s="60" t="s">
        <v>717</v>
      </c>
      <c r="H207" s="60" t="s">
        <v>572</v>
      </c>
      <c r="I207" s="61"/>
      <c r="J207" s="61" t="s">
        <v>720</v>
      </c>
      <c r="K207" s="61"/>
      <c r="L207" s="73">
        <f t="shared" si="16"/>
        <v>46082</v>
      </c>
      <c r="M207" s="65" t="str">
        <f t="shared" ca="1" si="17"/>
        <v>UYGUN</v>
      </c>
      <c r="N207" s="74" t="str">
        <f>IF($C207="","",IF($C207="TANIMSIZ MÜŞTERİ","—",INDEX(MUSTERILER!$C$7:$C$156,MATCH($C207,MUSTERILER!$B$7:$B$156,0))))</f>
        <v>MEHMET EVREN KILINÇ</v>
      </c>
      <c r="O207" s="2"/>
      <c r="P207" s="2"/>
      <c r="Q207" s="1" t="str">
        <f>IF($D207="","",$C207&amp;"|"&amp;COUNTIFS($C$7:$C207,$C207))</f>
        <v>M037|2</v>
      </c>
      <c r="R207" s="1" t="str">
        <f t="shared" si="18"/>
        <v>MEHMETEVRENKILINC</v>
      </c>
      <c r="S207" s="1" t="str">
        <f t="shared" si="19"/>
        <v>M037|46111|2000|</v>
      </c>
      <c r="T207" s="1">
        <f>IF($E207="",0,SUMPRODUCT((AY_SONU!$O$7:$O$42="Evet")*(AY_SONU!$B$7:$B$42=DATE(YEAR($E207),MONTH($E207),1))))</f>
        <v>0</v>
      </c>
      <c r="U207" s="1" t="str">
        <f>IF(OR($G207="",$H207="Mahsup"),"",$G207&amp;"|"&amp;COUNTIFS($G$7:$G207,$G207,$H$7:$H207,"&lt;&gt;Mahsup"))</f>
        <v>MERKEZ KASA|153</v>
      </c>
    </row>
    <row r="208" spans="1:21" ht="18" customHeight="1" x14ac:dyDescent="0.3">
      <c r="A208" s="2"/>
      <c r="B208" s="65" t="str">
        <f t="shared" si="15"/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M023</v>
      </c>
      <c r="D208" s="61" t="s">
        <v>576</v>
      </c>
      <c r="E208" s="66">
        <v>46112</v>
      </c>
      <c r="F208" s="67">
        <v>12000</v>
      </c>
      <c r="G208" s="60" t="s">
        <v>723</v>
      </c>
      <c r="H208" s="60" t="s">
        <v>572</v>
      </c>
      <c r="I208" s="61"/>
      <c r="J208" s="61" t="s">
        <v>725</v>
      </c>
      <c r="K208" s="61"/>
      <c r="L208" s="73">
        <f t="shared" si="16"/>
        <v>46082</v>
      </c>
      <c r="M208" s="65" t="str">
        <f t="shared" ca="1" si="17"/>
        <v>UYGUN</v>
      </c>
      <c r="N208" s="74" t="str">
        <f>IF($C208="","",IF($C208="TANIMSIZ MÜŞTERİ","—",INDEX(MUSTERILER!$C$7:$C$156,MATCH($C208,MUSTERILER!$B$7:$B$156,0))))</f>
        <v>ALTINEL LTD.ŞTİ.</v>
      </c>
      <c r="O208" s="2"/>
      <c r="P208" s="2"/>
      <c r="Q208" s="1" t="str">
        <f>IF($D208="","",$C208&amp;"|"&amp;COUNTIFS($C$7:$C208,$C208))</f>
        <v>M023|3</v>
      </c>
      <c r="R208" s="1" t="str">
        <f t="shared" si="18"/>
        <v>ALTINELLTDSTI</v>
      </c>
      <c r="S208" s="1" t="str">
        <f t="shared" si="19"/>
        <v>M023|46112|12000|</v>
      </c>
      <c r="T208" s="1">
        <f>IF($E208="",0,SUMPRODUCT((AY_SONU!$O$7:$O$42="Evet")*(AY_SONU!$B$7:$B$42=DATE(YEAR($E208),MONTH($E208),1))))</f>
        <v>0</v>
      </c>
      <c r="U208" s="1" t="str">
        <f>IF(OR($G208="",$H208="Mahsup"),"",$G208&amp;"|"&amp;COUNTIFS($G$7:$G208,$G208,$H$7:$H208,"&lt;&gt;Mahsup"))</f>
        <v>ÖMER KARTAL|49</v>
      </c>
    </row>
    <row r="209" spans="1:21" ht="18" customHeight="1" x14ac:dyDescent="0.3">
      <c r="A209" s="2"/>
      <c r="B209" s="65" t="str">
        <f t="shared" si="15"/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M007</v>
      </c>
      <c r="D209" s="61" t="s">
        <v>733</v>
      </c>
      <c r="E209" s="66">
        <v>46112</v>
      </c>
      <c r="F209" s="67">
        <v>7000</v>
      </c>
      <c r="G209" s="60" t="s">
        <v>723</v>
      </c>
      <c r="H209" s="60" t="s">
        <v>572</v>
      </c>
      <c r="I209" s="61"/>
      <c r="J209" s="61" t="s">
        <v>724</v>
      </c>
      <c r="K209" s="61"/>
      <c r="L209" s="73">
        <f t="shared" si="16"/>
        <v>46082</v>
      </c>
      <c r="M209" s="65" t="str">
        <f t="shared" ca="1" si="17"/>
        <v>UYGUN</v>
      </c>
      <c r="N209" s="74" t="str">
        <f>IF($C209="","",IF($C209="TANIMSIZ MÜŞTERİ","—",INDEX(MUSTERILER!$C$7:$C$156,MATCH($C209,MUSTERILER!$B$7:$B$156,0))))</f>
        <v>MONAMOUR LTD.ŞTİ.</v>
      </c>
      <c r="O209" s="2"/>
      <c r="P209" s="2"/>
      <c r="Q209" s="1" t="str">
        <f>IF($D209="","",$C209&amp;"|"&amp;COUNTIFS($C$7:$C209,$C209))</f>
        <v>M007|10</v>
      </c>
      <c r="R209" s="1" t="str">
        <f t="shared" si="18"/>
        <v>MONAMOURLTDSTI</v>
      </c>
      <c r="S209" s="1" t="str">
        <f t="shared" si="19"/>
        <v>M007|46112|7000|</v>
      </c>
      <c r="T209" s="1">
        <f>IF($E209="",0,SUMPRODUCT((AY_SONU!$O$7:$O$42="Evet")*(AY_SONU!$B$7:$B$42=DATE(YEAR($E209),MONTH($E209),1))))</f>
        <v>0</v>
      </c>
      <c r="U209" s="1" t="str">
        <f>IF(OR($G209="",$H209="Mahsup"),"",$G209&amp;"|"&amp;COUNTIFS($G$7:$G209,$G209,$H$7:$H209,"&lt;&gt;Mahsup"))</f>
        <v>ÖMER KARTAL|50</v>
      </c>
    </row>
    <row r="210" spans="1:21" ht="18" customHeight="1" x14ac:dyDescent="0.3">
      <c r="A210" s="2"/>
      <c r="B210" s="65" t="str">
        <f t="shared" si="15"/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M027</v>
      </c>
      <c r="D210" s="61" t="s">
        <v>591</v>
      </c>
      <c r="E210" s="66">
        <v>46113</v>
      </c>
      <c r="F210" s="67">
        <v>2500</v>
      </c>
      <c r="G210" s="60" t="s">
        <v>717</v>
      </c>
      <c r="H210" s="60" t="s">
        <v>572</v>
      </c>
      <c r="I210" s="61"/>
      <c r="J210" s="61" t="s">
        <v>1305</v>
      </c>
      <c r="K210" s="61"/>
      <c r="L210" s="73">
        <f t="shared" si="16"/>
        <v>46113</v>
      </c>
      <c r="M210" s="65" t="str">
        <f t="shared" ca="1" si="17"/>
        <v>UYGUN</v>
      </c>
      <c r="N210" s="74" t="str">
        <f>IF($C210="","",IF($C210="TANIMSIZ MÜŞTERİ","—",INDEX(MUSTERILER!$C$7:$C$156,MATCH($C210,MUSTERILER!$B$7:$B$156,0))))</f>
        <v>CEREN DEMİRCİ</v>
      </c>
      <c r="O210" s="2"/>
      <c r="P210" s="2"/>
      <c r="Q210" s="1" t="str">
        <f>IF($D210="","",$C210&amp;"|"&amp;COUNTIFS($C$7:$C210,$C210))</f>
        <v>M027|1</v>
      </c>
      <c r="R210" s="1" t="str">
        <f t="shared" si="18"/>
        <v>CERENDEMIRCI</v>
      </c>
      <c r="S210" s="1" t="str">
        <f t="shared" si="19"/>
        <v>M027|46113|2500|</v>
      </c>
      <c r="T210" s="1">
        <f>IF($E210="",0,SUMPRODUCT((AY_SONU!$O$7:$O$42="Evet")*(AY_SONU!$B$7:$B$42=DATE(YEAR($E210),MONTH($E210),1))))</f>
        <v>0</v>
      </c>
      <c r="U210" s="1" t="str">
        <f>IF(OR($G210="",$H210="Mahsup"),"",$G210&amp;"|"&amp;COUNTIFS($G$7:$G210,$G210,$H$7:$H210,"&lt;&gt;Mahsup"))</f>
        <v>MERKEZ KASA|154</v>
      </c>
    </row>
    <row r="211" spans="1:21" ht="18" customHeight="1" x14ac:dyDescent="0.3">
      <c r="A211" s="2"/>
      <c r="B211" s="65" t="str">
        <f t="shared" si="15"/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M017</v>
      </c>
      <c r="D211" s="61" t="s">
        <v>585</v>
      </c>
      <c r="E211" s="66">
        <v>46116</v>
      </c>
      <c r="F211" s="67">
        <v>2500</v>
      </c>
      <c r="G211" s="60" t="s">
        <v>717</v>
      </c>
      <c r="H211" s="60" t="s">
        <v>572</v>
      </c>
      <c r="I211" s="61"/>
      <c r="J211" s="61" t="s">
        <v>720</v>
      </c>
      <c r="K211" s="61"/>
      <c r="L211" s="73">
        <f t="shared" si="16"/>
        <v>46113</v>
      </c>
      <c r="M211" s="65" t="str">
        <f t="shared" ca="1" si="17"/>
        <v>UYGUN</v>
      </c>
      <c r="N211" s="74" t="str">
        <f>IF($C211="","",IF($C211="TANIMSIZ MÜŞTERİ","—",INDEX(MUSTERILER!$C$7:$C$156,MATCH($C211,MUSTERILER!$B$7:$B$156,0))))</f>
        <v>ASM EĞLENCE LTD.ŞTİ.</v>
      </c>
      <c r="O211" s="2"/>
      <c r="P211" s="2"/>
      <c r="Q211" s="1" t="str">
        <f>IF($D211="","",$C211&amp;"|"&amp;COUNTIFS($C$7:$C211,$C211))</f>
        <v>M017|12</v>
      </c>
      <c r="R211" s="1" t="str">
        <f t="shared" si="18"/>
        <v>ASMEGLENCELTDSTI</v>
      </c>
      <c r="S211" s="1" t="str">
        <f t="shared" si="19"/>
        <v>M017|46116|2500|</v>
      </c>
      <c r="T211" s="1">
        <f>IF($E211="",0,SUMPRODUCT((AY_SONU!$O$7:$O$42="Evet")*(AY_SONU!$B$7:$B$42=DATE(YEAR($E211),MONTH($E211),1))))</f>
        <v>0</v>
      </c>
      <c r="U211" s="1" t="str">
        <f>IF(OR($G211="",$H211="Mahsup"),"",$G211&amp;"|"&amp;COUNTIFS($G$7:$G211,$G211,$H$7:$H211,"&lt;&gt;Mahsup"))</f>
        <v>MERKEZ KASA|155</v>
      </c>
    </row>
    <row r="212" spans="1:21" ht="18" customHeight="1" x14ac:dyDescent="0.3">
      <c r="A212" s="2"/>
      <c r="B212" s="65" t="str">
        <f t="shared" si="15"/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M015</v>
      </c>
      <c r="D212" s="61" t="s">
        <v>719</v>
      </c>
      <c r="E212" s="66">
        <v>46116</v>
      </c>
      <c r="F212" s="67">
        <v>3000</v>
      </c>
      <c r="G212" s="60" t="s">
        <v>717</v>
      </c>
      <c r="H212" s="60" t="s">
        <v>572</v>
      </c>
      <c r="I212" s="61"/>
      <c r="J212" s="61" t="s">
        <v>720</v>
      </c>
      <c r="K212" s="61"/>
      <c r="L212" s="73">
        <f t="shared" si="16"/>
        <v>46113</v>
      </c>
      <c r="M212" s="65" t="str">
        <f t="shared" ca="1" si="17"/>
        <v>UYGUN</v>
      </c>
      <c r="N212" s="74" t="str">
        <f>IF($C212="","",IF($C212="TANIMSIZ MÜŞTERİ","—",INDEX(MUSTERILER!$C$7:$C$156,MATCH($C212,MUSTERILER!$B$7:$B$156,0))))</f>
        <v>ÇAYIRALAN LTD.ŞTİ.</v>
      </c>
      <c r="O212" s="2"/>
      <c r="P212" s="2"/>
      <c r="Q212" s="1" t="str">
        <f>IF($D212="","",$C212&amp;"|"&amp;COUNTIFS($C$7:$C212,$C212))</f>
        <v>M015|11</v>
      </c>
      <c r="R212" s="1" t="str">
        <f t="shared" si="18"/>
        <v>CAYIRALANLTDSTI</v>
      </c>
      <c r="S212" s="1" t="str">
        <f t="shared" si="19"/>
        <v>M015|46116|3000|</v>
      </c>
      <c r="T212" s="1">
        <f>IF($E212="",0,SUMPRODUCT((AY_SONU!$O$7:$O$42="Evet")*(AY_SONU!$B$7:$B$42=DATE(YEAR($E212),MONTH($E212),1))))</f>
        <v>0</v>
      </c>
      <c r="U212" s="1" t="str">
        <f>IF(OR($G212="",$H212="Mahsup"),"",$G212&amp;"|"&amp;COUNTIFS($G$7:$G212,$G212,$H$7:$H212,"&lt;&gt;Mahsup"))</f>
        <v>MERKEZ KASA|156</v>
      </c>
    </row>
    <row r="213" spans="1:21" ht="18" customHeight="1" x14ac:dyDescent="0.3">
      <c r="A213" s="2"/>
      <c r="B213" s="65" t="str">
        <f t="shared" si="15"/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M011</v>
      </c>
      <c r="D213" s="61" t="s">
        <v>730</v>
      </c>
      <c r="E213" s="66">
        <v>46116</v>
      </c>
      <c r="F213" s="67">
        <v>4000</v>
      </c>
      <c r="G213" s="60" t="s">
        <v>717</v>
      </c>
      <c r="H213" s="60" t="s">
        <v>572</v>
      </c>
      <c r="I213" s="61"/>
      <c r="J213" s="61" t="s">
        <v>720</v>
      </c>
      <c r="K213" s="61"/>
      <c r="L213" s="73">
        <f t="shared" si="16"/>
        <v>46113</v>
      </c>
      <c r="M213" s="65" t="str">
        <f t="shared" ca="1" si="17"/>
        <v>UYGUN</v>
      </c>
      <c r="N213" s="74" t="str">
        <f>IF($C213="","",IF($C213="TANIMSIZ MÜŞTERİ","—",INDEX(MUSTERILER!$C$7:$C$156,MATCH($C213,MUSTERILER!$B$7:$B$156,0))))</f>
        <v>EĞLENGÖR LTD.ŞTİ.</v>
      </c>
      <c r="O213" s="2"/>
      <c r="P213" s="2"/>
      <c r="Q213" s="1" t="str">
        <f>IF($D213="","",$C213&amp;"|"&amp;COUNTIFS($C$7:$C213,$C213))</f>
        <v>M011|13</v>
      </c>
      <c r="R213" s="1" t="str">
        <f t="shared" si="18"/>
        <v>EGLENGORLTDSTI</v>
      </c>
      <c r="S213" s="1" t="str">
        <f t="shared" si="19"/>
        <v>M011|46116|4000|</v>
      </c>
      <c r="T213" s="1">
        <f>IF($E213="",0,SUMPRODUCT((AY_SONU!$O$7:$O$42="Evet")*(AY_SONU!$B$7:$B$42=DATE(YEAR($E213),MONTH($E213),1))))</f>
        <v>0</v>
      </c>
      <c r="U213" s="1" t="str">
        <f>IF(OR($G213="",$H213="Mahsup"),"",$G213&amp;"|"&amp;COUNTIFS($G$7:$G213,$G213,$H$7:$H213,"&lt;&gt;Mahsup"))</f>
        <v>MERKEZ KASA|157</v>
      </c>
    </row>
    <row r="214" spans="1:21" ht="18" customHeight="1" x14ac:dyDescent="0.3">
      <c r="A214" s="2"/>
      <c r="B214" s="65" t="str">
        <f t="shared" si="15"/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M014</v>
      </c>
      <c r="D214" s="61" t="s">
        <v>731</v>
      </c>
      <c r="E214" s="66">
        <v>46116</v>
      </c>
      <c r="F214" s="67">
        <v>4000</v>
      </c>
      <c r="G214" s="60" t="s">
        <v>717</v>
      </c>
      <c r="H214" s="60" t="s">
        <v>572</v>
      </c>
      <c r="I214" s="61"/>
      <c r="J214" s="61" t="s">
        <v>720</v>
      </c>
      <c r="K214" s="61"/>
      <c r="L214" s="73">
        <f t="shared" si="16"/>
        <v>46113</v>
      </c>
      <c r="M214" s="65" t="str">
        <f t="shared" ca="1" si="17"/>
        <v>UYGUN</v>
      </c>
      <c r="N214" s="74" t="str">
        <f>IF($C214="","",IF($C214="TANIMSIZ MÜŞTERİ","—",INDEX(MUSTERILER!$C$7:$C$156,MATCH($C214,MUSTERILER!$B$7:$B$156,0))))</f>
        <v>FİNAL SİYAH BEYAZ LTD.ŞTİ.</v>
      </c>
      <c r="O214" s="2"/>
      <c r="P214" s="2"/>
      <c r="Q214" s="1" t="str">
        <f>IF($D214="","",$C214&amp;"|"&amp;COUNTIFS($C$7:$C214,$C214))</f>
        <v>M014|12</v>
      </c>
      <c r="R214" s="1" t="str">
        <f t="shared" si="18"/>
        <v>FINALSIYAHBEYAZLTDSTI</v>
      </c>
      <c r="S214" s="1" t="str">
        <f t="shared" si="19"/>
        <v>M014|46116|4000|</v>
      </c>
      <c r="T214" s="1">
        <f>IF($E214="",0,SUMPRODUCT((AY_SONU!$O$7:$O$42="Evet")*(AY_SONU!$B$7:$B$42=DATE(YEAR($E214),MONTH($E214),1))))</f>
        <v>0</v>
      </c>
      <c r="U214" s="1" t="str">
        <f>IF(OR($G214="",$H214="Mahsup"),"",$G214&amp;"|"&amp;COUNTIFS($G$7:$G214,$G214,$H$7:$H214,"&lt;&gt;Mahsup"))</f>
        <v>MERKEZ KASA|158</v>
      </c>
    </row>
    <row r="215" spans="1:21" ht="18" customHeight="1" x14ac:dyDescent="0.3">
      <c r="A215" s="2"/>
      <c r="B215" s="65" t="str">
        <f t="shared" si="15"/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M034</v>
      </c>
      <c r="D215" s="61" t="s">
        <v>732</v>
      </c>
      <c r="E215" s="66">
        <v>46116</v>
      </c>
      <c r="F215" s="67">
        <v>4000</v>
      </c>
      <c r="G215" s="60" t="s">
        <v>717</v>
      </c>
      <c r="H215" s="60" t="s">
        <v>572</v>
      </c>
      <c r="I215" s="61"/>
      <c r="J215" s="61" t="s">
        <v>720</v>
      </c>
      <c r="K215" s="61"/>
      <c r="L215" s="73">
        <f t="shared" si="16"/>
        <v>46113</v>
      </c>
      <c r="M215" s="65" t="str">
        <f t="shared" ca="1" si="17"/>
        <v>UYGUN</v>
      </c>
      <c r="N215" s="74" t="str">
        <f>IF($C215="","",IF($C215="TANIMSIZ MÜŞTERİ","—",INDEX(MUSTERILER!$C$7:$C$156,MATCH($C215,MUSTERILER!$B$7:$B$156,0))))</f>
        <v>İBRAHİM MALDAN</v>
      </c>
      <c r="O215" s="2"/>
      <c r="P215" s="2"/>
      <c r="Q215" s="1" t="str">
        <f>IF($D215="","",$C215&amp;"|"&amp;COUNTIFS($C$7:$C215,$C215))</f>
        <v>M034|9</v>
      </c>
      <c r="R215" s="1" t="str">
        <f t="shared" si="18"/>
        <v>IBRAHIMMALDAN</v>
      </c>
      <c r="S215" s="1" t="str">
        <f t="shared" si="19"/>
        <v>M034|46116|4000|</v>
      </c>
      <c r="T215" s="1">
        <f>IF($E215="",0,SUMPRODUCT((AY_SONU!$O$7:$O$42="Evet")*(AY_SONU!$B$7:$B$42=DATE(YEAR($E215),MONTH($E215),1))))</f>
        <v>0</v>
      </c>
      <c r="U215" s="1" t="str">
        <f>IF(OR($G215="",$H215="Mahsup"),"",$G215&amp;"|"&amp;COUNTIFS($G$7:$G215,$G215,$H$7:$H215,"&lt;&gt;Mahsup"))</f>
        <v>MERKEZ KASA|159</v>
      </c>
    </row>
    <row r="216" spans="1:21" ht="18" customHeight="1" x14ac:dyDescent="0.3">
      <c r="A216" s="2"/>
      <c r="B216" s="65" t="str">
        <f t="shared" si="15"/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M012</v>
      </c>
      <c r="D216" s="61" t="s">
        <v>613</v>
      </c>
      <c r="E216" s="66">
        <v>46116</v>
      </c>
      <c r="F216" s="67">
        <v>4000</v>
      </c>
      <c r="G216" s="60" t="s">
        <v>717</v>
      </c>
      <c r="H216" s="60" t="s">
        <v>572</v>
      </c>
      <c r="I216" s="61"/>
      <c r="J216" s="61" t="s">
        <v>720</v>
      </c>
      <c r="K216" s="61"/>
      <c r="L216" s="73">
        <f t="shared" si="16"/>
        <v>46113</v>
      </c>
      <c r="M216" s="65" t="str">
        <f t="shared" ca="1" si="17"/>
        <v>UYGUN</v>
      </c>
      <c r="N216" s="74" t="str">
        <f>IF($C216="","",IF($C216="TANIMSIZ MÜŞTERİ","—",INDEX(MUSTERILER!$C$7:$C$156,MATCH($C216,MUSTERILER!$B$7:$B$156,0))))</f>
        <v>İLDEŞ LTD.ŞTİ.</v>
      </c>
      <c r="O216" s="2"/>
      <c r="P216" s="2"/>
      <c r="Q216" s="1" t="str">
        <f>IF($D216="","",$C216&amp;"|"&amp;COUNTIFS($C$7:$C216,$C216))</f>
        <v>M012|12</v>
      </c>
      <c r="R216" s="1" t="str">
        <f t="shared" si="18"/>
        <v>ILDESLTDSTI</v>
      </c>
      <c r="S216" s="1" t="str">
        <f t="shared" si="19"/>
        <v>M012|46116|4000|</v>
      </c>
      <c r="T216" s="1">
        <f>IF($E216="",0,SUMPRODUCT((AY_SONU!$O$7:$O$42="Evet")*(AY_SONU!$B$7:$B$42=DATE(YEAR($E216),MONTH($E216),1))))</f>
        <v>0</v>
      </c>
      <c r="U216" s="1" t="str">
        <f>IF(OR($G216="",$H216="Mahsup"),"",$G216&amp;"|"&amp;COUNTIFS($G$7:$G216,$G216,$H$7:$H216,"&lt;&gt;Mahsup"))</f>
        <v>MERKEZ KASA|160</v>
      </c>
    </row>
    <row r="217" spans="1:21" ht="18" customHeight="1" x14ac:dyDescent="0.3">
      <c r="A217" s="2"/>
      <c r="B217" s="65" t="str">
        <f t="shared" si="15"/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M007</v>
      </c>
      <c r="D217" s="61" t="s">
        <v>733</v>
      </c>
      <c r="E217" s="66">
        <v>46116</v>
      </c>
      <c r="F217" s="67">
        <v>3500</v>
      </c>
      <c r="G217" s="60" t="s">
        <v>717</v>
      </c>
      <c r="H217" s="60" t="s">
        <v>572</v>
      </c>
      <c r="I217" s="61"/>
      <c r="J217" s="61" t="s">
        <v>720</v>
      </c>
      <c r="K217" s="61"/>
      <c r="L217" s="73">
        <f t="shared" si="16"/>
        <v>46113</v>
      </c>
      <c r="M217" s="65" t="str">
        <f t="shared" ca="1" si="17"/>
        <v>UYGUN</v>
      </c>
      <c r="N217" s="74" t="str">
        <f>IF($C217="","",IF($C217="TANIMSIZ MÜŞTERİ","—",INDEX(MUSTERILER!$C$7:$C$156,MATCH($C217,MUSTERILER!$B$7:$B$156,0))))</f>
        <v>MONAMOUR LTD.ŞTİ.</v>
      </c>
      <c r="O217" s="2"/>
      <c r="P217" s="2"/>
      <c r="Q217" s="1" t="str">
        <f>IF($D217="","",$C217&amp;"|"&amp;COUNTIFS($C$7:$C217,$C217))</f>
        <v>M007|11</v>
      </c>
      <c r="R217" s="1" t="str">
        <f t="shared" si="18"/>
        <v>MONAMOURLTDSTI</v>
      </c>
      <c r="S217" s="1" t="str">
        <f t="shared" si="19"/>
        <v>M007|46116|3500|</v>
      </c>
      <c r="T217" s="1">
        <f>IF($E217="",0,SUMPRODUCT((AY_SONU!$O$7:$O$42="Evet")*(AY_SONU!$B$7:$B$42=DATE(YEAR($E217),MONTH($E217),1))))</f>
        <v>0</v>
      </c>
      <c r="U217" s="1" t="str">
        <f>IF(OR($G217="",$H217="Mahsup"),"",$G217&amp;"|"&amp;COUNTIFS($G$7:$G217,$G217,$H$7:$H217,"&lt;&gt;Mahsup"))</f>
        <v>MERKEZ KASA|161</v>
      </c>
    </row>
    <row r="218" spans="1:21" ht="18" customHeight="1" x14ac:dyDescent="0.3">
      <c r="A218" s="2"/>
      <c r="B218" s="65" t="str">
        <f t="shared" si="15"/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M009</v>
      </c>
      <c r="D218" s="61" t="s">
        <v>735</v>
      </c>
      <c r="E218" s="66">
        <v>46116</v>
      </c>
      <c r="F218" s="67">
        <v>4000</v>
      </c>
      <c r="G218" s="60" t="s">
        <v>717</v>
      </c>
      <c r="H218" s="60" t="s">
        <v>572</v>
      </c>
      <c r="I218" s="61"/>
      <c r="J218" s="61" t="s">
        <v>720</v>
      </c>
      <c r="K218" s="61"/>
      <c r="L218" s="73">
        <f t="shared" si="16"/>
        <v>46113</v>
      </c>
      <c r="M218" s="65" t="str">
        <f t="shared" ca="1" si="17"/>
        <v>UYGUN</v>
      </c>
      <c r="N218" s="74" t="str">
        <f>IF($C218="","",IF($C218="TANIMSIZ MÜŞTERİ","—",INDEX(MUSTERILER!$C$7:$C$156,MATCH($C218,MUSTERILER!$B$7:$B$156,0))))</f>
        <v>PAKYILDIZ LTD.ŞTİ.</v>
      </c>
      <c r="O218" s="2"/>
      <c r="P218" s="2"/>
      <c r="Q218" s="1" t="str">
        <f>IF($D218="","",$C218&amp;"|"&amp;COUNTIFS($C$7:$C218,$C218))</f>
        <v>M009|8</v>
      </c>
      <c r="R218" s="1" t="str">
        <f t="shared" si="18"/>
        <v>PAKYILDIZLTDSTI</v>
      </c>
      <c r="S218" s="1" t="str">
        <f t="shared" si="19"/>
        <v>M009|46116|4000|</v>
      </c>
      <c r="T218" s="1">
        <f>IF($E218="",0,SUMPRODUCT((AY_SONU!$O$7:$O$42="Evet")*(AY_SONU!$B$7:$B$42=DATE(YEAR($E218),MONTH($E218),1))))</f>
        <v>0</v>
      </c>
      <c r="U218" s="1" t="str">
        <f>IF(OR($G218="",$H218="Mahsup"),"",$G218&amp;"|"&amp;COUNTIFS($G$7:$G218,$G218,$H$7:$H218,"&lt;&gt;Mahsup"))</f>
        <v>MERKEZ KASA|162</v>
      </c>
    </row>
    <row r="219" spans="1:21" ht="18" customHeight="1" x14ac:dyDescent="0.3">
      <c r="A219" s="2"/>
      <c r="B219" s="65" t="str">
        <f t="shared" si="15"/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M003</v>
      </c>
      <c r="D219" s="61" t="s">
        <v>666</v>
      </c>
      <c r="E219" s="66">
        <v>46116</v>
      </c>
      <c r="F219" s="67">
        <v>6000</v>
      </c>
      <c r="G219" s="60" t="s">
        <v>717</v>
      </c>
      <c r="H219" s="60" t="s">
        <v>572</v>
      </c>
      <c r="I219" s="61"/>
      <c r="J219" s="61" t="s">
        <v>720</v>
      </c>
      <c r="K219" s="61"/>
      <c r="L219" s="73">
        <f t="shared" si="16"/>
        <v>46113</v>
      </c>
      <c r="M219" s="65" t="str">
        <f t="shared" ca="1" si="17"/>
        <v>UYGUN</v>
      </c>
      <c r="N219" s="74" t="str">
        <f>IF($C219="","",IF($C219="TANIMSIZ MÜŞTERİ","—",INDEX(MUSTERILER!$C$7:$C$156,MATCH($C219,MUSTERILER!$B$7:$B$156,0))))</f>
        <v>TYANA LTD.ŞTİ.</v>
      </c>
      <c r="O219" s="2"/>
      <c r="P219" s="2"/>
      <c r="Q219" s="1" t="str">
        <f>IF($D219="","",$C219&amp;"|"&amp;COUNTIFS($C$7:$C219,$C219))</f>
        <v>M003|5</v>
      </c>
      <c r="R219" s="1" t="str">
        <f t="shared" si="18"/>
        <v>TYANALTDSTI</v>
      </c>
      <c r="S219" s="1" t="str">
        <f t="shared" si="19"/>
        <v>M003|46116|6000|</v>
      </c>
      <c r="T219" s="1">
        <f>IF($E219="",0,SUMPRODUCT((AY_SONU!$O$7:$O$42="Evet")*(AY_SONU!$B$7:$B$42=DATE(YEAR($E219),MONTH($E219),1))))</f>
        <v>0</v>
      </c>
      <c r="U219" s="1" t="str">
        <f>IF(OR($G219="",$H219="Mahsup"),"",$G219&amp;"|"&amp;COUNTIFS($G$7:$G219,$G219,$H$7:$H219,"&lt;&gt;Mahsup"))</f>
        <v>MERKEZ KASA|163</v>
      </c>
    </row>
    <row r="220" spans="1:21" ht="18" customHeight="1" x14ac:dyDescent="0.3">
      <c r="A220" s="2"/>
      <c r="B220" s="65" t="str">
        <f t="shared" si="15"/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M004</v>
      </c>
      <c r="D220" s="61" t="s">
        <v>738</v>
      </c>
      <c r="E220" s="66">
        <v>46116</v>
      </c>
      <c r="F220" s="67">
        <v>3000</v>
      </c>
      <c r="G220" s="60" t="s">
        <v>717</v>
      </c>
      <c r="H220" s="60" t="s">
        <v>572</v>
      </c>
      <c r="I220" s="61"/>
      <c r="J220" s="61" t="s">
        <v>720</v>
      </c>
      <c r="K220" s="61"/>
      <c r="L220" s="73">
        <f t="shared" si="16"/>
        <v>46113</v>
      </c>
      <c r="M220" s="65" t="str">
        <f t="shared" ca="1" si="17"/>
        <v>UYGUN</v>
      </c>
      <c r="N220" s="74" t="str">
        <f>IF($C220="","",IF($C220="TANIMSIZ MÜŞTERİ","—",INDEX(MUSTERILER!$C$7:$C$156,MATCH($C220,MUSTERILER!$B$7:$B$156,0))))</f>
        <v>ZÜMRÜT EĞLENCE LTD.ŞTİ.</v>
      </c>
      <c r="O220" s="2"/>
      <c r="P220" s="2"/>
      <c r="Q220" s="1" t="str">
        <f>IF($D220="","",$C220&amp;"|"&amp;COUNTIFS($C$7:$C220,$C220))</f>
        <v>M004|8</v>
      </c>
      <c r="R220" s="1" t="str">
        <f t="shared" si="18"/>
        <v>ZUMRUTEGLENCELTDSTI</v>
      </c>
      <c r="S220" s="1" t="str">
        <f t="shared" si="19"/>
        <v>M004|46116|3000|</v>
      </c>
      <c r="T220" s="1">
        <f>IF($E220="",0,SUMPRODUCT((AY_SONU!$O$7:$O$42="Evet")*(AY_SONU!$B$7:$B$42=DATE(YEAR($E220),MONTH($E220),1))))</f>
        <v>0</v>
      </c>
      <c r="U220" s="1" t="str">
        <f>IF(OR($G220="",$H220="Mahsup"),"",$G220&amp;"|"&amp;COUNTIFS($G$7:$G220,$G220,$H$7:$H220,"&lt;&gt;Mahsup"))</f>
        <v>MERKEZ KASA|164</v>
      </c>
    </row>
    <row r="221" spans="1:21" ht="18" customHeight="1" x14ac:dyDescent="0.3">
      <c r="A221" s="2"/>
      <c r="B221" s="65" t="str">
        <f t="shared" si="15"/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M005</v>
      </c>
      <c r="D221" s="61" t="s">
        <v>722</v>
      </c>
      <c r="E221" s="66">
        <v>46116</v>
      </c>
      <c r="F221" s="67">
        <v>1750</v>
      </c>
      <c r="G221" s="60" t="s">
        <v>717</v>
      </c>
      <c r="H221" s="60" t="s">
        <v>572</v>
      </c>
      <c r="I221" s="61"/>
      <c r="J221" s="61" t="s">
        <v>720</v>
      </c>
      <c r="K221" s="61"/>
      <c r="L221" s="73">
        <f t="shared" si="16"/>
        <v>46113</v>
      </c>
      <c r="M221" s="65" t="str">
        <f t="shared" ca="1" si="17"/>
        <v>UYGUN</v>
      </c>
      <c r="N221" s="74" t="str">
        <f>IF($C221="","",IF($C221="TANIMSIZ MÜŞTERİ","—",INDEX(MUSTERILER!$C$7:$C$156,MATCH($C221,MUSTERILER!$B$7:$B$156,0))))</f>
        <v>ZÜMRÜT GRUP LTD.ŞTİ.</v>
      </c>
      <c r="O221" s="2"/>
      <c r="P221" s="2"/>
      <c r="Q221" s="1" t="str">
        <f>IF($D221="","",$C221&amp;"|"&amp;COUNTIFS($C$7:$C221,$C221))</f>
        <v>M005|12</v>
      </c>
      <c r="R221" s="1" t="str">
        <f t="shared" si="18"/>
        <v>ZUMRUTGRUPLTDSTI</v>
      </c>
      <c r="S221" s="1" t="str">
        <f t="shared" si="19"/>
        <v>M005|46116|1750|</v>
      </c>
      <c r="T221" s="1">
        <f>IF($E221="",0,SUMPRODUCT((AY_SONU!$O$7:$O$42="Evet")*(AY_SONU!$B$7:$B$42=DATE(YEAR($E221),MONTH($E221),1))))</f>
        <v>0</v>
      </c>
      <c r="U221" s="1" t="str">
        <f>IF(OR($G221="",$H221="Mahsup"),"",$G221&amp;"|"&amp;COUNTIFS($G$7:$G221,$G221,$H$7:$H221,"&lt;&gt;Mahsup"))</f>
        <v>MERKEZ KASA|165</v>
      </c>
    </row>
    <row r="222" spans="1:21" ht="18" customHeight="1" x14ac:dyDescent="0.3">
      <c r="A222" s="2"/>
      <c r="B222" s="65" t="str">
        <f t="shared" si="15"/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M002</v>
      </c>
      <c r="D222" s="61" t="s">
        <v>601</v>
      </c>
      <c r="E222" s="66">
        <v>46116</v>
      </c>
      <c r="F222" s="67">
        <v>3500</v>
      </c>
      <c r="G222" s="60" t="s">
        <v>717</v>
      </c>
      <c r="H222" s="60" t="s">
        <v>572</v>
      </c>
      <c r="I222" s="61"/>
      <c r="J222" s="61" t="s">
        <v>720</v>
      </c>
      <c r="K222" s="61"/>
      <c r="L222" s="73">
        <f t="shared" si="16"/>
        <v>46113</v>
      </c>
      <c r="M222" s="65" t="str">
        <f t="shared" ca="1" si="17"/>
        <v>UYGUN</v>
      </c>
      <c r="N222" s="74" t="str">
        <f>IF($C222="","",IF($C222="TANIMSIZ MÜŞTERİ","—",INDEX(MUSTERILER!$C$7:$C$156,MATCH($C222,MUSTERILER!$B$7:$B$156,0))))</f>
        <v>ESERLİ LTD.ŞTİ.</v>
      </c>
      <c r="O222" s="2"/>
      <c r="P222" s="2"/>
      <c r="Q222" s="1" t="str">
        <f>IF($D222="","",$C222&amp;"|"&amp;COUNTIFS($C$7:$C222,$C222))</f>
        <v>M002|3</v>
      </c>
      <c r="R222" s="1" t="str">
        <f t="shared" si="18"/>
        <v>ESERLILTDSTI</v>
      </c>
      <c r="S222" s="1" t="str">
        <f t="shared" si="19"/>
        <v>M002|46116|3500|</v>
      </c>
      <c r="T222" s="1">
        <f>IF($E222="",0,SUMPRODUCT((AY_SONU!$O$7:$O$42="Evet")*(AY_SONU!$B$7:$B$42=DATE(YEAR($E222),MONTH($E222),1))))</f>
        <v>0</v>
      </c>
      <c r="U222" s="1" t="str">
        <f>IF(OR($G222="",$H222="Mahsup"),"",$G222&amp;"|"&amp;COUNTIFS($G$7:$G222,$G222,$H$7:$H222,"&lt;&gt;Mahsup"))</f>
        <v>MERKEZ KASA|166</v>
      </c>
    </row>
    <row r="223" spans="1:21" ht="18" customHeight="1" x14ac:dyDescent="0.3">
      <c r="A223" s="2"/>
      <c r="B223" s="65" t="str">
        <f t="shared" si="15"/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M020</v>
      </c>
      <c r="D223" s="61" t="s">
        <v>623</v>
      </c>
      <c r="E223" s="66">
        <v>46116</v>
      </c>
      <c r="F223" s="67">
        <v>3000</v>
      </c>
      <c r="G223" s="60" t="s">
        <v>717</v>
      </c>
      <c r="H223" s="60" t="s">
        <v>572</v>
      </c>
      <c r="I223" s="61"/>
      <c r="J223" s="61" t="s">
        <v>720</v>
      </c>
      <c r="K223" s="61"/>
      <c r="L223" s="73">
        <f t="shared" si="16"/>
        <v>46113</v>
      </c>
      <c r="M223" s="65" t="str">
        <f t="shared" ca="1" si="17"/>
        <v>UYGUN</v>
      </c>
      <c r="N223" s="74" t="str">
        <f>IF($C223="","",IF($C223="TANIMSIZ MÜŞTERİ","—",INDEX(MUSTERILER!$C$7:$C$156,MATCH($C223,MUSTERILER!$B$7:$B$156,0))))</f>
        <v>KRİSTAL LTD.ŞTİ.</v>
      </c>
      <c r="O223" s="2"/>
      <c r="P223" s="2"/>
      <c r="Q223" s="1" t="str">
        <f>IF($D223="","",$C223&amp;"|"&amp;COUNTIFS($C$7:$C223,$C223))</f>
        <v>M020|13</v>
      </c>
      <c r="R223" s="1" t="str">
        <f t="shared" si="18"/>
        <v>KRISTALLTDSTI</v>
      </c>
      <c r="S223" s="1" t="str">
        <f t="shared" si="19"/>
        <v>M020|46116|3000|</v>
      </c>
      <c r="T223" s="1">
        <f>IF($E223="",0,SUMPRODUCT((AY_SONU!$O$7:$O$42="Evet")*(AY_SONU!$B$7:$B$42=DATE(YEAR($E223),MONTH($E223),1))))</f>
        <v>0</v>
      </c>
      <c r="U223" s="1" t="str">
        <f>IF(OR($G223="",$H223="Mahsup"),"",$G223&amp;"|"&amp;COUNTIFS($G$7:$G223,$G223,$H$7:$H223,"&lt;&gt;Mahsup"))</f>
        <v>MERKEZ KASA|167</v>
      </c>
    </row>
    <row r="224" spans="1:21" ht="18" customHeight="1" x14ac:dyDescent="0.3">
      <c r="A224" s="2"/>
      <c r="B224" s="65" t="str">
        <f t="shared" si="15"/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M047</v>
      </c>
      <c r="D224" s="61" t="s">
        <v>654</v>
      </c>
      <c r="E224" s="66">
        <v>46116</v>
      </c>
      <c r="F224" s="67">
        <v>4000</v>
      </c>
      <c r="G224" s="60" t="s">
        <v>717</v>
      </c>
      <c r="H224" s="60" t="s">
        <v>572</v>
      </c>
      <c r="I224" s="61"/>
      <c r="J224" s="61" t="s">
        <v>720</v>
      </c>
      <c r="K224" s="61"/>
      <c r="L224" s="73">
        <f t="shared" si="16"/>
        <v>46113</v>
      </c>
      <c r="M224" s="65" t="str">
        <f t="shared" ca="1" si="17"/>
        <v>UYGUN</v>
      </c>
      <c r="N224" s="74" t="str">
        <f>IF($C224="","",IF($C224="TANIMSIZ MÜŞTERİ","—",INDEX(MUSTERILER!$C$7:$C$156,MATCH($C224,MUSTERILER!$B$7:$B$156,0))))</f>
        <v>PALAOĞULLARI LTD.ŞTİ.</v>
      </c>
      <c r="O224" s="2"/>
      <c r="P224" s="2"/>
      <c r="Q224" s="1" t="str">
        <f>IF($D224="","",$C224&amp;"|"&amp;COUNTIFS($C$7:$C224,$C224))</f>
        <v>M047|6</v>
      </c>
      <c r="R224" s="1" t="str">
        <f t="shared" si="18"/>
        <v>PALAOGULLARILTDSTI</v>
      </c>
      <c r="S224" s="1" t="str">
        <f t="shared" si="19"/>
        <v>M047|46116|4000|</v>
      </c>
      <c r="T224" s="1">
        <f>IF($E224="",0,SUMPRODUCT((AY_SONU!$O$7:$O$42="Evet")*(AY_SONU!$B$7:$B$42=DATE(YEAR($E224),MONTH($E224),1))))</f>
        <v>0</v>
      </c>
      <c r="U224" s="1" t="str">
        <f>IF(OR($G224="",$H224="Mahsup"),"",$G224&amp;"|"&amp;COUNTIFS($G$7:$G224,$G224,$H$7:$H224,"&lt;&gt;Mahsup"))</f>
        <v>MERKEZ KASA|168</v>
      </c>
    </row>
    <row r="225" spans="1:21" ht="18" customHeight="1" x14ac:dyDescent="0.3">
      <c r="A225" s="2"/>
      <c r="B225" s="65" t="str">
        <f t="shared" si="15"/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M012</v>
      </c>
      <c r="D225" s="61" t="s">
        <v>721</v>
      </c>
      <c r="E225" s="66">
        <v>46117</v>
      </c>
      <c r="F225" s="67">
        <v>4000</v>
      </c>
      <c r="G225" s="60" t="s">
        <v>717</v>
      </c>
      <c r="H225" s="60" t="s">
        <v>572</v>
      </c>
      <c r="I225" s="61"/>
      <c r="J225" s="61" t="s">
        <v>720</v>
      </c>
      <c r="K225" s="61"/>
      <c r="L225" s="73">
        <f t="shared" si="16"/>
        <v>46113</v>
      </c>
      <c r="M225" s="65" t="str">
        <f t="shared" ca="1" si="17"/>
        <v>UYGUN</v>
      </c>
      <c r="N225" s="74" t="str">
        <f>IF($C225="","",IF($C225="TANIMSIZ MÜŞTERİ","—",INDEX(MUSTERILER!$C$7:$C$156,MATCH($C225,MUSTERILER!$B$7:$B$156,0))))</f>
        <v>İLDEŞ LTD.ŞTİ.</v>
      </c>
      <c r="O225" s="2"/>
      <c r="P225" s="2"/>
      <c r="Q225" s="1" t="str">
        <f>IF($D225="","",$C225&amp;"|"&amp;COUNTIFS($C$7:$C225,$C225))</f>
        <v>M012|13</v>
      </c>
      <c r="R225" s="1" t="str">
        <f t="shared" si="18"/>
        <v>ILDESLTDSTI</v>
      </c>
      <c r="S225" s="1" t="str">
        <f t="shared" si="19"/>
        <v>M012|46117|4000|</v>
      </c>
      <c r="T225" s="1">
        <f>IF($E225="",0,SUMPRODUCT((AY_SONU!$O$7:$O$42="Evet")*(AY_SONU!$B$7:$B$42=DATE(YEAR($E225),MONTH($E225),1))))</f>
        <v>0</v>
      </c>
      <c r="U225" s="1" t="str">
        <f>IF(OR($G225="",$H225="Mahsup"),"",$G225&amp;"|"&amp;COUNTIFS($G$7:$G225,$G225,$H$7:$H225,"&lt;&gt;Mahsup"))</f>
        <v>MERKEZ KASA|169</v>
      </c>
    </row>
    <row r="226" spans="1:21" ht="18" customHeight="1" x14ac:dyDescent="0.3">
      <c r="A226" s="2"/>
      <c r="B226" s="65" t="str">
        <f t="shared" si="15"/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M048</v>
      </c>
      <c r="D226" s="61" t="s">
        <v>656</v>
      </c>
      <c r="E226" s="66">
        <v>46122</v>
      </c>
      <c r="F226" s="67">
        <v>10000</v>
      </c>
      <c r="G226" s="60" t="s">
        <v>723</v>
      </c>
      <c r="H226" s="60" t="s">
        <v>572</v>
      </c>
      <c r="I226" s="61"/>
      <c r="J226" s="61" t="s">
        <v>720</v>
      </c>
      <c r="K226" s="61"/>
      <c r="L226" s="73">
        <f t="shared" si="16"/>
        <v>46113</v>
      </c>
      <c r="M226" s="65" t="str">
        <f t="shared" ca="1" si="17"/>
        <v>UYGUN</v>
      </c>
      <c r="N226" s="74" t="str">
        <f>IF($C226="","",IF($C226="TANIMSIZ MÜŞTERİ","—",INDEX(MUSTERILER!$C$7:$C$156,MATCH($C226,MUSTERILER!$B$7:$B$156,0))))</f>
        <v>RASİM DEMİRCİ</v>
      </c>
      <c r="O226" s="2"/>
      <c r="P226" s="2"/>
      <c r="Q226" s="1" t="str">
        <f>IF($D226="","",$C226&amp;"|"&amp;COUNTIFS($C$7:$C226,$C226))</f>
        <v>M048|1</v>
      </c>
      <c r="R226" s="1" t="str">
        <f t="shared" si="18"/>
        <v>RASIMDEMIRCI</v>
      </c>
      <c r="S226" s="1" t="str">
        <f t="shared" si="19"/>
        <v>M048|46122|10000|</v>
      </c>
      <c r="T226" s="1">
        <f>IF($E226="",0,SUMPRODUCT((AY_SONU!$O$7:$O$42="Evet")*(AY_SONU!$B$7:$B$42=DATE(YEAR($E226),MONTH($E226),1))))</f>
        <v>0</v>
      </c>
      <c r="U226" s="1" t="str">
        <f>IF(OR($G226="",$H226="Mahsup"),"",$G226&amp;"|"&amp;COUNTIFS($G$7:$G226,$G226,$H$7:$H226,"&lt;&gt;Mahsup"))</f>
        <v>ÖMER KARTAL|51</v>
      </c>
    </row>
    <row r="227" spans="1:21" ht="18" customHeight="1" x14ac:dyDescent="0.3">
      <c r="A227" s="2"/>
      <c r="B227" s="65" t="str">
        <f t="shared" si="15"/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M025</v>
      </c>
      <c r="D227" s="61" t="s">
        <v>583</v>
      </c>
      <c r="E227" s="66">
        <v>46123</v>
      </c>
      <c r="F227" s="67">
        <v>2000</v>
      </c>
      <c r="G227" s="60" t="s">
        <v>723</v>
      </c>
      <c r="H227" s="60" t="s">
        <v>572</v>
      </c>
      <c r="I227" s="61"/>
      <c r="J227" s="61" t="s">
        <v>720</v>
      </c>
      <c r="K227" s="61"/>
      <c r="L227" s="73">
        <f t="shared" si="16"/>
        <v>46113</v>
      </c>
      <c r="M227" s="65" t="str">
        <f t="shared" ca="1" si="17"/>
        <v>UYGUN</v>
      </c>
      <c r="N227" s="74" t="str">
        <f>IF($C227="","",IF($C227="TANIMSIZ MÜŞTERİ","—",INDEX(MUSTERILER!$C$7:$C$156,MATCH($C227,MUSTERILER!$B$7:$B$156,0))))</f>
        <v>ASIM AÇIKGÖZ</v>
      </c>
      <c r="O227" s="2"/>
      <c r="P227" s="2"/>
      <c r="Q227" s="1" t="str">
        <f>IF($D227="","",$C227&amp;"|"&amp;COUNTIFS($C$7:$C227,$C227))</f>
        <v>M025|11</v>
      </c>
      <c r="R227" s="1" t="str">
        <f t="shared" si="18"/>
        <v>ASIMACIKGOZ</v>
      </c>
      <c r="S227" s="1" t="str">
        <f t="shared" si="19"/>
        <v>M025|46123|2000|</v>
      </c>
      <c r="T227" s="1">
        <f>IF($E227="",0,SUMPRODUCT((AY_SONU!$O$7:$O$42="Evet")*(AY_SONU!$B$7:$B$42=DATE(YEAR($E227),MONTH($E227),1))))</f>
        <v>0</v>
      </c>
      <c r="U227" s="1" t="str">
        <f>IF(OR($G227="",$H227="Mahsup"),"",$G227&amp;"|"&amp;COUNTIFS($G$7:$G227,$G227,$H$7:$H227,"&lt;&gt;Mahsup"))</f>
        <v>ÖMER KARTAL|52</v>
      </c>
    </row>
    <row r="228" spans="1:21" ht="18" customHeight="1" x14ac:dyDescent="0.3">
      <c r="A228" s="2"/>
      <c r="B228" s="65" t="str">
        <f t="shared" si="15"/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M017</v>
      </c>
      <c r="D228" s="61" t="s">
        <v>585</v>
      </c>
      <c r="E228" s="66">
        <v>46123</v>
      </c>
      <c r="F228" s="67">
        <v>2500</v>
      </c>
      <c r="G228" s="60" t="s">
        <v>723</v>
      </c>
      <c r="H228" s="60" t="s">
        <v>572</v>
      </c>
      <c r="I228" s="61"/>
      <c r="J228" s="61" t="s">
        <v>720</v>
      </c>
      <c r="K228" s="61"/>
      <c r="L228" s="73">
        <f t="shared" si="16"/>
        <v>46113</v>
      </c>
      <c r="M228" s="65" t="str">
        <f t="shared" ca="1" si="17"/>
        <v>UYGUN</v>
      </c>
      <c r="N228" s="74" t="str">
        <f>IF($C228="","",IF($C228="TANIMSIZ MÜŞTERİ","—",INDEX(MUSTERILER!$C$7:$C$156,MATCH($C228,MUSTERILER!$B$7:$B$156,0))))</f>
        <v>ASM EĞLENCE LTD.ŞTİ.</v>
      </c>
      <c r="O228" s="2"/>
      <c r="P228" s="2"/>
      <c r="Q228" s="1" t="str">
        <f>IF($D228="","",$C228&amp;"|"&amp;COUNTIFS($C$7:$C228,$C228))</f>
        <v>M017|13</v>
      </c>
      <c r="R228" s="1" t="str">
        <f t="shared" si="18"/>
        <v>ASMEGLENCELTDSTI</v>
      </c>
      <c r="S228" s="1" t="str">
        <f t="shared" si="19"/>
        <v>M017|46123|2500|</v>
      </c>
      <c r="T228" s="1">
        <f>IF($E228="",0,SUMPRODUCT((AY_SONU!$O$7:$O$42="Evet")*(AY_SONU!$B$7:$B$42=DATE(YEAR($E228),MONTH($E228),1))))</f>
        <v>0</v>
      </c>
      <c r="U228" s="1" t="str">
        <f>IF(OR($G228="",$H228="Mahsup"),"",$G228&amp;"|"&amp;COUNTIFS($G$7:$G228,$G228,$H$7:$H228,"&lt;&gt;Mahsup"))</f>
        <v>ÖMER KARTAL|53</v>
      </c>
    </row>
    <row r="229" spans="1:21" ht="18" customHeight="1" x14ac:dyDescent="0.3">
      <c r="A229" s="2"/>
      <c r="B229" s="65" t="str">
        <f t="shared" si="15"/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M015</v>
      </c>
      <c r="D229" s="61" t="s">
        <v>719</v>
      </c>
      <c r="E229" s="66">
        <v>46123</v>
      </c>
      <c r="F229" s="67">
        <v>3000</v>
      </c>
      <c r="G229" s="60" t="s">
        <v>723</v>
      </c>
      <c r="H229" s="60" t="s">
        <v>572</v>
      </c>
      <c r="I229" s="61"/>
      <c r="J229" s="61" t="s">
        <v>724</v>
      </c>
      <c r="K229" s="61"/>
      <c r="L229" s="73">
        <f t="shared" si="16"/>
        <v>46113</v>
      </c>
      <c r="M229" s="65" t="str">
        <f t="shared" ca="1" si="17"/>
        <v>UYGUN</v>
      </c>
      <c r="N229" s="74" t="str">
        <f>IF($C229="","",IF($C229="TANIMSIZ MÜŞTERİ","—",INDEX(MUSTERILER!$C$7:$C$156,MATCH($C229,MUSTERILER!$B$7:$B$156,0))))</f>
        <v>ÇAYIRALAN LTD.ŞTİ.</v>
      </c>
      <c r="O229" s="2"/>
      <c r="P229" s="2"/>
      <c r="Q229" s="1" t="str">
        <f>IF($D229="","",$C229&amp;"|"&amp;COUNTIFS($C$7:$C229,$C229))</f>
        <v>M015|12</v>
      </c>
      <c r="R229" s="1" t="str">
        <f t="shared" si="18"/>
        <v>CAYIRALANLTDSTI</v>
      </c>
      <c r="S229" s="1" t="str">
        <f t="shared" si="19"/>
        <v>M015|46123|3000|</v>
      </c>
      <c r="T229" s="1">
        <f>IF($E229="",0,SUMPRODUCT((AY_SONU!$O$7:$O$42="Evet")*(AY_SONU!$B$7:$B$42=DATE(YEAR($E229),MONTH($E229),1))))</f>
        <v>0</v>
      </c>
      <c r="U229" s="1" t="str">
        <f>IF(OR($G229="",$H229="Mahsup"),"",$G229&amp;"|"&amp;COUNTIFS($G$7:$G229,$G229,$H$7:$H229,"&lt;&gt;Mahsup"))</f>
        <v>ÖMER KARTAL|54</v>
      </c>
    </row>
    <row r="230" spans="1:21" ht="18" customHeight="1" x14ac:dyDescent="0.3">
      <c r="A230" s="2"/>
      <c r="B230" s="65" t="str">
        <f t="shared" si="15"/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M034</v>
      </c>
      <c r="D230" s="61" t="s">
        <v>732</v>
      </c>
      <c r="E230" s="66">
        <v>46123</v>
      </c>
      <c r="F230" s="67">
        <v>4000</v>
      </c>
      <c r="G230" s="60" t="s">
        <v>723</v>
      </c>
      <c r="H230" s="60" t="s">
        <v>572</v>
      </c>
      <c r="I230" s="61"/>
      <c r="J230" s="61" t="s">
        <v>724</v>
      </c>
      <c r="K230" s="61"/>
      <c r="L230" s="73">
        <f t="shared" si="16"/>
        <v>46113</v>
      </c>
      <c r="M230" s="65" t="str">
        <f t="shared" ca="1" si="17"/>
        <v>UYGUN</v>
      </c>
      <c r="N230" s="74" t="str">
        <f>IF($C230="","",IF($C230="TANIMSIZ MÜŞTERİ","—",INDEX(MUSTERILER!$C$7:$C$156,MATCH($C230,MUSTERILER!$B$7:$B$156,0))))</f>
        <v>İBRAHİM MALDAN</v>
      </c>
      <c r="O230" s="2"/>
      <c r="P230" s="2"/>
      <c r="Q230" s="1" t="str">
        <f>IF($D230="","",$C230&amp;"|"&amp;COUNTIFS($C$7:$C230,$C230))</f>
        <v>M034|10</v>
      </c>
      <c r="R230" s="1" t="str">
        <f t="shared" si="18"/>
        <v>IBRAHIMMALDAN</v>
      </c>
      <c r="S230" s="1" t="str">
        <f t="shared" si="19"/>
        <v>M034|46123|4000|</v>
      </c>
      <c r="T230" s="1">
        <f>IF($E230="",0,SUMPRODUCT((AY_SONU!$O$7:$O$42="Evet")*(AY_SONU!$B$7:$B$42=DATE(YEAR($E230),MONTH($E230),1))))</f>
        <v>0</v>
      </c>
      <c r="U230" s="1" t="str">
        <f>IF(OR($G230="",$H230="Mahsup"),"",$G230&amp;"|"&amp;COUNTIFS($G$7:$G230,$G230,$H$7:$H230,"&lt;&gt;Mahsup"))</f>
        <v>ÖMER KARTAL|55</v>
      </c>
    </row>
    <row r="231" spans="1:21" ht="18" customHeight="1" x14ac:dyDescent="0.3">
      <c r="A231" s="2"/>
      <c r="B231" s="65" t="str">
        <f t="shared" si="15"/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M009</v>
      </c>
      <c r="D231" s="61" t="s">
        <v>735</v>
      </c>
      <c r="E231" s="66">
        <v>46123</v>
      </c>
      <c r="F231" s="67">
        <v>4000</v>
      </c>
      <c r="G231" s="60" t="s">
        <v>723</v>
      </c>
      <c r="H231" s="60" t="s">
        <v>572</v>
      </c>
      <c r="I231" s="61"/>
      <c r="J231" s="61" t="s">
        <v>724</v>
      </c>
      <c r="K231" s="61"/>
      <c r="L231" s="73">
        <f t="shared" si="16"/>
        <v>46113</v>
      </c>
      <c r="M231" s="65" t="str">
        <f t="shared" ca="1" si="17"/>
        <v>UYGUN</v>
      </c>
      <c r="N231" s="74" t="str">
        <f>IF($C231="","",IF($C231="TANIMSIZ MÜŞTERİ","—",INDEX(MUSTERILER!$C$7:$C$156,MATCH($C231,MUSTERILER!$B$7:$B$156,0))))</f>
        <v>PAKYILDIZ LTD.ŞTİ.</v>
      </c>
      <c r="O231" s="2"/>
      <c r="P231" s="2"/>
      <c r="Q231" s="1" t="str">
        <f>IF($D231="","",$C231&amp;"|"&amp;COUNTIFS($C$7:$C231,$C231))</f>
        <v>M009|9</v>
      </c>
      <c r="R231" s="1" t="str">
        <f t="shared" si="18"/>
        <v>PAKYILDIZLTDSTI</v>
      </c>
      <c r="S231" s="1" t="str">
        <f t="shared" si="19"/>
        <v>M009|46123|4000|</v>
      </c>
      <c r="T231" s="1">
        <f>IF($E231="",0,SUMPRODUCT((AY_SONU!$O$7:$O$42="Evet")*(AY_SONU!$B$7:$B$42=DATE(YEAR($E231),MONTH($E231),1))))</f>
        <v>0</v>
      </c>
      <c r="U231" s="1" t="str">
        <f>IF(OR($G231="",$H231="Mahsup"),"",$G231&amp;"|"&amp;COUNTIFS($G$7:$G231,$G231,$H$7:$H231,"&lt;&gt;Mahsup"))</f>
        <v>ÖMER KARTAL|56</v>
      </c>
    </row>
    <row r="232" spans="1:21" ht="18" customHeight="1" x14ac:dyDescent="0.3">
      <c r="A232" s="2"/>
      <c r="B232" s="65" t="str">
        <f t="shared" si="15"/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M016</v>
      </c>
      <c r="D232" s="61" t="s">
        <v>736</v>
      </c>
      <c r="E232" s="66">
        <v>46123</v>
      </c>
      <c r="F232" s="67">
        <v>3000</v>
      </c>
      <c r="G232" s="60" t="s">
        <v>723</v>
      </c>
      <c r="H232" s="60" t="s">
        <v>572</v>
      </c>
      <c r="I232" s="61"/>
      <c r="J232" s="61" t="s">
        <v>724</v>
      </c>
      <c r="K232" s="61"/>
      <c r="L232" s="73">
        <f t="shared" si="16"/>
        <v>46113</v>
      </c>
      <c r="M232" s="65" t="str">
        <f t="shared" ca="1" si="17"/>
        <v>UYGUN</v>
      </c>
      <c r="N232" s="74" t="str">
        <f>IF($C232="","",IF($C232="TANIMSIZ MÜŞTERİ","—",INDEX(MUSTERILER!$C$7:$C$156,MATCH($C232,MUSTERILER!$B$7:$B$156,0))))</f>
        <v>RİX ŞOW LTD.ŞTİ.</v>
      </c>
      <c r="O232" s="2"/>
      <c r="P232" s="2"/>
      <c r="Q232" s="1" t="str">
        <f>IF($D232="","",$C232&amp;"|"&amp;COUNTIFS($C$7:$C232,$C232))</f>
        <v>M016|14</v>
      </c>
      <c r="R232" s="1" t="str">
        <f t="shared" si="18"/>
        <v>RIXSOWLTDSTI</v>
      </c>
      <c r="S232" s="1" t="str">
        <f t="shared" si="19"/>
        <v>M016|46123|3000|</v>
      </c>
      <c r="T232" s="1">
        <f>IF($E232="",0,SUMPRODUCT((AY_SONU!$O$7:$O$42="Evet")*(AY_SONU!$B$7:$B$42=DATE(YEAR($E232),MONTH($E232),1))))</f>
        <v>0</v>
      </c>
      <c r="U232" s="1" t="str">
        <f>IF(OR($G232="",$H232="Mahsup"),"",$G232&amp;"|"&amp;COUNTIFS($G$7:$G232,$G232,$H$7:$H232,"&lt;&gt;Mahsup"))</f>
        <v>ÖMER KARTAL|57</v>
      </c>
    </row>
    <row r="233" spans="1:21" ht="18" customHeight="1" x14ac:dyDescent="0.3">
      <c r="A233" s="2"/>
      <c r="B233" s="65" t="str">
        <f t="shared" si="15"/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M018</v>
      </c>
      <c r="D233" s="61" t="s">
        <v>593</v>
      </c>
      <c r="E233" s="66">
        <v>46123</v>
      </c>
      <c r="F233" s="67">
        <v>2500</v>
      </c>
      <c r="G233" s="60" t="s">
        <v>723</v>
      </c>
      <c r="H233" s="60" t="s">
        <v>572</v>
      </c>
      <c r="I233" s="61"/>
      <c r="J233" s="61" t="s">
        <v>720</v>
      </c>
      <c r="K233" s="61"/>
      <c r="L233" s="73">
        <f t="shared" si="16"/>
        <v>46113</v>
      </c>
      <c r="M233" s="65" t="str">
        <f t="shared" ca="1" si="17"/>
        <v>UYGUN</v>
      </c>
      <c r="N233" s="74" t="str">
        <f>IF($C233="","",IF($C233="TANIMSIZ MÜŞTERİ","—",INDEX(MUSTERILER!$C$7:$C$156,MATCH($C233,MUSTERILER!$B$7:$B$156,0))))</f>
        <v>ÇINARHAN LTD.ŞTİ.</v>
      </c>
      <c r="O233" s="2"/>
      <c r="P233" s="2"/>
      <c r="Q233" s="1" t="str">
        <f>IF($D233="","",$C233&amp;"|"&amp;COUNTIFS($C$7:$C233,$C233))</f>
        <v>M018|8</v>
      </c>
      <c r="R233" s="1" t="str">
        <f t="shared" si="18"/>
        <v>CINARHANLTDSTI</v>
      </c>
      <c r="S233" s="1" t="str">
        <f t="shared" si="19"/>
        <v>M018|46123|2500|</v>
      </c>
      <c r="T233" s="1">
        <f>IF($E233="",0,SUMPRODUCT((AY_SONU!$O$7:$O$42="Evet")*(AY_SONU!$B$7:$B$42=DATE(YEAR($E233),MONTH($E233),1))))</f>
        <v>0</v>
      </c>
      <c r="U233" s="1" t="str">
        <f>IF(OR($G233="",$H233="Mahsup"),"",$G233&amp;"|"&amp;COUNTIFS($G$7:$G233,$G233,$H$7:$H233,"&lt;&gt;Mahsup"))</f>
        <v>ÖMER KARTAL|58</v>
      </c>
    </row>
    <row r="234" spans="1:21" ht="18" customHeight="1" x14ac:dyDescent="0.3">
      <c r="A234" s="2"/>
      <c r="B234" s="65" t="str">
        <f t="shared" si="15"/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M020</v>
      </c>
      <c r="D234" s="61" t="s">
        <v>623</v>
      </c>
      <c r="E234" s="66">
        <v>46123</v>
      </c>
      <c r="F234" s="67">
        <v>3000</v>
      </c>
      <c r="G234" s="60" t="s">
        <v>723</v>
      </c>
      <c r="H234" s="60" t="s">
        <v>572</v>
      </c>
      <c r="I234" s="61"/>
      <c r="J234" s="61" t="s">
        <v>720</v>
      </c>
      <c r="K234" s="61"/>
      <c r="L234" s="73">
        <f t="shared" si="16"/>
        <v>46113</v>
      </c>
      <c r="M234" s="65" t="str">
        <f t="shared" ca="1" si="17"/>
        <v>UYGUN</v>
      </c>
      <c r="N234" s="74" t="str">
        <f>IF($C234="","",IF($C234="TANIMSIZ MÜŞTERİ","—",INDEX(MUSTERILER!$C$7:$C$156,MATCH($C234,MUSTERILER!$B$7:$B$156,0))))</f>
        <v>KRİSTAL LTD.ŞTİ.</v>
      </c>
      <c r="O234" s="2"/>
      <c r="P234" s="2"/>
      <c r="Q234" s="1" t="str">
        <f>IF($D234="","",$C234&amp;"|"&amp;COUNTIFS($C$7:$C234,$C234))</f>
        <v>M020|14</v>
      </c>
      <c r="R234" s="1" t="str">
        <f t="shared" si="18"/>
        <v>KRISTALLTDSTI</v>
      </c>
      <c r="S234" s="1" t="str">
        <f t="shared" si="19"/>
        <v>M020|46123|3000|</v>
      </c>
      <c r="T234" s="1">
        <f>IF($E234="",0,SUMPRODUCT((AY_SONU!$O$7:$O$42="Evet")*(AY_SONU!$B$7:$B$42=DATE(YEAR($E234),MONTH($E234),1))))</f>
        <v>0</v>
      </c>
      <c r="U234" s="1" t="str">
        <f>IF(OR($G234="",$H234="Mahsup"),"",$G234&amp;"|"&amp;COUNTIFS($G$7:$G234,$G234,$H$7:$H234,"&lt;&gt;Mahsup"))</f>
        <v>ÖMER KARTAL|59</v>
      </c>
    </row>
    <row r="235" spans="1:21" ht="18" customHeight="1" x14ac:dyDescent="0.3">
      <c r="A235" s="2"/>
      <c r="B235" s="65" t="str">
        <f t="shared" si="15"/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M047</v>
      </c>
      <c r="D235" s="61" t="s">
        <v>654</v>
      </c>
      <c r="E235" s="66">
        <v>46123</v>
      </c>
      <c r="F235" s="67">
        <v>4000</v>
      </c>
      <c r="G235" s="60" t="s">
        <v>723</v>
      </c>
      <c r="H235" s="60" t="s">
        <v>572</v>
      </c>
      <c r="I235" s="61"/>
      <c r="J235" s="61" t="s">
        <v>720</v>
      </c>
      <c r="K235" s="61"/>
      <c r="L235" s="73">
        <f t="shared" si="16"/>
        <v>46113</v>
      </c>
      <c r="M235" s="65" t="str">
        <f t="shared" ca="1" si="17"/>
        <v>UYGUN</v>
      </c>
      <c r="N235" s="74" t="str">
        <f>IF($C235="","",IF($C235="TANIMSIZ MÜŞTERİ","—",INDEX(MUSTERILER!$C$7:$C$156,MATCH($C235,MUSTERILER!$B$7:$B$156,0))))</f>
        <v>PALAOĞULLARI LTD.ŞTİ.</v>
      </c>
      <c r="O235" s="2"/>
      <c r="P235" s="2"/>
      <c r="Q235" s="1" t="str">
        <f>IF($D235="","",$C235&amp;"|"&amp;COUNTIFS($C$7:$C235,$C235))</f>
        <v>M047|7</v>
      </c>
      <c r="R235" s="1" t="str">
        <f t="shared" si="18"/>
        <v>PALAOGULLARILTDSTI</v>
      </c>
      <c r="S235" s="1" t="str">
        <f t="shared" si="19"/>
        <v>M047|46123|4000|</v>
      </c>
      <c r="T235" s="1">
        <f>IF($E235="",0,SUMPRODUCT((AY_SONU!$O$7:$O$42="Evet")*(AY_SONU!$B$7:$B$42=DATE(YEAR($E235),MONTH($E235),1))))</f>
        <v>0</v>
      </c>
      <c r="U235" s="1" t="str">
        <f>IF(OR($G235="",$H235="Mahsup"),"",$G235&amp;"|"&amp;COUNTIFS($G$7:$G235,$G235,$H$7:$H235,"&lt;&gt;Mahsup"))</f>
        <v>ÖMER KARTAL|60</v>
      </c>
    </row>
    <row r="236" spans="1:21" ht="18" customHeight="1" x14ac:dyDescent="0.3">
      <c r="A236" s="2"/>
      <c r="B236" s="65" t="str">
        <f t="shared" si="15"/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M014</v>
      </c>
      <c r="D236" s="61" t="s">
        <v>731</v>
      </c>
      <c r="E236" s="66">
        <v>46123</v>
      </c>
      <c r="F236" s="67">
        <v>4000</v>
      </c>
      <c r="G236" s="60" t="s">
        <v>717</v>
      </c>
      <c r="H236" s="60" t="s">
        <v>572</v>
      </c>
      <c r="I236" s="61"/>
      <c r="J236" s="61" t="s">
        <v>720</v>
      </c>
      <c r="K236" s="61"/>
      <c r="L236" s="73">
        <f t="shared" si="16"/>
        <v>46113</v>
      </c>
      <c r="M236" s="65" t="str">
        <f t="shared" ca="1" si="17"/>
        <v>UYGUN</v>
      </c>
      <c r="N236" s="74" t="str">
        <f>IF($C236="","",IF($C236="TANIMSIZ MÜŞTERİ","—",INDEX(MUSTERILER!$C$7:$C$156,MATCH($C236,MUSTERILER!$B$7:$B$156,0))))</f>
        <v>FİNAL SİYAH BEYAZ LTD.ŞTİ.</v>
      </c>
      <c r="O236" s="2"/>
      <c r="P236" s="2"/>
      <c r="Q236" s="1" t="str">
        <f>IF($D236="","",$C236&amp;"|"&amp;COUNTIFS($C$7:$C236,$C236))</f>
        <v>M014|13</v>
      </c>
      <c r="R236" s="1" t="str">
        <f t="shared" si="18"/>
        <v>FINALSIYAHBEYAZLTDSTI</v>
      </c>
      <c r="S236" s="1" t="str">
        <f t="shared" si="19"/>
        <v>M014|46123|4000|</v>
      </c>
      <c r="T236" s="1">
        <f>IF($E236="",0,SUMPRODUCT((AY_SONU!$O$7:$O$42="Evet")*(AY_SONU!$B$7:$B$42=DATE(YEAR($E236),MONTH($E236),1))))</f>
        <v>0</v>
      </c>
      <c r="U236" s="1" t="str">
        <f>IF(OR($G236="",$H236="Mahsup"),"",$G236&amp;"|"&amp;COUNTIFS($G$7:$G236,$G236,$H$7:$H236,"&lt;&gt;Mahsup"))</f>
        <v>MERKEZ KASA|170</v>
      </c>
    </row>
    <row r="237" spans="1:21" ht="18" customHeight="1" x14ac:dyDescent="0.3">
      <c r="A237" s="2"/>
      <c r="B237" s="65" t="str">
        <f t="shared" si="15"/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M012</v>
      </c>
      <c r="D237" s="61" t="s">
        <v>721</v>
      </c>
      <c r="E237" s="66">
        <v>46123</v>
      </c>
      <c r="F237" s="67">
        <v>4000</v>
      </c>
      <c r="G237" s="60" t="s">
        <v>717</v>
      </c>
      <c r="H237" s="60" t="s">
        <v>572</v>
      </c>
      <c r="I237" s="61"/>
      <c r="J237" s="61" t="s">
        <v>720</v>
      </c>
      <c r="K237" s="61"/>
      <c r="L237" s="73">
        <f t="shared" si="16"/>
        <v>46113</v>
      </c>
      <c r="M237" s="65" t="str">
        <f t="shared" ca="1" si="17"/>
        <v>UYGUN</v>
      </c>
      <c r="N237" s="74" t="str">
        <f>IF($C237="","",IF($C237="TANIMSIZ MÜŞTERİ","—",INDEX(MUSTERILER!$C$7:$C$156,MATCH($C237,MUSTERILER!$B$7:$B$156,0))))</f>
        <v>İLDEŞ LTD.ŞTİ.</v>
      </c>
      <c r="O237" s="2"/>
      <c r="P237" s="2"/>
      <c r="Q237" s="1" t="str">
        <f>IF($D237="","",$C237&amp;"|"&amp;COUNTIFS($C$7:$C237,$C237))</f>
        <v>M012|14</v>
      </c>
      <c r="R237" s="1" t="str">
        <f t="shared" si="18"/>
        <v>ILDESLTDSTI</v>
      </c>
      <c r="S237" s="1" t="str">
        <f t="shared" si="19"/>
        <v>M012|46123|4000|</v>
      </c>
      <c r="T237" s="1">
        <f>IF($E237="",0,SUMPRODUCT((AY_SONU!$O$7:$O$42="Evet")*(AY_SONU!$B$7:$B$42=DATE(YEAR($E237),MONTH($E237),1))))</f>
        <v>0</v>
      </c>
      <c r="U237" s="1" t="str">
        <f>IF(OR($G237="",$H237="Mahsup"),"",$G237&amp;"|"&amp;COUNTIFS($G$7:$G237,$G237,$H$7:$H237,"&lt;&gt;Mahsup"))</f>
        <v>MERKEZ KASA|171</v>
      </c>
    </row>
    <row r="238" spans="1:21" ht="18" customHeight="1" x14ac:dyDescent="0.3">
      <c r="A238" s="2"/>
      <c r="B238" s="65" t="str">
        <f t="shared" si="15"/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M013</v>
      </c>
      <c r="D238" s="61" t="s">
        <v>734</v>
      </c>
      <c r="E238" s="66">
        <v>46123</v>
      </c>
      <c r="F238" s="67">
        <v>4200</v>
      </c>
      <c r="G238" s="60" t="s">
        <v>717</v>
      </c>
      <c r="H238" s="60" t="s">
        <v>572</v>
      </c>
      <c r="I238" s="61"/>
      <c r="J238" s="61" t="s">
        <v>720</v>
      </c>
      <c r="K238" s="61"/>
      <c r="L238" s="73">
        <f t="shared" si="16"/>
        <v>46113</v>
      </c>
      <c r="M238" s="65" t="str">
        <f t="shared" ca="1" si="17"/>
        <v>UYGUN</v>
      </c>
      <c r="N238" s="74" t="str">
        <f>IF($C238="","",IF($C238="TANIMSIZ MÜŞTERİ","—",INDEX(MUSTERILER!$C$7:$C$156,MATCH($C238,MUSTERILER!$B$7:$B$156,0))))</f>
        <v>NAZ 1 GIDA LTD.ŞTİ.</v>
      </c>
      <c r="O238" s="2"/>
      <c r="P238" s="2"/>
      <c r="Q238" s="1" t="str">
        <f>IF($D238="","",$C238&amp;"|"&amp;COUNTIFS($C$7:$C238,$C238))</f>
        <v>M013|9</v>
      </c>
      <c r="R238" s="1" t="str">
        <f t="shared" si="18"/>
        <v>NAZ1GIDALTDSTI</v>
      </c>
      <c r="S238" s="1" t="str">
        <f t="shared" si="19"/>
        <v>M013|46123|4200|</v>
      </c>
      <c r="T238" s="1">
        <f>IF($E238="",0,SUMPRODUCT((AY_SONU!$O$7:$O$42="Evet")*(AY_SONU!$B$7:$B$42=DATE(YEAR($E238),MONTH($E238),1))))</f>
        <v>0</v>
      </c>
      <c r="U238" s="1" t="str">
        <f>IF(OR($G238="",$H238="Mahsup"),"",$G238&amp;"|"&amp;COUNTIFS($G$7:$G238,$G238,$H$7:$H238,"&lt;&gt;Mahsup"))</f>
        <v>MERKEZ KASA|172</v>
      </c>
    </row>
    <row r="239" spans="1:21" ht="18" customHeight="1" x14ac:dyDescent="0.3">
      <c r="A239" s="2"/>
      <c r="B239" s="65" t="str">
        <f t="shared" si="15"/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M054</v>
      </c>
      <c r="D239" s="61" t="s">
        <v>674</v>
      </c>
      <c r="E239" s="66">
        <v>46123</v>
      </c>
      <c r="F239" s="67">
        <v>4000</v>
      </c>
      <c r="G239" s="60" t="s">
        <v>717</v>
      </c>
      <c r="H239" s="60" t="s">
        <v>572</v>
      </c>
      <c r="I239" s="61"/>
      <c r="J239" s="61" t="s">
        <v>720</v>
      </c>
      <c r="K239" s="61"/>
      <c r="L239" s="73">
        <f t="shared" si="16"/>
        <v>46113</v>
      </c>
      <c r="M239" s="65" t="str">
        <f t="shared" ca="1" si="17"/>
        <v>UYGUN</v>
      </c>
      <c r="N239" s="74" t="str">
        <f>IF($C239="","",IF($C239="TANIMSIZ MÜŞTERİ","—",INDEX(MUSTERILER!$C$7:$C$156,MATCH($C239,MUSTERILER!$B$7:$B$156,0))))</f>
        <v>YALIKENT LTD.ŞTİ.</v>
      </c>
      <c r="O239" s="2"/>
      <c r="P239" s="2"/>
      <c r="Q239" s="1" t="str">
        <f>IF($D239="","",$C239&amp;"|"&amp;COUNTIFS($C$7:$C239,$C239))</f>
        <v>M054|3</v>
      </c>
      <c r="R239" s="1" t="str">
        <f t="shared" si="18"/>
        <v>YALIKENTLTDSTI</v>
      </c>
      <c r="S239" s="1" t="str">
        <f t="shared" si="19"/>
        <v>M054|46123|4000|</v>
      </c>
      <c r="T239" s="1">
        <f>IF($E239="",0,SUMPRODUCT((AY_SONU!$O$7:$O$42="Evet")*(AY_SONU!$B$7:$B$42=DATE(YEAR($E239),MONTH($E239),1))))</f>
        <v>0</v>
      </c>
      <c r="U239" s="1" t="str">
        <f>IF(OR($G239="",$H239="Mahsup"),"",$G239&amp;"|"&amp;COUNTIFS($G$7:$G239,$G239,$H$7:$H239,"&lt;&gt;Mahsup"))</f>
        <v>MERKEZ KASA|173</v>
      </c>
    </row>
    <row r="240" spans="1:21" ht="18" customHeight="1" x14ac:dyDescent="0.3">
      <c r="A240" s="2"/>
      <c r="B240" s="65" t="str">
        <f t="shared" si="15"/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M007</v>
      </c>
      <c r="D240" s="61" t="s">
        <v>733</v>
      </c>
      <c r="E240" s="66">
        <v>46124</v>
      </c>
      <c r="F240" s="67">
        <v>3500</v>
      </c>
      <c r="G240" s="60" t="s">
        <v>723</v>
      </c>
      <c r="H240" s="60" t="s">
        <v>572</v>
      </c>
      <c r="I240" s="61"/>
      <c r="J240" s="61" t="s">
        <v>724</v>
      </c>
      <c r="K240" s="61"/>
      <c r="L240" s="73">
        <f t="shared" si="16"/>
        <v>46113</v>
      </c>
      <c r="M240" s="65" t="str">
        <f t="shared" ca="1" si="17"/>
        <v>UYGUN</v>
      </c>
      <c r="N240" s="74" t="str">
        <f>IF($C240="","",IF($C240="TANIMSIZ MÜŞTERİ","—",INDEX(MUSTERILER!$C$7:$C$156,MATCH($C240,MUSTERILER!$B$7:$B$156,0))))</f>
        <v>MONAMOUR LTD.ŞTİ.</v>
      </c>
      <c r="O240" s="2"/>
      <c r="P240" s="2"/>
      <c r="Q240" s="1" t="str">
        <f>IF($D240="","",$C240&amp;"|"&amp;COUNTIFS($C$7:$C240,$C240))</f>
        <v>M007|12</v>
      </c>
      <c r="R240" s="1" t="str">
        <f t="shared" si="18"/>
        <v>MONAMOURLTDSTI</v>
      </c>
      <c r="S240" s="1" t="str">
        <f t="shared" si="19"/>
        <v>M007|46124|3500|</v>
      </c>
      <c r="T240" s="1">
        <f>IF($E240="",0,SUMPRODUCT((AY_SONU!$O$7:$O$42="Evet")*(AY_SONU!$B$7:$B$42=DATE(YEAR($E240),MONTH($E240),1))))</f>
        <v>0</v>
      </c>
      <c r="U240" s="1" t="str">
        <f>IF(OR($G240="",$H240="Mahsup"),"",$G240&amp;"|"&amp;COUNTIFS($G$7:$G240,$G240,$H$7:$H240,"&lt;&gt;Mahsup"))</f>
        <v>ÖMER KARTAL|61</v>
      </c>
    </row>
    <row r="241" spans="1:21" ht="18" customHeight="1" x14ac:dyDescent="0.3">
      <c r="A241" s="2"/>
      <c r="B241" s="65" t="str">
        <f t="shared" si="15"/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M006</v>
      </c>
      <c r="D241" s="61" t="s">
        <v>672</v>
      </c>
      <c r="E241" s="66">
        <v>46125</v>
      </c>
      <c r="F241" s="67">
        <v>3000</v>
      </c>
      <c r="G241" s="60" t="s">
        <v>717</v>
      </c>
      <c r="H241" s="60" t="s">
        <v>572</v>
      </c>
      <c r="I241" s="61"/>
      <c r="J241" s="61" t="s">
        <v>720</v>
      </c>
      <c r="K241" s="61"/>
      <c r="L241" s="73">
        <f t="shared" si="16"/>
        <v>46113</v>
      </c>
      <c r="M241" s="65" t="str">
        <f t="shared" ca="1" si="17"/>
        <v>UYGUN</v>
      </c>
      <c r="N241" s="74" t="str">
        <f>IF($C241="","",IF($C241="TANIMSIZ MÜŞTERİ","—",INDEX(MUSTERILER!$C$7:$C$156,MATCH($C241,MUSTERILER!$B$7:$B$156,0))))</f>
        <v>VOLKAN AÇIK</v>
      </c>
      <c r="O241" s="2"/>
      <c r="P241" s="2"/>
      <c r="Q241" s="1" t="str">
        <f>IF($D241="","",$C241&amp;"|"&amp;COUNTIFS($C$7:$C241,$C241))</f>
        <v>M006|2</v>
      </c>
      <c r="R241" s="1" t="str">
        <f t="shared" si="18"/>
        <v>VOLKANACIK</v>
      </c>
      <c r="S241" s="1" t="str">
        <f t="shared" si="19"/>
        <v>M006|46125|3000|</v>
      </c>
      <c r="T241" s="1">
        <f>IF($E241="",0,SUMPRODUCT((AY_SONU!$O$7:$O$42="Evet")*(AY_SONU!$B$7:$B$42=DATE(YEAR($E241),MONTH($E241),1))))</f>
        <v>0</v>
      </c>
      <c r="U241" s="1" t="str">
        <f>IF(OR($G241="",$H241="Mahsup"),"",$G241&amp;"|"&amp;COUNTIFS($G$7:$G241,$G241,$H$7:$H241,"&lt;&gt;Mahsup"))</f>
        <v>MERKEZ KASA|174</v>
      </c>
    </row>
    <row r="242" spans="1:21" ht="18" customHeight="1" x14ac:dyDescent="0.3">
      <c r="A242" s="2"/>
      <c r="B242" s="65" t="str">
        <f t="shared" si="15"/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M051</v>
      </c>
      <c r="D242" s="61" t="s">
        <v>668</v>
      </c>
      <c r="E242" s="66">
        <v>46126</v>
      </c>
      <c r="F242" s="67">
        <v>3000</v>
      </c>
      <c r="G242" s="60" t="s">
        <v>723</v>
      </c>
      <c r="H242" s="60" t="s">
        <v>572</v>
      </c>
      <c r="I242" s="61"/>
      <c r="J242" s="61" t="s">
        <v>720</v>
      </c>
      <c r="K242" s="61"/>
      <c r="L242" s="73">
        <f t="shared" si="16"/>
        <v>46113</v>
      </c>
      <c r="M242" s="65" t="str">
        <f t="shared" ca="1" si="17"/>
        <v>UYGUN</v>
      </c>
      <c r="N242" s="74" t="str">
        <f>IF($C242="","",IF($C242="TANIMSIZ MÜŞTERİ","—",INDEX(MUSTERILER!$C$7:$C$156,MATCH($C242,MUSTERILER!$B$7:$B$156,0))))</f>
        <v>UFUK YILMAZ</v>
      </c>
      <c r="O242" s="2"/>
      <c r="P242" s="2"/>
      <c r="Q242" s="1" t="str">
        <f>IF($D242="","",$C242&amp;"|"&amp;COUNTIFS($C$7:$C242,$C242))</f>
        <v>M051|4</v>
      </c>
      <c r="R242" s="1" t="str">
        <f t="shared" si="18"/>
        <v>UFUKYILMAZ</v>
      </c>
      <c r="S242" s="1" t="str">
        <f t="shared" si="19"/>
        <v>M051|46126|3000|</v>
      </c>
      <c r="T242" s="1">
        <f>IF($E242="",0,SUMPRODUCT((AY_SONU!$O$7:$O$42="Evet")*(AY_SONU!$B$7:$B$42=DATE(YEAR($E242),MONTH($E242),1))))</f>
        <v>0</v>
      </c>
      <c r="U242" s="1" t="str">
        <f>IF(OR($G242="",$H242="Mahsup"),"",$G242&amp;"|"&amp;COUNTIFS($G$7:$G242,$G242,$H$7:$H242,"&lt;&gt;Mahsup"))</f>
        <v>ÖMER KARTAL|62</v>
      </c>
    </row>
    <row r="243" spans="1:21" ht="18" customHeight="1" x14ac:dyDescent="0.3">
      <c r="A243" s="2"/>
      <c r="B243" s="65" t="str">
        <f t="shared" si="15"/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M027</v>
      </c>
      <c r="D243" s="61" t="s">
        <v>591</v>
      </c>
      <c r="E243" s="66">
        <v>46127</v>
      </c>
      <c r="F243" s="67">
        <v>7500</v>
      </c>
      <c r="G243" s="60" t="s">
        <v>717</v>
      </c>
      <c r="H243" s="60" t="s">
        <v>572</v>
      </c>
      <c r="I243" s="61"/>
      <c r="J243" s="61" t="s">
        <v>1307</v>
      </c>
      <c r="K243" s="61"/>
      <c r="L243" s="73">
        <f t="shared" si="16"/>
        <v>46113</v>
      </c>
      <c r="M243" s="65" t="str">
        <f t="shared" ca="1" si="17"/>
        <v>UYGUN</v>
      </c>
      <c r="N243" s="74" t="str">
        <f>IF($C243="","",IF($C243="TANIMSIZ MÜŞTERİ","—",INDEX(MUSTERILER!$C$7:$C$156,MATCH($C243,MUSTERILER!$B$7:$B$156,0))))</f>
        <v>CEREN DEMİRCİ</v>
      </c>
      <c r="O243" s="2"/>
      <c r="P243" s="2"/>
      <c r="Q243" s="1" t="str">
        <f>IF($D243="","",$C243&amp;"|"&amp;COUNTIFS($C$7:$C243,$C243))</f>
        <v>M027|2</v>
      </c>
      <c r="R243" s="1" t="str">
        <f t="shared" si="18"/>
        <v>CERENDEMIRCI</v>
      </c>
      <c r="S243" s="1" t="str">
        <f t="shared" si="19"/>
        <v>M027|46127|7500|</v>
      </c>
      <c r="T243" s="1">
        <f>IF($E243="",0,SUMPRODUCT((AY_SONU!$O$7:$O$42="Evet")*(AY_SONU!$B$7:$B$42=DATE(YEAR($E243),MONTH($E243),1))))</f>
        <v>0</v>
      </c>
      <c r="U243" s="1" t="str">
        <f>IF(OR($G243="",$H243="Mahsup"),"",$G243&amp;"|"&amp;COUNTIFS($G$7:$G243,$G243,$H$7:$H243,"&lt;&gt;Mahsup"))</f>
        <v>MERKEZ KASA|175</v>
      </c>
    </row>
    <row r="244" spans="1:21" ht="18" customHeight="1" x14ac:dyDescent="0.3">
      <c r="A244" s="2"/>
      <c r="B244" s="65" t="str">
        <f t="shared" si="15"/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M015</v>
      </c>
      <c r="D244" s="61" t="s">
        <v>719</v>
      </c>
      <c r="E244" s="66">
        <v>46130</v>
      </c>
      <c r="F244" s="67">
        <v>3000</v>
      </c>
      <c r="G244" s="60" t="s">
        <v>717</v>
      </c>
      <c r="H244" s="60" t="s">
        <v>572</v>
      </c>
      <c r="I244" s="61"/>
      <c r="J244" s="61" t="s">
        <v>720</v>
      </c>
      <c r="K244" s="61"/>
      <c r="L244" s="73">
        <f t="shared" si="16"/>
        <v>46113</v>
      </c>
      <c r="M244" s="65" t="str">
        <f t="shared" ca="1" si="17"/>
        <v>UYGUN</v>
      </c>
      <c r="N244" s="74" t="str">
        <f>IF($C244="","",IF($C244="TANIMSIZ MÜŞTERİ","—",INDEX(MUSTERILER!$C$7:$C$156,MATCH($C244,MUSTERILER!$B$7:$B$156,0))))</f>
        <v>ÇAYIRALAN LTD.ŞTİ.</v>
      </c>
      <c r="O244" s="2"/>
      <c r="P244" s="2"/>
      <c r="Q244" s="1" t="str">
        <f>IF($D244="","",$C244&amp;"|"&amp;COUNTIFS($C$7:$C244,$C244))</f>
        <v>M015|13</v>
      </c>
      <c r="R244" s="1" t="str">
        <f t="shared" si="18"/>
        <v>CAYIRALANLTDSTI</v>
      </c>
      <c r="S244" s="1" t="str">
        <f t="shared" si="19"/>
        <v>M015|46130|3000|</v>
      </c>
      <c r="T244" s="1">
        <f>IF($E244="",0,SUMPRODUCT((AY_SONU!$O$7:$O$42="Evet")*(AY_SONU!$B$7:$B$42=DATE(YEAR($E244),MONTH($E244),1))))</f>
        <v>0</v>
      </c>
      <c r="U244" s="1" t="str">
        <f>IF(OR($G244="",$H244="Mahsup"),"",$G244&amp;"|"&amp;COUNTIFS($G$7:$G244,$G244,$H$7:$H244,"&lt;&gt;Mahsup"))</f>
        <v>MERKEZ KASA|176</v>
      </c>
    </row>
    <row r="245" spans="1:21" ht="18" customHeight="1" x14ac:dyDescent="0.3">
      <c r="A245" s="2"/>
      <c r="B245" s="65" t="str">
        <f t="shared" si="15"/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M011</v>
      </c>
      <c r="D245" s="61" t="s">
        <v>730</v>
      </c>
      <c r="E245" s="66">
        <v>46130</v>
      </c>
      <c r="F245" s="67">
        <v>4000</v>
      </c>
      <c r="G245" s="60" t="s">
        <v>717</v>
      </c>
      <c r="H245" s="60" t="s">
        <v>572</v>
      </c>
      <c r="I245" s="61"/>
      <c r="J245" s="61" t="s">
        <v>720</v>
      </c>
      <c r="K245" s="61"/>
      <c r="L245" s="73">
        <f t="shared" si="16"/>
        <v>46113</v>
      </c>
      <c r="M245" s="65" t="str">
        <f t="shared" ca="1" si="17"/>
        <v>UYGUN</v>
      </c>
      <c r="N245" s="74" t="str">
        <f>IF($C245="","",IF($C245="TANIMSIZ MÜŞTERİ","—",INDEX(MUSTERILER!$C$7:$C$156,MATCH($C245,MUSTERILER!$B$7:$B$156,0))))</f>
        <v>EĞLENGÖR LTD.ŞTİ.</v>
      </c>
      <c r="O245" s="2"/>
      <c r="P245" s="2"/>
      <c r="Q245" s="1" t="str">
        <f>IF($D245="","",$C245&amp;"|"&amp;COUNTIFS($C$7:$C245,$C245))</f>
        <v>M011|14</v>
      </c>
      <c r="R245" s="1" t="str">
        <f t="shared" si="18"/>
        <v>EGLENGORLTDSTI</v>
      </c>
      <c r="S245" s="1" t="str">
        <f t="shared" si="19"/>
        <v>M011|46130|4000|</v>
      </c>
      <c r="T245" s="1">
        <f>IF($E245="",0,SUMPRODUCT((AY_SONU!$O$7:$O$42="Evet")*(AY_SONU!$B$7:$B$42=DATE(YEAR($E245),MONTH($E245),1))))</f>
        <v>0</v>
      </c>
      <c r="U245" s="1" t="str">
        <f>IF(OR($G245="",$H245="Mahsup"),"",$G245&amp;"|"&amp;COUNTIFS($G$7:$G245,$G245,$H$7:$H245,"&lt;&gt;Mahsup"))</f>
        <v>MERKEZ KASA|177</v>
      </c>
    </row>
    <row r="246" spans="1:21" ht="18" customHeight="1" x14ac:dyDescent="0.3">
      <c r="A246" s="2"/>
      <c r="B246" s="65" t="str">
        <f t="shared" si="15"/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M014</v>
      </c>
      <c r="D246" s="61" t="s">
        <v>731</v>
      </c>
      <c r="E246" s="66">
        <v>46130</v>
      </c>
      <c r="F246" s="67">
        <v>4000</v>
      </c>
      <c r="G246" s="60" t="s">
        <v>717</v>
      </c>
      <c r="H246" s="60" t="s">
        <v>572</v>
      </c>
      <c r="I246" s="61"/>
      <c r="J246" s="61" t="s">
        <v>720</v>
      </c>
      <c r="K246" s="61"/>
      <c r="L246" s="73">
        <f t="shared" si="16"/>
        <v>46113</v>
      </c>
      <c r="M246" s="65" t="str">
        <f t="shared" ca="1" si="17"/>
        <v>UYGUN</v>
      </c>
      <c r="N246" s="74" t="str">
        <f>IF($C246="","",IF($C246="TANIMSIZ MÜŞTERİ","—",INDEX(MUSTERILER!$C$7:$C$156,MATCH($C246,MUSTERILER!$B$7:$B$156,0))))</f>
        <v>FİNAL SİYAH BEYAZ LTD.ŞTİ.</v>
      </c>
      <c r="O246" s="2"/>
      <c r="P246" s="2"/>
      <c r="Q246" s="1" t="str">
        <f>IF($D246="","",$C246&amp;"|"&amp;COUNTIFS($C$7:$C246,$C246))</f>
        <v>M014|14</v>
      </c>
      <c r="R246" s="1" t="str">
        <f t="shared" si="18"/>
        <v>FINALSIYAHBEYAZLTDSTI</v>
      </c>
      <c r="S246" s="1" t="str">
        <f t="shared" si="19"/>
        <v>M014|46130|4000|</v>
      </c>
      <c r="T246" s="1">
        <f>IF($E246="",0,SUMPRODUCT((AY_SONU!$O$7:$O$42="Evet")*(AY_SONU!$B$7:$B$42=DATE(YEAR($E246),MONTH($E246),1))))</f>
        <v>0</v>
      </c>
      <c r="U246" s="1" t="str">
        <f>IF(OR($G246="",$H246="Mahsup"),"",$G246&amp;"|"&amp;COUNTIFS($G$7:$G246,$G246,$H$7:$H246,"&lt;&gt;Mahsup"))</f>
        <v>MERKEZ KASA|178</v>
      </c>
    </row>
    <row r="247" spans="1:21" ht="18" customHeight="1" x14ac:dyDescent="0.3">
      <c r="A247" s="2"/>
      <c r="B247" s="65" t="str">
        <f t="shared" si="15"/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M034</v>
      </c>
      <c r="D247" s="61" t="s">
        <v>732</v>
      </c>
      <c r="E247" s="66">
        <v>46130</v>
      </c>
      <c r="F247" s="67">
        <v>4000</v>
      </c>
      <c r="G247" s="60" t="s">
        <v>717</v>
      </c>
      <c r="H247" s="60" t="s">
        <v>572</v>
      </c>
      <c r="I247" s="61"/>
      <c r="J247" s="61" t="s">
        <v>720</v>
      </c>
      <c r="K247" s="61"/>
      <c r="L247" s="73">
        <f t="shared" si="16"/>
        <v>46113</v>
      </c>
      <c r="M247" s="65" t="str">
        <f t="shared" ca="1" si="17"/>
        <v>UYGUN</v>
      </c>
      <c r="N247" s="74" t="str">
        <f>IF($C247="","",IF($C247="TANIMSIZ MÜŞTERİ","—",INDEX(MUSTERILER!$C$7:$C$156,MATCH($C247,MUSTERILER!$B$7:$B$156,0))))</f>
        <v>İBRAHİM MALDAN</v>
      </c>
      <c r="O247" s="2"/>
      <c r="P247" s="2"/>
      <c r="Q247" s="1" t="str">
        <f>IF($D247="","",$C247&amp;"|"&amp;COUNTIFS($C$7:$C247,$C247))</f>
        <v>M034|11</v>
      </c>
      <c r="R247" s="1" t="str">
        <f t="shared" si="18"/>
        <v>IBRAHIMMALDAN</v>
      </c>
      <c r="S247" s="1" t="str">
        <f t="shared" si="19"/>
        <v>M034|46130|4000|</v>
      </c>
      <c r="T247" s="1">
        <f>IF($E247="",0,SUMPRODUCT((AY_SONU!$O$7:$O$42="Evet")*(AY_SONU!$B$7:$B$42=DATE(YEAR($E247),MONTH($E247),1))))</f>
        <v>0</v>
      </c>
      <c r="U247" s="1" t="str">
        <f>IF(OR($G247="",$H247="Mahsup"),"",$G247&amp;"|"&amp;COUNTIFS($G$7:$G247,$G247,$H$7:$H247,"&lt;&gt;Mahsup"))</f>
        <v>MERKEZ KASA|179</v>
      </c>
    </row>
    <row r="248" spans="1:21" ht="18" customHeight="1" x14ac:dyDescent="0.3">
      <c r="A248" s="2"/>
      <c r="B248" s="65" t="str">
        <f t="shared" si="15"/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M012</v>
      </c>
      <c r="D248" s="61" t="s">
        <v>721</v>
      </c>
      <c r="E248" s="66">
        <v>46130</v>
      </c>
      <c r="F248" s="67">
        <v>4000</v>
      </c>
      <c r="G248" s="60" t="s">
        <v>717</v>
      </c>
      <c r="H248" s="60" t="s">
        <v>572</v>
      </c>
      <c r="I248" s="61"/>
      <c r="J248" s="61" t="s">
        <v>720</v>
      </c>
      <c r="K248" s="61"/>
      <c r="L248" s="73">
        <f t="shared" si="16"/>
        <v>46113</v>
      </c>
      <c r="M248" s="65" t="str">
        <f t="shared" ca="1" si="17"/>
        <v>UYGUN</v>
      </c>
      <c r="N248" s="74" t="str">
        <f>IF($C248="","",IF($C248="TANIMSIZ MÜŞTERİ","—",INDEX(MUSTERILER!$C$7:$C$156,MATCH($C248,MUSTERILER!$B$7:$B$156,0))))</f>
        <v>İLDEŞ LTD.ŞTİ.</v>
      </c>
      <c r="O248" s="2"/>
      <c r="P248" s="2"/>
      <c r="Q248" s="1" t="str">
        <f>IF($D248="","",$C248&amp;"|"&amp;COUNTIFS($C$7:$C248,$C248))</f>
        <v>M012|15</v>
      </c>
      <c r="R248" s="1" t="str">
        <f t="shared" si="18"/>
        <v>ILDESLTDSTI</v>
      </c>
      <c r="S248" s="1" t="str">
        <f t="shared" si="19"/>
        <v>M012|46130|4000|</v>
      </c>
      <c r="T248" s="1">
        <f>IF($E248="",0,SUMPRODUCT((AY_SONU!$O$7:$O$42="Evet")*(AY_SONU!$B$7:$B$42=DATE(YEAR($E248),MONTH($E248),1))))</f>
        <v>0</v>
      </c>
      <c r="U248" s="1" t="str">
        <f>IF(OR($G248="",$H248="Mahsup"),"",$G248&amp;"|"&amp;COUNTIFS($G$7:$G248,$G248,$H$7:$H248,"&lt;&gt;Mahsup"))</f>
        <v>MERKEZ KASA|180</v>
      </c>
    </row>
    <row r="249" spans="1:21" ht="18" customHeight="1" x14ac:dyDescent="0.3">
      <c r="A249" s="2"/>
      <c r="B249" s="65" t="str">
        <f t="shared" si="15"/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M007</v>
      </c>
      <c r="D249" s="61" t="s">
        <v>733</v>
      </c>
      <c r="E249" s="66">
        <v>46130</v>
      </c>
      <c r="F249" s="67">
        <v>3500</v>
      </c>
      <c r="G249" s="60" t="s">
        <v>717</v>
      </c>
      <c r="H249" s="60" t="s">
        <v>572</v>
      </c>
      <c r="I249" s="61"/>
      <c r="J249" s="61" t="s">
        <v>720</v>
      </c>
      <c r="K249" s="61"/>
      <c r="L249" s="73">
        <f t="shared" si="16"/>
        <v>46113</v>
      </c>
      <c r="M249" s="65" t="str">
        <f t="shared" ca="1" si="17"/>
        <v>UYGUN</v>
      </c>
      <c r="N249" s="74" t="str">
        <f>IF($C249="","",IF($C249="TANIMSIZ MÜŞTERİ","—",INDEX(MUSTERILER!$C$7:$C$156,MATCH($C249,MUSTERILER!$B$7:$B$156,0))))</f>
        <v>MONAMOUR LTD.ŞTİ.</v>
      </c>
      <c r="O249" s="2"/>
      <c r="P249" s="2"/>
      <c r="Q249" s="1" t="str">
        <f>IF($D249="","",$C249&amp;"|"&amp;COUNTIFS($C$7:$C249,$C249))</f>
        <v>M007|13</v>
      </c>
      <c r="R249" s="1" t="str">
        <f t="shared" si="18"/>
        <v>MONAMOURLTDSTI</v>
      </c>
      <c r="S249" s="1" t="str">
        <f t="shared" si="19"/>
        <v>M007|46130|3500|</v>
      </c>
      <c r="T249" s="1">
        <f>IF($E249="",0,SUMPRODUCT((AY_SONU!$O$7:$O$42="Evet")*(AY_SONU!$B$7:$B$42=DATE(YEAR($E249),MONTH($E249),1))))</f>
        <v>0</v>
      </c>
      <c r="U249" s="1" t="str">
        <f>IF(OR($G249="",$H249="Mahsup"),"",$G249&amp;"|"&amp;COUNTIFS($G$7:$G249,$G249,$H$7:$H249,"&lt;&gt;Mahsup"))</f>
        <v>MERKEZ KASA|181</v>
      </c>
    </row>
    <row r="250" spans="1:21" ht="18" customHeight="1" x14ac:dyDescent="0.3">
      <c r="A250" s="2"/>
      <c r="B250" s="65" t="str">
        <f t="shared" si="15"/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M013</v>
      </c>
      <c r="D250" s="61" t="s">
        <v>734</v>
      </c>
      <c r="E250" s="66">
        <v>46130</v>
      </c>
      <c r="F250" s="67">
        <v>4000</v>
      </c>
      <c r="G250" s="60" t="s">
        <v>717</v>
      </c>
      <c r="H250" s="60" t="s">
        <v>572</v>
      </c>
      <c r="I250" s="61"/>
      <c r="J250" s="61" t="s">
        <v>720</v>
      </c>
      <c r="K250" s="61"/>
      <c r="L250" s="73">
        <f t="shared" si="16"/>
        <v>46113</v>
      </c>
      <c r="M250" s="65" t="str">
        <f t="shared" ca="1" si="17"/>
        <v>UYGUN</v>
      </c>
      <c r="N250" s="74" t="str">
        <f>IF($C250="","",IF($C250="TANIMSIZ MÜŞTERİ","—",INDEX(MUSTERILER!$C$7:$C$156,MATCH($C250,MUSTERILER!$B$7:$B$156,0))))</f>
        <v>NAZ 1 GIDA LTD.ŞTİ.</v>
      </c>
      <c r="O250" s="2"/>
      <c r="P250" s="2"/>
      <c r="Q250" s="1" t="str">
        <f>IF($D250="","",$C250&amp;"|"&amp;COUNTIFS($C$7:$C250,$C250))</f>
        <v>M013|10</v>
      </c>
      <c r="R250" s="1" t="str">
        <f t="shared" si="18"/>
        <v>NAZ1GIDALTDSTI</v>
      </c>
      <c r="S250" s="1" t="str">
        <f t="shared" si="19"/>
        <v>M013|46130|4000|</v>
      </c>
      <c r="T250" s="1">
        <f>IF($E250="",0,SUMPRODUCT((AY_SONU!$O$7:$O$42="Evet")*(AY_SONU!$B$7:$B$42=DATE(YEAR($E250),MONTH($E250),1))))</f>
        <v>0</v>
      </c>
      <c r="U250" s="1" t="str">
        <f>IF(OR($G250="",$H250="Mahsup"),"",$G250&amp;"|"&amp;COUNTIFS($G$7:$G250,$G250,$H$7:$H250,"&lt;&gt;Mahsup"))</f>
        <v>MERKEZ KASA|182</v>
      </c>
    </row>
    <row r="251" spans="1:21" ht="18" customHeight="1" x14ac:dyDescent="0.3">
      <c r="A251" s="2"/>
      <c r="B251" s="65" t="str">
        <f t="shared" si="15"/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M009</v>
      </c>
      <c r="D251" s="61" t="s">
        <v>735</v>
      </c>
      <c r="E251" s="66">
        <v>46130</v>
      </c>
      <c r="F251" s="67">
        <v>4000</v>
      </c>
      <c r="G251" s="60" t="s">
        <v>717</v>
      </c>
      <c r="H251" s="60" t="s">
        <v>572</v>
      </c>
      <c r="I251" s="61"/>
      <c r="J251" s="61" t="s">
        <v>720</v>
      </c>
      <c r="K251" s="61"/>
      <c r="L251" s="73">
        <f t="shared" si="16"/>
        <v>46113</v>
      </c>
      <c r="M251" s="65" t="str">
        <f t="shared" ca="1" si="17"/>
        <v>UYGUN</v>
      </c>
      <c r="N251" s="74" t="str">
        <f>IF($C251="","",IF($C251="TANIMSIZ MÜŞTERİ","—",INDEX(MUSTERILER!$C$7:$C$156,MATCH($C251,MUSTERILER!$B$7:$B$156,0))))</f>
        <v>PAKYILDIZ LTD.ŞTİ.</v>
      </c>
      <c r="O251" s="2"/>
      <c r="P251" s="2"/>
      <c r="Q251" s="1" t="str">
        <f>IF($D251="","",$C251&amp;"|"&amp;COUNTIFS($C$7:$C251,$C251))</f>
        <v>M009|10</v>
      </c>
      <c r="R251" s="1" t="str">
        <f t="shared" si="18"/>
        <v>PAKYILDIZLTDSTI</v>
      </c>
      <c r="S251" s="1" t="str">
        <f t="shared" si="19"/>
        <v>M009|46130|4000|</v>
      </c>
      <c r="T251" s="1">
        <f>IF($E251="",0,SUMPRODUCT((AY_SONU!$O$7:$O$42="Evet")*(AY_SONU!$B$7:$B$42=DATE(YEAR($E251),MONTH($E251),1))))</f>
        <v>0</v>
      </c>
      <c r="U251" s="1" t="str">
        <f>IF(OR($G251="",$H251="Mahsup"),"",$G251&amp;"|"&amp;COUNTIFS($G$7:$G251,$G251,$H$7:$H251,"&lt;&gt;Mahsup"))</f>
        <v>MERKEZ KASA|183</v>
      </c>
    </row>
    <row r="252" spans="1:21" ht="18" customHeight="1" x14ac:dyDescent="0.3">
      <c r="A252" s="2"/>
      <c r="B252" s="65" t="str">
        <f t="shared" si="15"/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M016</v>
      </c>
      <c r="D252" s="61" t="s">
        <v>736</v>
      </c>
      <c r="E252" s="66">
        <v>46130</v>
      </c>
      <c r="F252" s="67">
        <v>3000</v>
      </c>
      <c r="G252" s="60" t="s">
        <v>717</v>
      </c>
      <c r="H252" s="60" t="s">
        <v>572</v>
      </c>
      <c r="I252" s="61"/>
      <c r="J252" s="61" t="s">
        <v>720</v>
      </c>
      <c r="K252" s="61"/>
      <c r="L252" s="73">
        <f t="shared" si="16"/>
        <v>46113</v>
      </c>
      <c r="M252" s="65" t="str">
        <f t="shared" ca="1" si="17"/>
        <v>UYGUN</v>
      </c>
      <c r="N252" s="74" t="str">
        <f>IF($C252="","",IF($C252="TANIMSIZ MÜŞTERİ","—",INDEX(MUSTERILER!$C$7:$C$156,MATCH($C252,MUSTERILER!$B$7:$B$156,0))))</f>
        <v>RİX ŞOW LTD.ŞTİ.</v>
      </c>
      <c r="O252" s="2"/>
      <c r="P252" s="2"/>
      <c r="Q252" s="1" t="str">
        <f>IF($D252="","",$C252&amp;"|"&amp;COUNTIFS($C$7:$C252,$C252))</f>
        <v>M016|15</v>
      </c>
      <c r="R252" s="1" t="str">
        <f t="shared" si="18"/>
        <v>RIXSOWLTDSTI</v>
      </c>
      <c r="S252" s="1" t="str">
        <f t="shared" si="19"/>
        <v>M016|46130|3000|</v>
      </c>
      <c r="T252" s="1">
        <f>IF($E252="",0,SUMPRODUCT((AY_SONU!$O$7:$O$42="Evet")*(AY_SONU!$B$7:$B$42=DATE(YEAR($E252),MONTH($E252),1))))</f>
        <v>0</v>
      </c>
      <c r="U252" s="1" t="str">
        <f>IF(OR($G252="",$H252="Mahsup"),"",$G252&amp;"|"&amp;COUNTIFS($G$7:$G252,$G252,$H$7:$H252,"&lt;&gt;Mahsup"))</f>
        <v>MERKEZ KASA|184</v>
      </c>
    </row>
    <row r="253" spans="1:21" ht="18" customHeight="1" x14ac:dyDescent="0.3">
      <c r="A253" s="2"/>
      <c r="B253" s="65" t="str">
        <f t="shared" si="15"/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M004</v>
      </c>
      <c r="D253" s="61" t="s">
        <v>738</v>
      </c>
      <c r="E253" s="66">
        <v>46130</v>
      </c>
      <c r="F253" s="67">
        <v>3000</v>
      </c>
      <c r="G253" s="60" t="s">
        <v>717</v>
      </c>
      <c r="H253" s="60" t="s">
        <v>572</v>
      </c>
      <c r="I253" s="61"/>
      <c r="J253" s="61" t="s">
        <v>720</v>
      </c>
      <c r="K253" s="61"/>
      <c r="L253" s="73">
        <f t="shared" si="16"/>
        <v>46113</v>
      </c>
      <c r="M253" s="65" t="str">
        <f t="shared" ca="1" si="17"/>
        <v>UYGUN</v>
      </c>
      <c r="N253" s="74" t="str">
        <f>IF($C253="","",IF($C253="TANIMSIZ MÜŞTERİ","—",INDEX(MUSTERILER!$C$7:$C$156,MATCH($C253,MUSTERILER!$B$7:$B$156,0))))</f>
        <v>ZÜMRÜT EĞLENCE LTD.ŞTİ.</v>
      </c>
      <c r="O253" s="2"/>
      <c r="P253" s="2"/>
      <c r="Q253" s="1" t="str">
        <f>IF($D253="","",$C253&amp;"|"&amp;COUNTIFS($C$7:$C253,$C253))</f>
        <v>M004|9</v>
      </c>
      <c r="R253" s="1" t="str">
        <f t="shared" si="18"/>
        <v>ZUMRUTEGLENCELTDSTI</v>
      </c>
      <c r="S253" s="1" t="str">
        <f t="shared" si="19"/>
        <v>M004|46130|3000|</v>
      </c>
      <c r="T253" s="1">
        <f>IF($E253="",0,SUMPRODUCT((AY_SONU!$O$7:$O$42="Evet")*(AY_SONU!$B$7:$B$42=DATE(YEAR($E253),MONTH($E253),1))))</f>
        <v>0</v>
      </c>
      <c r="U253" s="1" t="str">
        <f>IF(OR($G253="",$H253="Mahsup"),"",$G253&amp;"|"&amp;COUNTIFS($G$7:$G253,$G253,$H$7:$H253,"&lt;&gt;Mahsup"))</f>
        <v>MERKEZ KASA|185</v>
      </c>
    </row>
    <row r="254" spans="1:21" ht="18" customHeight="1" x14ac:dyDescent="0.3">
      <c r="A254" s="2"/>
      <c r="B254" s="65" t="str">
        <f t="shared" si="15"/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M005</v>
      </c>
      <c r="D254" s="61" t="s">
        <v>722</v>
      </c>
      <c r="E254" s="66">
        <v>46130</v>
      </c>
      <c r="F254" s="67">
        <v>1750</v>
      </c>
      <c r="G254" s="60" t="s">
        <v>717</v>
      </c>
      <c r="H254" s="60" t="s">
        <v>572</v>
      </c>
      <c r="I254" s="61"/>
      <c r="J254" s="61" t="s">
        <v>720</v>
      </c>
      <c r="K254" s="61"/>
      <c r="L254" s="73">
        <f t="shared" si="16"/>
        <v>46113</v>
      </c>
      <c r="M254" s="65" t="str">
        <f t="shared" ca="1" si="17"/>
        <v>UYGUN</v>
      </c>
      <c r="N254" s="74" t="str">
        <f>IF($C254="","",IF($C254="TANIMSIZ MÜŞTERİ","—",INDEX(MUSTERILER!$C$7:$C$156,MATCH($C254,MUSTERILER!$B$7:$B$156,0))))</f>
        <v>ZÜMRÜT GRUP LTD.ŞTİ.</v>
      </c>
      <c r="O254" s="2"/>
      <c r="P254" s="2"/>
      <c r="Q254" s="1" t="str">
        <f>IF($D254="","",$C254&amp;"|"&amp;COUNTIFS($C$7:$C254,$C254))</f>
        <v>M005|13</v>
      </c>
      <c r="R254" s="1" t="str">
        <f t="shared" si="18"/>
        <v>ZUMRUTGRUPLTDSTI</v>
      </c>
      <c r="S254" s="1" t="str">
        <f t="shared" si="19"/>
        <v>M005|46130|1750|</v>
      </c>
      <c r="T254" s="1">
        <f>IF($E254="",0,SUMPRODUCT((AY_SONU!$O$7:$O$42="Evet")*(AY_SONU!$B$7:$B$42=DATE(YEAR($E254),MONTH($E254),1))))</f>
        <v>0</v>
      </c>
      <c r="U254" s="1" t="str">
        <f>IF(OR($G254="",$H254="Mahsup"),"",$G254&amp;"|"&amp;COUNTIFS($G$7:$G254,$G254,$H$7:$H254,"&lt;&gt;Mahsup"))</f>
        <v>MERKEZ KASA|186</v>
      </c>
    </row>
    <row r="255" spans="1:21" ht="18" customHeight="1" x14ac:dyDescent="0.3">
      <c r="A255" s="2"/>
      <c r="B255" s="65" t="str">
        <f t="shared" si="15"/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M018</v>
      </c>
      <c r="D255" s="61" t="s">
        <v>593</v>
      </c>
      <c r="E255" s="66">
        <v>46130</v>
      </c>
      <c r="F255" s="67">
        <v>2500</v>
      </c>
      <c r="G255" s="60" t="s">
        <v>717</v>
      </c>
      <c r="H255" s="60" t="s">
        <v>572</v>
      </c>
      <c r="I255" s="61"/>
      <c r="J255" s="61" t="s">
        <v>720</v>
      </c>
      <c r="K255" s="61"/>
      <c r="L255" s="73">
        <f t="shared" si="16"/>
        <v>46113</v>
      </c>
      <c r="M255" s="65" t="str">
        <f t="shared" ca="1" si="17"/>
        <v>UYGUN</v>
      </c>
      <c r="N255" s="74" t="str">
        <f>IF($C255="","",IF($C255="TANIMSIZ MÜŞTERİ","—",INDEX(MUSTERILER!$C$7:$C$156,MATCH($C255,MUSTERILER!$B$7:$B$156,0))))</f>
        <v>ÇINARHAN LTD.ŞTİ.</v>
      </c>
      <c r="O255" s="2"/>
      <c r="P255" s="2"/>
      <c r="Q255" s="1" t="str">
        <f>IF($D255="","",$C255&amp;"|"&amp;COUNTIFS($C$7:$C255,$C255))</f>
        <v>M018|9</v>
      </c>
      <c r="R255" s="1" t="str">
        <f t="shared" si="18"/>
        <v>CINARHANLTDSTI</v>
      </c>
      <c r="S255" s="1" t="str">
        <f t="shared" si="19"/>
        <v>M018|46130|2500|</v>
      </c>
      <c r="T255" s="1">
        <f>IF($E255="",0,SUMPRODUCT((AY_SONU!$O$7:$O$42="Evet")*(AY_SONU!$B$7:$B$42=DATE(YEAR($E255),MONTH($E255),1))))</f>
        <v>0</v>
      </c>
      <c r="U255" s="1" t="str">
        <f>IF(OR($G255="",$H255="Mahsup"),"",$G255&amp;"|"&amp;COUNTIFS($G$7:$G255,$G255,$H$7:$H255,"&lt;&gt;Mahsup"))</f>
        <v>MERKEZ KASA|187</v>
      </c>
    </row>
    <row r="256" spans="1:21" ht="18" customHeight="1" x14ac:dyDescent="0.3">
      <c r="A256" s="2"/>
      <c r="B256" s="65" t="str">
        <f t="shared" si="15"/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M035</v>
      </c>
      <c r="D256" s="61" t="s">
        <v>615</v>
      </c>
      <c r="E256" s="66">
        <v>46130</v>
      </c>
      <c r="F256" s="67">
        <v>3500</v>
      </c>
      <c r="G256" s="60" t="s">
        <v>717</v>
      </c>
      <c r="H256" s="60" t="s">
        <v>572</v>
      </c>
      <c r="I256" s="61"/>
      <c r="J256" s="61" t="s">
        <v>720</v>
      </c>
      <c r="K256" s="61"/>
      <c r="L256" s="73">
        <f t="shared" si="16"/>
        <v>46113</v>
      </c>
      <c r="M256" s="65" t="str">
        <f t="shared" ca="1" si="17"/>
        <v>UYGUN</v>
      </c>
      <c r="N256" s="74" t="str">
        <f>IF($C256="","",IF($C256="TANIMSIZ MÜŞTERİ","—",INDEX(MUSTERILER!$C$7:$C$156,MATCH($C256,MUSTERILER!$B$7:$B$156,0))))</f>
        <v>İSA DEMİRCİ</v>
      </c>
      <c r="O256" s="2"/>
      <c r="P256" s="2"/>
      <c r="Q256" s="1" t="str">
        <f>IF($D256="","",$C256&amp;"|"&amp;COUNTIFS($C$7:$C256,$C256))</f>
        <v>M035|3</v>
      </c>
      <c r="R256" s="1" t="str">
        <f t="shared" si="18"/>
        <v>ISADEMIRCI</v>
      </c>
      <c r="S256" s="1" t="str">
        <f t="shared" si="19"/>
        <v>M035|46130|3500|</v>
      </c>
      <c r="T256" s="1">
        <f>IF($E256="",0,SUMPRODUCT((AY_SONU!$O$7:$O$42="Evet")*(AY_SONU!$B$7:$B$42=DATE(YEAR($E256),MONTH($E256),1))))</f>
        <v>0</v>
      </c>
      <c r="U256" s="1" t="str">
        <f>IF(OR($G256="",$H256="Mahsup"),"",$G256&amp;"|"&amp;COUNTIFS($G$7:$G256,$G256,$H$7:$H256,"&lt;&gt;Mahsup"))</f>
        <v>MERKEZ KASA|188</v>
      </c>
    </row>
    <row r="257" spans="1:21" ht="18" customHeight="1" x14ac:dyDescent="0.3">
      <c r="A257" s="2"/>
      <c r="B257" s="65" t="str">
        <f t="shared" si="15"/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M020</v>
      </c>
      <c r="D257" s="61" t="s">
        <v>623</v>
      </c>
      <c r="E257" s="66">
        <v>46130</v>
      </c>
      <c r="F257" s="67">
        <v>3000</v>
      </c>
      <c r="G257" s="60" t="s">
        <v>717</v>
      </c>
      <c r="H257" s="60" t="s">
        <v>572</v>
      </c>
      <c r="I257" s="61"/>
      <c r="J257" s="61" t="s">
        <v>720</v>
      </c>
      <c r="K257" s="61"/>
      <c r="L257" s="73">
        <f t="shared" si="16"/>
        <v>46113</v>
      </c>
      <c r="M257" s="65" t="str">
        <f t="shared" ca="1" si="17"/>
        <v>UYGUN</v>
      </c>
      <c r="N257" s="74" t="str">
        <f>IF($C257="","",IF($C257="TANIMSIZ MÜŞTERİ","—",INDEX(MUSTERILER!$C$7:$C$156,MATCH($C257,MUSTERILER!$B$7:$B$156,0))))</f>
        <v>KRİSTAL LTD.ŞTİ.</v>
      </c>
      <c r="O257" s="2"/>
      <c r="P257" s="2"/>
      <c r="Q257" s="1" t="str">
        <f>IF($D257="","",$C257&amp;"|"&amp;COUNTIFS($C$7:$C257,$C257))</f>
        <v>M020|15</v>
      </c>
      <c r="R257" s="1" t="str">
        <f t="shared" si="18"/>
        <v>KRISTALLTDSTI</v>
      </c>
      <c r="S257" s="1" t="str">
        <f t="shared" si="19"/>
        <v>M020|46130|3000|</v>
      </c>
      <c r="T257" s="1">
        <f>IF($E257="",0,SUMPRODUCT((AY_SONU!$O$7:$O$42="Evet")*(AY_SONU!$B$7:$B$42=DATE(YEAR($E257),MONTH($E257),1))))</f>
        <v>0</v>
      </c>
      <c r="U257" s="1" t="str">
        <f>IF(OR($G257="",$H257="Mahsup"),"",$G257&amp;"|"&amp;COUNTIFS($G$7:$G257,$G257,$H$7:$H257,"&lt;&gt;Mahsup"))</f>
        <v>MERKEZ KASA|189</v>
      </c>
    </row>
    <row r="258" spans="1:21" ht="18" customHeight="1" x14ac:dyDescent="0.3">
      <c r="A258" s="2"/>
      <c r="B258" s="65" t="str">
        <f t="shared" si="15"/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M054</v>
      </c>
      <c r="D258" s="61" t="s">
        <v>674</v>
      </c>
      <c r="E258" s="66">
        <v>46130</v>
      </c>
      <c r="F258" s="67">
        <v>4000</v>
      </c>
      <c r="G258" s="60" t="s">
        <v>717</v>
      </c>
      <c r="H258" s="60" t="s">
        <v>572</v>
      </c>
      <c r="I258" s="61"/>
      <c r="J258" s="61" t="s">
        <v>720</v>
      </c>
      <c r="K258" s="61"/>
      <c r="L258" s="73">
        <f t="shared" si="16"/>
        <v>46113</v>
      </c>
      <c r="M258" s="65" t="str">
        <f t="shared" ca="1" si="17"/>
        <v>UYGUN</v>
      </c>
      <c r="N258" s="74" t="str">
        <f>IF($C258="","",IF($C258="TANIMSIZ MÜŞTERİ","—",INDEX(MUSTERILER!$C$7:$C$156,MATCH($C258,MUSTERILER!$B$7:$B$156,0))))</f>
        <v>YALIKENT LTD.ŞTİ.</v>
      </c>
      <c r="O258" s="2"/>
      <c r="P258" s="2"/>
      <c r="Q258" s="1" t="str">
        <f>IF($D258="","",$C258&amp;"|"&amp;COUNTIFS($C$7:$C258,$C258))</f>
        <v>M054|4</v>
      </c>
      <c r="R258" s="1" t="str">
        <f t="shared" si="18"/>
        <v>YALIKENTLTDSTI</v>
      </c>
      <c r="S258" s="1" t="str">
        <f t="shared" si="19"/>
        <v>M054|46130|4000|</v>
      </c>
      <c r="T258" s="1">
        <f>IF($E258="",0,SUMPRODUCT((AY_SONU!$O$7:$O$42="Evet")*(AY_SONU!$B$7:$B$42=DATE(YEAR($E258),MONTH($E258),1))))</f>
        <v>0</v>
      </c>
      <c r="U258" s="1" t="str">
        <f>IF(OR($G258="",$H258="Mahsup"),"",$G258&amp;"|"&amp;COUNTIFS($G$7:$G258,$G258,$H$7:$H258,"&lt;&gt;Mahsup"))</f>
        <v>MERKEZ KASA|190</v>
      </c>
    </row>
    <row r="259" spans="1:21" ht="18" customHeight="1" x14ac:dyDescent="0.3">
      <c r="A259" s="2"/>
      <c r="B259" s="65" t="str">
        <f t="shared" si="15"/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M021</v>
      </c>
      <c r="D259" s="61" t="s">
        <v>581</v>
      </c>
      <c r="E259" s="66">
        <v>46136</v>
      </c>
      <c r="F259" s="67">
        <v>20000</v>
      </c>
      <c r="G259" s="60" t="s">
        <v>717</v>
      </c>
      <c r="H259" s="60" t="s">
        <v>572</v>
      </c>
      <c r="I259" s="61"/>
      <c r="J259" s="61" t="s">
        <v>720</v>
      </c>
      <c r="K259" s="61"/>
      <c r="L259" s="73">
        <f t="shared" si="16"/>
        <v>46113</v>
      </c>
      <c r="M259" s="65" t="str">
        <f t="shared" ca="1" si="17"/>
        <v>UYGUN</v>
      </c>
      <c r="N259" s="74" t="str">
        <f>IF($C259="","",IF($C259="TANIMSIZ MÜŞTERİ","—",INDEX(MUSTERILER!$C$7:$C$156,MATCH($C259,MUSTERILER!$B$7:$B$156,0))))</f>
        <v>ARON TOPTAN LTD.ŞTİ.</v>
      </c>
      <c r="O259" s="2"/>
      <c r="P259" s="2"/>
      <c r="Q259" s="1" t="str">
        <f>IF($D259="","",$C259&amp;"|"&amp;COUNTIFS($C$7:$C259,$C259))</f>
        <v>M021|3</v>
      </c>
      <c r="R259" s="1" t="str">
        <f t="shared" si="18"/>
        <v>ARONTOPTANLTDSTI</v>
      </c>
      <c r="S259" s="1" t="str">
        <f t="shared" si="19"/>
        <v>M021|46136|20000|</v>
      </c>
      <c r="T259" s="1">
        <f>IF($E259="",0,SUMPRODUCT((AY_SONU!$O$7:$O$42="Evet")*(AY_SONU!$B$7:$B$42=DATE(YEAR($E259),MONTH($E259),1))))</f>
        <v>0</v>
      </c>
      <c r="U259" s="1" t="str">
        <f>IF(OR($G259="",$H259="Mahsup"),"",$G259&amp;"|"&amp;COUNTIFS($G$7:$G259,$G259,$H$7:$H259,"&lt;&gt;Mahsup"))</f>
        <v>MERKEZ KASA|191</v>
      </c>
    </row>
    <row r="260" spans="1:21" ht="18" customHeight="1" x14ac:dyDescent="0.3">
      <c r="A260" s="2"/>
      <c r="B260" s="65" t="str">
        <f t="shared" si="15"/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M001</v>
      </c>
      <c r="D260" s="61" t="s">
        <v>729</v>
      </c>
      <c r="E260" s="66">
        <v>46137</v>
      </c>
      <c r="F260" s="67">
        <v>4000</v>
      </c>
      <c r="G260" s="60" t="s">
        <v>717</v>
      </c>
      <c r="H260" s="60" t="s">
        <v>572</v>
      </c>
      <c r="I260" s="61"/>
      <c r="J260" s="61" t="s">
        <v>720</v>
      </c>
      <c r="K260" s="61"/>
      <c r="L260" s="73">
        <f t="shared" si="16"/>
        <v>46113</v>
      </c>
      <c r="M260" s="65" t="str">
        <f t="shared" ca="1" si="17"/>
        <v>UYGUN</v>
      </c>
      <c r="N260" s="74" t="str">
        <f>IF($C260="","",IF($C260="TANIMSIZ MÜŞTERİ","—",INDEX(MUSTERILER!$C$7:$C$156,MATCH($C260,MUSTERILER!$B$7:$B$156,0))))</f>
        <v>ANKARA HAVANA LTD.ŞTİ.</v>
      </c>
      <c r="O260" s="2"/>
      <c r="P260" s="2"/>
      <c r="Q260" s="1" t="str">
        <f>IF($D260="","",$C260&amp;"|"&amp;COUNTIFS($C$7:$C260,$C260))</f>
        <v>M001|6</v>
      </c>
      <c r="R260" s="1" t="str">
        <f t="shared" si="18"/>
        <v>ANKARAHAVANALTDSTI</v>
      </c>
      <c r="S260" s="1" t="str">
        <f t="shared" si="19"/>
        <v>M001|46137|4000|</v>
      </c>
      <c r="T260" s="1">
        <f>IF($E260="",0,SUMPRODUCT((AY_SONU!$O$7:$O$42="Evet")*(AY_SONU!$B$7:$B$42=DATE(YEAR($E260),MONTH($E260),1))))</f>
        <v>0</v>
      </c>
      <c r="U260" s="1" t="str">
        <f>IF(OR($G260="",$H260="Mahsup"),"",$G260&amp;"|"&amp;COUNTIFS($G$7:$G260,$G260,$H$7:$H260,"&lt;&gt;Mahsup"))</f>
        <v>MERKEZ KASA|192</v>
      </c>
    </row>
    <row r="261" spans="1:21" ht="18" customHeight="1" x14ac:dyDescent="0.3">
      <c r="A261" s="2"/>
      <c r="B261" s="65" t="str">
        <f t="shared" si="15"/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M025</v>
      </c>
      <c r="D261" s="61" t="s">
        <v>583</v>
      </c>
      <c r="E261" s="66">
        <v>46137</v>
      </c>
      <c r="F261" s="67">
        <v>2000</v>
      </c>
      <c r="G261" s="60" t="s">
        <v>717</v>
      </c>
      <c r="H261" s="60" t="s">
        <v>572</v>
      </c>
      <c r="I261" s="61"/>
      <c r="J261" s="61" t="s">
        <v>720</v>
      </c>
      <c r="K261" s="61"/>
      <c r="L261" s="73">
        <f t="shared" si="16"/>
        <v>46113</v>
      </c>
      <c r="M261" s="65" t="str">
        <f t="shared" ca="1" si="17"/>
        <v>UYGUN</v>
      </c>
      <c r="N261" s="74" t="str">
        <f>IF($C261="","",IF($C261="TANIMSIZ MÜŞTERİ","—",INDEX(MUSTERILER!$C$7:$C$156,MATCH($C261,MUSTERILER!$B$7:$B$156,0))))</f>
        <v>ASIM AÇIKGÖZ</v>
      </c>
      <c r="O261" s="2"/>
      <c r="P261" s="2"/>
      <c r="Q261" s="1" t="str">
        <f>IF($D261="","",$C261&amp;"|"&amp;COUNTIFS($C$7:$C261,$C261))</f>
        <v>M025|12</v>
      </c>
      <c r="R261" s="1" t="str">
        <f t="shared" si="18"/>
        <v>ASIMACIKGOZ</v>
      </c>
      <c r="S261" s="1" t="str">
        <f t="shared" si="19"/>
        <v>M025|46137|2000|</v>
      </c>
      <c r="T261" s="1">
        <f>IF($E261="",0,SUMPRODUCT((AY_SONU!$O$7:$O$42="Evet")*(AY_SONU!$B$7:$B$42=DATE(YEAR($E261),MONTH($E261),1))))</f>
        <v>0</v>
      </c>
      <c r="U261" s="1" t="str">
        <f>IF(OR($G261="",$H261="Mahsup"),"",$G261&amp;"|"&amp;COUNTIFS($G$7:$G261,$G261,$H$7:$H261,"&lt;&gt;Mahsup"))</f>
        <v>MERKEZ KASA|193</v>
      </c>
    </row>
    <row r="262" spans="1:21" ht="18" customHeight="1" x14ac:dyDescent="0.3">
      <c r="A262" s="2"/>
      <c r="B262" s="65" t="str">
        <f t="shared" si="15"/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M017</v>
      </c>
      <c r="D262" s="61" t="s">
        <v>585</v>
      </c>
      <c r="E262" s="66">
        <v>46137</v>
      </c>
      <c r="F262" s="67">
        <v>2500</v>
      </c>
      <c r="G262" s="60" t="s">
        <v>717</v>
      </c>
      <c r="H262" s="60" t="s">
        <v>572</v>
      </c>
      <c r="I262" s="61"/>
      <c r="J262" s="61" t="s">
        <v>720</v>
      </c>
      <c r="K262" s="61"/>
      <c r="L262" s="73">
        <f t="shared" si="16"/>
        <v>46113</v>
      </c>
      <c r="M262" s="65" t="str">
        <f t="shared" ca="1" si="17"/>
        <v>UYGUN</v>
      </c>
      <c r="N262" s="74" t="str">
        <f>IF($C262="","",IF($C262="TANIMSIZ MÜŞTERİ","—",INDEX(MUSTERILER!$C$7:$C$156,MATCH($C262,MUSTERILER!$B$7:$B$156,0))))</f>
        <v>ASM EĞLENCE LTD.ŞTİ.</v>
      </c>
      <c r="O262" s="2"/>
      <c r="P262" s="2"/>
      <c r="Q262" s="1" t="str">
        <f>IF($D262="","",$C262&amp;"|"&amp;COUNTIFS($C$7:$C262,$C262))</f>
        <v>M017|14</v>
      </c>
      <c r="R262" s="1" t="str">
        <f t="shared" si="18"/>
        <v>ASMEGLENCELTDSTI</v>
      </c>
      <c r="S262" s="1" t="str">
        <f t="shared" si="19"/>
        <v>M017|46137|2500|</v>
      </c>
      <c r="T262" s="1">
        <f>IF($E262="",0,SUMPRODUCT((AY_SONU!$O$7:$O$42="Evet")*(AY_SONU!$B$7:$B$42=DATE(YEAR($E262),MONTH($E262),1))))</f>
        <v>0</v>
      </c>
      <c r="U262" s="1" t="str">
        <f>IF(OR($G262="",$H262="Mahsup"),"",$G262&amp;"|"&amp;COUNTIFS($G$7:$G262,$G262,$H$7:$H262,"&lt;&gt;Mahsup"))</f>
        <v>MERKEZ KASA|194</v>
      </c>
    </row>
    <row r="263" spans="1:21" ht="18" customHeight="1" x14ac:dyDescent="0.3">
      <c r="A263" s="2"/>
      <c r="B263" s="65" t="str">
        <f t="shared" ref="B263:B326" si="20"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M015</v>
      </c>
      <c r="D263" s="61" t="s">
        <v>719</v>
      </c>
      <c r="E263" s="66">
        <v>46137</v>
      </c>
      <c r="F263" s="67">
        <v>3000</v>
      </c>
      <c r="G263" s="60" t="s">
        <v>717</v>
      </c>
      <c r="H263" s="60" t="s">
        <v>572</v>
      </c>
      <c r="I263" s="61"/>
      <c r="J263" s="61" t="s">
        <v>720</v>
      </c>
      <c r="K263" s="61"/>
      <c r="L263" s="73">
        <f t="shared" ref="L263:L326" si="21">IF($E263="","",DATE(YEAR($E263),MONTH($E263),1))</f>
        <v>46113</v>
      </c>
      <c r="M263" s="65" t="str">
        <f t="shared" ref="M263:M326" ca="1" si="22">IF($D263="","",IF($C263="TANIMSIZ MÜŞTERİ","HATA",IF(OR($E263="",$F263&lt;=0,$G263=""),"EKSİK",IF($E263&gt;TODAY(),"İLERİ TARİH",IF(COUNTIF($S$7:$S$2503,$S263)&gt;1,"MÜKERRER?",IF($T263&gt;0,"KAPALI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ÇAYIRALAN LTD.ŞTİ.</v>
      </c>
      <c r="O263" s="2"/>
      <c r="P263" s="2"/>
      <c r="Q263" s="1" t="str">
        <f>IF($D263="","",$C263&amp;"|"&amp;COUNTIFS($C$7:$C263,$C263))</f>
        <v>M015|14</v>
      </c>
      <c r="R263" s="1" t="str">
        <f t="shared" ref="R263:R326" si="23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CAYIRALANLTDSTI</v>
      </c>
      <c r="S263" s="1" t="str">
        <f t="shared" ref="S263:S326" si="24">IF($D263="","",$C263&amp;"|"&amp;TEXT($E263,"0")&amp;"|"&amp;TEXT($F263,"0")&amp;"|"&amp;$I263)</f>
        <v>M015|46137|3000|</v>
      </c>
      <c r="T263" s="1">
        <f>IF($E263="",0,SUMPRODUCT((AY_SONU!$O$7:$O$42="Evet")*(AY_SONU!$B$7:$B$42=DATE(YEAR($E263),MONTH($E263),1))))</f>
        <v>0</v>
      </c>
      <c r="U263" s="1" t="str">
        <f>IF(OR($G263="",$H263="Mahsup"),"",$G263&amp;"|"&amp;COUNTIFS($G$7:$G263,$G263,$H$7:$H263,"&lt;&gt;Mahsup"))</f>
        <v>MERKEZ KASA|195</v>
      </c>
    </row>
    <row r="264" spans="1:21" ht="18" customHeight="1" x14ac:dyDescent="0.3">
      <c r="A264" s="2"/>
      <c r="B264" s="65" t="str">
        <f t="shared" si="20"/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M011</v>
      </c>
      <c r="D264" s="61" t="s">
        <v>730</v>
      </c>
      <c r="E264" s="66">
        <v>46137</v>
      </c>
      <c r="F264" s="67">
        <v>4000</v>
      </c>
      <c r="G264" s="60" t="s">
        <v>717</v>
      </c>
      <c r="H264" s="60" t="s">
        <v>572</v>
      </c>
      <c r="I264" s="61"/>
      <c r="J264" s="61" t="s">
        <v>720</v>
      </c>
      <c r="K264" s="61"/>
      <c r="L264" s="73">
        <f t="shared" si="21"/>
        <v>46113</v>
      </c>
      <c r="M264" s="65" t="str">
        <f t="shared" ca="1" si="22"/>
        <v>UYGUN</v>
      </c>
      <c r="N264" s="74" t="str">
        <f>IF($C264="","",IF($C264="TANIMSIZ MÜŞTERİ","—",INDEX(MUSTERILER!$C$7:$C$156,MATCH($C264,MUSTERILER!$B$7:$B$156,0))))</f>
        <v>EĞLENGÖR LTD.ŞTİ.</v>
      </c>
      <c r="O264" s="2"/>
      <c r="P264" s="2"/>
      <c r="Q264" s="1" t="str">
        <f>IF($D264="","",$C264&amp;"|"&amp;COUNTIFS($C$7:$C264,$C264))</f>
        <v>M011|15</v>
      </c>
      <c r="R264" s="1" t="str">
        <f t="shared" si="23"/>
        <v>EGLENGORLTDSTI</v>
      </c>
      <c r="S264" s="1" t="str">
        <f t="shared" si="24"/>
        <v>M011|46137|4000|</v>
      </c>
      <c r="T264" s="1">
        <f>IF($E264="",0,SUMPRODUCT((AY_SONU!$O$7:$O$42="Evet")*(AY_SONU!$B$7:$B$42=DATE(YEAR($E264),MONTH($E264),1))))</f>
        <v>0</v>
      </c>
      <c r="U264" s="1" t="str">
        <f>IF(OR($G264="",$H264="Mahsup"),"",$G264&amp;"|"&amp;COUNTIFS($G$7:$G264,$G264,$H$7:$H264,"&lt;&gt;Mahsup"))</f>
        <v>MERKEZ KASA|196</v>
      </c>
    </row>
    <row r="265" spans="1:21" ht="18" customHeight="1" x14ac:dyDescent="0.3">
      <c r="A265" s="2"/>
      <c r="B265" s="65" t="str">
        <f t="shared" si="20"/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M014</v>
      </c>
      <c r="D265" s="61" t="s">
        <v>731</v>
      </c>
      <c r="E265" s="66">
        <v>46137</v>
      </c>
      <c r="F265" s="67">
        <v>4000</v>
      </c>
      <c r="G265" s="60" t="s">
        <v>717</v>
      </c>
      <c r="H265" s="60" t="s">
        <v>572</v>
      </c>
      <c r="I265" s="61"/>
      <c r="J265" s="61" t="s">
        <v>720</v>
      </c>
      <c r="K265" s="61"/>
      <c r="L265" s="73">
        <f t="shared" si="21"/>
        <v>46113</v>
      </c>
      <c r="M265" s="65" t="str">
        <f t="shared" ca="1" si="22"/>
        <v>UYGUN</v>
      </c>
      <c r="N265" s="74" t="str">
        <f>IF($C265="","",IF($C265="TANIMSIZ MÜŞTERİ","—",INDEX(MUSTERILER!$C$7:$C$156,MATCH($C265,MUSTERILER!$B$7:$B$156,0))))</f>
        <v>FİNAL SİYAH BEYAZ LTD.ŞTİ.</v>
      </c>
      <c r="O265" s="2"/>
      <c r="P265" s="2"/>
      <c r="Q265" s="1" t="str">
        <f>IF($D265="","",$C265&amp;"|"&amp;COUNTIFS($C$7:$C265,$C265))</f>
        <v>M014|15</v>
      </c>
      <c r="R265" s="1" t="str">
        <f t="shared" si="23"/>
        <v>FINALSIYAHBEYAZLTDSTI</v>
      </c>
      <c r="S265" s="1" t="str">
        <f t="shared" si="24"/>
        <v>M014|46137|4000|</v>
      </c>
      <c r="T265" s="1">
        <f>IF($E265="",0,SUMPRODUCT((AY_SONU!$O$7:$O$42="Evet")*(AY_SONU!$B$7:$B$42=DATE(YEAR($E265),MONTH($E265),1))))</f>
        <v>0</v>
      </c>
      <c r="U265" s="1" t="str">
        <f>IF(OR($G265="",$H265="Mahsup"),"",$G265&amp;"|"&amp;COUNTIFS($G$7:$G265,$G265,$H$7:$H265,"&lt;&gt;Mahsup"))</f>
        <v>MERKEZ KASA|197</v>
      </c>
    </row>
    <row r="266" spans="1:21" ht="18" customHeight="1" x14ac:dyDescent="0.3">
      <c r="A266" s="2"/>
      <c r="B266" s="65" t="str">
        <f t="shared" si="20"/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M034</v>
      </c>
      <c r="D266" s="61" t="s">
        <v>732</v>
      </c>
      <c r="E266" s="66">
        <v>46137</v>
      </c>
      <c r="F266" s="67">
        <v>4000</v>
      </c>
      <c r="G266" s="60" t="s">
        <v>717</v>
      </c>
      <c r="H266" s="60" t="s">
        <v>572</v>
      </c>
      <c r="I266" s="61"/>
      <c r="J266" s="61" t="s">
        <v>720</v>
      </c>
      <c r="K266" s="61"/>
      <c r="L266" s="73">
        <f t="shared" si="21"/>
        <v>46113</v>
      </c>
      <c r="M266" s="65" t="str">
        <f t="shared" ca="1" si="22"/>
        <v>UYGUN</v>
      </c>
      <c r="N266" s="74" t="str">
        <f>IF($C266="","",IF($C266="TANIMSIZ MÜŞTERİ","—",INDEX(MUSTERILER!$C$7:$C$156,MATCH($C266,MUSTERILER!$B$7:$B$156,0))))</f>
        <v>İBRAHİM MALDAN</v>
      </c>
      <c r="O266" s="2"/>
      <c r="P266" s="2"/>
      <c r="Q266" s="1" t="str">
        <f>IF($D266="","",$C266&amp;"|"&amp;COUNTIFS($C$7:$C266,$C266))</f>
        <v>M034|12</v>
      </c>
      <c r="R266" s="1" t="str">
        <f t="shared" si="23"/>
        <v>IBRAHIMMALDAN</v>
      </c>
      <c r="S266" s="1" t="str">
        <f t="shared" si="24"/>
        <v>M034|46137|4000|</v>
      </c>
      <c r="T266" s="1">
        <f>IF($E266="",0,SUMPRODUCT((AY_SONU!$O$7:$O$42="Evet")*(AY_SONU!$B$7:$B$42=DATE(YEAR($E266),MONTH($E266),1))))</f>
        <v>0</v>
      </c>
      <c r="U266" s="1" t="str">
        <f>IF(OR($G266="",$H266="Mahsup"),"",$G266&amp;"|"&amp;COUNTIFS($G$7:$G266,$G266,$H$7:$H266,"&lt;&gt;Mahsup"))</f>
        <v>MERKEZ KASA|198</v>
      </c>
    </row>
    <row r="267" spans="1:21" ht="18" customHeight="1" x14ac:dyDescent="0.3">
      <c r="A267" s="2"/>
      <c r="B267" s="65" t="str">
        <f t="shared" si="20"/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M012</v>
      </c>
      <c r="D267" s="61" t="s">
        <v>721</v>
      </c>
      <c r="E267" s="66">
        <v>46137</v>
      </c>
      <c r="F267" s="67">
        <v>4000</v>
      </c>
      <c r="G267" s="60" t="s">
        <v>717</v>
      </c>
      <c r="H267" s="60" t="s">
        <v>572</v>
      </c>
      <c r="I267" s="61"/>
      <c r="J267" s="61" t="s">
        <v>720</v>
      </c>
      <c r="K267" s="61"/>
      <c r="L267" s="73">
        <f t="shared" si="21"/>
        <v>46113</v>
      </c>
      <c r="M267" s="65" t="str">
        <f t="shared" ca="1" si="22"/>
        <v>UYGUN</v>
      </c>
      <c r="N267" s="74" t="str">
        <f>IF($C267="","",IF($C267="TANIMSIZ MÜŞTERİ","—",INDEX(MUSTERILER!$C$7:$C$156,MATCH($C267,MUSTERILER!$B$7:$B$156,0))))</f>
        <v>İLDEŞ LTD.ŞTİ.</v>
      </c>
      <c r="O267" s="2"/>
      <c r="P267" s="2"/>
      <c r="Q267" s="1" t="str">
        <f>IF($D267="","",$C267&amp;"|"&amp;COUNTIFS($C$7:$C267,$C267))</f>
        <v>M012|16</v>
      </c>
      <c r="R267" s="1" t="str">
        <f t="shared" si="23"/>
        <v>ILDESLTDSTI</v>
      </c>
      <c r="S267" s="1" t="str">
        <f t="shared" si="24"/>
        <v>M012|46137|4000|</v>
      </c>
      <c r="T267" s="1">
        <f>IF($E267="",0,SUMPRODUCT((AY_SONU!$O$7:$O$42="Evet")*(AY_SONU!$B$7:$B$42=DATE(YEAR($E267),MONTH($E267),1))))</f>
        <v>0</v>
      </c>
      <c r="U267" s="1" t="str">
        <f>IF(OR($G267="",$H267="Mahsup"),"",$G267&amp;"|"&amp;COUNTIFS($G$7:$G267,$G267,$H$7:$H267,"&lt;&gt;Mahsup"))</f>
        <v>MERKEZ KASA|199</v>
      </c>
    </row>
    <row r="268" spans="1:21" ht="18" customHeight="1" x14ac:dyDescent="0.3">
      <c r="A268" s="2"/>
      <c r="B268" s="65" t="str">
        <f t="shared" si="20"/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M007</v>
      </c>
      <c r="D268" s="61" t="s">
        <v>733</v>
      </c>
      <c r="E268" s="66">
        <v>46137</v>
      </c>
      <c r="F268" s="67">
        <v>3500</v>
      </c>
      <c r="G268" s="60" t="s">
        <v>717</v>
      </c>
      <c r="H268" s="60" t="s">
        <v>572</v>
      </c>
      <c r="I268" s="61"/>
      <c r="J268" s="61" t="s">
        <v>720</v>
      </c>
      <c r="K268" s="61"/>
      <c r="L268" s="73">
        <f t="shared" si="21"/>
        <v>46113</v>
      </c>
      <c r="M268" s="65" t="str">
        <f t="shared" ca="1" si="22"/>
        <v>UYGUN</v>
      </c>
      <c r="N268" s="74" t="str">
        <f>IF($C268="","",IF($C268="TANIMSIZ MÜŞTERİ","—",INDEX(MUSTERILER!$C$7:$C$156,MATCH($C268,MUSTERILER!$B$7:$B$156,0))))</f>
        <v>MONAMOUR LTD.ŞTİ.</v>
      </c>
      <c r="O268" s="2"/>
      <c r="P268" s="2"/>
      <c r="Q268" s="1" t="str">
        <f>IF($D268="","",$C268&amp;"|"&amp;COUNTIFS($C$7:$C268,$C268))</f>
        <v>M007|14</v>
      </c>
      <c r="R268" s="1" t="str">
        <f t="shared" si="23"/>
        <v>MONAMOURLTDSTI</v>
      </c>
      <c r="S268" s="1" t="str">
        <f t="shared" si="24"/>
        <v>M007|46137|3500|</v>
      </c>
      <c r="T268" s="1">
        <f>IF($E268="",0,SUMPRODUCT((AY_SONU!$O$7:$O$42="Evet")*(AY_SONU!$B$7:$B$42=DATE(YEAR($E268),MONTH($E268),1))))</f>
        <v>0</v>
      </c>
      <c r="U268" s="1" t="str">
        <f>IF(OR($G268="",$H268="Mahsup"),"",$G268&amp;"|"&amp;COUNTIFS($G$7:$G268,$G268,$H$7:$H268,"&lt;&gt;Mahsup"))</f>
        <v>MERKEZ KASA|200</v>
      </c>
    </row>
    <row r="269" spans="1:21" ht="18" customHeight="1" x14ac:dyDescent="0.3">
      <c r="A269" s="2"/>
      <c r="B269" s="65" t="str">
        <f t="shared" si="20"/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M013</v>
      </c>
      <c r="D269" s="61" t="s">
        <v>734</v>
      </c>
      <c r="E269" s="66">
        <v>46137</v>
      </c>
      <c r="F269" s="67">
        <v>4000</v>
      </c>
      <c r="G269" s="60" t="s">
        <v>717</v>
      </c>
      <c r="H269" s="60" t="s">
        <v>572</v>
      </c>
      <c r="I269" s="61"/>
      <c r="J269" s="61" t="s">
        <v>720</v>
      </c>
      <c r="K269" s="61"/>
      <c r="L269" s="73">
        <f t="shared" si="21"/>
        <v>46113</v>
      </c>
      <c r="M269" s="65" t="str">
        <f t="shared" ca="1" si="22"/>
        <v>UYGUN</v>
      </c>
      <c r="N269" s="74" t="str">
        <f>IF($C269="","",IF($C269="TANIMSIZ MÜŞTERİ","—",INDEX(MUSTERILER!$C$7:$C$156,MATCH($C269,MUSTERILER!$B$7:$B$156,0))))</f>
        <v>NAZ 1 GIDA LTD.ŞTİ.</v>
      </c>
      <c r="O269" s="2"/>
      <c r="P269" s="2"/>
      <c r="Q269" s="1" t="str">
        <f>IF($D269="","",$C269&amp;"|"&amp;COUNTIFS($C$7:$C269,$C269))</f>
        <v>M013|11</v>
      </c>
      <c r="R269" s="1" t="str">
        <f t="shared" si="23"/>
        <v>NAZ1GIDALTDSTI</v>
      </c>
      <c r="S269" s="1" t="str">
        <f t="shared" si="24"/>
        <v>M013|46137|4000|</v>
      </c>
      <c r="T269" s="1">
        <f>IF($E269="",0,SUMPRODUCT((AY_SONU!$O$7:$O$42="Evet")*(AY_SONU!$B$7:$B$42=DATE(YEAR($E269),MONTH($E269),1))))</f>
        <v>0</v>
      </c>
      <c r="U269" s="1" t="str">
        <f>IF(OR($G269="",$H269="Mahsup"),"",$G269&amp;"|"&amp;COUNTIFS($G$7:$G269,$G269,$H$7:$H269,"&lt;&gt;Mahsup"))</f>
        <v>MERKEZ KASA|201</v>
      </c>
    </row>
    <row r="270" spans="1:21" ht="18" customHeight="1" x14ac:dyDescent="0.3">
      <c r="A270" s="2"/>
      <c r="B270" s="65" t="str">
        <f t="shared" si="20"/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M009</v>
      </c>
      <c r="D270" s="61" t="s">
        <v>735</v>
      </c>
      <c r="E270" s="66">
        <v>46137</v>
      </c>
      <c r="F270" s="67">
        <v>4000</v>
      </c>
      <c r="G270" s="60" t="s">
        <v>717</v>
      </c>
      <c r="H270" s="60" t="s">
        <v>572</v>
      </c>
      <c r="I270" s="61"/>
      <c r="J270" s="61" t="s">
        <v>720</v>
      </c>
      <c r="K270" s="61"/>
      <c r="L270" s="73">
        <f t="shared" si="21"/>
        <v>46113</v>
      </c>
      <c r="M270" s="65" t="str">
        <f t="shared" ca="1" si="22"/>
        <v>UYGUN</v>
      </c>
      <c r="N270" s="74" t="str">
        <f>IF($C270="","",IF($C270="TANIMSIZ MÜŞTERİ","—",INDEX(MUSTERILER!$C$7:$C$156,MATCH($C270,MUSTERILER!$B$7:$B$156,0))))</f>
        <v>PAKYILDIZ LTD.ŞTİ.</v>
      </c>
      <c r="O270" s="2"/>
      <c r="P270" s="2"/>
      <c r="Q270" s="1" t="str">
        <f>IF($D270="","",$C270&amp;"|"&amp;COUNTIFS($C$7:$C270,$C270))</f>
        <v>M009|11</v>
      </c>
      <c r="R270" s="1" t="str">
        <f t="shared" si="23"/>
        <v>PAKYILDIZLTDSTI</v>
      </c>
      <c r="S270" s="1" t="str">
        <f t="shared" si="24"/>
        <v>M009|46137|4000|</v>
      </c>
      <c r="T270" s="1">
        <f>IF($E270="",0,SUMPRODUCT((AY_SONU!$O$7:$O$42="Evet")*(AY_SONU!$B$7:$B$42=DATE(YEAR($E270),MONTH($E270),1))))</f>
        <v>0</v>
      </c>
      <c r="U270" s="1" t="str">
        <f>IF(OR($G270="",$H270="Mahsup"),"",$G270&amp;"|"&amp;COUNTIFS($G$7:$G270,$G270,$H$7:$H270,"&lt;&gt;Mahsup"))</f>
        <v>MERKEZ KASA|202</v>
      </c>
    </row>
    <row r="271" spans="1:21" ht="18" customHeight="1" x14ac:dyDescent="0.3">
      <c r="A271" s="2"/>
      <c r="B271" s="65" t="str">
        <f t="shared" si="20"/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M016</v>
      </c>
      <c r="D271" s="61" t="s">
        <v>736</v>
      </c>
      <c r="E271" s="66">
        <v>46137</v>
      </c>
      <c r="F271" s="67">
        <v>3000</v>
      </c>
      <c r="G271" s="60" t="s">
        <v>717</v>
      </c>
      <c r="H271" s="60" t="s">
        <v>572</v>
      </c>
      <c r="I271" s="61"/>
      <c r="J271" s="61" t="s">
        <v>720</v>
      </c>
      <c r="K271" s="61"/>
      <c r="L271" s="73">
        <f t="shared" si="21"/>
        <v>46113</v>
      </c>
      <c r="M271" s="65" t="str">
        <f t="shared" ca="1" si="22"/>
        <v>UYGUN</v>
      </c>
      <c r="N271" s="74" t="str">
        <f>IF($C271="","",IF($C271="TANIMSIZ MÜŞTERİ","—",INDEX(MUSTERILER!$C$7:$C$156,MATCH($C271,MUSTERILER!$B$7:$B$156,0))))</f>
        <v>RİX ŞOW LTD.ŞTİ.</v>
      </c>
      <c r="O271" s="2"/>
      <c r="P271" s="2"/>
      <c r="Q271" s="1" t="str">
        <f>IF($D271="","",$C271&amp;"|"&amp;COUNTIFS($C$7:$C271,$C271))</f>
        <v>M016|16</v>
      </c>
      <c r="R271" s="1" t="str">
        <f t="shared" si="23"/>
        <v>RIXSOWLTDSTI</v>
      </c>
      <c r="S271" s="1" t="str">
        <f t="shared" si="24"/>
        <v>M016|46137|3000|</v>
      </c>
      <c r="T271" s="1">
        <f>IF($E271="",0,SUMPRODUCT((AY_SONU!$O$7:$O$42="Evet")*(AY_SONU!$B$7:$B$42=DATE(YEAR($E271),MONTH($E271),1))))</f>
        <v>0</v>
      </c>
      <c r="U271" s="1" t="str">
        <f>IF(OR($G271="",$H271="Mahsup"),"",$G271&amp;"|"&amp;COUNTIFS($G$7:$G271,$G271,$H$7:$H271,"&lt;&gt;Mahsup"))</f>
        <v>MERKEZ KASA|203</v>
      </c>
    </row>
    <row r="272" spans="1:21" ht="18" customHeight="1" x14ac:dyDescent="0.3">
      <c r="A272" s="2"/>
      <c r="B272" s="65" t="str">
        <f t="shared" si="20"/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M004</v>
      </c>
      <c r="D272" s="61" t="s">
        <v>738</v>
      </c>
      <c r="E272" s="66">
        <v>46137</v>
      </c>
      <c r="F272" s="67">
        <v>3000</v>
      </c>
      <c r="G272" s="60" t="s">
        <v>717</v>
      </c>
      <c r="H272" s="60" t="s">
        <v>572</v>
      </c>
      <c r="I272" s="61"/>
      <c r="J272" s="61" t="s">
        <v>720</v>
      </c>
      <c r="K272" s="61"/>
      <c r="L272" s="73">
        <f t="shared" si="21"/>
        <v>46113</v>
      </c>
      <c r="M272" s="65" t="str">
        <f t="shared" ca="1" si="22"/>
        <v>UYGUN</v>
      </c>
      <c r="N272" s="74" t="str">
        <f>IF($C272="","",IF($C272="TANIMSIZ MÜŞTERİ","—",INDEX(MUSTERILER!$C$7:$C$156,MATCH($C272,MUSTERILER!$B$7:$B$156,0))))</f>
        <v>ZÜMRÜT EĞLENCE LTD.ŞTİ.</v>
      </c>
      <c r="O272" s="2"/>
      <c r="P272" s="2"/>
      <c r="Q272" s="1" t="str">
        <f>IF($D272="","",$C272&amp;"|"&amp;COUNTIFS($C$7:$C272,$C272))</f>
        <v>M004|10</v>
      </c>
      <c r="R272" s="1" t="str">
        <f t="shared" si="23"/>
        <v>ZUMRUTEGLENCELTDSTI</v>
      </c>
      <c r="S272" s="1" t="str">
        <f t="shared" si="24"/>
        <v>M004|46137|3000|</v>
      </c>
      <c r="T272" s="1">
        <f>IF($E272="",0,SUMPRODUCT((AY_SONU!$O$7:$O$42="Evet")*(AY_SONU!$B$7:$B$42=DATE(YEAR($E272),MONTH($E272),1))))</f>
        <v>0</v>
      </c>
      <c r="U272" s="1" t="str">
        <f>IF(OR($G272="",$H272="Mahsup"),"",$G272&amp;"|"&amp;COUNTIFS($G$7:$G272,$G272,$H$7:$H272,"&lt;&gt;Mahsup"))</f>
        <v>MERKEZ KASA|204</v>
      </c>
    </row>
    <row r="273" spans="1:21" ht="18" customHeight="1" x14ac:dyDescent="0.3">
      <c r="A273" s="2"/>
      <c r="B273" s="65" t="str">
        <f t="shared" si="20"/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M018</v>
      </c>
      <c r="D273" s="61" t="s">
        <v>593</v>
      </c>
      <c r="E273" s="66">
        <v>46137</v>
      </c>
      <c r="F273" s="67">
        <v>2500</v>
      </c>
      <c r="G273" s="60" t="s">
        <v>717</v>
      </c>
      <c r="H273" s="60" t="s">
        <v>572</v>
      </c>
      <c r="I273" s="61"/>
      <c r="J273" s="61" t="s">
        <v>720</v>
      </c>
      <c r="K273" s="61"/>
      <c r="L273" s="73">
        <f t="shared" si="21"/>
        <v>46113</v>
      </c>
      <c r="M273" s="65" t="str">
        <f t="shared" ca="1" si="22"/>
        <v>UYGUN</v>
      </c>
      <c r="N273" s="74" t="str">
        <f>IF($C273="","",IF($C273="TANIMSIZ MÜŞTERİ","—",INDEX(MUSTERILER!$C$7:$C$156,MATCH($C273,MUSTERILER!$B$7:$B$156,0))))</f>
        <v>ÇINARHAN LTD.ŞTİ.</v>
      </c>
      <c r="O273" s="2"/>
      <c r="P273" s="2"/>
      <c r="Q273" s="1" t="str">
        <f>IF($D273="","",$C273&amp;"|"&amp;COUNTIFS($C$7:$C273,$C273))</f>
        <v>M018|10</v>
      </c>
      <c r="R273" s="1" t="str">
        <f t="shared" si="23"/>
        <v>CINARHANLTDSTI</v>
      </c>
      <c r="S273" s="1" t="str">
        <f t="shared" si="24"/>
        <v>M018|46137|2500|</v>
      </c>
      <c r="T273" s="1">
        <f>IF($E273="",0,SUMPRODUCT((AY_SONU!$O$7:$O$42="Evet")*(AY_SONU!$B$7:$B$42=DATE(YEAR($E273),MONTH($E273),1))))</f>
        <v>0</v>
      </c>
      <c r="U273" s="1" t="str">
        <f>IF(OR($G273="",$H273="Mahsup"),"",$G273&amp;"|"&amp;COUNTIFS($G$7:$G273,$G273,$H$7:$H273,"&lt;&gt;Mahsup"))</f>
        <v>MERKEZ KASA|205</v>
      </c>
    </row>
    <row r="274" spans="1:21" ht="18" customHeight="1" x14ac:dyDescent="0.3">
      <c r="A274" s="2"/>
      <c r="B274" s="65" t="str">
        <f t="shared" si="20"/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M020</v>
      </c>
      <c r="D274" s="61" t="s">
        <v>623</v>
      </c>
      <c r="E274" s="66">
        <v>46137</v>
      </c>
      <c r="F274" s="67">
        <v>3000</v>
      </c>
      <c r="G274" s="60" t="s">
        <v>717</v>
      </c>
      <c r="H274" s="60" t="s">
        <v>572</v>
      </c>
      <c r="I274" s="61"/>
      <c r="J274" s="61" t="s">
        <v>720</v>
      </c>
      <c r="K274" s="61"/>
      <c r="L274" s="73">
        <f t="shared" si="21"/>
        <v>46113</v>
      </c>
      <c r="M274" s="65" t="str">
        <f t="shared" ca="1" si="22"/>
        <v>UYGUN</v>
      </c>
      <c r="N274" s="74" t="str">
        <f>IF($C274="","",IF($C274="TANIMSIZ MÜŞTERİ","—",INDEX(MUSTERILER!$C$7:$C$156,MATCH($C274,MUSTERILER!$B$7:$B$156,0))))</f>
        <v>KRİSTAL LTD.ŞTİ.</v>
      </c>
      <c r="O274" s="2"/>
      <c r="P274" s="2"/>
      <c r="Q274" s="1" t="str">
        <f>IF($D274="","",$C274&amp;"|"&amp;COUNTIFS($C$7:$C274,$C274))</f>
        <v>M020|16</v>
      </c>
      <c r="R274" s="1" t="str">
        <f t="shared" si="23"/>
        <v>KRISTALLTDSTI</v>
      </c>
      <c r="S274" s="1" t="str">
        <f t="shared" si="24"/>
        <v>M020|46137|3000|</v>
      </c>
      <c r="T274" s="1">
        <f>IF($E274="",0,SUMPRODUCT((AY_SONU!$O$7:$O$42="Evet")*(AY_SONU!$B$7:$B$42=DATE(YEAR($E274),MONTH($E274),1))))</f>
        <v>0</v>
      </c>
      <c r="U274" s="1" t="str">
        <f>IF(OR($G274="",$H274="Mahsup"),"",$G274&amp;"|"&amp;COUNTIFS($G$7:$G274,$G274,$H$7:$H274,"&lt;&gt;Mahsup"))</f>
        <v>MERKEZ KASA|206</v>
      </c>
    </row>
    <row r="275" spans="1:21" ht="18" customHeight="1" x14ac:dyDescent="0.3">
      <c r="A275" s="2"/>
      <c r="B275" s="65" t="str">
        <f t="shared" si="20"/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M047</v>
      </c>
      <c r="D275" s="61" t="s">
        <v>654</v>
      </c>
      <c r="E275" s="66">
        <v>46137</v>
      </c>
      <c r="F275" s="67">
        <v>4000</v>
      </c>
      <c r="G275" s="60" t="s">
        <v>717</v>
      </c>
      <c r="H275" s="60" t="s">
        <v>572</v>
      </c>
      <c r="I275" s="61"/>
      <c r="J275" s="61" t="s">
        <v>720</v>
      </c>
      <c r="K275" s="61"/>
      <c r="L275" s="73">
        <f t="shared" si="21"/>
        <v>46113</v>
      </c>
      <c r="M275" s="65" t="str">
        <f t="shared" ca="1" si="22"/>
        <v>UYGUN</v>
      </c>
      <c r="N275" s="74" t="str">
        <f>IF($C275="","",IF($C275="TANIMSIZ MÜŞTERİ","—",INDEX(MUSTERILER!$C$7:$C$156,MATCH($C275,MUSTERILER!$B$7:$B$156,0))))</f>
        <v>PALAOĞULLARI LTD.ŞTİ.</v>
      </c>
      <c r="O275" s="2"/>
      <c r="P275" s="2"/>
      <c r="Q275" s="1" t="str">
        <f>IF($D275="","",$C275&amp;"|"&amp;COUNTIFS($C$7:$C275,$C275))</f>
        <v>M047|8</v>
      </c>
      <c r="R275" s="1" t="str">
        <f t="shared" si="23"/>
        <v>PALAOGULLARILTDSTI</v>
      </c>
      <c r="S275" s="1" t="str">
        <f t="shared" si="24"/>
        <v>M047|46137|4000|</v>
      </c>
      <c r="T275" s="1">
        <f>IF($E275="",0,SUMPRODUCT((AY_SONU!$O$7:$O$42="Evet")*(AY_SONU!$B$7:$B$42=DATE(YEAR($E275),MONTH($E275),1))))</f>
        <v>0</v>
      </c>
      <c r="U275" s="1" t="str">
        <f>IF(OR($G275="",$H275="Mahsup"),"",$G275&amp;"|"&amp;COUNTIFS($G$7:$G275,$G275,$H$7:$H275,"&lt;&gt;Mahsup"))</f>
        <v>MERKEZ KASA|207</v>
      </c>
    </row>
    <row r="276" spans="1:21" ht="18" customHeight="1" x14ac:dyDescent="0.3">
      <c r="A276" s="2"/>
      <c r="B276" s="65" t="str">
        <f t="shared" si="20"/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M054</v>
      </c>
      <c r="D276" s="61" t="s">
        <v>674</v>
      </c>
      <c r="E276" s="66">
        <v>46137</v>
      </c>
      <c r="F276" s="67">
        <v>4000</v>
      </c>
      <c r="G276" s="60" t="s">
        <v>717</v>
      </c>
      <c r="H276" s="60" t="s">
        <v>572</v>
      </c>
      <c r="I276" s="61"/>
      <c r="J276" s="61" t="s">
        <v>720</v>
      </c>
      <c r="K276" s="61"/>
      <c r="L276" s="73">
        <f t="shared" si="21"/>
        <v>46113</v>
      </c>
      <c r="M276" s="65" t="str">
        <f t="shared" ca="1" si="22"/>
        <v>UYGUN</v>
      </c>
      <c r="N276" s="74" t="str">
        <f>IF($C276="","",IF($C276="TANIMSIZ MÜŞTERİ","—",INDEX(MUSTERILER!$C$7:$C$156,MATCH($C276,MUSTERILER!$B$7:$B$156,0))))</f>
        <v>YALIKENT LTD.ŞTİ.</v>
      </c>
      <c r="O276" s="2"/>
      <c r="P276" s="2"/>
      <c r="Q276" s="1" t="str">
        <f>IF($D276="","",$C276&amp;"|"&amp;COUNTIFS($C$7:$C276,$C276))</f>
        <v>M054|5</v>
      </c>
      <c r="R276" s="1" t="str">
        <f t="shared" si="23"/>
        <v>YALIKENTLTDSTI</v>
      </c>
      <c r="S276" s="1" t="str">
        <f t="shared" si="24"/>
        <v>M054|46137|4000|</v>
      </c>
      <c r="T276" s="1">
        <f>IF($E276="",0,SUMPRODUCT((AY_SONU!$O$7:$O$42="Evet")*(AY_SONU!$B$7:$B$42=DATE(YEAR($E276),MONTH($E276),1))))</f>
        <v>0</v>
      </c>
      <c r="U276" s="1" t="str">
        <f>IF(OR($G276="",$H276="Mahsup"),"",$G276&amp;"|"&amp;COUNTIFS($G$7:$G276,$G276,$H$7:$H276,"&lt;&gt;Mahsup"))</f>
        <v>MERKEZ KASA|208</v>
      </c>
    </row>
    <row r="277" spans="1:21" ht="18" customHeight="1" x14ac:dyDescent="0.3">
      <c r="A277" s="2"/>
      <c r="B277" s="65" t="str">
        <f t="shared" si="20"/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M037</v>
      </c>
      <c r="D277" s="61" t="s">
        <v>625</v>
      </c>
      <c r="E277" s="66">
        <v>46140</v>
      </c>
      <c r="F277" s="67">
        <v>2000</v>
      </c>
      <c r="G277" s="60" t="s">
        <v>717</v>
      </c>
      <c r="H277" s="60" t="s">
        <v>572</v>
      </c>
      <c r="I277" s="61"/>
      <c r="J277" s="61" t="s">
        <v>720</v>
      </c>
      <c r="K277" s="61"/>
      <c r="L277" s="73">
        <f t="shared" si="21"/>
        <v>46113</v>
      </c>
      <c r="M277" s="65" t="str">
        <f t="shared" ca="1" si="22"/>
        <v>UYGUN</v>
      </c>
      <c r="N277" s="74" t="str">
        <f>IF($C277="","",IF($C277="TANIMSIZ MÜŞTERİ","—",INDEX(MUSTERILER!$C$7:$C$156,MATCH($C277,MUSTERILER!$B$7:$B$156,0))))</f>
        <v>MEHMET EVREN KILINÇ</v>
      </c>
      <c r="O277" s="2"/>
      <c r="P277" s="2"/>
      <c r="Q277" s="1" t="str">
        <f>IF($D277="","",$C277&amp;"|"&amp;COUNTIFS($C$7:$C277,$C277))</f>
        <v>M037|3</v>
      </c>
      <c r="R277" s="1" t="str">
        <f t="shared" si="23"/>
        <v>MEHMETEVRENKILINC</v>
      </c>
      <c r="S277" s="1" t="str">
        <f t="shared" si="24"/>
        <v>M037|46140|2000|</v>
      </c>
      <c r="T277" s="1">
        <f>IF($E277="",0,SUMPRODUCT((AY_SONU!$O$7:$O$42="Evet")*(AY_SONU!$B$7:$B$42=DATE(YEAR($E277),MONTH($E277),1))))</f>
        <v>0</v>
      </c>
      <c r="U277" s="1" t="str">
        <f>IF(OR($G277="",$H277="Mahsup"),"",$G277&amp;"|"&amp;COUNTIFS($G$7:$G277,$G277,$H$7:$H277,"&lt;&gt;Mahsup"))</f>
        <v>MERKEZ KASA|209</v>
      </c>
    </row>
    <row r="278" spans="1:21" ht="18" customHeight="1" x14ac:dyDescent="0.3">
      <c r="A278" s="2"/>
      <c r="B278" s="65" t="str">
        <f t="shared" si="20"/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M038</v>
      </c>
      <c r="D278" s="61" t="s">
        <v>627</v>
      </c>
      <c r="E278" s="66">
        <v>46140</v>
      </c>
      <c r="F278" s="67">
        <v>6000</v>
      </c>
      <c r="G278" s="60" t="s">
        <v>717</v>
      </c>
      <c r="H278" s="60" t="s">
        <v>572</v>
      </c>
      <c r="I278" s="61"/>
      <c r="J278" s="61" t="s">
        <v>720</v>
      </c>
      <c r="K278" s="61"/>
      <c r="L278" s="73">
        <f t="shared" si="21"/>
        <v>46113</v>
      </c>
      <c r="M278" s="65" t="str">
        <f t="shared" ca="1" si="22"/>
        <v>UYGUN</v>
      </c>
      <c r="N278" s="74" t="str">
        <f>IF($C278="","",IF($C278="TANIMSIZ MÜŞTERİ","—",INDEX(MUSTERILER!$C$7:$C$156,MATCH($C278,MUSTERILER!$B$7:$B$156,0))))</f>
        <v>MELEK GÜLER</v>
      </c>
      <c r="O278" s="2"/>
      <c r="P278" s="2"/>
      <c r="Q278" s="1" t="str">
        <f>IF($D278="","",$C278&amp;"|"&amp;COUNTIFS($C$7:$C278,$C278))</f>
        <v>M038|1</v>
      </c>
      <c r="R278" s="1" t="str">
        <f t="shared" si="23"/>
        <v>MELEKGULER</v>
      </c>
      <c r="S278" s="1" t="str">
        <f t="shared" si="24"/>
        <v>M038|46140|6000|</v>
      </c>
      <c r="T278" s="1">
        <f>IF($E278="",0,SUMPRODUCT((AY_SONU!$O$7:$O$42="Evet")*(AY_SONU!$B$7:$B$42=DATE(YEAR($E278),MONTH($E278),1))))</f>
        <v>0</v>
      </c>
      <c r="U278" s="1" t="str">
        <f>IF(OR($G278="",$H278="Mahsup"),"",$G278&amp;"|"&amp;COUNTIFS($G$7:$G278,$G278,$H$7:$H278,"&lt;&gt;Mahsup"))</f>
        <v>MERKEZ KASA|210</v>
      </c>
    </row>
    <row r="279" spans="1:21" ht="18" customHeight="1" x14ac:dyDescent="0.3">
      <c r="A279" s="2"/>
      <c r="B279" s="65" t="str">
        <f t="shared" si="20"/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M043</v>
      </c>
      <c r="D279" s="61" t="s">
        <v>642</v>
      </c>
      <c r="E279" s="66">
        <v>46141</v>
      </c>
      <c r="F279" s="67">
        <v>6000</v>
      </c>
      <c r="G279" s="60" t="s">
        <v>717</v>
      </c>
      <c r="H279" s="60" t="s">
        <v>572</v>
      </c>
      <c r="I279" s="61"/>
      <c r="J279" s="61" t="s">
        <v>720</v>
      </c>
      <c r="K279" s="61"/>
      <c r="L279" s="73">
        <f t="shared" si="21"/>
        <v>46113</v>
      </c>
      <c r="M279" s="65" t="str">
        <f t="shared" ca="1" si="22"/>
        <v>UYGUN</v>
      </c>
      <c r="N279" s="74" t="str">
        <f>IF($C279="","",IF($C279="TANIMSIZ MÜŞTERİ","—",INDEX(MUSTERILER!$C$7:$C$156,MATCH($C279,MUSTERILER!$B$7:$B$156,0))))</f>
        <v>MUSTAFA UMUT KOYUN</v>
      </c>
      <c r="O279" s="2"/>
      <c r="P279" s="2"/>
      <c r="Q279" s="1" t="str">
        <f>IF($D279="","",$C279&amp;"|"&amp;COUNTIFS($C$7:$C279,$C279))</f>
        <v>M043|1</v>
      </c>
      <c r="R279" s="1" t="str">
        <f t="shared" si="23"/>
        <v>MUSTAFAUMUTKOYUN</v>
      </c>
      <c r="S279" s="1" t="str">
        <f t="shared" si="24"/>
        <v>M043|46141|6000|</v>
      </c>
      <c r="T279" s="1">
        <f>IF($E279="",0,SUMPRODUCT((AY_SONU!$O$7:$O$42="Evet")*(AY_SONU!$B$7:$B$42=DATE(YEAR($E279),MONTH($E279),1))))</f>
        <v>0</v>
      </c>
      <c r="U279" s="1" t="str">
        <f>IF(OR($G279="",$H279="Mahsup"),"",$G279&amp;"|"&amp;COUNTIFS($G$7:$G279,$G279,$H$7:$H279,"&lt;&gt;Mahsup"))</f>
        <v>MERKEZ KASA|211</v>
      </c>
    </row>
    <row r="280" spans="1:21" ht="18" customHeight="1" x14ac:dyDescent="0.3">
      <c r="A280" s="2"/>
      <c r="B280" s="65" t="str">
        <f t="shared" si="20"/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M023</v>
      </c>
      <c r="D280" s="61" t="s">
        <v>576</v>
      </c>
      <c r="E280" s="66">
        <v>46142</v>
      </c>
      <c r="F280" s="67">
        <v>12000</v>
      </c>
      <c r="G280" s="60" t="s">
        <v>723</v>
      </c>
      <c r="H280" s="60" t="s">
        <v>572</v>
      </c>
      <c r="I280" s="61"/>
      <c r="J280" s="61" t="s">
        <v>725</v>
      </c>
      <c r="K280" s="61"/>
      <c r="L280" s="73">
        <f t="shared" si="21"/>
        <v>46113</v>
      </c>
      <c r="M280" s="65" t="str">
        <f t="shared" ca="1" si="22"/>
        <v>UYGUN</v>
      </c>
      <c r="N280" s="74" t="str">
        <f>IF($C280="","",IF($C280="TANIMSIZ MÜŞTERİ","—",INDEX(MUSTERILER!$C$7:$C$156,MATCH($C280,MUSTERILER!$B$7:$B$156,0))))</f>
        <v>ALTINEL LTD.ŞTİ.</v>
      </c>
      <c r="O280" s="2"/>
      <c r="P280" s="2"/>
      <c r="Q280" s="1" t="str">
        <f>IF($D280="","",$C280&amp;"|"&amp;COUNTIFS($C$7:$C280,$C280))</f>
        <v>M023|4</v>
      </c>
      <c r="R280" s="1" t="str">
        <f t="shared" si="23"/>
        <v>ALTINELLTDSTI</v>
      </c>
      <c r="S280" s="1" t="str">
        <f t="shared" si="24"/>
        <v>M023|46142|12000|</v>
      </c>
      <c r="T280" s="1">
        <f>IF($E280="",0,SUMPRODUCT((AY_SONU!$O$7:$O$42="Evet")*(AY_SONU!$B$7:$B$42=DATE(YEAR($E280),MONTH($E280),1))))</f>
        <v>0</v>
      </c>
      <c r="U280" s="1" t="str">
        <f>IF(OR($G280="",$H280="Mahsup"),"",$G280&amp;"|"&amp;COUNTIFS($G$7:$G280,$G280,$H$7:$H280,"&lt;&gt;Mahsup"))</f>
        <v>ÖMER KARTAL|63</v>
      </c>
    </row>
    <row r="281" spans="1:21" ht="18" customHeight="1" x14ac:dyDescent="0.3">
      <c r="A281" s="2"/>
      <c r="B281" s="65" t="str">
        <f t="shared" si="20"/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M009</v>
      </c>
      <c r="D281" s="61" t="s">
        <v>652</v>
      </c>
      <c r="E281" s="66">
        <v>46143</v>
      </c>
      <c r="F281" s="67">
        <v>31000</v>
      </c>
      <c r="G281" s="60" t="s">
        <v>717</v>
      </c>
      <c r="H281" s="60" t="s">
        <v>572</v>
      </c>
      <c r="I281" s="61"/>
      <c r="J281" s="61" t="s">
        <v>720</v>
      </c>
      <c r="K281" s="61"/>
      <c r="L281" s="73">
        <f t="shared" si="21"/>
        <v>46143</v>
      </c>
      <c r="M281" s="65" t="str">
        <f t="shared" ca="1" si="22"/>
        <v>UYGUN</v>
      </c>
      <c r="N281" s="74" t="str">
        <f>IF($C281="","",IF($C281="TANIMSIZ MÜŞTERİ","—",INDEX(MUSTERILER!$C$7:$C$156,MATCH($C281,MUSTERILER!$B$7:$B$156,0))))</f>
        <v>PAKYILDIZ LTD.ŞTİ.</v>
      </c>
      <c r="O281" s="2"/>
      <c r="P281" s="2"/>
      <c r="Q281" s="1" t="str">
        <f>IF($D281="","",$C281&amp;"|"&amp;COUNTIFS($C$7:$C281,$C281))</f>
        <v>M009|12</v>
      </c>
      <c r="R281" s="1" t="str">
        <f t="shared" si="23"/>
        <v>PAKYILDIZLTDSTI</v>
      </c>
      <c r="S281" s="1" t="str">
        <f t="shared" si="24"/>
        <v>M009|46143|31000|</v>
      </c>
      <c r="T281" s="1">
        <f>IF($E281="",0,SUMPRODUCT((AY_SONU!$O$7:$O$42="Evet")*(AY_SONU!$B$7:$B$42=DATE(YEAR($E281),MONTH($E281),1))))</f>
        <v>0</v>
      </c>
      <c r="U281" s="1" t="str">
        <f>IF(OR($G281="",$H281="Mahsup"),"",$G281&amp;"|"&amp;COUNTIFS($G$7:$G281,$G281,$H$7:$H281,"&lt;&gt;Mahsup"))</f>
        <v>MERKEZ KASA|212</v>
      </c>
    </row>
    <row r="282" spans="1:21" ht="18" customHeight="1" x14ac:dyDescent="0.3">
      <c r="A282" s="2"/>
      <c r="B282" s="65" t="str">
        <f t="shared" si="20"/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M027</v>
      </c>
      <c r="D282" s="61" t="s">
        <v>591</v>
      </c>
      <c r="E282" s="66">
        <v>46143</v>
      </c>
      <c r="F282" s="67">
        <v>2500</v>
      </c>
      <c r="G282" s="60" t="s">
        <v>717</v>
      </c>
      <c r="H282" s="60" t="s">
        <v>572</v>
      </c>
      <c r="I282" s="61"/>
      <c r="J282" s="61" t="s">
        <v>1305</v>
      </c>
      <c r="K282" s="61"/>
      <c r="L282" s="73">
        <f t="shared" si="21"/>
        <v>46143</v>
      </c>
      <c r="M282" s="65" t="str">
        <f t="shared" ca="1" si="22"/>
        <v>UYGUN</v>
      </c>
      <c r="N282" s="74" t="str">
        <f>IF($C282="","",IF($C282="TANIMSIZ MÜŞTERİ","—",INDEX(MUSTERILER!$C$7:$C$156,MATCH($C282,MUSTERILER!$B$7:$B$156,0))))</f>
        <v>CEREN DEMİRCİ</v>
      </c>
      <c r="O282" s="2"/>
      <c r="P282" s="2"/>
      <c r="Q282" s="1" t="str">
        <f>IF($D282="","",$C282&amp;"|"&amp;COUNTIFS($C$7:$C282,$C282))</f>
        <v>M027|3</v>
      </c>
      <c r="R282" s="1" t="str">
        <f t="shared" si="23"/>
        <v>CERENDEMIRCI</v>
      </c>
      <c r="S282" s="1" t="str">
        <f t="shared" si="24"/>
        <v>M027|46143|2500|</v>
      </c>
      <c r="T282" s="1">
        <f>IF($E282="",0,SUMPRODUCT((AY_SONU!$O$7:$O$42="Evet")*(AY_SONU!$B$7:$B$42=DATE(YEAR($E282),MONTH($E282),1))))</f>
        <v>0</v>
      </c>
      <c r="U282" s="1" t="str">
        <f>IF(OR($G282="",$H282="Mahsup"),"",$G282&amp;"|"&amp;COUNTIFS($G$7:$G282,$G282,$H$7:$H282,"&lt;&gt;Mahsup"))</f>
        <v>MERKEZ KASA|213</v>
      </c>
    </row>
    <row r="283" spans="1:21" ht="18" customHeight="1" x14ac:dyDescent="0.3">
      <c r="A283" s="2"/>
      <c r="B283" s="65" t="str">
        <f t="shared" si="20"/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M001</v>
      </c>
      <c r="D283" s="61" t="s">
        <v>729</v>
      </c>
      <c r="E283" s="66">
        <v>46144</v>
      </c>
      <c r="F283" s="67">
        <v>14000</v>
      </c>
      <c r="G283" s="60" t="s">
        <v>717</v>
      </c>
      <c r="H283" s="60" t="s">
        <v>572</v>
      </c>
      <c r="I283" s="61"/>
      <c r="J283" s="61" t="s">
        <v>720</v>
      </c>
      <c r="K283" s="61"/>
      <c r="L283" s="73">
        <f t="shared" si="21"/>
        <v>46143</v>
      </c>
      <c r="M283" s="65" t="str">
        <f t="shared" ca="1" si="22"/>
        <v>UYGUN</v>
      </c>
      <c r="N283" s="74" t="str">
        <f>IF($C283="","",IF($C283="TANIMSIZ MÜŞTERİ","—",INDEX(MUSTERILER!$C$7:$C$156,MATCH($C283,MUSTERILER!$B$7:$B$156,0))))</f>
        <v>ANKARA HAVANA LTD.ŞTİ.</v>
      </c>
      <c r="O283" s="2"/>
      <c r="P283" s="2"/>
      <c r="Q283" s="1" t="str">
        <f>IF($D283="","",$C283&amp;"|"&amp;COUNTIFS($C$7:$C283,$C283))</f>
        <v>M001|7</v>
      </c>
      <c r="R283" s="1" t="str">
        <f t="shared" si="23"/>
        <v>ANKARAHAVANALTDSTI</v>
      </c>
      <c r="S283" s="1" t="str">
        <f t="shared" si="24"/>
        <v>M001|46144|14000|</v>
      </c>
      <c r="T283" s="1">
        <f>IF($E283="",0,SUMPRODUCT((AY_SONU!$O$7:$O$42="Evet")*(AY_SONU!$B$7:$B$42=DATE(YEAR($E283),MONTH($E283),1))))</f>
        <v>0</v>
      </c>
      <c r="U283" s="1" t="str">
        <f>IF(OR($G283="",$H283="Mahsup"),"",$G283&amp;"|"&amp;COUNTIFS($G$7:$G283,$G283,$H$7:$H283,"&lt;&gt;Mahsup"))</f>
        <v>MERKEZ KASA|214</v>
      </c>
    </row>
    <row r="284" spans="1:21" ht="18" customHeight="1" x14ac:dyDescent="0.3">
      <c r="A284" s="2"/>
      <c r="B284" s="65" t="str">
        <f t="shared" si="20"/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M025</v>
      </c>
      <c r="D284" s="61" t="s">
        <v>583</v>
      </c>
      <c r="E284" s="66">
        <v>46144</v>
      </c>
      <c r="F284" s="67">
        <v>2000</v>
      </c>
      <c r="G284" s="60" t="s">
        <v>717</v>
      </c>
      <c r="H284" s="60" t="s">
        <v>572</v>
      </c>
      <c r="I284" s="61"/>
      <c r="J284" s="61" t="s">
        <v>720</v>
      </c>
      <c r="K284" s="61"/>
      <c r="L284" s="73">
        <f t="shared" si="21"/>
        <v>46143</v>
      </c>
      <c r="M284" s="65" t="str">
        <f t="shared" ca="1" si="22"/>
        <v>UYGUN</v>
      </c>
      <c r="N284" s="74" t="str">
        <f>IF($C284="","",IF($C284="TANIMSIZ MÜŞTERİ","—",INDEX(MUSTERILER!$C$7:$C$156,MATCH($C284,MUSTERILER!$B$7:$B$156,0))))</f>
        <v>ASIM AÇIKGÖZ</v>
      </c>
      <c r="O284" s="2"/>
      <c r="P284" s="2"/>
      <c r="Q284" s="1" t="str">
        <f>IF($D284="","",$C284&amp;"|"&amp;COUNTIFS($C$7:$C284,$C284))</f>
        <v>M025|13</v>
      </c>
      <c r="R284" s="1" t="str">
        <f t="shared" si="23"/>
        <v>ASIMACIKGOZ</v>
      </c>
      <c r="S284" s="1" t="str">
        <f t="shared" si="24"/>
        <v>M025|46144|2000|</v>
      </c>
      <c r="T284" s="1">
        <f>IF($E284="",0,SUMPRODUCT((AY_SONU!$O$7:$O$42="Evet")*(AY_SONU!$B$7:$B$42=DATE(YEAR($E284),MONTH($E284),1))))</f>
        <v>0</v>
      </c>
      <c r="U284" s="1" t="str">
        <f>IF(OR($G284="",$H284="Mahsup"),"",$G284&amp;"|"&amp;COUNTIFS($G$7:$G284,$G284,$H$7:$H284,"&lt;&gt;Mahsup"))</f>
        <v>MERKEZ KASA|215</v>
      </c>
    </row>
    <row r="285" spans="1:21" ht="18" customHeight="1" x14ac:dyDescent="0.3">
      <c r="A285" s="2"/>
      <c r="B285" s="65" t="str">
        <f t="shared" si="20"/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M017</v>
      </c>
      <c r="D285" s="61" t="s">
        <v>585</v>
      </c>
      <c r="E285" s="66">
        <v>46144</v>
      </c>
      <c r="F285" s="67">
        <v>2500</v>
      </c>
      <c r="G285" s="60" t="s">
        <v>717</v>
      </c>
      <c r="H285" s="60" t="s">
        <v>572</v>
      </c>
      <c r="I285" s="61"/>
      <c r="J285" s="61" t="s">
        <v>720</v>
      </c>
      <c r="K285" s="61"/>
      <c r="L285" s="73">
        <f t="shared" si="21"/>
        <v>46143</v>
      </c>
      <c r="M285" s="65" t="str">
        <f t="shared" ca="1" si="22"/>
        <v>UYGUN</v>
      </c>
      <c r="N285" s="74" t="str">
        <f>IF($C285="","",IF($C285="TANIMSIZ MÜŞTERİ","—",INDEX(MUSTERILER!$C$7:$C$156,MATCH($C285,MUSTERILER!$B$7:$B$156,0))))</f>
        <v>ASM EĞLENCE LTD.ŞTİ.</v>
      </c>
      <c r="O285" s="2"/>
      <c r="P285" s="2"/>
      <c r="Q285" s="1" t="str">
        <f>IF($D285="","",$C285&amp;"|"&amp;COUNTIFS($C$7:$C285,$C285))</f>
        <v>M017|15</v>
      </c>
      <c r="R285" s="1" t="str">
        <f t="shared" si="23"/>
        <v>ASMEGLENCELTDSTI</v>
      </c>
      <c r="S285" s="1" t="str">
        <f t="shared" si="24"/>
        <v>M017|46144|2500|</v>
      </c>
      <c r="T285" s="1">
        <f>IF($E285="",0,SUMPRODUCT((AY_SONU!$O$7:$O$42="Evet")*(AY_SONU!$B$7:$B$42=DATE(YEAR($E285),MONTH($E285),1))))</f>
        <v>0</v>
      </c>
      <c r="U285" s="1" t="str">
        <f>IF(OR($G285="",$H285="Mahsup"),"",$G285&amp;"|"&amp;COUNTIFS($G$7:$G285,$G285,$H$7:$H285,"&lt;&gt;Mahsup"))</f>
        <v>MERKEZ KASA|216</v>
      </c>
    </row>
    <row r="286" spans="1:21" ht="18" customHeight="1" x14ac:dyDescent="0.3">
      <c r="A286" s="2"/>
      <c r="B286" s="65" t="str">
        <f t="shared" si="20"/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M015</v>
      </c>
      <c r="D286" s="61" t="s">
        <v>719</v>
      </c>
      <c r="E286" s="66">
        <v>46144</v>
      </c>
      <c r="F286" s="67">
        <v>3000</v>
      </c>
      <c r="G286" s="60" t="s">
        <v>717</v>
      </c>
      <c r="H286" s="60" t="s">
        <v>572</v>
      </c>
      <c r="I286" s="61"/>
      <c r="J286" s="61" t="s">
        <v>720</v>
      </c>
      <c r="K286" s="61"/>
      <c r="L286" s="73">
        <f t="shared" si="21"/>
        <v>46143</v>
      </c>
      <c r="M286" s="65" t="str">
        <f t="shared" ca="1" si="22"/>
        <v>UYGUN</v>
      </c>
      <c r="N286" s="74" t="str">
        <f>IF($C286="","",IF($C286="TANIMSIZ MÜŞTERİ","—",INDEX(MUSTERILER!$C$7:$C$156,MATCH($C286,MUSTERILER!$B$7:$B$156,0))))</f>
        <v>ÇAYIRALAN LTD.ŞTİ.</v>
      </c>
      <c r="O286" s="2"/>
      <c r="P286" s="2"/>
      <c r="Q286" s="1" t="str">
        <f>IF($D286="","",$C286&amp;"|"&amp;COUNTIFS($C$7:$C286,$C286))</f>
        <v>M015|15</v>
      </c>
      <c r="R286" s="1" t="str">
        <f t="shared" si="23"/>
        <v>CAYIRALANLTDSTI</v>
      </c>
      <c r="S286" s="1" t="str">
        <f t="shared" si="24"/>
        <v>M015|46144|3000|</v>
      </c>
      <c r="T286" s="1">
        <f>IF($E286="",0,SUMPRODUCT((AY_SONU!$O$7:$O$42="Evet")*(AY_SONU!$B$7:$B$42=DATE(YEAR($E286),MONTH($E286),1))))</f>
        <v>0</v>
      </c>
      <c r="U286" s="1" t="str">
        <f>IF(OR($G286="",$H286="Mahsup"),"",$G286&amp;"|"&amp;COUNTIFS($G$7:$G286,$G286,$H$7:$H286,"&lt;&gt;Mahsup"))</f>
        <v>MERKEZ KASA|217</v>
      </c>
    </row>
    <row r="287" spans="1:21" ht="18" customHeight="1" x14ac:dyDescent="0.3">
      <c r="A287" s="2"/>
      <c r="B287" s="65" t="str">
        <f t="shared" si="20"/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M011</v>
      </c>
      <c r="D287" s="61" t="s">
        <v>730</v>
      </c>
      <c r="E287" s="66">
        <v>46144</v>
      </c>
      <c r="F287" s="67">
        <v>4000</v>
      </c>
      <c r="G287" s="60" t="s">
        <v>717</v>
      </c>
      <c r="H287" s="60" t="s">
        <v>572</v>
      </c>
      <c r="I287" s="61"/>
      <c r="J287" s="61" t="s">
        <v>720</v>
      </c>
      <c r="K287" s="61"/>
      <c r="L287" s="73">
        <f t="shared" si="21"/>
        <v>46143</v>
      </c>
      <c r="M287" s="65" t="str">
        <f t="shared" ca="1" si="22"/>
        <v>UYGUN</v>
      </c>
      <c r="N287" s="74" t="str">
        <f>IF($C287="","",IF($C287="TANIMSIZ MÜŞTERİ","—",INDEX(MUSTERILER!$C$7:$C$156,MATCH($C287,MUSTERILER!$B$7:$B$156,0))))</f>
        <v>EĞLENGÖR LTD.ŞTİ.</v>
      </c>
      <c r="O287" s="2"/>
      <c r="P287" s="2"/>
      <c r="Q287" s="1" t="str">
        <f>IF($D287="","",$C287&amp;"|"&amp;COUNTIFS($C$7:$C287,$C287))</f>
        <v>M011|16</v>
      </c>
      <c r="R287" s="1" t="str">
        <f t="shared" si="23"/>
        <v>EGLENGORLTDSTI</v>
      </c>
      <c r="S287" s="1" t="str">
        <f t="shared" si="24"/>
        <v>M011|46144|4000|</v>
      </c>
      <c r="T287" s="1">
        <f>IF($E287="",0,SUMPRODUCT((AY_SONU!$O$7:$O$42="Evet")*(AY_SONU!$B$7:$B$42=DATE(YEAR($E287),MONTH($E287),1))))</f>
        <v>0</v>
      </c>
      <c r="U287" s="1" t="str">
        <f>IF(OR($G287="",$H287="Mahsup"),"",$G287&amp;"|"&amp;COUNTIFS($G$7:$G287,$G287,$H$7:$H287,"&lt;&gt;Mahsup"))</f>
        <v>MERKEZ KASA|218</v>
      </c>
    </row>
    <row r="288" spans="1:21" ht="18" customHeight="1" x14ac:dyDescent="0.3">
      <c r="A288" s="2"/>
      <c r="B288" s="65" t="str">
        <f t="shared" si="20"/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M034</v>
      </c>
      <c r="D288" s="61" t="s">
        <v>732</v>
      </c>
      <c r="E288" s="66">
        <v>46144</v>
      </c>
      <c r="F288" s="67">
        <v>4000</v>
      </c>
      <c r="G288" s="60" t="s">
        <v>717</v>
      </c>
      <c r="H288" s="60" t="s">
        <v>572</v>
      </c>
      <c r="I288" s="61"/>
      <c r="J288" s="61" t="s">
        <v>720</v>
      </c>
      <c r="K288" s="61"/>
      <c r="L288" s="73">
        <f t="shared" si="21"/>
        <v>46143</v>
      </c>
      <c r="M288" s="65" t="str">
        <f t="shared" ca="1" si="22"/>
        <v>UYGUN</v>
      </c>
      <c r="N288" s="74" t="str">
        <f>IF($C288="","",IF($C288="TANIMSIZ MÜŞTERİ","—",INDEX(MUSTERILER!$C$7:$C$156,MATCH($C288,MUSTERILER!$B$7:$B$156,0))))</f>
        <v>İBRAHİM MALDAN</v>
      </c>
      <c r="O288" s="2"/>
      <c r="P288" s="2"/>
      <c r="Q288" s="1" t="str">
        <f>IF($D288="","",$C288&amp;"|"&amp;COUNTIFS($C$7:$C288,$C288))</f>
        <v>M034|13</v>
      </c>
      <c r="R288" s="1" t="str">
        <f t="shared" si="23"/>
        <v>IBRAHIMMALDAN</v>
      </c>
      <c r="S288" s="1" t="str">
        <f t="shared" si="24"/>
        <v>M034|46144|4000|</v>
      </c>
      <c r="T288" s="1">
        <f>IF($E288="",0,SUMPRODUCT((AY_SONU!$O$7:$O$42="Evet")*(AY_SONU!$B$7:$B$42=DATE(YEAR($E288),MONTH($E288),1))))</f>
        <v>0</v>
      </c>
      <c r="U288" s="1" t="str">
        <f>IF(OR($G288="",$H288="Mahsup"),"",$G288&amp;"|"&amp;COUNTIFS($G$7:$G288,$G288,$H$7:$H288,"&lt;&gt;Mahsup"))</f>
        <v>MERKEZ KASA|219</v>
      </c>
    </row>
    <row r="289" spans="1:21" ht="18" customHeight="1" x14ac:dyDescent="0.3">
      <c r="A289" s="2"/>
      <c r="B289" s="65" t="str">
        <f t="shared" si="20"/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M012</v>
      </c>
      <c r="D289" s="61" t="s">
        <v>721</v>
      </c>
      <c r="E289" s="66">
        <v>46144</v>
      </c>
      <c r="F289" s="67">
        <v>4000</v>
      </c>
      <c r="G289" s="60" t="s">
        <v>717</v>
      </c>
      <c r="H289" s="60" t="s">
        <v>572</v>
      </c>
      <c r="I289" s="61"/>
      <c r="J289" s="61" t="s">
        <v>720</v>
      </c>
      <c r="K289" s="61"/>
      <c r="L289" s="73">
        <f t="shared" si="21"/>
        <v>46143</v>
      </c>
      <c r="M289" s="65" t="str">
        <f t="shared" ca="1" si="22"/>
        <v>UYGUN</v>
      </c>
      <c r="N289" s="74" t="str">
        <f>IF($C289="","",IF($C289="TANIMSIZ MÜŞTERİ","—",INDEX(MUSTERILER!$C$7:$C$156,MATCH($C289,MUSTERILER!$B$7:$B$156,0))))</f>
        <v>İLDEŞ LTD.ŞTİ.</v>
      </c>
      <c r="O289" s="2"/>
      <c r="P289" s="2"/>
      <c r="Q289" s="1" t="str">
        <f>IF($D289="","",$C289&amp;"|"&amp;COUNTIFS($C$7:$C289,$C289))</f>
        <v>M012|17</v>
      </c>
      <c r="R289" s="1" t="str">
        <f t="shared" si="23"/>
        <v>ILDESLTDSTI</v>
      </c>
      <c r="S289" s="1" t="str">
        <f t="shared" si="24"/>
        <v>M012|46144|4000|</v>
      </c>
      <c r="T289" s="1">
        <f>IF($E289="",0,SUMPRODUCT((AY_SONU!$O$7:$O$42="Evet")*(AY_SONU!$B$7:$B$42=DATE(YEAR($E289),MONTH($E289),1))))</f>
        <v>0</v>
      </c>
      <c r="U289" s="1" t="str">
        <f>IF(OR($G289="",$H289="Mahsup"),"",$G289&amp;"|"&amp;COUNTIFS($G$7:$G289,$G289,$H$7:$H289,"&lt;&gt;Mahsup"))</f>
        <v>MERKEZ KASA|220</v>
      </c>
    </row>
    <row r="290" spans="1:21" ht="18" customHeight="1" x14ac:dyDescent="0.3">
      <c r="A290" s="2"/>
      <c r="B290" s="65" t="str">
        <f t="shared" si="20"/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61" t="s">
        <v>735</v>
      </c>
      <c r="E290" s="66">
        <v>46144</v>
      </c>
      <c r="F290" s="67">
        <v>4000</v>
      </c>
      <c r="G290" s="60" t="s">
        <v>717</v>
      </c>
      <c r="H290" s="60" t="s">
        <v>572</v>
      </c>
      <c r="I290" s="61"/>
      <c r="J290" s="61" t="s">
        <v>720</v>
      </c>
      <c r="K290" s="61"/>
      <c r="L290" s="73">
        <f t="shared" si="21"/>
        <v>46143</v>
      </c>
      <c r="M290" s="65" t="str">
        <f t="shared" ca="1" si="22"/>
        <v>UYGUN</v>
      </c>
      <c r="N290" s="74" t="str">
        <f>IF($C290="","",IF($C290="TANIMSIZ MÜŞTERİ","—",INDEX(MUSTERILER!$C$7:$C$156,MATCH($C290,MUSTERILER!$B$7:$B$156,0))))</f>
        <v>PAKYILDIZ LTD.ŞTİ.</v>
      </c>
      <c r="O290" s="2"/>
      <c r="P290" s="2"/>
      <c r="Q290" s="1" t="str">
        <f>IF($D290="","",$C290&amp;"|"&amp;COUNTIFS($C$7:$C290,$C290))</f>
        <v>M009|13</v>
      </c>
      <c r="R290" s="1" t="str">
        <f t="shared" si="23"/>
        <v>PAKYILDIZLTDSTI</v>
      </c>
      <c r="S290" s="1" t="str">
        <f t="shared" si="24"/>
        <v>M009|46144|4000|</v>
      </c>
      <c r="T290" s="1">
        <f>IF($E290="",0,SUMPRODUCT((AY_SONU!$O$7:$O$42="Evet")*(AY_SONU!$B$7:$B$42=DATE(YEAR($E290),MONTH($E290),1))))</f>
        <v>0</v>
      </c>
      <c r="U290" s="1" t="str">
        <f>IF(OR($G290="",$H290="Mahsup"),"",$G290&amp;"|"&amp;COUNTIFS($G$7:$G290,$G290,$H$7:$H290,"&lt;&gt;Mahsup"))</f>
        <v>MERKEZ KASA|221</v>
      </c>
    </row>
    <row r="291" spans="1:21" ht="18" customHeight="1" x14ac:dyDescent="0.3">
      <c r="A291" s="2"/>
      <c r="B291" s="65" t="str">
        <f t="shared" si="20"/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61" t="s">
        <v>736</v>
      </c>
      <c r="E291" s="66">
        <v>46144</v>
      </c>
      <c r="F291" s="67">
        <v>3000</v>
      </c>
      <c r="G291" s="60" t="s">
        <v>717</v>
      </c>
      <c r="H291" s="60" t="s">
        <v>572</v>
      </c>
      <c r="I291" s="61"/>
      <c r="J291" s="61" t="s">
        <v>720</v>
      </c>
      <c r="K291" s="61"/>
      <c r="L291" s="73">
        <f t="shared" si="21"/>
        <v>46143</v>
      </c>
      <c r="M291" s="65" t="str">
        <f t="shared" ca="1" si="22"/>
        <v>UYGUN</v>
      </c>
      <c r="N291" s="74" t="str">
        <f>IF($C291="","",IF($C291="TANIMSIZ MÜŞTERİ","—",INDEX(MUSTERILER!$C$7:$C$156,MATCH($C291,MUSTERILER!$B$7:$B$156,0))))</f>
        <v>RİX ŞOW LTD.ŞTİ.</v>
      </c>
      <c r="O291" s="2"/>
      <c r="P291" s="2"/>
      <c r="Q291" s="1" t="str">
        <f>IF($D291="","",$C291&amp;"|"&amp;COUNTIFS($C$7:$C291,$C291))</f>
        <v>M016|17</v>
      </c>
      <c r="R291" s="1" t="str">
        <f t="shared" si="23"/>
        <v>RIXSOWLTDSTI</v>
      </c>
      <c r="S291" s="1" t="str">
        <f t="shared" si="24"/>
        <v>M016|46144|3000|</v>
      </c>
      <c r="T291" s="1">
        <f>IF($E291="",0,SUMPRODUCT((AY_SONU!$O$7:$O$42="Evet")*(AY_SONU!$B$7:$B$42=DATE(YEAR($E291),MONTH($E291),1))))</f>
        <v>0</v>
      </c>
      <c r="U291" s="1" t="str">
        <f>IF(OR($G291="",$H291="Mahsup"),"",$G291&amp;"|"&amp;COUNTIFS($G$7:$G291,$G291,$H$7:$H291,"&lt;&gt;Mahsup"))</f>
        <v>MERKEZ KASA|222</v>
      </c>
    </row>
    <row r="292" spans="1:21" ht="18" customHeight="1" x14ac:dyDescent="0.3">
      <c r="A292" s="2"/>
      <c r="B292" s="65" t="str">
        <f t="shared" si="20"/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61" t="s">
        <v>722</v>
      </c>
      <c r="E292" s="66">
        <v>46144</v>
      </c>
      <c r="F292" s="67">
        <v>1750</v>
      </c>
      <c r="G292" s="60" t="s">
        <v>717</v>
      </c>
      <c r="H292" s="60" t="s">
        <v>572</v>
      </c>
      <c r="I292" s="61"/>
      <c r="J292" s="61" t="s">
        <v>720</v>
      </c>
      <c r="K292" s="61"/>
      <c r="L292" s="73">
        <f t="shared" si="21"/>
        <v>46143</v>
      </c>
      <c r="M292" s="65" t="str">
        <f t="shared" ca="1" si="22"/>
        <v>UYGUN</v>
      </c>
      <c r="N292" s="74" t="str">
        <f>IF($C292="","",IF($C292="TANIMSIZ MÜŞTERİ","—",INDEX(MUSTERILER!$C$7:$C$156,MATCH($C292,MUSTERILER!$B$7:$B$156,0))))</f>
        <v>ZÜMRÜT GRUP LTD.ŞTİ.</v>
      </c>
      <c r="O292" s="2"/>
      <c r="P292" s="2"/>
      <c r="Q292" s="1" t="str">
        <f>IF($D292="","",$C292&amp;"|"&amp;COUNTIFS($C$7:$C292,$C292))</f>
        <v>M005|14</v>
      </c>
      <c r="R292" s="1" t="str">
        <f t="shared" si="23"/>
        <v>ZUMRUTGRUPLTDSTI</v>
      </c>
      <c r="S292" s="1" t="str">
        <f t="shared" si="24"/>
        <v>M005|46144|1750|</v>
      </c>
      <c r="T292" s="1">
        <f>IF($E292="",0,SUMPRODUCT((AY_SONU!$O$7:$O$42="Evet")*(AY_SONU!$B$7:$B$42=DATE(YEAR($E292),MONTH($E292),1))))</f>
        <v>0</v>
      </c>
      <c r="U292" s="1" t="str">
        <f>IF(OR($G292="",$H292="Mahsup"),"",$G292&amp;"|"&amp;COUNTIFS($G$7:$G292,$G292,$H$7:$H292,"&lt;&gt;Mahsup"))</f>
        <v>MERKEZ KASA|223</v>
      </c>
    </row>
    <row r="293" spans="1:21" ht="18" customHeight="1" x14ac:dyDescent="0.3">
      <c r="A293" s="2"/>
      <c r="B293" s="65" t="str">
        <f t="shared" si="20"/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61" t="s">
        <v>593</v>
      </c>
      <c r="E293" s="66">
        <v>46144</v>
      </c>
      <c r="F293" s="67">
        <v>2500</v>
      </c>
      <c r="G293" s="60" t="s">
        <v>717</v>
      </c>
      <c r="H293" s="60" t="s">
        <v>572</v>
      </c>
      <c r="I293" s="61"/>
      <c r="J293" s="61" t="s">
        <v>720</v>
      </c>
      <c r="K293" s="61"/>
      <c r="L293" s="73">
        <f t="shared" si="21"/>
        <v>46143</v>
      </c>
      <c r="M293" s="65" t="str">
        <f t="shared" ca="1" si="22"/>
        <v>UYGUN</v>
      </c>
      <c r="N293" s="74" t="str">
        <f>IF($C293="","",IF($C293="TANIMSIZ MÜŞTERİ","—",INDEX(MUSTERILER!$C$7:$C$156,MATCH($C293,MUSTERILER!$B$7:$B$156,0))))</f>
        <v>ÇINARHAN LTD.ŞTİ.</v>
      </c>
      <c r="O293" s="2"/>
      <c r="P293" s="2"/>
      <c r="Q293" s="1" t="str">
        <f>IF($D293="","",$C293&amp;"|"&amp;COUNTIFS($C$7:$C293,$C293))</f>
        <v>M018|11</v>
      </c>
      <c r="R293" s="1" t="str">
        <f t="shared" si="23"/>
        <v>CINARHANLTDSTI</v>
      </c>
      <c r="S293" s="1" t="str">
        <f t="shared" si="24"/>
        <v>M018|46144|2500|</v>
      </c>
      <c r="T293" s="1">
        <f>IF($E293="",0,SUMPRODUCT((AY_SONU!$O$7:$O$42="Evet")*(AY_SONU!$B$7:$B$42=DATE(YEAR($E293),MONTH($E293),1))))</f>
        <v>0</v>
      </c>
      <c r="U293" s="1" t="str">
        <f>IF(OR($G293="",$H293="Mahsup"),"",$G293&amp;"|"&amp;COUNTIFS($G$7:$G293,$G293,$H$7:$H293,"&lt;&gt;Mahsup"))</f>
        <v>MERKEZ KASA|224</v>
      </c>
    </row>
    <row r="294" spans="1:21" ht="18" customHeight="1" x14ac:dyDescent="0.3">
      <c r="A294" s="2"/>
      <c r="B294" s="65" t="str">
        <f t="shared" si="20"/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M035</v>
      </c>
      <c r="D294" s="61" t="s">
        <v>615</v>
      </c>
      <c r="E294" s="66">
        <v>46144</v>
      </c>
      <c r="F294" s="67">
        <v>3500</v>
      </c>
      <c r="G294" s="60" t="s">
        <v>717</v>
      </c>
      <c r="H294" s="60" t="s">
        <v>572</v>
      </c>
      <c r="I294" s="61"/>
      <c r="J294" s="61" t="s">
        <v>720</v>
      </c>
      <c r="K294" s="61"/>
      <c r="L294" s="73">
        <f t="shared" si="21"/>
        <v>46143</v>
      </c>
      <c r="M294" s="65" t="str">
        <f t="shared" ca="1" si="22"/>
        <v>UYGUN</v>
      </c>
      <c r="N294" s="74" t="str">
        <f>IF($C294="","",IF($C294="TANIMSIZ MÜŞTERİ","—",INDEX(MUSTERILER!$C$7:$C$156,MATCH($C294,MUSTERILER!$B$7:$B$156,0))))</f>
        <v>İSA DEMİRCİ</v>
      </c>
      <c r="O294" s="2"/>
      <c r="P294" s="2"/>
      <c r="Q294" s="1" t="str">
        <f>IF($D294="","",$C294&amp;"|"&amp;COUNTIFS($C$7:$C294,$C294))</f>
        <v>M035|4</v>
      </c>
      <c r="R294" s="1" t="str">
        <f t="shared" si="23"/>
        <v>ISADEMIRCI</v>
      </c>
      <c r="S294" s="1" t="str">
        <f t="shared" si="24"/>
        <v>M035|46144|3500|</v>
      </c>
      <c r="T294" s="1">
        <f>IF($E294="",0,SUMPRODUCT((AY_SONU!$O$7:$O$42="Evet")*(AY_SONU!$B$7:$B$42=DATE(YEAR($E294),MONTH($E294),1))))</f>
        <v>0</v>
      </c>
      <c r="U294" s="1" t="str">
        <f>IF(OR($G294="",$H294="Mahsup"),"",$G294&amp;"|"&amp;COUNTIFS($G$7:$G294,$G294,$H$7:$H294,"&lt;&gt;Mahsup"))</f>
        <v>MERKEZ KASA|225</v>
      </c>
    </row>
    <row r="295" spans="1:21" ht="18" customHeight="1" x14ac:dyDescent="0.3">
      <c r="A295" s="2"/>
      <c r="B295" s="65" t="str">
        <f t="shared" si="20"/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61" t="s">
        <v>623</v>
      </c>
      <c r="E295" s="66">
        <v>46144</v>
      </c>
      <c r="F295" s="67">
        <v>3000</v>
      </c>
      <c r="G295" s="60" t="s">
        <v>717</v>
      </c>
      <c r="H295" s="60" t="s">
        <v>572</v>
      </c>
      <c r="I295" s="61"/>
      <c r="J295" s="61" t="s">
        <v>720</v>
      </c>
      <c r="K295" s="61"/>
      <c r="L295" s="73">
        <f t="shared" si="21"/>
        <v>46143</v>
      </c>
      <c r="M295" s="65" t="str">
        <f t="shared" ca="1" si="22"/>
        <v>UYGUN</v>
      </c>
      <c r="N295" s="74" t="str">
        <f>IF($C295="","",IF($C295="TANIMSIZ MÜŞTERİ","—",INDEX(MUSTERILER!$C$7:$C$156,MATCH($C295,MUSTERILER!$B$7:$B$156,0))))</f>
        <v>KRİSTAL LTD.ŞTİ.</v>
      </c>
      <c r="O295" s="2"/>
      <c r="P295" s="2"/>
      <c r="Q295" s="1" t="str">
        <f>IF($D295="","",$C295&amp;"|"&amp;COUNTIFS($C$7:$C295,$C295))</f>
        <v>M020|17</v>
      </c>
      <c r="R295" s="1" t="str">
        <f t="shared" si="23"/>
        <v>KRISTALLTDSTI</v>
      </c>
      <c r="S295" s="1" t="str">
        <f t="shared" si="24"/>
        <v>M020|46144|3000|</v>
      </c>
      <c r="T295" s="1">
        <f>IF($E295="",0,SUMPRODUCT((AY_SONU!$O$7:$O$42="Evet")*(AY_SONU!$B$7:$B$42=DATE(YEAR($E295),MONTH($E295),1))))</f>
        <v>0</v>
      </c>
      <c r="U295" s="1" t="str">
        <f>IF(OR($G295="",$H295="Mahsup"),"",$G295&amp;"|"&amp;COUNTIFS($G$7:$G295,$G295,$H$7:$H295,"&lt;&gt;Mahsup"))</f>
        <v>MERKEZ KASA|226</v>
      </c>
    </row>
    <row r="296" spans="1:21" ht="18" customHeight="1" x14ac:dyDescent="0.3">
      <c r="A296" s="2"/>
      <c r="B296" s="65" t="str">
        <f t="shared" si="20"/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61" t="s">
        <v>654</v>
      </c>
      <c r="E296" s="66">
        <v>46144</v>
      </c>
      <c r="F296" s="67">
        <v>4000</v>
      </c>
      <c r="G296" s="60" t="s">
        <v>717</v>
      </c>
      <c r="H296" s="60" t="s">
        <v>572</v>
      </c>
      <c r="I296" s="61"/>
      <c r="J296" s="61" t="s">
        <v>720</v>
      </c>
      <c r="K296" s="61"/>
      <c r="L296" s="73">
        <f t="shared" si="21"/>
        <v>46143</v>
      </c>
      <c r="M296" s="65" t="str">
        <f t="shared" ca="1" si="22"/>
        <v>UYGUN</v>
      </c>
      <c r="N296" s="74" t="str">
        <f>IF($C296="","",IF($C296="TANIMSIZ MÜŞTERİ","—",INDEX(MUSTERILER!$C$7:$C$156,MATCH($C296,MUSTERILER!$B$7:$B$156,0))))</f>
        <v>PALAOĞULLARI LTD.ŞTİ.</v>
      </c>
      <c r="O296" s="2"/>
      <c r="P296" s="2"/>
      <c r="Q296" s="1" t="str">
        <f>IF($D296="","",$C296&amp;"|"&amp;COUNTIFS($C$7:$C296,$C296))</f>
        <v>M047|9</v>
      </c>
      <c r="R296" s="1" t="str">
        <f t="shared" si="23"/>
        <v>PALAOGULLARILTDSTI</v>
      </c>
      <c r="S296" s="1" t="str">
        <f t="shared" si="24"/>
        <v>M047|46144|4000|</v>
      </c>
      <c r="T296" s="1">
        <f>IF($E296="",0,SUMPRODUCT((AY_SONU!$O$7:$O$42="Evet")*(AY_SONU!$B$7:$B$42=DATE(YEAR($E296),MONTH($E296),1))))</f>
        <v>0</v>
      </c>
      <c r="U296" s="1" t="str">
        <f>IF(OR($G296="",$H296="Mahsup"),"",$G296&amp;"|"&amp;COUNTIFS($G$7:$G296,$G296,$H$7:$H296,"&lt;&gt;Mahsup"))</f>
        <v>MERKEZ KASA|227</v>
      </c>
    </row>
    <row r="297" spans="1:21" ht="18" customHeight="1" x14ac:dyDescent="0.3">
      <c r="A297" s="2"/>
      <c r="B297" s="65" t="str">
        <f t="shared" si="20"/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61" t="s">
        <v>674</v>
      </c>
      <c r="E297" s="66">
        <v>46144</v>
      </c>
      <c r="F297" s="67">
        <v>4000</v>
      </c>
      <c r="G297" s="60" t="s">
        <v>717</v>
      </c>
      <c r="H297" s="60" t="s">
        <v>572</v>
      </c>
      <c r="I297" s="61"/>
      <c r="J297" s="61" t="s">
        <v>720</v>
      </c>
      <c r="K297" s="61"/>
      <c r="L297" s="73">
        <f t="shared" si="21"/>
        <v>46143</v>
      </c>
      <c r="M297" s="65" t="str">
        <f t="shared" ca="1" si="22"/>
        <v>UYGUN</v>
      </c>
      <c r="N297" s="74" t="str">
        <f>IF($C297="","",IF($C297="TANIMSIZ MÜŞTERİ","—",INDEX(MUSTERILER!$C$7:$C$156,MATCH($C297,MUSTERILER!$B$7:$B$156,0))))</f>
        <v>YALIKENT LTD.ŞTİ.</v>
      </c>
      <c r="O297" s="2"/>
      <c r="P297" s="2"/>
      <c r="Q297" s="1" t="str">
        <f>IF($D297="","",$C297&amp;"|"&amp;COUNTIFS($C$7:$C297,$C297))</f>
        <v>M054|6</v>
      </c>
      <c r="R297" s="1" t="str">
        <f t="shared" si="23"/>
        <v>YALIKENTLTDSTI</v>
      </c>
      <c r="S297" s="1" t="str">
        <f t="shared" si="24"/>
        <v>M054|46144|4000|</v>
      </c>
      <c r="T297" s="1">
        <f>IF($E297="",0,SUMPRODUCT((AY_SONU!$O$7:$O$42="Evet")*(AY_SONU!$B$7:$B$42=DATE(YEAR($E297),MONTH($E297),1))))</f>
        <v>0</v>
      </c>
      <c r="U297" s="1" t="str">
        <f>IF(OR($G297="",$H297="Mahsup"),"",$G297&amp;"|"&amp;COUNTIFS($G$7:$G297,$G297,$H$7:$H297,"&lt;&gt;Mahsup"))</f>
        <v>MERKEZ KASA|228</v>
      </c>
    </row>
    <row r="298" spans="1:21" ht="18" customHeight="1" x14ac:dyDescent="0.3">
      <c r="A298" s="2"/>
      <c r="B298" s="65" t="str">
        <f t="shared" si="20"/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M006</v>
      </c>
      <c r="D298" s="61" t="s">
        <v>672</v>
      </c>
      <c r="E298" s="66">
        <v>46146</v>
      </c>
      <c r="F298" s="67">
        <v>5000</v>
      </c>
      <c r="G298" s="60" t="s">
        <v>717</v>
      </c>
      <c r="H298" s="60" t="s">
        <v>572</v>
      </c>
      <c r="I298" s="61"/>
      <c r="J298" s="61" t="s">
        <v>740</v>
      </c>
      <c r="K298" s="61"/>
      <c r="L298" s="73">
        <f t="shared" si="21"/>
        <v>46143</v>
      </c>
      <c r="M298" s="65" t="str">
        <f t="shared" ca="1" si="22"/>
        <v>UYGUN</v>
      </c>
      <c r="N298" s="74" t="str">
        <f>IF($C298="","",IF($C298="TANIMSIZ MÜŞTERİ","—",INDEX(MUSTERILER!$C$7:$C$156,MATCH($C298,MUSTERILER!$B$7:$B$156,0))))</f>
        <v>VOLKAN AÇIK</v>
      </c>
      <c r="O298" s="2"/>
      <c r="P298" s="2"/>
      <c r="Q298" s="1" t="str">
        <f>IF($D298="","",$C298&amp;"|"&amp;COUNTIFS($C$7:$C298,$C298))</f>
        <v>M006|3</v>
      </c>
      <c r="R298" s="1" t="str">
        <f t="shared" si="23"/>
        <v>VOLKANACIK</v>
      </c>
      <c r="S298" s="1" t="str">
        <f t="shared" si="24"/>
        <v>M006|46146|5000|</v>
      </c>
      <c r="T298" s="1">
        <f>IF($E298="",0,SUMPRODUCT((AY_SONU!$O$7:$O$42="Evet")*(AY_SONU!$B$7:$B$42=DATE(YEAR($E298),MONTH($E298),1))))</f>
        <v>0</v>
      </c>
      <c r="U298" s="1" t="str">
        <f>IF(OR($G298="",$H298="Mahsup"),"",$G298&amp;"|"&amp;COUNTIFS($G$7:$G298,$G298,$H$7:$H298,"&lt;&gt;Mahsup"))</f>
        <v>MERKEZ KASA|229</v>
      </c>
    </row>
    <row r="299" spans="1:21" ht="18" customHeight="1" x14ac:dyDescent="0.3">
      <c r="A299" s="2"/>
      <c r="B299" s="65" t="str">
        <f t="shared" si="20"/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M011</v>
      </c>
      <c r="D299" s="61" t="s">
        <v>730</v>
      </c>
      <c r="E299" s="66">
        <v>46151</v>
      </c>
      <c r="F299" s="67">
        <v>4000</v>
      </c>
      <c r="G299" s="60" t="s">
        <v>723</v>
      </c>
      <c r="H299" s="60" t="s">
        <v>572</v>
      </c>
      <c r="I299" s="61"/>
      <c r="J299" s="61" t="s">
        <v>724</v>
      </c>
      <c r="K299" s="61"/>
      <c r="L299" s="73">
        <f t="shared" si="21"/>
        <v>46143</v>
      </c>
      <c r="M299" s="65" t="str">
        <f t="shared" ca="1" si="22"/>
        <v>UYGUN</v>
      </c>
      <c r="N299" s="74" t="str">
        <f>IF($C299="","",IF($C299="TANIMSIZ MÜŞTERİ","—",INDEX(MUSTERILER!$C$7:$C$156,MATCH($C299,MUSTERILER!$B$7:$B$156,0))))</f>
        <v>EĞLENGÖR LTD.ŞTİ.</v>
      </c>
      <c r="O299" s="2"/>
      <c r="P299" s="2"/>
      <c r="Q299" s="1" t="str">
        <f>IF($D299="","",$C299&amp;"|"&amp;COUNTIFS($C$7:$C299,$C299))</f>
        <v>M011|17</v>
      </c>
      <c r="R299" s="1" t="str">
        <f t="shared" si="23"/>
        <v>EGLENGORLTDSTI</v>
      </c>
      <c r="S299" s="1" t="str">
        <f t="shared" si="24"/>
        <v>M011|46151|4000|</v>
      </c>
      <c r="T299" s="1">
        <f>IF($E299="",0,SUMPRODUCT((AY_SONU!$O$7:$O$42="Evet")*(AY_SONU!$B$7:$B$42=DATE(YEAR($E299),MONTH($E299),1))))</f>
        <v>0</v>
      </c>
      <c r="U299" s="1" t="str">
        <f>IF(OR($G299="",$H299="Mahsup"),"",$G299&amp;"|"&amp;COUNTIFS($G$7:$G299,$G299,$H$7:$H299,"&lt;&gt;Mahsup"))</f>
        <v>ÖMER KARTAL|64</v>
      </c>
    </row>
    <row r="300" spans="1:21" ht="18" customHeight="1" x14ac:dyDescent="0.3">
      <c r="A300" s="2"/>
      <c r="B300" s="65" t="str">
        <f t="shared" si="20"/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M012</v>
      </c>
      <c r="D300" s="61" t="s">
        <v>721</v>
      </c>
      <c r="E300" s="66">
        <v>46151</v>
      </c>
      <c r="F300" s="67">
        <v>4000</v>
      </c>
      <c r="G300" s="60" t="s">
        <v>723</v>
      </c>
      <c r="H300" s="60" t="s">
        <v>572</v>
      </c>
      <c r="I300" s="61"/>
      <c r="J300" s="61" t="s">
        <v>724</v>
      </c>
      <c r="K300" s="61"/>
      <c r="L300" s="73">
        <f t="shared" si="21"/>
        <v>46143</v>
      </c>
      <c r="M300" s="65" t="str">
        <f t="shared" ca="1" si="22"/>
        <v>UYGUN</v>
      </c>
      <c r="N300" s="74" t="str">
        <f>IF($C300="","",IF($C300="TANIMSIZ MÜŞTERİ","—",INDEX(MUSTERILER!$C$7:$C$156,MATCH($C300,MUSTERILER!$B$7:$B$156,0))))</f>
        <v>İLDEŞ LTD.ŞTİ.</v>
      </c>
      <c r="O300" s="2"/>
      <c r="P300" s="2"/>
      <c r="Q300" s="1" t="str">
        <f>IF($D300="","",$C300&amp;"|"&amp;COUNTIFS($C$7:$C300,$C300))</f>
        <v>M012|18</v>
      </c>
      <c r="R300" s="1" t="str">
        <f t="shared" si="23"/>
        <v>ILDESLTDSTI</v>
      </c>
      <c r="S300" s="1" t="str">
        <f t="shared" si="24"/>
        <v>M012|46151|4000|</v>
      </c>
      <c r="T300" s="1">
        <f>IF($E300="",0,SUMPRODUCT((AY_SONU!$O$7:$O$42="Evet")*(AY_SONU!$B$7:$B$42=DATE(YEAR($E300),MONTH($E300),1))))</f>
        <v>0</v>
      </c>
      <c r="U300" s="1" t="str">
        <f>IF(OR($G300="",$H300="Mahsup"),"",$G300&amp;"|"&amp;COUNTIFS($G$7:$G300,$G300,$H$7:$H300,"&lt;&gt;Mahsup"))</f>
        <v>ÖMER KARTAL|65</v>
      </c>
    </row>
    <row r="301" spans="1:21" ht="18" customHeight="1" x14ac:dyDescent="0.3">
      <c r="A301" s="2"/>
      <c r="B301" s="65" t="str">
        <f t="shared" si="20"/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M001</v>
      </c>
      <c r="D301" s="61" t="s">
        <v>729</v>
      </c>
      <c r="E301" s="66">
        <v>46151</v>
      </c>
      <c r="F301" s="67">
        <v>14000</v>
      </c>
      <c r="G301" s="60" t="s">
        <v>717</v>
      </c>
      <c r="H301" s="60" t="s">
        <v>572</v>
      </c>
      <c r="I301" s="61"/>
      <c r="J301" s="61" t="s">
        <v>720</v>
      </c>
      <c r="K301" s="61"/>
      <c r="L301" s="73">
        <f t="shared" si="21"/>
        <v>46143</v>
      </c>
      <c r="M301" s="65" t="str">
        <f t="shared" ca="1" si="22"/>
        <v>UYGUN</v>
      </c>
      <c r="N301" s="74" t="str">
        <f>IF($C301="","",IF($C301="TANIMSIZ MÜŞTERİ","—",INDEX(MUSTERILER!$C$7:$C$156,MATCH($C301,MUSTERILER!$B$7:$B$156,0))))</f>
        <v>ANKARA HAVANA LTD.ŞTİ.</v>
      </c>
      <c r="O301" s="2"/>
      <c r="P301" s="2"/>
      <c r="Q301" s="1" t="str">
        <f>IF($D301="","",$C301&amp;"|"&amp;COUNTIFS($C$7:$C301,$C301))</f>
        <v>M001|8</v>
      </c>
      <c r="R301" s="1" t="str">
        <f t="shared" si="23"/>
        <v>ANKARAHAVANALTDSTI</v>
      </c>
      <c r="S301" s="1" t="str">
        <f t="shared" si="24"/>
        <v>M001|46151|14000|</v>
      </c>
      <c r="T301" s="1">
        <f>IF($E301="",0,SUMPRODUCT((AY_SONU!$O$7:$O$42="Evet")*(AY_SONU!$B$7:$B$42=DATE(YEAR($E301),MONTH($E301),1))))</f>
        <v>0</v>
      </c>
      <c r="U301" s="1" t="str">
        <f>IF(OR($G301="",$H301="Mahsup"),"",$G301&amp;"|"&amp;COUNTIFS($G$7:$G301,$G301,$H$7:$H301,"&lt;&gt;Mahsup"))</f>
        <v>MERKEZ KASA|230</v>
      </c>
    </row>
    <row r="302" spans="1:21" ht="18" customHeight="1" x14ac:dyDescent="0.3">
      <c r="A302" s="2"/>
      <c r="B302" s="65" t="str">
        <f t="shared" si="20"/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M009</v>
      </c>
      <c r="D302" s="61" t="s">
        <v>735</v>
      </c>
      <c r="E302" s="66">
        <v>46151</v>
      </c>
      <c r="F302" s="67">
        <v>4000</v>
      </c>
      <c r="G302" s="60" t="s">
        <v>723</v>
      </c>
      <c r="H302" s="60" t="s">
        <v>572</v>
      </c>
      <c r="I302" s="61"/>
      <c r="J302" s="61" t="s">
        <v>724</v>
      </c>
      <c r="K302" s="61"/>
      <c r="L302" s="73">
        <f t="shared" si="21"/>
        <v>46143</v>
      </c>
      <c r="M302" s="65" t="str">
        <f t="shared" ca="1" si="22"/>
        <v>UYGUN</v>
      </c>
      <c r="N302" s="74" t="str">
        <f>IF($C302="","",IF($C302="TANIMSIZ MÜŞTERİ","—",INDEX(MUSTERILER!$C$7:$C$156,MATCH($C302,MUSTERILER!$B$7:$B$156,0))))</f>
        <v>PAKYILDIZ LTD.ŞTİ.</v>
      </c>
      <c r="O302" s="2"/>
      <c r="P302" s="2"/>
      <c r="Q302" s="1" t="str">
        <f>IF($D302="","",$C302&amp;"|"&amp;COUNTIFS($C$7:$C302,$C302))</f>
        <v>M009|14</v>
      </c>
      <c r="R302" s="1" t="str">
        <f t="shared" si="23"/>
        <v>PAKYILDIZLTDSTI</v>
      </c>
      <c r="S302" s="1" t="str">
        <f t="shared" si="24"/>
        <v>M009|46151|4000|</v>
      </c>
      <c r="T302" s="1">
        <f>IF($E302="",0,SUMPRODUCT((AY_SONU!$O$7:$O$42="Evet")*(AY_SONU!$B$7:$B$42=DATE(YEAR($E302),MONTH($E302),1))))</f>
        <v>0</v>
      </c>
      <c r="U302" s="1" t="str">
        <f>IF(OR($G302="",$H302="Mahsup"),"",$G302&amp;"|"&amp;COUNTIFS($G$7:$G302,$G302,$H$7:$H302,"&lt;&gt;Mahsup"))</f>
        <v>ÖMER KARTAL|66</v>
      </c>
    </row>
    <row r="303" spans="1:21" ht="18" customHeight="1" x14ac:dyDescent="0.3">
      <c r="A303" s="2"/>
      <c r="B303" s="65" t="str">
        <f t="shared" si="20"/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M025</v>
      </c>
      <c r="D303" s="61" t="s">
        <v>583</v>
      </c>
      <c r="E303" s="66">
        <v>46151</v>
      </c>
      <c r="F303" s="67">
        <v>2000</v>
      </c>
      <c r="G303" s="60" t="s">
        <v>717</v>
      </c>
      <c r="H303" s="60" t="s">
        <v>572</v>
      </c>
      <c r="I303" s="61"/>
      <c r="J303" s="61" t="s">
        <v>720</v>
      </c>
      <c r="K303" s="61"/>
      <c r="L303" s="73">
        <f t="shared" si="21"/>
        <v>46143</v>
      </c>
      <c r="M303" s="65" t="str">
        <f t="shared" ca="1" si="22"/>
        <v>UYGUN</v>
      </c>
      <c r="N303" s="74" t="str">
        <f>IF($C303="","",IF($C303="TANIMSIZ MÜŞTERİ","—",INDEX(MUSTERILER!$C$7:$C$156,MATCH($C303,MUSTERILER!$B$7:$B$156,0))))</f>
        <v>ASIM AÇIKGÖZ</v>
      </c>
      <c r="O303" s="2"/>
      <c r="P303" s="2"/>
      <c r="Q303" s="1" t="str">
        <f>IF($D303="","",$C303&amp;"|"&amp;COUNTIFS($C$7:$C303,$C303))</f>
        <v>M025|14</v>
      </c>
      <c r="R303" s="1" t="str">
        <f t="shared" si="23"/>
        <v>ASIMACIKGOZ</v>
      </c>
      <c r="S303" s="1" t="str">
        <f t="shared" si="24"/>
        <v>M025|46151|2000|</v>
      </c>
      <c r="T303" s="1">
        <f>IF($E303="",0,SUMPRODUCT((AY_SONU!$O$7:$O$42="Evet")*(AY_SONU!$B$7:$B$42=DATE(YEAR($E303),MONTH($E303),1))))</f>
        <v>0</v>
      </c>
      <c r="U303" s="1" t="str">
        <f>IF(OR($G303="",$H303="Mahsup"),"",$G303&amp;"|"&amp;COUNTIFS($G$7:$G303,$G303,$H$7:$H303,"&lt;&gt;Mahsup"))</f>
        <v>MERKEZ KASA|231</v>
      </c>
    </row>
    <row r="304" spans="1:21" ht="18" customHeight="1" x14ac:dyDescent="0.3">
      <c r="A304" s="2"/>
      <c r="B304" s="65" t="str">
        <f t="shared" si="20"/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M015</v>
      </c>
      <c r="D304" s="61" t="s">
        <v>719</v>
      </c>
      <c r="E304" s="66">
        <v>46151</v>
      </c>
      <c r="F304" s="67">
        <v>3000</v>
      </c>
      <c r="G304" s="60" t="s">
        <v>717</v>
      </c>
      <c r="H304" s="60" t="s">
        <v>572</v>
      </c>
      <c r="I304" s="61"/>
      <c r="J304" s="61" t="s">
        <v>720</v>
      </c>
      <c r="K304" s="61"/>
      <c r="L304" s="73">
        <f t="shared" si="21"/>
        <v>46143</v>
      </c>
      <c r="M304" s="65" t="str">
        <f t="shared" ca="1" si="22"/>
        <v>UYGUN</v>
      </c>
      <c r="N304" s="74" t="str">
        <f>IF($C304="","",IF($C304="TANIMSIZ MÜŞTERİ","—",INDEX(MUSTERILER!$C$7:$C$156,MATCH($C304,MUSTERILER!$B$7:$B$156,0))))</f>
        <v>ÇAYIRALAN LTD.ŞTİ.</v>
      </c>
      <c r="O304" s="2"/>
      <c r="P304" s="2"/>
      <c r="Q304" s="1" t="str">
        <f>IF($D304="","",$C304&amp;"|"&amp;COUNTIFS($C$7:$C304,$C304))</f>
        <v>M015|16</v>
      </c>
      <c r="R304" s="1" t="str">
        <f t="shared" si="23"/>
        <v>CAYIRALANLTDSTI</v>
      </c>
      <c r="S304" s="1" t="str">
        <f t="shared" si="24"/>
        <v>M015|46151|3000|</v>
      </c>
      <c r="T304" s="1">
        <f>IF($E304="",0,SUMPRODUCT((AY_SONU!$O$7:$O$42="Evet")*(AY_SONU!$B$7:$B$42=DATE(YEAR($E304),MONTH($E304),1))))</f>
        <v>0</v>
      </c>
      <c r="U304" s="1" t="str">
        <f>IF(OR($G304="",$H304="Mahsup"),"",$G304&amp;"|"&amp;COUNTIFS($G$7:$G304,$G304,$H$7:$H304,"&lt;&gt;Mahsup"))</f>
        <v>MERKEZ KASA|232</v>
      </c>
    </row>
    <row r="305" spans="1:21" ht="18" customHeight="1" x14ac:dyDescent="0.3">
      <c r="A305" s="2"/>
      <c r="B305" s="65" t="str">
        <f t="shared" si="20"/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M018</v>
      </c>
      <c r="D305" s="61" t="s">
        <v>593</v>
      </c>
      <c r="E305" s="66">
        <v>46151</v>
      </c>
      <c r="F305" s="67">
        <v>2500</v>
      </c>
      <c r="G305" s="60" t="s">
        <v>723</v>
      </c>
      <c r="H305" s="60" t="s">
        <v>572</v>
      </c>
      <c r="I305" s="61"/>
      <c r="J305" s="61" t="s">
        <v>720</v>
      </c>
      <c r="K305" s="61"/>
      <c r="L305" s="73">
        <f t="shared" si="21"/>
        <v>46143</v>
      </c>
      <c r="M305" s="65" t="str">
        <f t="shared" ca="1" si="22"/>
        <v>UYGUN</v>
      </c>
      <c r="N305" s="74" t="str">
        <f>IF($C305="","",IF($C305="TANIMSIZ MÜŞTERİ","—",INDEX(MUSTERILER!$C$7:$C$156,MATCH($C305,MUSTERILER!$B$7:$B$156,0))))</f>
        <v>ÇINARHAN LTD.ŞTİ.</v>
      </c>
      <c r="O305" s="2"/>
      <c r="P305" s="2"/>
      <c r="Q305" s="1" t="str">
        <f>IF($D305="","",$C305&amp;"|"&amp;COUNTIFS($C$7:$C305,$C305))</f>
        <v>M018|12</v>
      </c>
      <c r="R305" s="1" t="str">
        <f t="shared" si="23"/>
        <v>CINARHANLTDSTI</v>
      </c>
      <c r="S305" s="1" t="str">
        <f t="shared" si="24"/>
        <v>M018|46151|2500|</v>
      </c>
      <c r="T305" s="1">
        <f>IF($E305="",0,SUMPRODUCT((AY_SONU!$O$7:$O$42="Evet")*(AY_SONU!$B$7:$B$42=DATE(YEAR($E305),MONTH($E305),1))))</f>
        <v>0</v>
      </c>
      <c r="U305" s="1" t="str">
        <f>IF(OR($G305="",$H305="Mahsup"),"",$G305&amp;"|"&amp;COUNTIFS($G$7:$G305,$G305,$H$7:$H305,"&lt;&gt;Mahsup"))</f>
        <v>ÖMER KARTAL|67</v>
      </c>
    </row>
    <row r="306" spans="1:21" ht="18" customHeight="1" x14ac:dyDescent="0.3">
      <c r="A306" s="2"/>
      <c r="B306" s="65" t="str">
        <f t="shared" si="20"/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M018</v>
      </c>
      <c r="D306" s="61" t="s">
        <v>593</v>
      </c>
      <c r="E306" s="66">
        <v>46151</v>
      </c>
      <c r="F306" s="67">
        <v>17500</v>
      </c>
      <c r="G306" s="60" t="s">
        <v>723</v>
      </c>
      <c r="H306" s="60" t="s">
        <v>572</v>
      </c>
      <c r="I306" s="61"/>
      <c r="J306" s="61" t="s">
        <v>720</v>
      </c>
      <c r="K306" s="61"/>
      <c r="L306" s="73">
        <f t="shared" si="21"/>
        <v>46143</v>
      </c>
      <c r="M306" s="65" t="str">
        <f t="shared" ca="1" si="22"/>
        <v>UYGUN</v>
      </c>
      <c r="N306" s="74" t="str">
        <f>IF($C306="","",IF($C306="TANIMSIZ MÜŞTERİ","—",INDEX(MUSTERILER!$C$7:$C$156,MATCH($C306,MUSTERILER!$B$7:$B$156,0))))</f>
        <v>ÇINARHAN LTD.ŞTİ.</v>
      </c>
      <c r="O306" s="2"/>
      <c r="P306" s="2"/>
      <c r="Q306" s="1" t="str">
        <f>IF($D306="","",$C306&amp;"|"&amp;COUNTIFS($C$7:$C306,$C306))</f>
        <v>M018|13</v>
      </c>
      <c r="R306" s="1" t="str">
        <f t="shared" si="23"/>
        <v>CINARHANLTDSTI</v>
      </c>
      <c r="S306" s="1" t="str">
        <f t="shared" si="24"/>
        <v>M018|46151|17500|</v>
      </c>
      <c r="T306" s="1">
        <f>IF($E306="",0,SUMPRODUCT((AY_SONU!$O$7:$O$42="Evet")*(AY_SONU!$B$7:$B$42=DATE(YEAR($E306),MONTH($E306),1))))</f>
        <v>0</v>
      </c>
      <c r="U306" s="1" t="str">
        <f>IF(OR($G306="",$H306="Mahsup"),"",$G306&amp;"|"&amp;COUNTIFS($G$7:$G306,$G306,$H$7:$H306,"&lt;&gt;Mahsup"))</f>
        <v>ÖMER KARTAL|68</v>
      </c>
    </row>
    <row r="307" spans="1:21" ht="18" customHeight="1" x14ac:dyDescent="0.3">
      <c r="A307" s="2"/>
      <c r="B307" s="65" t="str">
        <f t="shared" si="20"/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M014</v>
      </c>
      <c r="D307" s="61" t="s">
        <v>731</v>
      </c>
      <c r="E307" s="66">
        <v>46151</v>
      </c>
      <c r="F307" s="67">
        <v>4000</v>
      </c>
      <c r="G307" s="60" t="s">
        <v>717</v>
      </c>
      <c r="H307" s="60" t="s">
        <v>572</v>
      </c>
      <c r="I307" s="61"/>
      <c r="J307" s="61" t="s">
        <v>720</v>
      </c>
      <c r="K307" s="61"/>
      <c r="L307" s="73">
        <f t="shared" si="21"/>
        <v>46143</v>
      </c>
      <c r="M307" s="65" t="str">
        <f t="shared" ca="1" si="22"/>
        <v>UYGUN</v>
      </c>
      <c r="N307" s="74" t="str">
        <f>IF($C307="","",IF($C307="TANIMSIZ MÜŞTERİ","—",INDEX(MUSTERILER!$C$7:$C$156,MATCH($C307,MUSTERILER!$B$7:$B$156,0))))</f>
        <v>FİNAL SİYAH BEYAZ LTD.ŞTİ.</v>
      </c>
      <c r="O307" s="2"/>
      <c r="P307" s="2"/>
      <c r="Q307" s="1" t="str">
        <f>IF($D307="","",$C307&amp;"|"&amp;COUNTIFS($C$7:$C307,$C307))</f>
        <v>M014|16</v>
      </c>
      <c r="R307" s="1" t="str">
        <f t="shared" si="23"/>
        <v>FINALSIYAHBEYAZLTDSTI</v>
      </c>
      <c r="S307" s="1" t="str">
        <f t="shared" si="24"/>
        <v>M014|46151|4000|</v>
      </c>
      <c r="T307" s="1">
        <f>IF($E307="",0,SUMPRODUCT((AY_SONU!$O$7:$O$42="Evet")*(AY_SONU!$B$7:$B$42=DATE(YEAR($E307),MONTH($E307),1))))</f>
        <v>0</v>
      </c>
      <c r="U307" s="1" t="str">
        <f>IF(OR($G307="",$H307="Mahsup"),"",$G307&amp;"|"&amp;COUNTIFS($G$7:$G307,$G307,$H$7:$H307,"&lt;&gt;Mahsup"))</f>
        <v>MERKEZ KASA|233</v>
      </c>
    </row>
    <row r="308" spans="1:21" ht="18" customHeight="1" x14ac:dyDescent="0.3">
      <c r="A308" s="2"/>
      <c r="B308" s="65" t="str">
        <f t="shared" si="20"/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M047</v>
      </c>
      <c r="D308" s="61" t="s">
        <v>654</v>
      </c>
      <c r="E308" s="66">
        <v>46151</v>
      </c>
      <c r="F308" s="67">
        <v>4000</v>
      </c>
      <c r="G308" s="60" t="s">
        <v>723</v>
      </c>
      <c r="H308" s="60" t="s">
        <v>572</v>
      </c>
      <c r="I308" s="61"/>
      <c r="J308" s="61" t="s">
        <v>720</v>
      </c>
      <c r="K308" s="61"/>
      <c r="L308" s="73">
        <f t="shared" si="21"/>
        <v>46143</v>
      </c>
      <c r="M308" s="65" t="str">
        <f t="shared" ca="1" si="22"/>
        <v>UYGUN</v>
      </c>
      <c r="N308" s="74" t="str">
        <f>IF($C308="","",IF($C308="TANIMSIZ MÜŞTERİ","—",INDEX(MUSTERILER!$C$7:$C$156,MATCH($C308,MUSTERILER!$B$7:$B$156,0))))</f>
        <v>PALAOĞULLARI LTD.ŞTİ.</v>
      </c>
      <c r="O308" s="2"/>
      <c r="P308" s="2"/>
      <c r="Q308" s="1" t="str">
        <f>IF($D308="","",$C308&amp;"|"&amp;COUNTIFS($C$7:$C308,$C308))</f>
        <v>M047|10</v>
      </c>
      <c r="R308" s="1" t="str">
        <f t="shared" si="23"/>
        <v>PALAOGULLARILTDSTI</v>
      </c>
      <c r="S308" s="1" t="str">
        <f t="shared" si="24"/>
        <v>M047|46151|4000|</v>
      </c>
      <c r="T308" s="1">
        <f>IF($E308="",0,SUMPRODUCT((AY_SONU!$O$7:$O$42="Evet")*(AY_SONU!$B$7:$B$42=DATE(YEAR($E308),MONTH($E308),1))))</f>
        <v>0</v>
      </c>
      <c r="U308" s="1" t="str">
        <f>IF(OR($G308="",$H308="Mahsup"),"",$G308&amp;"|"&amp;COUNTIFS($G$7:$G308,$G308,$H$7:$H308,"&lt;&gt;Mahsup"))</f>
        <v>ÖMER KARTAL|69</v>
      </c>
    </row>
    <row r="309" spans="1:21" ht="18" customHeight="1" x14ac:dyDescent="0.3">
      <c r="A309" s="2"/>
      <c r="B309" s="65" t="str">
        <f t="shared" si="20"/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M034</v>
      </c>
      <c r="D309" s="61" t="s">
        <v>732</v>
      </c>
      <c r="E309" s="66">
        <v>46151</v>
      </c>
      <c r="F309" s="67">
        <v>4000</v>
      </c>
      <c r="G309" s="60" t="s">
        <v>717</v>
      </c>
      <c r="H309" s="60" t="s">
        <v>572</v>
      </c>
      <c r="I309" s="61"/>
      <c r="J309" s="61" t="s">
        <v>720</v>
      </c>
      <c r="K309" s="61"/>
      <c r="L309" s="73">
        <f t="shared" si="21"/>
        <v>46143</v>
      </c>
      <c r="M309" s="65" t="str">
        <f t="shared" ca="1" si="22"/>
        <v>UYGUN</v>
      </c>
      <c r="N309" s="74" t="str">
        <f>IF($C309="","",IF($C309="TANIMSIZ MÜŞTERİ","—",INDEX(MUSTERILER!$C$7:$C$156,MATCH($C309,MUSTERILER!$B$7:$B$156,0))))</f>
        <v>İBRAHİM MALDAN</v>
      </c>
      <c r="O309" s="2"/>
      <c r="P309" s="2"/>
      <c r="Q309" s="1" t="str">
        <f>IF($D309="","",$C309&amp;"|"&amp;COUNTIFS($C$7:$C309,$C309))</f>
        <v>M034|14</v>
      </c>
      <c r="R309" s="1" t="str">
        <f t="shared" si="23"/>
        <v>IBRAHIMMALDAN</v>
      </c>
      <c r="S309" s="1" t="str">
        <f t="shared" si="24"/>
        <v>M034|46151|4000|</v>
      </c>
      <c r="T309" s="1">
        <f>IF($E309="",0,SUMPRODUCT((AY_SONU!$O$7:$O$42="Evet")*(AY_SONU!$B$7:$B$42=DATE(YEAR($E309),MONTH($E309),1))))</f>
        <v>0</v>
      </c>
      <c r="U309" s="1" t="str">
        <f>IF(OR($G309="",$H309="Mahsup"),"",$G309&amp;"|"&amp;COUNTIFS($G$7:$G309,$G309,$H$7:$H309,"&lt;&gt;Mahsup"))</f>
        <v>MERKEZ KASA|234</v>
      </c>
    </row>
    <row r="310" spans="1:21" ht="18" customHeight="1" x14ac:dyDescent="0.3">
      <c r="A310" s="2"/>
      <c r="B310" s="65" t="str">
        <f t="shared" si="20"/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M013</v>
      </c>
      <c r="D310" s="61" t="s">
        <v>734</v>
      </c>
      <c r="E310" s="66">
        <v>46151</v>
      </c>
      <c r="F310" s="67">
        <v>650</v>
      </c>
      <c r="G310" s="60" t="s">
        <v>717</v>
      </c>
      <c r="H310" s="60" t="s">
        <v>572</v>
      </c>
      <c r="I310" s="61"/>
      <c r="J310" s="61" t="s">
        <v>720</v>
      </c>
      <c r="K310" s="61"/>
      <c r="L310" s="73">
        <f t="shared" si="21"/>
        <v>46143</v>
      </c>
      <c r="M310" s="65" t="str">
        <f t="shared" ca="1" si="22"/>
        <v>UYGUN</v>
      </c>
      <c r="N310" s="74" t="str">
        <f>IF($C310="","",IF($C310="TANIMSIZ MÜŞTERİ","—",INDEX(MUSTERILER!$C$7:$C$156,MATCH($C310,MUSTERILER!$B$7:$B$156,0))))</f>
        <v>NAZ 1 GIDA LTD.ŞTİ.</v>
      </c>
      <c r="O310" s="2"/>
      <c r="P310" s="2"/>
      <c r="Q310" s="1" t="str">
        <f>IF($D310="","",$C310&amp;"|"&amp;COUNTIFS($C$7:$C310,$C310))</f>
        <v>M013|12</v>
      </c>
      <c r="R310" s="1" t="str">
        <f t="shared" si="23"/>
        <v>NAZ1GIDALTDSTI</v>
      </c>
      <c r="S310" s="1" t="str">
        <f t="shared" si="24"/>
        <v>M013|46151|650|</v>
      </c>
      <c r="T310" s="1">
        <f>IF($E310="",0,SUMPRODUCT((AY_SONU!$O$7:$O$42="Evet")*(AY_SONU!$B$7:$B$42=DATE(YEAR($E310),MONTH($E310),1))))</f>
        <v>0</v>
      </c>
      <c r="U310" s="1" t="str">
        <f>IF(OR($G310="",$H310="Mahsup"),"",$G310&amp;"|"&amp;COUNTIFS($G$7:$G310,$G310,$H$7:$H310,"&lt;&gt;Mahsup"))</f>
        <v>MERKEZ KASA|235</v>
      </c>
    </row>
    <row r="311" spans="1:21" ht="18" customHeight="1" x14ac:dyDescent="0.3">
      <c r="A311" s="2"/>
      <c r="B311" s="65" t="str">
        <f t="shared" si="20"/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M016</v>
      </c>
      <c r="D311" s="61" t="s">
        <v>736</v>
      </c>
      <c r="E311" s="66">
        <v>46151</v>
      </c>
      <c r="F311" s="67">
        <v>3000</v>
      </c>
      <c r="G311" s="60" t="s">
        <v>717</v>
      </c>
      <c r="H311" s="60" t="s">
        <v>572</v>
      </c>
      <c r="I311" s="61"/>
      <c r="J311" s="61" t="s">
        <v>720</v>
      </c>
      <c r="K311" s="61"/>
      <c r="L311" s="73">
        <f t="shared" si="21"/>
        <v>46143</v>
      </c>
      <c r="M311" s="65" t="str">
        <f t="shared" ca="1" si="22"/>
        <v>UYGUN</v>
      </c>
      <c r="N311" s="74" t="str">
        <f>IF($C311="","",IF($C311="TANIMSIZ MÜŞTERİ","—",INDEX(MUSTERILER!$C$7:$C$156,MATCH($C311,MUSTERILER!$B$7:$B$156,0))))</f>
        <v>RİX ŞOW LTD.ŞTİ.</v>
      </c>
      <c r="O311" s="2"/>
      <c r="P311" s="2"/>
      <c r="Q311" s="1" t="str">
        <f>IF($D311="","",$C311&amp;"|"&amp;COUNTIFS($C$7:$C311,$C311))</f>
        <v>M016|18</v>
      </c>
      <c r="R311" s="1" t="str">
        <f t="shared" si="23"/>
        <v>RIXSOWLTDSTI</v>
      </c>
      <c r="S311" s="1" t="str">
        <f t="shared" si="24"/>
        <v>M016|46151|3000|</v>
      </c>
      <c r="T311" s="1">
        <f>IF($E311="",0,SUMPRODUCT((AY_SONU!$O$7:$O$42="Evet")*(AY_SONU!$B$7:$B$42=DATE(YEAR($E311),MONTH($E311),1))))</f>
        <v>0</v>
      </c>
      <c r="U311" s="1" t="str">
        <f>IF(OR($G311="",$H311="Mahsup"),"",$G311&amp;"|"&amp;COUNTIFS($G$7:$G311,$G311,$H$7:$H311,"&lt;&gt;Mahsup"))</f>
        <v>MERKEZ KASA|236</v>
      </c>
    </row>
    <row r="312" spans="1:21" ht="18" customHeight="1" x14ac:dyDescent="0.3">
      <c r="A312" s="2"/>
      <c r="B312" s="65" t="str">
        <f t="shared" si="20"/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M005</v>
      </c>
      <c r="D312" s="61" t="s">
        <v>722</v>
      </c>
      <c r="E312" s="66">
        <v>46151</v>
      </c>
      <c r="F312" s="67">
        <v>1750</v>
      </c>
      <c r="G312" s="60" t="s">
        <v>717</v>
      </c>
      <c r="H312" s="60" t="s">
        <v>572</v>
      </c>
      <c r="I312" s="61"/>
      <c r="J312" s="61" t="s">
        <v>720</v>
      </c>
      <c r="K312" s="61"/>
      <c r="L312" s="73">
        <f t="shared" si="21"/>
        <v>46143</v>
      </c>
      <c r="M312" s="65" t="str">
        <f t="shared" ca="1" si="22"/>
        <v>UYGUN</v>
      </c>
      <c r="N312" s="74" t="str">
        <f>IF($C312="","",IF($C312="TANIMSIZ MÜŞTERİ","—",INDEX(MUSTERILER!$C$7:$C$156,MATCH($C312,MUSTERILER!$B$7:$B$156,0))))</f>
        <v>ZÜMRÜT GRUP LTD.ŞTİ.</v>
      </c>
      <c r="O312" s="2"/>
      <c r="P312" s="2"/>
      <c r="Q312" s="1" t="str">
        <f>IF($D312="","",$C312&amp;"|"&amp;COUNTIFS($C$7:$C312,$C312))</f>
        <v>M005|15</v>
      </c>
      <c r="R312" s="1" t="str">
        <f t="shared" si="23"/>
        <v>ZUMRUTGRUPLTDSTI</v>
      </c>
      <c r="S312" s="1" t="str">
        <f t="shared" si="24"/>
        <v>M005|46151|1750|</v>
      </c>
      <c r="T312" s="1">
        <f>IF($E312="",0,SUMPRODUCT((AY_SONU!$O$7:$O$42="Evet")*(AY_SONU!$B$7:$B$42=DATE(YEAR($E312),MONTH($E312),1))))</f>
        <v>0</v>
      </c>
      <c r="U312" s="1" t="str">
        <f>IF(OR($G312="",$H312="Mahsup"),"",$G312&amp;"|"&amp;COUNTIFS($G$7:$G312,$G312,$H$7:$H312,"&lt;&gt;Mahsup"))</f>
        <v>MERKEZ KASA|237</v>
      </c>
    </row>
    <row r="313" spans="1:21" ht="18" customHeight="1" x14ac:dyDescent="0.3">
      <c r="A313" s="2"/>
      <c r="B313" s="65" t="str">
        <f t="shared" si="20"/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M020</v>
      </c>
      <c r="D313" s="61" t="s">
        <v>623</v>
      </c>
      <c r="E313" s="66">
        <v>46151</v>
      </c>
      <c r="F313" s="67">
        <v>3000</v>
      </c>
      <c r="G313" s="60" t="s">
        <v>717</v>
      </c>
      <c r="H313" s="60" t="s">
        <v>572</v>
      </c>
      <c r="I313" s="61"/>
      <c r="J313" s="61" t="s">
        <v>720</v>
      </c>
      <c r="K313" s="61"/>
      <c r="L313" s="73">
        <f t="shared" si="21"/>
        <v>46143</v>
      </c>
      <c r="M313" s="65" t="str">
        <f t="shared" ca="1" si="22"/>
        <v>UYGUN</v>
      </c>
      <c r="N313" s="74" t="str">
        <f>IF($C313="","",IF($C313="TANIMSIZ MÜŞTERİ","—",INDEX(MUSTERILER!$C$7:$C$156,MATCH($C313,MUSTERILER!$B$7:$B$156,0))))</f>
        <v>KRİSTAL LTD.ŞTİ.</v>
      </c>
      <c r="O313" s="2"/>
      <c r="P313" s="2"/>
      <c r="Q313" s="1" t="str">
        <f>IF($D313="","",$C313&amp;"|"&amp;COUNTIFS($C$7:$C313,$C313))</f>
        <v>M020|18</v>
      </c>
      <c r="R313" s="1" t="str">
        <f t="shared" si="23"/>
        <v>KRISTALLTDSTI</v>
      </c>
      <c r="S313" s="1" t="str">
        <f t="shared" si="24"/>
        <v>M020|46151|3000|</v>
      </c>
      <c r="T313" s="1">
        <f>IF($E313="",0,SUMPRODUCT((AY_SONU!$O$7:$O$42="Evet")*(AY_SONU!$B$7:$B$42=DATE(YEAR($E313),MONTH($E313),1))))</f>
        <v>0</v>
      </c>
      <c r="U313" s="1" t="str">
        <f>IF(OR($G313="",$H313="Mahsup"),"",$G313&amp;"|"&amp;COUNTIFS($G$7:$G313,$G313,$H$7:$H313,"&lt;&gt;Mahsup"))</f>
        <v>MERKEZ KASA|238</v>
      </c>
    </row>
    <row r="314" spans="1:21" ht="18" customHeight="1" x14ac:dyDescent="0.3">
      <c r="A314" s="2"/>
      <c r="B314" s="65" t="str">
        <f t="shared" si="20"/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M054</v>
      </c>
      <c r="D314" s="61" t="s">
        <v>674</v>
      </c>
      <c r="E314" s="66">
        <v>46151</v>
      </c>
      <c r="F314" s="67">
        <v>4000</v>
      </c>
      <c r="G314" s="60" t="s">
        <v>717</v>
      </c>
      <c r="H314" s="60" t="s">
        <v>572</v>
      </c>
      <c r="I314" s="61"/>
      <c r="J314" s="61" t="s">
        <v>720</v>
      </c>
      <c r="K314" s="61"/>
      <c r="L314" s="73">
        <f t="shared" si="21"/>
        <v>46143</v>
      </c>
      <c r="M314" s="65" t="str">
        <f t="shared" ca="1" si="22"/>
        <v>UYGUN</v>
      </c>
      <c r="N314" s="74" t="str">
        <f>IF($C314="","",IF($C314="TANIMSIZ MÜŞTERİ","—",INDEX(MUSTERILER!$C$7:$C$156,MATCH($C314,MUSTERILER!$B$7:$B$156,0))))</f>
        <v>YALIKENT LTD.ŞTİ.</v>
      </c>
      <c r="O314" s="2"/>
      <c r="P314" s="2"/>
      <c r="Q314" s="1" t="str">
        <f>IF($D314="","",$C314&amp;"|"&amp;COUNTIFS($C$7:$C314,$C314))</f>
        <v>M054|7</v>
      </c>
      <c r="R314" s="1" t="str">
        <f t="shared" si="23"/>
        <v>YALIKENTLTDSTI</v>
      </c>
      <c r="S314" s="1" t="str">
        <f t="shared" si="24"/>
        <v>M054|46151|4000|</v>
      </c>
      <c r="T314" s="1">
        <f>IF($E314="",0,SUMPRODUCT((AY_SONU!$O$7:$O$42="Evet")*(AY_SONU!$B$7:$B$42=DATE(YEAR($E314),MONTH($E314),1))))</f>
        <v>0</v>
      </c>
      <c r="U314" s="1" t="str">
        <f>IF(OR($G314="",$H314="Mahsup"),"",$G314&amp;"|"&amp;COUNTIFS($G$7:$G314,$G314,$H$7:$H314,"&lt;&gt;Mahsup"))</f>
        <v>MERKEZ KASA|239</v>
      </c>
    </row>
    <row r="315" spans="1:21" ht="18" customHeight="1" x14ac:dyDescent="0.3">
      <c r="A315" s="2"/>
      <c r="B315" s="65" t="str">
        <f t="shared" si="20"/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M051</v>
      </c>
      <c r="D315" s="61" t="s">
        <v>668</v>
      </c>
      <c r="E315" s="66">
        <v>46157</v>
      </c>
      <c r="F315" s="67">
        <v>3000</v>
      </c>
      <c r="G315" s="60" t="s">
        <v>723</v>
      </c>
      <c r="H315" s="60" t="s">
        <v>572</v>
      </c>
      <c r="I315" s="61"/>
      <c r="J315" s="61" t="s">
        <v>720</v>
      </c>
      <c r="K315" s="61"/>
      <c r="L315" s="73">
        <f t="shared" si="21"/>
        <v>46143</v>
      </c>
      <c r="M315" s="65" t="str">
        <f t="shared" ca="1" si="22"/>
        <v>UYGUN</v>
      </c>
      <c r="N315" s="74" t="str">
        <f>IF($C315="","",IF($C315="TANIMSIZ MÜŞTERİ","—",INDEX(MUSTERILER!$C$7:$C$156,MATCH($C315,MUSTERILER!$B$7:$B$156,0))))</f>
        <v>UFUK YILMAZ</v>
      </c>
      <c r="O315" s="2"/>
      <c r="P315" s="2"/>
      <c r="Q315" s="1" t="str">
        <f>IF($D315="","",$C315&amp;"|"&amp;COUNTIFS($C$7:$C315,$C315))</f>
        <v>M051|5</v>
      </c>
      <c r="R315" s="1" t="str">
        <f t="shared" si="23"/>
        <v>UFUKYILMAZ</v>
      </c>
      <c r="S315" s="1" t="str">
        <f t="shared" si="24"/>
        <v>M051|46157|3000|</v>
      </c>
      <c r="T315" s="1">
        <f>IF($E315="",0,SUMPRODUCT((AY_SONU!$O$7:$O$42="Evet")*(AY_SONU!$B$7:$B$42=DATE(YEAR($E315),MONTH($E315),1))))</f>
        <v>0</v>
      </c>
      <c r="U315" s="1" t="str">
        <f>IF(OR($G315="",$H315="Mahsup"),"",$G315&amp;"|"&amp;COUNTIFS($G$7:$G315,$G315,$H$7:$H315,"&lt;&gt;Mahsup"))</f>
        <v>ÖMER KARTAL|70</v>
      </c>
    </row>
    <row r="316" spans="1:21" ht="18" customHeight="1" x14ac:dyDescent="0.3">
      <c r="A316" s="2"/>
      <c r="B316" s="65" t="str">
        <f t="shared" si="20"/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61" t="s">
        <v>585</v>
      </c>
      <c r="E316" s="66">
        <v>46158</v>
      </c>
      <c r="F316" s="67">
        <v>2500</v>
      </c>
      <c r="G316" s="60" t="s">
        <v>723</v>
      </c>
      <c r="H316" s="60" t="s">
        <v>572</v>
      </c>
      <c r="I316" s="61"/>
      <c r="J316" s="61" t="s">
        <v>720</v>
      </c>
      <c r="K316" s="61"/>
      <c r="L316" s="73">
        <f t="shared" si="21"/>
        <v>46143</v>
      </c>
      <c r="M316" s="65" t="str">
        <f t="shared" ca="1" si="22"/>
        <v>UYGUN</v>
      </c>
      <c r="N316" s="74" t="str">
        <f>IF($C316="","",IF($C316="TANIMSIZ MÜŞTERİ","—",INDEX(MUSTERILER!$C$7:$C$156,MATCH($C316,MUSTERILER!$B$7:$B$156,0))))</f>
        <v>ASM EĞLENCE LTD.ŞTİ.</v>
      </c>
      <c r="O316" s="2"/>
      <c r="P316" s="2"/>
      <c r="Q316" s="1" t="str">
        <f>IF($D316="","",$C316&amp;"|"&amp;COUNTIFS($C$7:$C316,$C316))</f>
        <v>M017|16</v>
      </c>
      <c r="R316" s="1" t="str">
        <f t="shared" si="23"/>
        <v>ASMEGLENCELTDSTI</v>
      </c>
      <c r="S316" s="1" t="str">
        <f t="shared" si="24"/>
        <v>M017|46158|2500|</v>
      </c>
      <c r="T316" s="1">
        <f>IF($E316="",0,SUMPRODUCT((AY_SONU!$O$7:$O$42="Evet")*(AY_SONU!$B$7:$B$42=DATE(YEAR($E316),MONTH($E316),1))))</f>
        <v>0</v>
      </c>
      <c r="U316" s="1" t="str">
        <f>IF(OR($G316="",$H316="Mahsup"),"",$G316&amp;"|"&amp;COUNTIFS($G$7:$G316,$G316,$H$7:$H316,"&lt;&gt;Mahsup"))</f>
        <v>ÖMER KARTAL|71</v>
      </c>
    </row>
    <row r="317" spans="1:21" ht="18" customHeight="1" x14ac:dyDescent="0.3">
      <c r="A317" s="2"/>
      <c r="B317" s="65" t="str">
        <f t="shared" si="20"/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M001</v>
      </c>
      <c r="D317" s="61" t="s">
        <v>729</v>
      </c>
      <c r="E317" s="66">
        <v>46158</v>
      </c>
      <c r="F317" s="67">
        <v>14000</v>
      </c>
      <c r="G317" s="60" t="s">
        <v>717</v>
      </c>
      <c r="H317" s="60" t="s">
        <v>572</v>
      </c>
      <c r="I317" s="61"/>
      <c r="J317" s="61" t="s">
        <v>720</v>
      </c>
      <c r="K317" s="61"/>
      <c r="L317" s="73">
        <f t="shared" si="21"/>
        <v>46143</v>
      </c>
      <c r="M317" s="65" t="str">
        <f t="shared" ca="1" si="22"/>
        <v>UYGUN</v>
      </c>
      <c r="N317" s="74" t="str">
        <f>IF($C317="","",IF($C317="TANIMSIZ MÜŞTERİ","—",INDEX(MUSTERILER!$C$7:$C$156,MATCH($C317,MUSTERILER!$B$7:$B$156,0))))</f>
        <v>ANKARA HAVANA LTD.ŞTİ.</v>
      </c>
      <c r="O317" s="2"/>
      <c r="P317" s="2"/>
      <c r="Q317" s="1" t="str">
        <f>IF($D317="","",$C317&amp;"|"&amp;COUNTIFS($C$7:$C317,$C317))</f>
        <v>M001|9</v>
      </c>
      <c r="R317" s="1" t="str">
        <f t="shared" si="23"/>
        <v>ANKARAHAVANALTDSTI</v>
      </c>
      <c r="S317" s="1" t="str">
        <f t="shared" si="24"/>
        <v>M001|46158|14000|</v>
      </c>
      <c r="T317" s="1">
        <f>IF($E317="",0,SUMPRODUCT((AY_SONU!$O$7:$O$42="Evet")*(AY_SONU!$B$7:$B$42=DATE(YEAR($E317),MONTH($E317),1))))</f>
        <v>0</v>
      </c>
      <c r="U317" s="1" t="str">
        <f>IF(OR($G317="",$H317="Mahsup"),"",$G317&amp;"|"&amp;COUNTIFS($G$7:$G317,$G317,$H$7:$H317,"&lt;&gt;Mahsup"))</f>
        <v>MERKEZ KASA|240</v>
      </c>
    </row>
    <row r="318" spans="1:21" ht="18" customHeight="1" x14ac:dyDescent="0.3">
      <c r="A318" s="2"/>
      <c r="B318" s="65" t="str">
        <f t="shared" si="20"/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M025</v>
      </c>
      <c r="D318" s="61" t="s">
        <v>583</v>
      </c>
      <c r="E318" s="66">
        <v>46158</v>
      </c>
      <c r="F318" s="67">
        <v>2000</v>
      </c>
      <c r="G318" s="60" t="s">
        <v>717</v>
      </c>
      <c r="H318" s="60" t="s">
        <v>572</v>
      </c>
      <c r="I318" s="61"/>
      <c r="J318" s="61" t="s">
        <v>720</v>
      </c>
      <c r="K318" s="61"/>
      <c r="L318" s="73">
        <f t="shared" si="21"/>
        <v>46143</v>
      </c>
      <c r="M318" s="65" t="str">
        <f t="shared" ca="1" si="22"/>
        <v>UYGUN</v>
      </c>
      <c r="N318" s="74" t="str">
        <f>IF($C318="","",IF($C318="TANIMSIZ MÜŞTERİ","—",INDEX(MUSTERILER!$C$7:$C$156,MATCH($C318,MUSTERILER!$B$7:$B$156,0))))</f>
        <v>ASIM AÇIKGÖZ</v>
      </c>
      <c r="O318" s="2"/>
      <c r="P318" s="2"/>
      <c r="Q318" s="1" t="str">
        <f>IF($D318="","",$C318&amp;"|"&amp;COUNTIFS($C$7:$C318,$C318))</f>
        <v>M025|15</v>
      </c>
      <c r="R318" s="1" t="str">
        <f t="shared" si="23"/>
        <v>ASIMACIKGOZ</v>
      </c>
      <c r="S318" s="1" t="str">
        <f t="shared" si="24"/>
        <v>M025|46158|2000|</v>
      </c>
      <c r="T318" s="1">
        <f>IF($E318="",0,SUMPRODUCT((AY_SONU!$O$7:$O$42="Evet")*(AY_SONU!$B$7:$B$42=DATE(YEAR($E318),MONTH($E318),1))))</f>
        <v>0</v>
      </c>
      <c r="U318" s="1" t="str">
        <f>IF(OR($G318="",$H318="Mahsup"),"",$G318&amp;"|"&amp;COUNTIFS($G$7:$G318,$G318,$H$7:$H318,"&lt;&gt;Mahsup"))</f>
        <v>MERKEZ KASA|241</v>
      </c>
    </row>
    <row r="319" spans="1:21" ht="18" customHeight="1" x14ac:dyDescent="0.3">
      <c r="A319" s="2"/>
      <c r="B319" s="65" t="str">
        <f t="shared" si="20"/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M015</v>
      </c>
      <c r="D319" s="61" t="s">
        <v>719</v>
      </c>
      <c r="E319" s="66">
        <v>46158</v>
      </c>
      <c r="F319" s="67">
        <v>4000</v>
      </c>
      <c r="G319" s="60" t="s">
        <v>717</v>
      </c>
      <c r="H319" s="60" t="s">
        <v>572</v>
      </c>
      <c r="I319" s="61"/>
      <c r="J319" s="61" t="s">
        <v>720</v>
      </c>
      <c r="K319" s="61"/>
      <c r="L319" s="73">
        <f t="shared" si="21"/>
        <v>46143</v>
      </c>
      <c r="M319" s="65" t="str">
        <f t="shared" ca="1" si="22"/>
        <v>UYGUN</v>
      </c>
      <c r="N319" s="74" t="str">
        <f>IF($C319="","",IF($C319="TANIMSIZ MÜŞTERİ","—",INDEX(MUSTERILER!$C$7:$C$156,MATCH($C319,MUSTERILER!$B$7:$B$156,0))))</f>
        <v>ÇAYIRALAN LTD.ŞTİ.</v>
      </c>
      <c r="O319" s="2"/>
      <c r="P319" s="2"/>
      <c r="Q319" s="1" t="str">
        <f>IF($D319="","",$C319&amp;"|"&amp;COUNTIFS($C$7:$C319,$C319))</f>
        <v>M015|17</v>
      </c>
      <c r="R319" s="1" t="str">
        <f t="shared" si="23"/>
        <v>CAYIRALANLTDSTI</v>
      </c>
      <c r="S319" s="1" t="str">
        <f t="shared" si="24"/>
        <v>M015|46158|4000|</v>
      </c>
      <c r="T319" s="1">
        <f>IF($E319="",0,SUMPRODUCT((AY_SONU!$O$7:$O$42="Evet")*(AY_SONU!$B$7:$B$42=DATE(YEAR($E319),MONTH($E319),1))))</f>
        <v>0</v>
      </c>
      <c r="U319" s="1" t="str">
        <f>IF(OR($G319="",$H319="Mahsup"),"",$G319&amp;"|"&amp;COUNTIFS($G$7:$G319,$G319,$H$7:$H319,"&lt;&gt;Mahsup"))</f>
        <v>MERKEZ KASA|242</v>
      </c>
    </row>
    <row r="320" spans="1:21" ht="18" customHeight="1" x14ac:dyDescent="0.3">
      <c r="A320" s="2"/>
      <c r="B320" s="65" t="str">
        <f t="shared" si="20"/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M011</v>
      </c>
      <c r="D320" s="61" t="s">
        <v>730</v>
      </c>
      <c r="E320" s="66">
        <v>46158</v>
      </c>
      <c r="F320" s="67">
        <v>4000</v>
      </c>
      <c r="G320" s="60" t="s">
        <v>717</v>
      </c>
      <c r="H320" s="60" t="s">
        <v>572</v>
      </c>
      <c r="I320" s="61"/>
      <c r="J320" s="61" t="s">
        <v>720</v>
      </c>
      <c r="K320" s="61"/>
      <c r="L320" s="73">
        <f t="shared" si="21"/>
        <v>46143</v>
      </c>
      <c r="M320" s="65" t="str">
        <f t="shared" ca="1" si="22"/>
        <v>UYGUN</v>
      </c>
      <c r="N320" s="74" t="str">
        <f>IF($C320="","",IF($C320="TANIMSIZ MÜŞTERİ","—",INDEX(MUSTERILER!$C$7:$C$156,MATCH($C320,MUSTERILER!$B$7:$B$156,0))))</f>
        <v>EĞLENGÖR LTD.ŞTİ.</v>
      </c>
      <c r="O320" s="2"/>
      <c r="P320" s="2"/>
      <c r="Q320" s="1" t="str">
        <f>IF($D320="","",$C320&amp;"|"&amp;COUNTIFS($C$7:$C320,$C320))</f>
        <v>M011|18</v>
      </c>
      <c r="R320" s="1" t="str">
        <f t="shared" si="23"/>
        <v>EGLENGORLTDSTI</v>
      </c>
      <c r="S320" s="1" t="str">
        <f t="shared" si="24"/>
        <v>M011|46158|4000|</v>
      </c>
      <c r="T320" s="1">
        <f>IF($E320="",0,SUMPRODUCT((AY_SONU!$O$7:$O$42="Evet")*(AY_SONU!$B$7:$B$42=DATE(YEAR($E320),MONTH($E320),1))))</f>
        <v>0</v>
      </c>
      <c r="U320" s="1" t="str">
        <f>IF(OR($G320="",$H320="Mahsup"),"",$G320&amp;"|"&amp;COUNTIFS($G$7:$G320,$G320,$H$7:$H320,"&lt;&gt;Mahsup"))</f>
        <v>MERKEZ KASA|243</v>
      </c>
    </row>
    <row r="321" spans="1:21" ht="18" customHeight="1" x14ac:dyDescent="0.3">
      <c r="A321" s="2"/>
      <c r="B321" s="65" t="str">
        <f t="shared" si="20"/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M014</v>
      </c>
      <c r="D321" s="61" t="s">
        <v>731</v>
      </c>
      <c r="E321" s="66">
        <v>46158</v>
      </c>
      <c r="F321" s="67">
        <v>4000</v>
      </c>
      <c r="G321" s="60" t="s">
        <v>717</v>
      </c>
      <c r="H321" s="60" t="s">
        <v>572</v>
      </c>
      <c r="I321" s="61"/>
      <c r="J321" s="61" t="s">
        <v>720</v>
      </c>
      <c r="K321" s="61"/>
      <c r="L321" s="73">
        <f t="shared" si="21"/>
        <v>46143</v>
      </c>
      <c r="M321" s="65" t="str">
        <f t="shared" ca="1" si="22"/>
        <v>UYGUN</v>
      </c>
      <c r="N321" s="74" t="str">
        <f>IF($C321="","",IF($C321="TANIMSIZ MÜŞTERİ","—",INDEX(MUSTERILER!$C$7:$C$156,MATCH($C321,MUSTERILER!$B$7:$B$156,0))))</f>
        <v>FİNAL SİYAH BEYAZ LTD.ŞTİ.</v>
      </c>
      <c r="O321" s="2"/>
      <c r="P321" s="2"/>
      <c r="Q321" s="1" t="str">
        <f>IF($D321="","",$C321&amp;"|"&amp;COUNTIFS($C$7:$C321,$C321))</f>
        <v>M014|17</v>
      </c>
      <c r="R321" s="1" t="str">
        <f t="shared" si="23"/>
        <v>FINALSIYAHBEYAZLTDSTI</v>
      </c>
      <c r="S321" s="1" t="str">
        <f t="shared" si="24"/>
        <v>M014|46158|4000|</v>
      </c>
      <c r="T321" s="1">
        <f>IF($E321="",0,SUMPRODUCT((AY_SONU!$O$7:$O$42="Evet")*(AY_SONU!$B$7:$B$42=DATE(YEAR($E321),MONTH($E321),1))))</f>
        <v>0</v>
      </c>
      <c r="U321" s="1" t="str">
        <f>IF(OR($G321="",$H321="Mahsup"),"",$G321&amp;"|"&amp;COUNTIFS($G$7:$G321,$G321,$H$7:$H321,"&lt;&gt;Mahsup"))</f>
        <v>MERKEZ KASA|244</v>
      </c>
    </row>
    <row r="322" spans="1:21" ht="18" customHeight="1" x14ac:dyDescent="0.3">
      <c r="A322" s="2"/>
      <c r="B322" s="65" t="str">
        <f t="shared" si="20"/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M034</v>
      </c>
      <c r="D322" s="61" t="s">
        <v>732</v>
      </c>
      <c r="E322" s="66">
        <v>46158</v>
      </c>
      <c r="F322" s="67">
        <v>4000</v>
      </c>
      <c r="G322" s="60" t="s">
        <v>717</v>
      </c>
      <c r="H322" s="60" t="s">
        <v>572</v>
      </c>
      <c r="I322" s="61"/>
      <c r="J322" s="61" t="s">
        <v>720</v>
      </c>
      <c r="K322" s="61"/>
      <c r="L322" s="73">
        <f t="shared" si="21"/>
        <v>46143</v>
      </c>
      <c r="M322" s="65" t="str">
        <f t="shared" ca="1" si="22"/>
        <v>UYGUN</v>
      </c>
      <c r="N322" s="74" t="str">
        <f>IF($C322="","",IF($C322="TANIMSIZ MÜŞTERİ","—",INDEX(MUSTERILER!$C$7:$C$156,MATCH($C322,MUSTERILER!$B$7:$B$156,0))))</f>
        <v>İBRAHİM MALDAN</v>
      </c>
      <c r="O322" s="2"/>
      <c r="P322" s="2"/>
      <c r="Q322" s="1" t="str">
        <f>IF($D322="","",$C322&amp;"|"&amp;COUNTIFS($C$7:$C322,$C322))</f>
        <v>M034|15</v>
      </c>
      <c r="R322" s="1" t="str">
        <f t="shared" si="23"/>
        <v>IBRAHIMMALDAN</v>
      </c>
      <c r="S322" s="1" t="str">
        <f t="shared" si="24"/>
        <v>M034|46158|4000|</v>
      </c>
      <c r="T322" s="1">
        <f>IF($E322="",0,SUMPRODUCT((AY_SONU!$O$7:$O$42="Evet")*(AY_SONU!$B$7:$B$42=DATE(YEAR($E322),MONTH($E322),1))))</f>
        <v>0</v>
      </c>
      <c r="U322" s="1" t="str">
        <f>IF(OR($G322="",$H322="Mahsup"),"",$G322&amp;"|"&amp;COUNTIFS($G$7:$G322,$G322,$H$7:$H322,"&lt;&gt;Mahsup"))</f>
        <v>MERKEZ KASA|245</v>
      </c>
    </row>
    <row r="323" spans="1:21" ht="18" customHeight="1" x14ac:dyDescent="0.3">
      <c r="A323" s="2"/>
      <c r="B323" s="65" t="str">
        <f t="shared" si="20"/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M012</v>
      </c>
      <c r="D323" s="61" t="s">
        <v>721</v>
      </c>
      <c r="E323" s="66">
        <v>46158</v>
      </c>
      <c r="F323" s="67">
        <v>4000</v>
      </c>
      <c r="G323" s="60" t="s">
        <v>717</v>
      </c>
      <c r="H323" s="60" t="s">
        <v>572</v>
      </c>
      <c r="I323" s="61"/>
      <c r="J323" s="61" t="s">
        <v>720</v>
      </c>
      <c r="K323" s="61"/>
      <c r="L323" s="73">
        <f t="shared" si="21"/>
        <v>46143</v>
      </c>
      <c r="M323" s="65" t="str">
        <f t="shared" ca="1" si="22"/>
        <v>UYGUN</v>
      </c>
      <c r="N323" s="74" t="str">
        <f>IF($C323="","",IF($C323="TANIMSIZ MÜŞTERİ","—",INDEX(MUSTERILER!$C$7:$C$156,MATCH($C323,MUSTERILER!$B$7:$B$156,0))))</f>
        <v>İLDEŞ LTD.ŞTİ.</v>
      </c>
      <c r="O323" s="2"/>
      <c r="P323" s="2"/>
      <c r="Q323" s="1" t="str">
        <f>IF($D323="","",$C323&amp;"|"&amp;COUNTIFS($C$7:$C323,$C323))</f>
        <v>M012|19</v>
      </c>
      <c r="R323" s="1" t="str">
        <f t="shared" si="23"/>
        <v>ILDESLTDSTI</v>
      </c>
      <c r="S323" s="1" t="str">
        <f t="shared" si="24"/>
        <v>M012|46158|4000|</v>
      </c>
      <c r="T323" s="1">
        <f>IF($E323="",0,SUMPRODUCT((AY_SONU!$O$7:$O$42="Evet")*(AY_SONU!$B$7:$B$42=DATE(YEAR($E323),MONTH($E323),1))))</f>
        <v>0</v>
      </c>
      <c r="U323" s="1" t="str">
        <f>IF(OR($G323="",$H323="Mahsup"),"",$G323&amp;"|"&amp;COUNTIFS($G$7:$G323,$G323,$H$7:$H323,"&lt;&gt;Mahsup"))</f>
        <v>MERKEZ KASA|246</v>
      </c>
    </row>
    <row r="324" spans="1:21" ht="18" customHeight="1" x14ac:dyDescent="0.3">
      <c r="A324" s="2"/>
      <c r="B324" s="65" t="str">
        <f t="shared" si="20"/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M007</v>
      </c>
      <c r="D324" s="61" t="s">
        <v>733</v>
      </c>
      <c r="E324" s="66">
        <v>46158</v>
      </c>
      <c r="F324" s="67">
        <v>3500</v>
      </c>
      <c r="G324" s="60" t="s">
        <v>717</v>
      </c>
      <c r="H324" s="60" t="s">
        <v>572</v>
      </c>
      <c r="I324" s="61"/>
      <c r="J324" s="61" t="s">
        <v>720</v>
      </c>
      <c r="K324" s="61"/>
      <c r="L324" s="73">
        <f t="shared" si="21"/>
        <v>46143</v>
      </c>
      <c r="M324" s="65" t="str">
        <f t="shared" ca="1" si="22"/>
        <v>UYGUN</v>
      </c>
      <c r="N324" s="74" t="str">
        <f>IF($C324="","",IF($C324="TANIMSIZ MÜŞTERİ","—",INDEX(MUSTERILER!$C$7:$C$156,MATCH($C324,MUSTERILER!$B$7:$B$156,0))))</f>
        <v>MONAMOUR LTD.ŞTİ.</v>
      </c>
      <c r="O324" s="2"/>
      <c r="P324" s="2"/>
      <c r="Q324" s="1" t="str">
        <f>IF($D324="","",$C324&amp;"|"&amp;COUNTIFS($C$7:$C324,$C324))</f>
        <v>M007|15</v>
      </c>
      <c r="R324" s="1" t="str">
        <f t="shared" si="23"/>
        <v>MONAMOURLTDSTI</v>
      </c>
      <c r="S324" s="1" t="str">
        <f t="shared" si="24"/>
        <v>M007|46158|3500|</v>
      </c>
      <c r="T324" s="1">
        <f>IF($E324="",0,SUMPRODUCT((AY_SONU!$O$7:$O$42="Evet")*(AY_SONU!$B$7:$B$42=DATE(YEAR($E324),MONTH($E324),1))))</f>
        <v>0</v>
      </c>
      <c r="U324" s="1" t="str">
        <f>IF(OR($G324="",$H324="Mahsup"),"",$G324&amp;"|"&amp;COUNTIFS($G$7:$G324,$G324,$H$7:$H324,"&lt;&gt;Mahsup"))</f>
        <v>MERKEZ KASA|247</v>
      </c>
    </row>
    <row r="325" spans="1:21" ht="18" customHeight="1" x14ac:dyDescent="0.3">
      <c r="A325" s="2"/>
      <c r="B325" s="65" t="str">
        <f t="shared" si="20"/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M013</v>
      </c>
      <c r="D325" s="61" t="s">
        <v>734</v>
      </c>
      <c r="E325" s="66">
        <v>46158</v>
      </c>
      <c r="F325" s="67">
        <v>2000</v>
      </c>
      <c r="G325" s="60" t="s">
        <v>717</v>
      </c>
      <c r="H325" s="60" t="s">
        <v>572</v>
      </c>
      <c r="I325" s="61"/>
      <c r="J325" s="61" t="s">
        <v>720</v>
      </c>
      <c r="K325" s="61"/>
      <c r="L325" s="73">
        <f t="shared" si="21"/>
        <v>46143</v>
      </c>
      <c r="M325" s="65" t="str">
        <f t="shared" ca="1" si="22"/>
        <v>UYGUN</v>
      </c>
      <c r="N325" s="74" t="str">
        <f>IF($C325="","",IF($C325="TANIMSIZ MÜŞTERİ","—",INDEX(MUSTERILER!$C$7:$C$156,MATCH($C325,MUSTERILER!$B$7:$B$156,0))))</f>
        <v>NAZ 1 GIDA LTD.ŞTİ.</v>
      </c>
      <c r="O325" s="2"/>
      <c r="P325" s="2"/>
      <c r="Q325" s="1" t="str">
        <f>IF($D325="","",$C325&amp;"|"&amp;COUNTIFS($C$7:$C325,$C325))</f>
        <v>M013|13</v>
      </c>
      <c r="R325" s="1" t="str">
        <f t="shared" si="23"/>
        <v>NAZ1GIDALTDSTI</v>
      </c>
      <c r="S325" s="1" t="str">
        <f t="shared" si="24"/>
        <v>M013|46158|2000|</v>
      </c>
      <c r="T325" s="1">
        <f>IF($E325="",0,SUMPRODUCT((AY_SONU!$O$7:$O$42="Evet")*(AY_SONU!$B$7:$B$42=DATE(YEAR($E325),MONTH($E325),1))))</f>
        <v>0</v>
      </c>
      <c r="U325" s="1" t="str">
        <f>IF(OR($G325="",$H325="Mahsup"),"",$G325&amp;"|"&amp;COUNTIFS($G$7:$G325,$G325,$H$7:$H325,"&lt;&gt;Mahsup"))</f>
        <v>MERKEZ KASA|248</v>
      </c>
    </row>
    <row r="326" spans="1:21" ht="18" customHeight="1" x14ac:dyDescent="0.3">
      <c r="A326" s="2"/>
      <c r="B326" s="65" t="str">
        <f t="shared" si="20"/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M009</v>
      </c>
      <c r="D326" s="61" t="s">
        <v>735</v>
      </c>
      <c r="E326" s="66">
        <v>46158</v>
      </c>
      <c r="F326" s="67">
        <v>4000</v>
      </c>
      <c r="G326" s="60" t="s">
        <v>717</v>
      </c>
      <c r="H326" s="60" t="s">
        <v>572</v>
      </c>
      <c r="I326" s="61"/>
      <c r="J326" s="61" t="s">
        <v>720</v>
      </c>
      <c r="K326" s="61"/>
      <c r="L326" s="73">
        <f t="shared" si="21"/>
        <v>46143</v>
      </c>
      <c r="M326" s="65" t="str">
        <f t="shared" ca="1" si="22"/>
        <v>UYGUN</v>
      </c>
      <c r="N326" s="74" t="str">
        <f>IF($C326="","",IF($C326="TANIMSIZ MÜŞTERİ","—",INDEX(MUSTERILER!$C$7:$C$156,MATCH($C326,MUSTERILER!$B$7:$B$156,0))))</f>
        <v>PAKYILDIZ LTD.ŞTİ.</v>
      </c>
      <c r="O326" s="2"/>
      <c r="P326" s="2"/>
      <c r="Q326" s="1" t="str">
        <f>IF($D326="","",$C326&amp;"|"&amp;COUNTIFS($C$7:$C326,$C326))</f>
        <v>M009|15</v>
      </c>
      <c r="R326" s="1" t="str">
        <f t="shared" si="23"/>
        <v>PAKYILDIZLTDSTI</v>
      </c>
      <c r="S326" s="1" t="str">
        <f t="shared" si="24"/>
        <v>M009|46158|4000|</v>
      </c>
      <c r="T326" s="1">
        <f>IF($E326="",0,SUMPRODUCT((AY_SONU!$O$7:$O$42="Evet")*(AY_SONU!$B$7:$B$42=DATE(YEAR($E326),MONTH($E326),1))))</f>
        <v>0</v>
      </c>
      <c r="U326" s="1" t="str">
        <f>IF(OR($G326="",$H326="Mahsup"),"",$G326&amp;"|"&amp;COUNTIFS($G$7:$G326,$G326,$H$7:$H326,"&lt;&gt;Mahsup"))</f>
        <v>MERKEZ KASA|249</v>
      </c>
    </row>
    <row r="327" spans="1:21" ht="18" customHeight="1" x14ac:dyDescent="0.3">
      <c r="A327" s="2"/>
      <c r="B327" s="65" t="str">
        <f t="shared" ref="B327:B390" si="25"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61" t="s">
        <v>722</v>
      </c>
      <c r="E327" s="66">
        <v>46158</v>
      </c>
      <c r="F327" s="67">
        <v>1750</v>
      </c>
      <c r="G327" s="60" t="s">
        <v>717</v>
      </c>
      <c r="H327" s="60" t="s">
        <v>572</v>
      </c>
      <c r="I327" s="61"/>
      <c r="J327" s="61" t="s">
        <v>720</v>
      </c>
      <c r="K327" s="61"/>
      <c r="L327" s="73">
        <f t="shared" ref="L327:L390" si="26">IF($E327="","",DATE(YEAR($E327),MONTH($E327),1))</f>
        <v>46143</v>
      </c>
      <c r="M327" s="65" t="str">
        <f t="shared" ref="M327:M390" ca="1" si="27">IF($D327="","",IF($C327="TANIMSIZ MÜŞTERİ","HATA",IF(OR($E327="",$F327&lt;=0,$G327=""),"EKSİK",IF($E327&gt;TODAY(),"İLERİ TARİH",IF(COUNTIF($S$7:$S$2503,$S327)&gt;1,"MÜKERRER?",IF($T327&gt;0,"KAPALI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ZÜMRÜT GRUP LTD.ŞTİ.</v>
      </c>
      <c r="O327" s="2"/>
      <c r="P327" s="2"/>
      <c r="Q327" s="1" t="str">
        <f>IF($D327="","",$C327&amp;"|"&amp;COUNTIFS($C$7:$C327,$C327))</f>
        <v>M005|16</v>
      </c>
      <c r="R327" s="1" t="str">
        <f t="shared" ref="R327:R390" si="28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" t="str">
        <f t="shared" ref="S327:S390" si="29">IF($D327="","",$C327&amp;"|"&amp;TEXT($E327,"0")&amp;"|"&amp;TEXT($F327,"0")&amp;"|"&amp;$I327)</f>
        <v>M005|46158|1750|</v>
      </c>
      <c r="T327" s="1">
        <f>IF($E327="",0,SUMPRODUCT((AY_SONU!$O$7:$O$42="Evet")*(AY_SONU!$B$7:$B$42=DATE(YEAR($E327),MONTH($E327),1))))</f>
        <v>0</v>
      </c>
      <c r="U327" s="1" t="str">
        <f>IF(OR($G327="",$H327="Mahsup"),"",$G327&amp;"|"&amp;COUNTIFS($G$7:$G327,$G327,$H$7:$H327,"&lt;&gt;Mahsup"))</f>
        <v>MERKEZ KASA|250</v>
      </c>
    </row>
    <row r="328" spans="1:21" ht="18" customHeight="1" x14ac:dyDescent="0.3">
      <c r="A328" s="2"/>
      <c r="B328" s="65" t="str">
        <f t="shared" si="25"/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M018</v>
      </c>
      <c r="D328" s="61" t="s">
        <v>593</v>
      </c>
      <c r="E328" s="66">
        <v>46158</v>
      </c>
      <c r="F328" s="67">
        <v>2500</v>
      </c>
      <c r="G328" s="60" t="s">
        <v>717</v>
      </c>
      <c r="H328" s="60" t="s">
        <v>572</v>
      </c>
      <c r="I328" s="61"/>
      <c r="J328" s="61" t="s">
        <v>720</v>
      </c>
      <c r="K328" s="61"/>
      <c r="L328" s="73">
        <f t="shared" si="26"/>
        <v>46143</v>
      </c>
      <c r="M328" s="65" t="str">
        <f t="shared" ca="1" si="27"/>
        <v>UYGUN</v>
      </c>
      <c r="N328" s="74" t="str">
        <f>IF($C328="","",IF($C328="TANIMSIZ MÜŞTERİ","—",INDEX(MUSTERILER!$C$7:$C$156,MATCH($C328,MUSTERILER!$B$7:$B$156,0))))</f>
        <v>ÇINARHAN LTD.ŞTİ.</v>
      </c>
      <c r="O328" s="2"/>
      <c r="P328" s="2"/>
      <c r="Q328" s="1" t="str">
        <f>IF($D328="","",$C328&amp;"|"&amp;COUNTIFS($C$7:$C328,$C328))</f>
        <v>M018|14</v>
      </c>
      <c r="R328" s="1" t="str">
        <f t="shared" si="28"/>
        <v>CINARHANLTDSTI</v>
      </c>
      <c r="S328" s="1" t="str">
        <f t="shared" si="29"/>
        <v>M018|46158|2500|</v>
      </c>
      <c r="T328" s="1">
        <f>IF($E328="",0,SUMPRODUCT((AY_SONU!$O$7:$O$42="Evet")*(AY_SONU!$B$7:$B$42=DATE(YEAR($E328),MONTH($E328),1))))</f>
        <v>0</v>
      </c>
      <c r="U328" s="1" t="str">
        <f>IF(OR($G328="",$H328="Mahsup"),"",$G328&amp;"|"&amp;COUNTIFS($G$7:$G328,$G328,$H$7:$H328,"&lt;&gt;Mahsup"))</f>
        <v>MERKEZ KASA|251</v>
      </c>
    </row>
    <row r="329" spans="1:21" ht="18" customHeight="1" x14ac:dyDescent="0.3">
      <c r="A329" s="2"/>
      <c r="B329" s="65" t="str">
        <f t="shared" si="25"/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M020</v>
      </c>
      <c r="D329" s="61" t="s">
        <v>623</v>
      </c>
      <c r="E329" s="66">
        <v>46158</v>
      </c>
      <c r="F329" s="67">
        <v>3000</v>
      </c>
      <c r="G329" s="60" t="s">
        <v>717</v>
      </c>
      <c r="H329" s="60" t="s">
        <v>572</v>
      </c>
      <c r="I329" s="61"/>
      <c r="J329" s="61" t="s">
        <v>720</v>
      </c>
      <c r="K329" s="61"/>
      <c r="L329" s="73">
        <f t="shared" si="26"/>
        <v>46143</v>
      </c>
      <c r="M329" s="65" t="str">
        <f t="shared" ca="1" si="27"/>
        <v>UYGUN</v>
      </c>
      <c r="N329" s="74" t="str">
        <f>IF($C329="","",IF($C329="TANIMSIZ MÜŞTERİ","—",INDEX(MUSTERILER!$C$7:$C$156,MATCH($C329,MUSTERILER!$B$7:$B$156,0))))</f>
        <v>KRİSTAL LTD.ŞTİ.</v>
      </c>
      <c r="O329" s="2"/>
      <c r="P329" s="2"/>
      <c r="Q329" s="1" t="str">
        <f>IF($D329="","",$C329&amp;"|"&amp;COUNTIFS($C$7:$C329,$C329))</f>
        <v>M020|19</v>
      </c>
      <c r="R329" s="1" t="str">
        <f t="shared" si="28"/>
        <v>KRISTALLTDSTI</v>
      </c>
      <c r="S329" s="1" t="str">
        <f t="shared" si="29"/>
        <v>M020|46158|3000|</v>
      </c>
      <c r="T329" s="1">
        <f>IF($E329="",0,SUMPRODUCT((AY_SONU!$O$7:$O$42="Evet")*(AY_SONU!$B$7:$B$42=DATE(YEAR($E329),MONTH($E329),1))))</f>
        <v>0</v>
      </c>
      <c r="U329" s="1" t="str">
        <f>IF(OR($G329="",$H329="Mahsup"),"",$G329&amp;"|"&amp;COUNTIFS($G$7:$G329,$G329,$H$7:$H329,"&lt;&gt;Mahsup"))</f>
        <v>MERKEZ KASA|252</v>
      </c>
    </row>
    <row r="330" spans="1:21" ht="18" customHeight="1" x14ac:dyDescent="0.3">
      <c r="A330" s="2"/>
      <c r="B330" s="65" t="str">
        <f t="shared" si="25"/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M047</v>
      </c>
      <c r="D330" s="61" t="s">
        <v>654</v>
      </c>
      <c r="E330" s="66">
        <v>46158</v>
      </c>
      <c r="F330" s="67">
        <v>4000</v>
      </c>
      <c r="G330" s="60" t="s">
        <v>717</v>
      </c>
      <c r="H330" s="60" t="s">
        <v>572</v>
      </c>
      <c r="I330" s="61"/>
      <c r="J330" s="61" t="s">
        <v>720</v>
      </c>
      <c r="K330" s="61"/>
      <c r="L330" s="73">
        <f t="shared" si="26"/>
        <v>46143</v>
      </c>
      <c r="M330" s="65" t="str">
        <f t="shared" ca="1" si="27"/>
        <v>UYGUN</v>
      </c>
      <c r="N330" s="74" t="str">
        <f>IF($C330="","",IF($C330="TANIMSIZ MÜŞTERİ","—",INDEX(MUSTERILER!$C$7:$C$156,MATCH($C330,MUSTERILER!$B$7:$B$156,0))))</f>
        <v>PALAOĞULLARI LTD.ŞTİ.</v>
      </c>
      <c r="O330" s="2"/>
      <c r="P330" s="2"/>
      <c r="Q330" s="1" t="str">
        <f>IF($D330="","",$C330&amp;"|"&amp;COUNTIFS($C$7:$C330,$C330))</f>
        <v>M047|11</v>
      </c>
      <c r="R330" s="1" t="str">
        <f t="shared" si="28"/>
        <v>PALAOGULLARILTDSTI</v>
      </c>
      <c r="S330" s="1" t="str">
        <f t="shared" si="29"/>
        <v>M047|46158|4000|</v>
      </c>
      <c r="T330" s="1">
        <f>IF($E330="",0,SUMPRODUCT((AY_SONU!$O$7:$O$42="Evet")*(AY_SONU!$B$7:$B$42=DATE(YEAR($E330),MONTH($E330),1))))</f>
        <v>0</v>
      </c>
      <c r="U330" s="1" t="str">
        <f>IF(OR($G330="",$H330="Mahsup"),"",$G330&amp;"|"&amp;COUNTIFS($G$7:$G330,$G330,$H$7:$H330,"&lt;&gt;Mahsup"))</f>
        <v>MERKEZ KASA|253</v>
      </c>
    </row>
    <row r="331" spans="1:21" ht="18" customHeight="1" x14ac:dyDescent="0.3">
      <c r="A331" s="2"/>
      <c r="B331" s="65" t="str">
        <f t="shared" si="25"/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M054</v>
      </c>
      <c r="D331" s="61" t="s">
        <v>674</v>
      </c>
      <c r="E331" s="66">
        <v>46158</v>
      </c>
      <c r="F331" s="67">
        <v>4000</v>
      </c>
      <c r="G331" s="60" t="s">
        <v>717</v>
      </c>
      <c r="H331" s="60" t="s">
        <v>572</v>
      </c>
      <c r="I331" s="61"/>
      <c r="J331" s="61" t="s">
        <v>720</v>
      </c>
      <c r="K331" s="61"/>
      <c r="L331" s="73">
        <f t="shared" si="26"/>
        <v>46143</v>
      </c>
      <c r="M331" s="65" t="str">
        <f t="shared" ca="1" si="27"/>
        <v>UYGUN</v>
      </c>
      <c r="N331" s="74" t="str">
        <f>IF($C331="","",IF($C331="TANIMSIZ MÜŞTERİ","—",INDEX(MUSTERILER!$C$7:$C$156,MATCH($C331,MUSTERILER!$B$7:$B$156,0))))</f>
        <v>YALIKENT LTD.ŞTİ.</v>
      </c>
      <c r="O331" s="2"/>
      <c r="P331" s="2"/>
      <c r="Q331" s="1" t="str">
        <f>IF($D331="","",$C331&amp;"|"&amp;COUNTIFS($C$7:$C331,$C331))</f>
        <v>M054|8</v>
      </c>
      <c r="R331" s="1" t="str">
        <f t="shared" si="28"/>
        <v>YALIKENTLTDSTI</v>
      </c>
      <c r="S331" s="1" t="str">
        <f t="shared" si="29"/>
        <v>M054|46158|4000|</v>
      </c>
      <c r="T331" s="1">
        <f>IF($E331="",0,SUMPRODUCT((AY_SONU!$O$7:$O$42="Evet")*(AY_SONU!$B$7:$B$42=DATE(YEAR($E331),MONTH($E331),1))))</f>
        <v>0</v>
      </c>
      <c r="U331" s="1" t="str">
        <f>IF(OR($G331="",$H331="Mahsup"),"",$G331&amp;"|"&amp;COUNTIFS($G$7:$G331,$G331,$H$7:$H331,"&lt;&gt;Mahsup"))</f>
        <v>MERKEZ KASA|254</v>
      </c>
    </row>
    <row r="332" spans="1:21" ht="18" customHeight="1" x14ac:dyDescent="0.3">
      <c r="A332" s="2"/>
      <c r="B332" s="65" t="str">
        <f t="shared" si="25"/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M031</v>
      </c>
      <c r="D332" s="61" t="s">
        <v>607</v>
      </c>
      <c r="E332" s="66">
        <v>46164</v>
      </c>
      <c r="F332" s="67">
        <v>6000</v>
      </c>
      <c r="G332" s="60" t="s">
        <v>717</v>
      </c>
      <c r="H332" s="60" t="s">
        <v>572</v>
      </c>
      <c r="I332" s="61"/>
      <c r="J332" s="61" t="s">
        <v>720</v>
      </c>
      <c r="K332" s="61"/>
      <c r="L332" s="73">
        <f t="shared" si="26"/>
        <v>46143</v>
      </c>
      <c r="M332" s="65" t="str">
        <f t="shared" ca="1" si="27"/>
        <v>UYGUN</v>
      </c>
      <c r="N332" s="74" t="str">
        <f>IF($C332="","",IF($C332="TANIMSIZ MÜŞTERİ","—",INDEX(MUSTERILER!$C$7:$C$156,MATCH($C332,MUSTERILER!$B$7:$B$156,0))))</f>
        <v>HALİL AVŞAR</v>
      </c>
      <c r="O332" s="2"/>
      <c r="P332" s="2"/>
      <c r="Q332" s="1" t="str">
        <f>IF($D332="","",$C332&amp;"|"&amp;COUNTIFS($C$7:$C332,$C332))</f>
        <v>M031|2</v>
      </c>
      <c r="R332" s="1" t="str">
        <f t="shared" si="28"/>
        <v>HALILAVSAR</v>
      </c>
      <c r="S332" s="1" t="str">
        <f t="shared" si="29"/>
        <v>M031|46164|6000|</v>
      </c>
      <c r="T332" s="1">
        <f>IF($E332="",0,SUMPRODUCT((AY_SONU!$O$7:$O$42="Evet")*(AY_SONU!$B$7:$B$42=DATE(YEAR($E332),MONTH($E332),1))))</f>
        <v>0</v>
      </c>
      <c r="U332" s="1" t="str">
        <f>IF(OR($G332="",$H332="Mahsup"),"",$G332&amp;"|"&amp;COUNTIFS($G$7:$G332,$G332,$H$7:$H332,"&lt;&gt;Mahsup"))</f>
        <v>MERKEZ KASA|255</v>
      </c>
    </row>
    <row r="333" spans="1:21" ht="18" customHeight="1" x14ac:dyDescent="0.3">
      <c r="A333" s="2"/>
      <c r="B333" s="65" t="str">
        <f t="shared" si="25"/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M025</v>
      </c>
      <c r="D333" s="61" t="s">
        <v>583</v>
      </c>
      <c r="E333" s="66">
        <v>46165</v>
      </c>
      <c r="F333" s="67">
        <v>2000</v>
      </c>
      <c r="G333" s="60" t="s">
        <v>717</v>
      </c>
      <c r="H333" s="60" t="s">
        <v>572</v>
      </c>
      <c r="I333" s="61"/>
      <c r="J333" s="61" t="s">
        <v>720</v>
      </c>
      <c r="K333" s="61"/>
      <c r="L333" s="73">
        <f t="shared" si="26"/>
        <v>46143</v>
      </c>
      <c r="M333" s="65" t="str">
        <f t="shared" ca="1" si="27"/>
        <v>UYGUN</v>
      </c>
      <c r="N333" s="74" t="str">
        <f>IF($C333="","",IF($C333="TANIMSIZ MÜŞTERİ","—",INDEX(MUSTERILER!$C$7:$C$156,MATCH($C333,MUSTERILER!$B$7:$B$156,0))))</f>
        <v>ASIM AÇIKGÖZ</v>
      </c>
      <c r="O333" s="2"/>
      <c r="P333" s="2"/>
      <c r="Q333" s="1" t="str">
        <f>IF($D333="","",$C333&amp;"|"&amp;COUNTIFS($C$7:$C333,$C333))</f>
        <v>M025|16</v>
      </c>
      <c r="R333" s="1" t="str">
        <f t="shared" si="28"/>
        <v>ASIMACIKGOZ</v>
      </c>
      <c r="S333" s="1" t="str">
        <f t="shared" si="29"/>
        <v>M025|46165|2000|</v>
      </c>
      <c r="T333" s="1">
        <f>IF($E333="",0,SUMPRODUCT((AY_SONU!$O$7:$O$42="Evet")*(AY_SONU!$B$7:$B$42=DATE(YEAR($E333),MONTH($E333),1))))</f>
        <v>0</v>
      </c>
      <c r="U333" s="1" t="str">
        <f>IF(OR($G333="",$H333="Mahsup"),"",$G333&amp;"|"&amp;COUNTIFS($G$7:$G333,$G333,$H$7:$H333,"&lt;&gt;Mahsup"))</f>
        <v>MERKEZ KASA|256</v>
      </c>
    </row>
    <row r="334" spans="1:21" ht="18" customHeight="1" x14ac:dyDescent="0.3">
      <c r="A334" s="2"/>
      <c r="B334" s="65" t="str">
        <f t="shared" si="25"/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M017</v>
      </c>
      <c r="D334" s="61" t="s">
        <v>585</v>
      </c>
      <c r="E334" s="66">
        <v>46165</v>
      </c>
      <c r="F334" s="67">
        <v>2500</v>
      </c>
      <c r="G334" s="60" t="s">
        <v>717</v>
      </c>
      <c r="H334" s="60" t="s">
        <v>572</v>
      </c>
      <c r="I334" s="61"/>
      <c r="J334" s="61" t="s">
        <v>720</v>
      </c>
      <c r="K334" s="61"/>
      <c r="L334" s="73">
        <f t="shared" si="26"/>
        <v>46143</v>
      </c>
      <c r="M334" s="65" t="str">
        <f t="shared" ca="1" si="27"/>
        <v>UYGUN</v>
      </c>
      <c r="N334" s="74" t="str">
        <f>IF($C334="","",IF($C334="TANIMSIZ MÜŞTERİ","—",INDEX(MUSTERILER!$C$7:$C$156,MATCH($C334,MUSTERILER!$B$7:$B$156,0))))</f>
        <v>ASM EĞLENCE LTD.ŞTİ.</v>
      </c>
      <c r="O334" s="2"/>
      <c r="P334" s="2"/>
      <c r="Q334" s="1" t="str">
        <f>IF($D334="","",$C334&amp;"|"&amp;COUNTIFS($C$7:$C334,$C334))</f>
        <v>M017|17</v>
      </c>
      <c r="R334" s="1" t="str">
        <f t="shared" si="28"/>
        <v>ASMEGLENCELTDSTI</v>
      </c>
      <c r="S334" s="1" t="str">
        <f t="shared" si="29"/>
        <v>M017|46165|2500|</v>
      </c>
      <c r="T334" s="1">
        <f>IF($E334="",0,SUMPRODUCT((AY_SONU!$O$7:$O$42="Evet")*(AY_SONU!$B$7:$B$42=DATE(YEAR($E334),MONTH($E334),1))))</f>
        <v>0</v>
      </c>
      <c r="U334" s="1" t="str">
        <f>IF(OR($G334="",$H334="Mahsup"),"",$G334&amp;"|"&amp;COUNTIFS($G$7:$G334,$G334,$H$7:$H334,"&lt;&gt;Mahsup"))</f>
        <v>MERKEZ KASA|257</v>
      </c>
    </row>
    <row r="335" spans="1:21" ht="18" customHeight="1" x14ac:dyDescent="0.3">
      <c r="A335" s="2"/>
      <c r="B335" s="65" t="str">
        <f t="shared" si="25"/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M015</v>
      </c>
      <c r="D335" s="61" t="s">
        <v>719</v>
      </c>
      <c r="E335" s="66">
        <v>46165</v>
      </c>
      <c r="F335" s="67">
        <v>3000</v>
      </c>
      <c r="G335" s="60" t="s">
        <v>717</v>
      </c>
      <c r="H335" s="60" t="s">
        <v>572</v>
      </c>
      <c r="I335" s="61"/>
      <c r="J335" s="61" t="s">
        <v>720</v>
      </c>
      <c r="K335" s="61"/>
      <c r="L335" s="73">
        <f t="shared" si="26"/>
        <v>46143</v>
      </c>
      <c r="M335" s="65" t="str">
        <f t="shared" ca="1" si="27"/>
        <v>UYGUN</v>
      </c>
      <c r="N335" s="74" t="str">
        <f>IF($C335="","",IF($C335="TANIMSIZ MÜŞTERİ","—",INDEX(MUSTERILER!$C$7:$C$156,MATCH($C335,MUSTERILER!$B$7:$B$156,0))))</f>
        <v>ÇAYIRALAN LTD.ŞTİ.</v>
      </c>
      <c r="O335" s="2"/>
      <c r="P335" s="2"/>
      <c r="Q335" s="1" t="str">
        <f>IF($D335="","",$C335&amp;"|"&amp;COUNTIFS($C$7:$C335,$C335))</f>
        <v>M015|18</v>
      </c>
      <c r="R335" s="1" t="str">
        <f t="shared" si="28"/>
        <v>CAYIRALANLTDSTI</v>
      </c>
      <c r="S335" s="1" t="str">
        <f t="shared" si="29"/>
        <v>M015|46165|3000|</v>
      </c>
      <c r="T335" s="1">
        <f>IF($E335="",0,SUMPRODUCT((AY_SONU!$O$7:$O$42="Evet")*(AY_SONU!$B$7:$B$42=DATE(YEAR($E335),MONTH($E335),1))))</f>
        <v>0</v>
      </c>
      <c r="U335" s="1" t="str">
        <f>IF(OR($G335="",$H335="Mahsup"),"",$G335&amp;"|"&amp;COUNTIFS($G$7:$G335,$G335,$H$7:$H335,"&lt;&gt;Mahsup"))</f>
        <v>MERKEZ KASA|258</v>
      </c>
    </row>
    <row r="336" spans="1:21" ht="18" customHeight="1" x14ac:dyDescent="0.3">
      <c r="A336" s="2"/>
      <c r="B336" s="65" t="str">
        <f t="shared" si="25"/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M011</v>
      </c>
      <c r="D336" s="61" t="s">
        <v>730</v>
      </c>
      <c r="E336" s="66">
        <v>46165</v>
      </c>
      <c r="F336" s="67">
        <v>4000</v>
      </c>
      <c r="G336" s="60" t="s">
        <v>717</v>
      </c>
      <c r="H336" s="60" t="s">
        <v>572</v>
      </c>
      <c r="I336" s="61"/>
      <c r="J336" s="61" t="s">
        <v>720</v>
      </c>
      <c r="K336" s="61"/>
      <c r="L336" s="73">
        <f t="shared" si="26"/>
        <v>46143</v>
      </c>
      <c r="M336" s="65" t="str">
        <f t="shared" ca="1" si="27"/>
        <v>UYGUN</v>
      </c>
      <c r="N336" s="74" t="str">
        <f>IF($C336="","",IF($C336="TANIMSIZ MÜŞTERİ","—",INDEX(MUSTERILER!$C$7:$C$156,MATCH($C336,MUSTERILER!$B$7:$B$156,0))))</f>
        <v>EĞLENGÖR LTD.ŞTİ.</v>
      </c>
      <c r="O336" s="2"/>
      <c r="P336" s="2"/>
      <c r="Q336" s="1" t="str">
        <f>IF($D336="","",$C336&amp;"|"&amp;COUNTIFS($C$7:$C336,$C336))</f>
        <v>M011|19</v>
      </c>
      <c r="R336" s="1" t="str">
        <f t="shared" si="28"/>
        <v>EGLENGORLTDSTI</v>
      </c>
      <c r="S336" s="1" t="str">
        <f t="shared" si="29"/>
        <v>M011|46165|4000|</v>
      </c>
      <c r="T336" s="1">
        <f>IF($E336="",0,SUMPRODUCT((AY_SONU!$O$7:$O$42="Evet")*(AY_SONU!$B$7:$B$42=DATE(YEAR($E336),MONTH($E336),1))))</f>
        <v>0</v>
      </c>
      <c r="U336" s="1" t="str">
        <f>IF(OR($G336="",$H336="Mahsup"),"",$G336&amp;"|"&amp;COUNTIFS($G$7:$G336,$G336,$H$7:$H336,"&lt;&gt;Mahsup"))</f>
        <v>MERKEZ KASA|259</v>
      </c>
    </row>
    <row r="337" spans="1:21" ht="18" customHeight="1" x14ac:dyDescent="0.3">
      <c r="A337" s="2"/>
      <c r="B337" s="65" t="str">
        <f t="shared" si="25"/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M014</v>
      </c>
      <c r="D337" s="61" t="s">
        <v>731</v>
      </c>
      <c r="E337" s="66">
        <v>46165</v>
      </c>
      <c r="F337" s="67">
        <v>4000</v>
      </c>
      <c r="G337" s="60" t="s">
        <v>717</v>
      </c>
      <c r="H337" s="60" t="s">
        <v>572</v>
      </c>
      <c r="I337" s="61"/>
      <c r="J337" s="61" t="s">
        <v>720</v>
      </c>
      <c r="K337" s="61"/>
      <c r="L337" s="73">
        <f t="shared" si="26"/>
        <v>46143</v>
      </c>
      <c r="M337" s="65" t="str">
        <f t="shared" ca="1" si="27"/>
        <v>UYGUN</v>
      </c>
      <c r="N337" s="74" t="str">
        <f>IF($C337="","",IF($C337="TANIMSIZ MÜŞTERİ","—",INDEX(MUSTERILER!$C$7:$C$156,MATCH($C337,MUSTERILER!$B$7:$B$156,0))))</f>
        <v>FİNAL SİYAH BEYAZ LTD.ŞTİ.</v>
      </c>
      <c r="O337" s="2"/>
      <c r="P337" s="2"/>
      <c r="Q337" s="1" t="str">
        <f>IF($D337="","",$C337&amp;"|"&amp;COUNTIFS($C$7:$C337,$C337))</f>
        <v>M014|18</v>
      </c>
      <c r="R337" s="1" t="str">
        <f t="shared" si="28"/>
        <v>FINALSIYAHBEYAZLTDSTI</v>
      </c>
      <c r="S337" s="1" t="str">
        <f t="shared" si="29"/>
        <v>M014|46165|4000|</v>
      </c>
      <c r="T337" s="1">
        <f>IF($E337="",0,SUMPRODUCT((AY_SONU!$O$7:$O$42="Evet")*(AY_SONU!$B$7:$B$42=DATE(YEAR($E337),MONTH($E337),1))))</f>
        <v>0</v>
      </c>
      <c r="U337" s="1" t="str">
        <f>IF(OR($G337="",$H337="Mahsup"),"",$G337&amp;"|"&amp;COUNTIFS($G$7:$G337,$G337,$H$7:$H337,"&lt;&gt;Mahsup"))</f>
        <v>MERKEZ KASA|260</v>
      </c>
    </row>
    <row r="338" spans="1:21" ht="18" customHeight="1" x14ac:dyDescent="0.3">
      <c r="A338" s="2"/>
      <c r="B338" s="65" t="str">
        <f t="shared" si="25"/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M012</v>
      </c>
      <c r="D338" s="61" t="s">
        <v>721</v>
      </c>
      <c r="E338" s="66">
        <v>46165</v>
      </c>
      <c r="F338" s="67">
        <v>4000</v>
      </c>
      <c r="G338" s="60" t="s">
        <v>717</v>
      </c>
      <c r="H338" s="60" t="s">
        <v>572</v>
      </c>
      <c r="I338" s="61"/>
      <c r="J338" s="61" t="s">
        <v>720</v>
      </c>
      <c r="K338" s="61"/>
      <c r="L338" s="73">
        <f t="shared" si="26"/>
        <v>46143</v>
      </c>
      <c r="M338" s="65" t="str">
        <f t="shared" ca="1" si="27"/>
        <v>UYGUN</v>
      </c>
      <c r="N338" s="74" t="str">
        <f>IF($C338="","",IF($C338="TANIMSIZ MÜŞTERİ","—",INDEX(MUSTERILER!$C$7:$C$156,MATCH($C338,MUSTERILER!$B$7:$B$156,0))))</f>
        <v>İLDEŞ LTD.ŞTİ.</v>
      </c>
      <c r="O338" s="2"/>
      <c r="P338" s="2"/>
      <c r="Q338" s="1" t="str">
        <f>IF($D338="","",$C338&amp;"|"&amp;COUNTIFS($C$7:$C338,$C338))</f>
        <v>M012|20</v>
      </c>
      <c r="R338" s="1" t="str">
        <f t="shared" si="28"/>
        <v>ILDESLTDSTI</v>
      </c>
      <c r="S338" s="1" t="str">
        <f t="shared" si="29"/>
        <v>M012|46165|4000|</v>
      </c>
      <c r="T338" s="1">
        <f>IF($E338="",0,SUMPRODUCT((AY_SONU!$O$7:$O$42="Evet")*(AY_SONU!$B$7:$B$42=DATE(YEAR($E338),MONTH($E338),1))))</f>
        <v>0</v>
      </c>
      <c r="U338" s="1" t="str">
        <f>IF(OR($G338="",$H338="Mahsup"),"",$G338&amp;"|"&amp;COUNTIFS($G$7:$G338,$G338,$H$7:$H338,"&lt;&gt;Mahsup"))</f>
        <v>MERKEZ KASA|261</v>
      </c>
    </row>
    <row r="339" spans="1:21" ht="18" customHeight="1" x14ac:dyDescent="0.3">
      <c r="A339" s="2"/>
      <c r="B339" s="65" t="str">
        <f t="shared" si="25"/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M007</v>
      </c>
      <c r="D339" s="61" t="s">
        <v>733</v>
      </c>
      <c r="E339" s="66">
        <v>46165</v>
      </c>
      <c r="F339" s="67">
        <v>3500</v>
      </c>
      <c r="G339" s="60" t="s">
        <v>717</v>
      </c>
      <c r="H339" s="60" t="s">
        <v>572</v>
      </c>
      <c r="I339" s="61"/>
      <c r="J339" s="61" t="s">
        <v>720</v>
      </c>
      <c r="K339" s="61"/>
      <c r="L339" s="73">
        <f t="shared" si="26"/>
        <v>46143</v>
      </c>
      <c r="M339" s="65" t="str">
        <f t="shared" ca="1" si="27"/>
        <v>UYGUN</v>
      </c>
      <c r="N339" s="74" t="str">
        <f>IF($C339="","",IF($C339="TANIMSIZ MÜŞTERİ","—",INDEX(MUSTERILER!$C$7:$C$156,MATCH($C339,MUSTERILER!$B$7:$B$156,0))))</f>
        <v>MONAMOUR LTD.ŞTİ.</v>
      </c>
      <c r="O339" s="2"/>
      <c r="P339" s="2"/>
      <c r="Q339" s="1" t="str">
        <f>IF($D339="","",$C339&amp;"|"&amp;COUNTIFS($C$7:$C339,$C339))</f>
        <v>M007|16</v>
      </c>
      <c r="R339" s="1" t="str">
        <f t="shared" si="28"/>
        <v>MONAMOURLTDSTI</v>
      </c>
      <c r="S339" s="1" t="str">
        <f t="shared" si="29"/>
        <v>M007|46165|3500|</v>
      </c>
      <c r="T339" s="1">
        <f>IF($E339="",0,SUMPRODUCT((AY_SONU!$O$7:$O$42="Evet")*(AY_SONU!$B$7:$B$42=DATE(YEAR($E339),MONTH($E339),1))))</f>
        <v>0</v>
      </c>
      <c r="U339" s="1" t="str">
        <f>IF(OR($G339="",$H339="Mahsup"),"",$G339&amp;"|"&amp;COUNTIFS($G$7:$G339,$G339,$H$7:$H339,"&lt;&gt;Mahsup"))</f>
        <v>MERKEZ KASA|262</v>
      </c>
    </row>
    <row r="340" spans="1:21" ht="18" customHeight="1" x14ac:dyDescent="0.3">
      <c r="A340" s="2"/>
      <c r="B340" s="65" t="str">
        <f t="shared" si="25"/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M009</v>
      </c>
      <c r="D340" s="61" t="s">
        <v>735</v>
      </c>
      <c r="E340" s="66">
        <v>46165</v>
      </c>
      <c r="F340" s="67">
        <v>4000</v>
      </c>
      <c r="G340" s="60" t="s">
        <v>717</v>
      </c>
      <c r="H340" s="60" t="s">
        <v>572</v>
      </c>
      <c r="I340" s="61"/>
      <c r="J340" s="61" t="s">
        <v>720</v>
      </c>
      <c r="K340" s="61"/>
      <c r="L340" s="73">
        <f t="shared" si="26"/>
        <v>46143</v>
      </c>
      <c r="M340" s="65" t="str">
        <f t="shared" ca="1" si="27"/>
        <v>UYGUN</v>
      </c>
      <c r="N340" s="74" t="str">
        <f>IF($C340="","",IF($C340="TANIMSIZ MÜŞTERİ","—",INDEX(MUSTERILER!$C$7:$C$156,MATCH($C340,MUSTERILER!$B$7:$B$156,0))))</f>
        <v>PAKYILDIZ LTD.ŞTİ.</v>
      </c>
      <c r="O340" s="2"/>
      <c r="P340" s="2"/>
      <c r="Q340" s="1" t="str">
        <f>IF($D340="","",$C340&amp;"|"&amp;COUNTIFS($C$7:$C340,$C340))</f>
        <v>M009|16</v>
      </c>
      <c r="R340" s="1" t="str">
        <f t="shared" si="28"/>
        <v>PAKYILDIZLTDSTI</v>
      </c>
      <c r="S340" s="1" t="str">
        <f t="shared" si="29"/>
        <v>M009|46165|4000|</v>
      </c>
      <c r="T340" s="1">
        <f>IF($E340="",0,SUMPRODUCT((AY_SONU!$O$7:$O$42="Evet")*(AY_SONU!$B$7:$B$42=DATE(YEAR($E340),MONTH($E340),1))))</f>
        <v>0</v>
      </c>
      <c r="U340" s="1" t="str">
        <f>IF(OR($G340="",$H340="Mahsup"),"",$G340&amp;"|"&amp;COUNTIFS($G$7:$G340,$G340,$H$7:$H340,"&lt;&gt;Mahsup"))</f>
        <v>MERKEZ KASA|263</v>
      </c>
    </row>
    <row r="341" spans="1:21" ht="18" customHeight="1" x14ac:dyDescent="0.3">
      <c r="A341" s="2"/>
      <c r="B341" s="65" t="str">
        <f t="shared" si="25"/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M016</v>
      </c>
      <c r="D341" s="61" t="s">
        <v>736</v>
      </c>
      <c r="E341" s="66">
        <v>46165</v>
      </c>
      <c r="F341" s="67">
        <v>3000</v>
      </c>
      <c r="G341" s="60" t="s">
        <v>717</v>
      </c>
      <c r="H341" s="60" t="s">
        <v>572</v>
      </c>
      <c r="I341" s="61"/>
      <c r="J341" s="61" t="s">
        <v>720</v>
      </c>
      <c r="K341" s="61"/>
      <c r="L341" s="73">
        <f t="shared" si="26"/>
        <v>46143</v>
      </c>
      <c r="M341" s="65" t="str">
        <f t="shared" ca="1" si="27"/>
        <v>UYGUN</v>
      </c>
      <c r="N341" s="74" t="str">
        <f>IF($C341="","",IF($C341="TANIMSIZ MÜŞTERİ","—",INDEX(MUSTERILER!$C$7:$C$156,MATCH($C341,MUSTERILER!$B$7:$B$156,0))))</f>
        <v>RİX ŞOW LTD.ŞTİ.</v>
      </c>
      <c r="O341" s="2"/>
      <c r="P341" s="2"/>
      <c r="Q341" s="1" t="str">
        <f>IF($D341="","",$C341&amp;"|"&amp;COUNTIFS($C$7:$C341,$C341))</f>
        <v>M016|19</v>
      </c>
      <c r="R341" s="1" t="str">
        <f t="shared" si="28"/>
        <v>RIXSOWLTDSTI</v>
      </c>
      <c r="S341" s="1" t="str">
        <f t="shared" si="29"/>
        <v>M016|46165|3000|</v>
      </c>
      <c r="T341" s="1">
        <f>IF($E341="",0,SUMPRODUCT((AY_SONU!$O$7:$O$42="Evet")*(AY_SONU!$B$7:$B$42=DATE(YEAR($E341),MONTH($E341),1))))</f>
        <v>0</v>
      </c>
      <c r="U341" s="1" t="str">
        <f>IF(OR($G341="",$H341="Mahsup"),"",$G341&amp;"|"&amp;COUNTIFS($G$7:$G341,$G341,$H$7:$H341,"&lt;&gt;Mahsup"))</f>
        <v>MERKEZ KASA|264</v>
      </c>
    </row>
    <row r="342" spans="1:21" ht="18" customHeight="1" x14ac:dyDescent="0.3">
      <c r="A342" s="2"/>
      <c r="B342" s="65" t="str">
        <f t="shared" si="25"/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M018</v>
      </c>
      <c r="D342" s="61" t="s">
        <v>593</v>
      </c>
      <c r="E342" s="66">
        <v>46165</v>
      </c>
      <c r="F342" s="67">
        <v>2500</v>
      </c>
      <c r="G342" s="60" t="s">
        <v>717</v>
      </c>
      <c r="H342" s="60" t="s">
        <v>572</v>
      </c>
      <c r="I342" s="61"/>
      <c r="J342" s="61" t="s">
        <v>720</v>
      </c>
      <c r="K342" s="61"/>
      <c r="L342" s="73">
        <f t="shared" si="26"/>
        <v>46143</v>
      </c>
      <c r="M342" s="65" t="str">
        <f t="shared" ca="1" si="27"/>
        <v>UYGUN</v>
      </c>
      <c r="N342" s="74" t="str">
        <f>IF($C342="","",IF($C342="TANIMSIZ MÜŞTERİ","—",INDEX(MUSTERILER!$C$7:$C$156,MATCH($C342,MUSTERILER!$B$7:$B$156,0))))</f>
        <v>ÇINARHAN LTD.ŞTİ.</v>
      </c>
      <c r="O342" s="2"/>
      <c r="P342" s="2"/>
      <c r="Q342" s="1" t="str">
        <f>IF($D342="","",$C342&amp;"|"&amp;COUNTIFS($C$7:$C342,$C342))</f>
        <v>M018|15</v>
      </c>
      <c r="R342" s="1" t="str">
        <f t="shared" si="28"/>
        <v>CINARHANLTDSTI</v>
      </c>
      <c r="S342" s="1" t="str">
        <f t="shared" si="29"/>
        <v>M018|46165|2500|</v>
      </c>
      <c r="T342" s="1">
        <f>IF($E342="",0,SUMPRODUCT((AY_SONU!$O$7:$O$42="Evet")*(AY_SONU!$B$7:$B$42=DATE(YEAR($E342),MONTH($E342),1))))</f>
        <v>0</v>
      </c>
      <c r="U342" s="1" t="str">
        <f>IF(OR($G342="",$H342="Mahsup"),"",$G342&amp;"|"&amp;COUNTIFS($G$7:$G342,$G342,$H$7:$H342,"&lt;&gt;Mahsup"))</f>
        <v>MERKEZ KASA|265</v>
      </c>
    </row>
    <row r="343" spans="1:21" ht="18" customHeight="1" x14ac:dyDescent="0.3">
      <c r="A343" s="2"/>
      <c r="B343" s="65" t="str">
        <f t="shared" si="25"/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M054</v>
      </c>
      <c r="D343" s="61" t="s">
        <v>674</v>
      </c>
      <c r="E343" s="66">
        <v>46165</v>
      </c>
      <c r="F343" s="67">
        <v>4000</v>
      </c>
      <c r="G343" s="60" t="s">
        <v>717</v>
      </c>
      <c r="H343" s="60" t="s">
        <v>572</v>
      </c>
      <c r="I343" s="61"/>
      <c r="J343" s="61" t="s">
        <v>720</v>
      </c>
      <c r="K343" s="61"/>
      <c r="L343" s="73">
        <f t="shared" si="26"/>
        <v>46143</v>
      </c>
      <c r="M343" s="65" t="str">
        <f t="shared" ca="1" si="27"/>
        <v>UYGUN</v>
      </c>
      <c r="N343" s="74" t="str">
        <f>IF($C343="","",IF($C343="TANIMSIZ MÜŞTERİ","—",INDEX(MUSTERILER!$C$7:$C$156,MATCH($C343,MUSTERILER!$B$7:$B$156,0))))</f>
        <v>YALIKENT LTD.ŞTİ.</v>
      </c>
      <c r="O343" s="2"/>
      <c r="P343" s="2"/>
      <c r="Q343" s="1" t="str">
        <f>IF($D343="","",$C343&amp;"|"&amp;COUNTIFS($C$7:$C343,$C343))</f>
        <v>M054|9</v>
      </c>
      <c r="R343" s="1" t="str">
        <f t="shared" si="28"/>
        <v>YALIKENTLTDSTI</v>
      </c>
      <c r="S343" s="1" t="str">
        <f t="shared" si="29"/>
        <v>M054|46165|4000|</v>
      </c>
      <c r="T343" s="1">
        <f>IF($E343="",0,SUMPRODUCT((AY_SONU!$O$7:$O$42="Evet")*(AY_SONU!$B$7:$B$42=DATE(YEAR($E343),MONTH($E343),1))))</f>
        <v>0</v>
      </c>
      <c r="U343" s="1" t="str">
        <f>IF(OR($G343="",$H343="Mahsup"),"",$G343&amp;"|"&amp;COUNTIFS($G$7:$G343,$G343,$H$7:$H343,"&lt;&gt;Mahsup"))</f>
        <v>MERKEZ KASA|266</v>
      </c>
    </row>
    <row r="344" spans="1:21" ht="18" customHeight="1" x14ac:dyDescent="0.3">
      <c r="A344" s="2"/>
      <c r="B344" s="65" t="str">
        <f t="shared" si="25"/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M030</v>
      </c>
      <c r="D344" s="61" t="s">
        <v>603</v>
      </c>
      <c r="E344" s="66">
        <v>46168</v>
      </c>
      <c r="F344" s="67">
        <v>2000</v>
      </c>
      <c r="G344" s="60" t="s">
        <v>717</v>
      </c>
      <c r="H344" s="60" t="s">
        <v>572</v>
      </c>
      <c r="I344" s="61"/>
      <c r="J344" s="61" t="s">
        <v>720</v>
      </c>
      <c r="K344" s="61"/>
      <c r="L344" s="73">
        <f t="shared" si="26"/>
        <v>46143</v>
      </c>
      <c r="M344" s="65" t="str">
        <f t="shared" ca="1" si="27"/>
        <v>UYGUN</v>
      </c>
      <c r="N344" s="74" t="str">
        <f>IF($C344="","",IF($C344="TANIMSIZ MÜŞTERİ","—",INDEX(MUSTERILER!$C$7:$C$156,MATCH($C344,MUSTERILER!$B$7:$B$156,0))))</f>
        <v>FARUK DEMİRCİ</v>
      </c>
      <c r="O344" s="2"/>
      <c r="P344" s="2"/>
      <c r="Q344" s="1" t="str">
        <f>IF($D344="","",$C344&amp;"|"&amp;COUNTIFS($C$7:$C344,$C344))</f>
        <v>M030|2</v>
      </c>
      <c r="R344" s="1" t="str">
        <f t="shared" si="28"/>
        <v>FARUKDEMIRCI</v>
      </c>
      <c r="S344" s="1" t="str">
        <f t="shared" si="29"/>
        <v>M030|46168|2000|</v>
      </c>
      <c r="T344" s="1">
        <f>IF($E344="",0,SUMPRODUCT((AY_SONU!$O$7:$O$42="Evet")*(AY_SONU!$B$7:$B$42=DATE(YEAR($E344),MONTH($E344),1))))</f>
        <v>0</v>
      </c>
      <c r="U344" s="1" t="str">
        <f>IF(OR($G344="",$H344="Mahsup"),"",$G344&amp;"|"&amp;COUNTIFS($G$7:$G344,$G344,$H$7:$H344,"&lt;&gt;Mahsup"))</f>
        <v>MERKEZ KASA|267</v>
      </c>
    </row>
    <row r="345" spans="1:21" ht="18" customHeight="1" x14ac:dyDescent="0.3">
      <c r="A345" s="2"/>
      <c r="B345" s="65" t="str">
        <f t="shared" si="25"/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M005</v>
      </c>
      <c r="D345" s="61" t="s">
        <v>722</v>
      </c>
      <c r="E345" s="66">
        <v>46168</v>
      </c>
      <c r="F345" s="67">
        <v>1500</v>
      </c>
      <c r="G345" s="60" t="s">
        <v>717</v>
      </c>
      <c r="H345" s="60" t="s">
        <v>572</v>
      </c>
      <c r="I345" s="61"/>
      <c r="J345" s="61" t="s">
        <v>720</v>
      </c>
      <c r="K345" s="61"/>
      <c r="L345" s="73">
        <f t="shared" si="26"/>
        <v>46143</v>
      </c>
      <c r="M345" s="65" t="str">
        <f t="shared" ca="1" si="27"/>
        <v>UYGUN</v>
      </c>
      <c r="N345" s="74" t="str">
        <f>IF($C345="","",IF($C345="TANIMSIZ MÜŞTERİ","—",INDEX(MUSTERILER!$C$7:$C$156,MATCH($C345,MUSTERILER!$B$7:$B$156,0))))</f>
        <v>ZÜMRÜT GRUP LTD.ŞTİ.</v>
      </c>
      <c r="O345" s="2"/>
      <c r="P345" s="2"/>
      <c r="Q345" s="1" t="str">
        <f>IF($D345="","",$C345&amp;"|"&amp;COUNTIFS($C$7:$C345,$C345))</f>
        <v>M005|17</v>
      </c>
      <c r="R345" s="1" t="str">
        <f t="shared" si="28"/>
        <v>ZUMRUTGRUPLTDSTI</v>
      </c>
      <c r="S345" s="1" t="str">
        <f t="shared" si="29"/>
        <v>M005|46168|1500|</v>
      </c>
      <c r="T345" s="1">
        <f>IF($E345="",0,SUMPRODUCT((AY_SONU!$O$7:$O$42="Evet")*(AY_SONU!$B$7:$B$42=DATE(YEAR($E345),MONTH($E345),1))))</f>
        <v>0</v>
      </c>
      <c r="U345" s="1" t="str">
        <f>IF(OR($G345="",$H345="Mahsup"),"",$G345&amp;"|"&amp;COUNTIFS($G$7:$G345,$G345,$H$7:$H345,"&lt;&gt;Mahsup"))</f>
        <v>MERKEZ KASA|268</v>
      </c>
    </row>
    <row r="346" spans="1:21" ht="18" customHeight="1" x14ac:dyDescent="0.3">
      <c r="A346" s="2"/>
      <c r="B346" s="65" t="str">
        <f t="shared" si="25"/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M037</v>
      </c>
      <c r="D346" s="61" t="s">
        <v>625</v>
      </c>
      <c r="E346" s="66">
        <v>46169</v>
      </c>
      <c r="F346" s="67">
        <v>2000</v>
      </c>
      <c r="G346" s="60" t="s">
        <v>717</v>
      </c>
      <c r="H346" s="60" t="s">
        <v>572</v>
      </c>
      <c r="I346" s="61"/>
      <c r="J346" s="61" t="s">
        <v>720</v>
      </c>
      <c r="K346" s="61"/>
      <c r="L346" s="73">
        <f t="shared" si="26"/>
        <v>46143</v>
      </c>
      <c r="M346" s="65" t="str">
        <f t="shared" ca="1" si="27"/>
        <v>UYGUN</v>
      </c>
      <c r="N346" s="74" t="str">
        <f>IF($C346="","",IF($C346="TANIMSIZ MÜŞTERİ","—",INDEX(MUSTERILER!$C$7:$C$156,MATCH($C346,MUSTERILER!$B$7:$B$156,0))))</f>
        <v>MEHMET EVREN KILINÇ</v>
      </c>
      <c r="O346" s="2"/>
      <c r="P346" s="2"/>
      <c r="Q346" s="1" t="str">
        <f>IF($D346="","",$C346&amp;"|"&amp;COUNTIFS($C$7:$C346,$C346))</f>
        <v>M037|4</v>
      </c>
      <c r="R346" s="1" t="str">
        <f t="shared" si="28"/>
        <v>MEHMETEVRENKILINC</v>
      </c>
      <c r="S346" s="1" t="str">
        <f t="shared" si="29"/>
        <v>M037|46169|2000|</v>
      </c>
      <c r="T346" s="1">
        <f>IF($E346="",0,SUMPRODUCT((AY_SONU!$O$7:$O$42="Evet")*(AY_SONU!$B$7:$B$42=DATE(YEAR($E346),MONTH($E346),1))))</f>
        <v>0</v>
      </c>
      <c r="U346" s="1" t="str">
        <f>IF(OR($G346="",$H346="Mahsup"),"",$G346&amp;"|"&amp;COUNTIFS($G$7:$G346,$G346,$H$7:$H346,"&lt;&gt;Mahsup"))</f>
        <v>MERKEZ KASA|269</v>
      </c>
    </row>
    <row r="347" spans="1:21" ht="18" customHeight="1" x14ac:dyDescent="0.3">
      <c r="A347" s="2"/>
      <c r="B347" s="65" t="str">
        <f t="shared" si="25"/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M001</v>
      </c>
      <c r="D347" s="61" t="s">
        <v>729</v>
      </c>
      <c r="E347" s="66">
        <v>46172</v>
      </c>
      <c r="F347" s="67">
        <v>4000</v>
      </c>
      <c r="G347" s="60" t="s">
        <v>717</v>
      </c>
      <c r="H347" s="60" t="s">
        <v>572</v>
      </c>
      <c r="I347" s="61"/>
      <c r="J347" s="61" t="s">
        <v>720</v>
      </c>
      <c r="K347" s="61"/>
      <c r="L347" s="73">
        <f t="shared" si="26"/>
        <v>46143</v>
      </c>
      <c r="M347" s="65" t="str">
        <f t="shared" ca="1" si="27"/>
        <v>UYGUN</v>
      </c>
      <c r="N347" s="74" t="str">
        <f>IF($C347="","",IF($C347="TANIMSIZ MÜŞTERİ","—",INDEX(MUSTERILER!$C$7:$C$156,MATCH($C347,MUSTERILER!$B$7:$B$156,0))))</f>
        <v>ANKARA HAVANA LTD.ŞTİ.</v>
      </c>
      <c r="O347" s="2"/>
      <c r="P347" s="2"/>
      <c r="Q347" s="1" t="str">
        <f>IF($D347="","",$C347&amp;"|"&amp;COUNTIFS($C$7:$C347,$C347))</f>
        <v>M001|10</v>
      </c>
      <c r="R347" s="1" t="str">
        <f t="shared" si="28"/>
        <v>ANKARAHAVANALTDSTI</v>
      </c>
      <c r="S347" s="1" t="str">
        <f t="shared" si="29"/>
        <v>M001|46172|4000|</v>
      </c>
      <c r="T347" s="1">
        <f>IF($E347="",0,SUMPRODUCT((AY_SONU!$O$7:$O$42="Evet")*(AY_SONU!$B$7:$B$42=DATE(YEAR($E347),MONTH($E347),1))))</f>
        <v>0</v>
      </c>
      <c r="U347" s="1" t="str">
        <f>IF(OR($G347="",$H347="Mahsup"),"",$G347&amp;"|"&amp;COUNTIFS($G$7:$G347,$G347,$H$7:$H347,"&lt;&gt;Mahsup"))</f>
        <v>MERKEZ KASA|270</v>
      </c>
    </row>
    <row r="348" spans="1:21" ht="18" customHeight="1" x14ac:dyDescent="0.3">
      <c r="A348" s="2"/>
      <c r="B348" s="65" t="str">
        <f t="shared" si="25"/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M025</v>
      </c>
      <c r="D348" s="61" t="s">
        <v>583</v>
      </c>
      <c r="E348" s="66">
        <v>46172</v>
      </c>
      <c r="F348" s="67">
        <v>2000</v>
      </c>
      <c r="G348" s="60" t="s">
        <v>717</v>
      </c>
      <c r="H348" s="60" t="s">
        <v>572</v>
      </c>
      <c r="I348" s="61"/>
      <c r="J348" s="61" t="s">
        <v>720</v>
      </c>
      <c r="K348" s="61"/>
      <c r="L348" s="73">
        <f t="shared" si="26"/>
        <v>46143</v>
      </c>
      <c r="M348" s="65" t="str">
        <f t="shared" ca="1" si="27"/>
        <v>UYGUN</v>
      </c>
      <c r="N348" s="74" t="str">
        <f>IF($C348="","",IF($C348="TANIMSIZ MÜŞTERİ","—",INDEX(MUSTERILER!$C$7:$C$156,MATCH($C348,MUSTERILER!$B$7:$B$156,0))))</f>
        <v>ASIM AÇIKGÖZ</v>
      </c>
      <c r="O348" s="2"/>
      <c r="P348" s="2"/>
      <c r="Q348" s="1" t="str">
        <f>IF($D348="","",$C348&amp;"|"&amp;COUNTIFS($C$7:$C348,$C348))</f>
        <v>M025|17</v>
      </c>
      <c r="R348" s="1" t="str">
        <f t="shared" si="28"/>
        <v>ASIMACIKGOZ</v>
      </c>
      <c r="S348" s="1" t="str">
        <f t="shared" si="29"/>
        <v>M025|46172|2000|</v>
      </c>
      <c r="T348" s="1">
        <f>IF($E348="",0,SUMPRODUCT((AY_SONU!$O$7:$O$42="Evet")*(AY_SONU!$B$7:$B$42=DATE(YEAR($E348),MONTH($E348),1))))</f>
        <v>0</v>
      </c>
      <c r="U348" s="1" t="str">
        <f>IF(OR($G348="",$H348="Mahsup"),"",$G348&amp;"|"&amp;COUNTIFS($G$7:$G348,$G348,$H$7:$H348,"&lt;&gt;Mahsup"))</f>
        <v>MERKEZ KASA|271</v>
      </c>
    </row>
    <row r="349" spans="1:21" ht="18" customHeight="1" x14ac:dyDescent="0.3">
      <c r="A349" s="2"/>
      <c r="B349" s="65" t="str">
        <f t="shared" si="25"/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M017</v>
      </c>
      <c r="D349" s="61" t="s">
        <v>585</v>
      </c>
      <c r="E349" s="66">
        <v>46172</v>
      </c>
      <c r="F349" s="67">
        <v>2500</v>
      </c>
      <c r="G349" s="60" t="s">
        <v>717</v>
      </c>
      <c r="H349" s="60" t="s">
        <v>572</v>
      </c>
      <c r="I349" s="61"/>
      <c r="J349" s="61" t="s">
        <v>720</v>
      </c>
      <c r="K349" s="61"/>
      <c r="L349" s="73">
        <f t="shared" si="26"/>
        <v>46143</v>
      </c>
      <c r="M349" s="65" t="str">
        <f t="shared" ca="1" si="27"/>
        <v>UYGUN</v>
      </c>
      <c r="N349" s="74" t="str">
        <f>IF($C349="","",IF($C349="TANIMSIZ MÜŞTERİ","—",INDEX(MUSTERILER!$C$7:$C$156,MATCH($C349,MUSTERILER!$B$7:$B$156,0))))</f>
        <v>ASM EĞLENCE LTD.ŞTİ.</v>
      </c>
      <c r="O349" s="2"/>
      <c r="P349" s="2"/>
      <c r="Q349" s="1" t="str">
        <f>IF($D349="","",$C349&amp;"|"&amp;COUNTIFS($C$7:$C349,$C349))</f>
        <v>M017|18</v>
      </c>
      <c r="R349" s="1" t="str">
        <f t="shared" si="28"/>
        <v>ASMEGLENCELTDSTI</v>
      </c>
      <c r="S349" s="1" t="str">
        <f t="shared" si="29"/>
        <v>M017|46172|2500|</v>
      </c>
      <c r="T349" s="1">
        <f>IF($E349="",0,SUMPRODUCT((AY_SONU!$O$7:$O$42="Evet")*(AY_SONU!$B$7:$B$42=DATE(YEAR($E349),MONTH($E349),1))))</f>
        <v>0</v>
      </c>
      <c r="U349" s="1" t="str">
        <f>IF(OR($G349="",$H349="Mahsup"),"",$G349&amp;"|"&amp;COUNTIFS($G$7:$G349,$G349,$H$7:$H349,"&lt;&gt;Mahsup"))</f>
        <v>MERKEZ KASA|272</v>
      </c>
    </row>
    <row r="350" spans="1:21" ht="18" customHeight="1" x14ac:dyDescent="0.3">
      <c r="A350" s="2"/>
      <c r="B350" s="65" t="str">
        <f t="shared" si="25"/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M015</v>
      </c>
      <c r="D350" s="61" t="s">
        <v>719</v>
      </c>
      <c r="E350" s="66">
        <v>46172</v>
      </c>
      <c r="F350" s="67">
        <v>3000</v>
      </c>
      <c r="G350" s="60" t="s">
        <v>717</v>
      </c>
      <c r="H350" s="60" t="s">
        <v>572</v>
      </c>
      <c r="I350" s="61"/>
      <c r="J350" s="61" t="s">
        <v>720</v>
      </c>
      <c r="K350" s="61"/>
      <c r="L350" s="73">
        <f t="shared" si="26"/>
        <v>46143</v>
      </c>
      <c r="M350" s="65" t="str">
        <f t="shared" ca="1" si="27"/>
        <v>UYGUN</v>
      </c>
      <c r="N350" s="74" t="str">
        <f>IF($C350="","",IF($C350="TANIMSIZ MÜŞTERİ","—",INDEX(MUSTERILER!$C$7:$C$156,MATCH($C350,MUSTERILER!$B$7:$B$156,0))))</f>
        <v>ÇAYIRALAN LTD.ŞTİ.</v>
      </c>
      <c r="O350" s="2"/>
      <c r="P350" s="2"/>
      <c r="Q350" s="1" t="str">
        <f>IF($D350="","",$C350&amp;"|"&amp;COUNTIFS($C$7:$C350,$C350))</f>
        <v>M015|19</v>
      </c>
      <c r="R350" s="1" t="str">
        <f t="shared" si="28"/>
        <v>CAYIRALANLTDSTI</v>
      </c>
      <c r="S350" s="1" t="str">
        <f t="shared" si="29"/>
        <v>M015|46172|3000|</v>
      </c>
      <c r="T350" s="1">
        <f>IF($E350="",0,SUMPRODUCT((AY_SONU!$O$7:$O$42="Evet")*(AY_SONU!$B$7:$B$42=DATE(YEAR($E350),MONTH($E350),1))))</f>
        <v>0</v>
      </c>
      <c r="U350" s="1" t="str">
        <f>IF(OR($G350="",$H350="Mahsup"),"",$G350&amp;"|"&amp;COUNTIFS($G$7:$G350,$G350,$H$7:$H350,"&lt;&gt;Mahsup"))</f>
        <v>MERKEZ KASA|273</v>
      </c>
    </row>
    <row r="351" spans="1:21" ht="18" customHeight="1" x14ac:dyDescent="0.3">
      <c r="A351" s="2"/>
      <c r="B351" s="65" t="str">
        <f t="shared" si="25"/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M011</v>
      </c>
      <c r="D351" s="61" t="s">
        <v>730</v>
      </c>
      <c r="E351" s="66">
        <v>46172</v>
      </c>
      <c r="F351" s="67">
        <v>4000</v>
      </c>
      <c r="G351" s="60" t="s">
        <v>717</v>
      </c>
      <c r="H351" s="60" t="s">
        <v>572</v>
      </c>
      <c r="I351" s="61"/>
      <c r="J351" s="61" t="s">
        <v>720</v>
      </c>
      <c r="K351" s="61"/>
      <c r="L351" s="73">
        <f t="shared" si="26"/>
        <v>46143</v>
      </c>
      <c r="M351" s="65" t="str">
        <f t="shared" ca="1" si="27"/>
        <v>UYGUN</v>
      </c>
      <c r="N351" s="74" t="str">
        <f>IF($C351="","",IF($C351="TANIMSIZ MÜŞTERİ","—",INDEX(MUSTERILER!$C$7:$C$156,MATCH($C351,MUSTERILER!$B$7:$B$156,0))))</f>
        <v>EĞLENGÖR LTD.ŞTİ.</v>
      </c>
      <c r="O351" s="2"/>
      <c r="P351" s="2"/>
      <c r="Q351" s="1" t="str">
        <f>IF($D351="","",$C351&amp;"|"&amp;COUNTIFS($C$7:$C351,$C351))</f>
        <v>M011|20</v>
      </c>
      <c r="R351" s="1" t="str">
        <f t="shared" si="28"/>
        <v>EGLENGORLTDSTI</v>
      </c>
      <c r="S351" s="1" t="str">
        <f t="shared" si="29"/>
        <v>M011|46172|4000|</v>
      </c>
      <c r="T351" s="1">
        <f>IF($E351="",0,SUMPRODUCT((AY_SONU!$O$7:$O$42="Evet")*(AY_SONU!$B$7:$B$42=DATE(YEAR($E351),MONTH($E351),1))))</f>
        <v>0</v>
      </c>
      <c r="U351" s="1" t="str">
        <f>IF(OR($G351="",$H351="Mahsup"),"",$G351&amp;"|"&amp;COUNTIFS($G$7:$G351,$G351,$H$7:$H351,"&lt;&gt;Mahsup"))</f>
        <v>MERKEZ KASA|274</v>
      </c>
    </row>
    <row r="352" spans="1:21" ht="18" customHeight="1" x14ac:dyDescent="0.3">
      <c r="A352" s="2"/>
      <c r="B352" s="65" t="str">
        <f t="shared" si="25"/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M014</v>
      </c>
      <c r="D352" s="61" t="s">
        <v>731</v>
      </c>
      <c r="E352" s="66">
        <v>46172</v>
      </c>
      <c r="F352" s="67">
        <v>4000</v>
      </c>
      <c r="G352" s="60" t="s">
        <v>717</v>
      </c>
      <c r="H352" s="60" t="s">
        <v>572</v>
      </c>
      <c r="I352" s="61"/>
      <c r="J352" s="61" t="s">
        <v>720</v>
      </c>
      <c r="K352" s="61"/>
      <c r="L352" s="73">
        <f t="shared" si="26"/>
        <v>46143</v>
      </c>
      <c r="M352" s="65" t="str">
        <f t="shared" ca="1" si="27"/>
        <v>UYGUN</v>
      </c>
      <c r="N352" s="74" t="str">
        <f>IF($C352="","",IF($C352="TANIMSIZ MÜŞTERİ","—",INDEX(MUSTERILER!$C$7:$C$156,MATCH($C352,MUSTERILER!$B$7:$B$156,0))))</f>
        <v>FİNAL SİYAH BEYAZ LTD.ŞTİ.</v>
      </c>
      <c r="O352" s="2"/>
      <c r="P352" s="2"/>
      <c r="Q352" s="1" t="str">
        <f>IF($D352="","",$C352&amp;"|"&amp;COUNTIFS($C$7:$C352,$C352))</f>
        <v>M014|19</v>
      </c>
      <c r="R352" s="1" t="str">
        <f t="shared" si="28"/>
        <v>FINALSIYAHBEYAZLTDSTI</v>
      </c>
      <c r="S352" s="1" t="str">
        <f t="shared" si="29"/>
        <v>M014|46172|4000|</v>
      </c>
      <c r="T352" s="1">
        <f>IF($E352="",0,SUMPRODUCT((AY_SONU!$O$7:$O$42="Evet")*(AY_SONU!$B$7:$B$42=DATE(YEAR($E352),MONTH($E352),1))))</f>
        <v>0</v>
      </c>
      <c r="U352" s="1" t="str">
        <f>IF(OR($G352="",$H352="Mahsup"),"",$G352&amp;"|"&amp;COUNTIFS($G$7:$G352,$G352,$H$7:$H352,"&lt;&gt;Mahsup"))</f>
        <v>MERKEZ KASA|275</v>
      </c>
    </row>
    <row r="353" spans="1:21" ht="18" customHeight="1" x14ac:dyDescent="0.3">
      <c r="A353" s="2"/>
      <c r="B353" s="65" t="str">
        <f t="shared" si="25"/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M020</v>
      </c>
      <c r="D353" s="61" t="s">
        <v>623</v>
      </c>
      <c r="E353" s="66">
        <v>46172</v>
      </c>
      <c r="F353" s="67">
        <v>6000</v>
      </c>
      <c r="G353" s="60" t="s">
        <v>723</v>
      </c>
      <c r="H353" s="60" t="s">
        <v>572</v>
      </c>
      <c r="I353" s="61"/>
      <c r="J353" s="61" t="s">
        <v>720</v>
      </c>
      <c r="K353" s="61"/>
      <c r="L353" s="73">
        <f t="shared" si="26"/>
        <v>46143</v>
      </c>
      <c r="M353" s="65" t="str">
        <f t="shared" ca="1" si="27"/>
        <v>UYGUN</v>
      </c>
      <c r="N353" s="74" t="str">
        <f>IF($C353="","",IF($C353="TANIMSIZ MÜŞTERİ","—",INDEX(MUSTERILER!$C$7:$C$156,MATCH($C353,MUSTERILER!$B$7:$B$156,0))))</f>
        <v>KRİSTAL LTD.ŞTİ.</v>
      </c>
      <c r="O353" s="2"/>
      <c r="P353" s="2"/>
      <c r="Q353" s="1" t="str">
        <f>IF($D353="","",$C353&amp;"|"&amp;COUNTIFS($C$7:$C353,$C353))</f>
        <v>M020|20</v>
      </c>
      <c r="R353" s="1" t="str">
        <f t="shared" si="28"/>
        <v>KRISTALLTDSTI</v>
      </c>
      <c r="S353" s="1" t="str">
        <f t="shared" si="29"/>
        <v>M020|46172|6000|</v>
      </c>
      <c r="T353" s="1">
        <f>IF($E353="",0,SUMPRODUCT((AY_SONU!$O$7:$O$42="Evet")*(AY_SONU!$B$7:$B$42=DATE(YEAR($E353),MONTH($E353),1))))</f>
        <v>0</v>
      </c>
      <c r="U353" s="1" t="str">
        <f>IF(OR($G353="",$H353="Mahsup"),"",$G353&amp;"|"&amp;COUNTIFS($G$7:$G353,$G353,$H$7:$H353,"&lt;&gt;Mahsup"))</f>
        <v>ÖMER KARTAL|72</v>
      </c>
    </row>
    <row r="354" spans="1:21" ht="18" customHeight="1" x14ac:dyDescent="0.3">
      <c r="A354" s="2"/>
      <c r="B354" s="65" t="str">
        <f t="shared" si="25"/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M012</v>
      </c>
      <c r="D354" s="61" t="s">
        <v>721</v>
      </c>
      <c r="E354" s="66">
        <v>46172</v>
      </c>
      <c r="F354" s="67">
        <v>4000</v>
      </c>
      <c r="G354" s="60" t="s">
        <v>717</v>
      </c>
      <c r="H354" s="60" t="s">
        <v>572</v>
      </c>
      <c r="I354" s="61"/>
      <c r="J354" s="61" t="s">
        <v>720</v>
      </c>
      <c r="K354" s="61"/>
      <c r="L354" s="73">
        <f t="shared" si="26"/>
        <v>46143</v>
      </c>
      <c r="M354" s="65" t="str">
        <f t="shared" ca="1" si="27"/>
        <v>UYGUN</v>
      </c>
      <c r="N354" s="74" t="str">
        <f>IF($C354="","",IF($C354="TANIMSIZ MÜŞTERİ","—",INDEX(MUSTERILER!$C$7:$C$156,MATCH($C354,MUSTERILER!$B$7:$B$156,0))))</f>
        <v>İLDEŞ LTD.ŞTİ.</v>
      </c>
      <c r="O354" s="2"/>
      <c r="P354" s="2"/>
      <c r="Q354" s="1" t="str">
        <f>IF($D354="","",$C354&amp;"|"&amp;COUNTIFS($C$7:$C354,$C354))</f>
        <v>M012|21</v>
      </c>
      <c r="R354" s="1" t="str">
        <f t="shared" si="28"/>
        <v>ILDESLTDSTI</v>
      </c>
      <c r="S354" s="1" t="str">
        <f t="shared" si="29"/>
        <v>M012|46172|4000|</v>
      </c>
      <c r="T354" s="1">
        <f>IF($E354="",0,SUMPRODUCT((AY_SONU!$O$7:$O$42="Evet")*(AY_SONU!$B$7:$B$42=DATE(YEAR($E354),MONTH($E354),1))))</f>
        <v>0</v>
      </c>
      <c r="U354" s="1" t="str">
        <f>IF(OR($G354="",$H354="Mahsup"),"",$G354&amp;"|"&amp;COUNTIFS($G$7:$G354,$G354,$H$7:$H354,"&lt;&gt;Mahsup"))</f>
        <v>MERKEZ KASA|276</v>
      </c>
    </row>
    <row r="355" spans="1:21" ht="18" customHeight="1" x14ac:dyDescent="0.3">
      <c r="A355" s="2"/>
      <c r="B355" s="65" t="str">
        <f t="shared" si="25"/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M009</v>
      </c>
      <c r="D355" s="61" t="s">
        <v>735</v>
      </c>
      <c r="E355" s="66">
        <v>46172</v>
      </c>
      <c r="F355" s="67">
        <v>4000</v>
      </c>
      <c r="G355" s="60" t="s">
        <v>717</v>
      </c>
      <c r="H355" s="60" t="s">
        <v>572</v>
      </c>
      <c r="I355" s="61"/>
      <c r="J355" s="61" t="s">
        <v>720</v>
      </c>
      <c r="K355" s="61"/>
      <c r="L355" s="73">
        <f t="shared" si="26"/>
        <v>46143</v>
      </c>
      <c r="M355" s="65" t="str">
        <f t="shared" ca="1" si="27"/>
        <v>UYGUN</v>
      </c>
      <c r="N355" s="74" t="str">
        <f>IF($C355="","",IF($C355="TANIMSIZ MÜŞTERİ","—",INDEX(MUSTERILER!$C$7:$C$156,MATCH($C355,MUSTERILER!$B$7:$B$156,0))))</f>
        <v>PAKYILDIZ LTD.ŞTİ.</v>
      </c>
      <c r="O355" s="2"/>
      <c r="P355" s="2"/>
      <c r="Q355" s="1" t="str">
        <f>IF($D355="","",$C355&amp;"|"&amp;COUNTIFS($C$7:$C355,$C355))</f>
        <v>M009|17</v>
      </c>
      <c r="R355" s="1" t="str">
        <f t="shared" si="28"/>
        <v>PAKYILDIZLTDSTI</v>
      </c>
      <c r="S355" s="1" t="str">
        <f t="shared" si="29"/>
        <v>M009|46172|4000|</v>
      </c>
      <c r="T355" s="1">
        <f>IF($E355="",0,SUMPRODUCT((AY_SONU!$O$7:$O$42="Evet")*(AY_SONU!$B$7:$B$42=DATE(YEAR($E355),MONTH($E355),1))))</f>
        <v>0</v>
      </c>
      <c r="U355" s="1" t="str">
        <f>IF(OR($G355="",$H355="Mahsup"),"",$G355&amp;"|"&amp;COUNTIFS($G$7:$G355,$G355,$H$7:$H355,"&lt;&gt;Mahsup"))</f>
        <v>MERKEZ KASA|277</v>
      </c>
    </row>
    <row r="356" spans="1:21" ht="18" customHeight="1" x14ac:dyDescent="0.3">
      <c r="A356" s="2"/>
      <c r="B356" s="65" t="str">
        <f t="shared" si="25"/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M016</v>
      </c>
      <c r="D356" s="61" t="s">
        <v>736</v>
      </c>
      <c r="E356" s="66">
        <v>46172</v>
      </c>
      <c r="F356" s="67">
        <v>3000</v>
      </c>
      <c r="G356" s="60" t="s">
        <v>717</v>
      </c>
      <c r="H356" s="60" t="s">
        <v>572</v>
      </c>
      <c r="I356" s="61"/>
      <c r="J356" s="61" t="s">
        <v>720</v>
      </c>
      <c r="K356" s="61"/>
      <c r="L356" s="73">
        <f t="shared" si="26"/>
        <v>46143</v>
      </c>
      <c r="M356" s="65" t="str">
        <f t="shared" ca="1" si="27"/>
        <v>UYGUN</v>
      </c>
      <c r="N356" s="74" t="str">
        <f>IF($C356="","",IF($C356="TANIMSIZ MÜŞTERİ","—",INDEX(MUSTERILER!$C$7:$C$156,MATCH($C356,MUSTERILER!$B$7:$B$156,0))))</f>
        <v>RİX ŞOW LTD.ŞTİ.</v>
      </c>
      <c r="O356" s="2"/>
      <c r="P356" s="2"/>
      <c r="Q356" s="1" t="str">
        <f>IF($D356="","",$C356&amp;"|"&amp;COUNTIFS($C$7:$C356,$C356))</f>
        <v>M016|20</v>
      </c>
      <c r="R356" s="1" t="str">
        <f t="shared" si="28"/>
        <v>RIXSOWLTDSTI</v>
      </c>
      <c r="S356" s="1" t="str">
        <f t="shared" si="29"/>
        <v>M016|46172|3000|</v>
      </c>
      <c r="T356" s="1">
        <f>IF($E356="",0,SUMPRODUCT((AY_SONU!$O$7:$O$42="Evet")*(AY_SONU!$B$7:$B$42=DATE(YEAR($E356),MONTH($E356),1))))</f>
        <v>0</v>
      </c>
      <c r="U356" s="1" t="str">
        <f>IF(OR($G356="",$H356="Mahsup"),"",$G356&amp;"|"&amp;COUNTIFS($G$7:$G356,$G356,$H$7:$H356,"&lt;&gt;Mahsup"))</f>
        <v>MERKEZ KASA|278</v>
      </c>
    </row>
    <row r="357" spans="1:21" ht="18" customHeight="1" x14ac:dyDescent="0.3">
      <c r="A357" s="2"/>
      <c r="B357" s="65" t="str">
        <f t="shared" si="25"/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M005</v>
      </c>
      <c r="D357" s="61" t="s">
        <v>722</v>
      </c>
      <c r="E357" s="66">
        <v>46172</v>
      </c>
      <c r="F357" s="67">
        <v>1750</v>
      </c>
      <c r="G357" s="60" t="s">
        <v>717</v>
      </c>
      <c r="H357" s="60" t="s">
        <v>572</v>
      </c>
      <c r="I357" s="61"/>
      <c r="J357" s="61" t="s">
        <v>720</v>
      </c>
      <c r="K357" s="61"/>
      <c r="L357" s="73">
        <f t="shared" si="26"/>
        <v>46143</v>
      </c>
      <c r="M357" s="65" t="str">
        <f t="shared" ca="1" si="27"/>
        <v>UYGUN</v>
      </c>
      <c r="N357" s="74" t="str">
        <f>IF($C357="","",IF($C357="TANIMSIZ MÜŞTERİ","—",INDEX(MUSTERILER!$C$7:$C$156,MATCH($C357,MUSTERILER!$B$7:$B$156,0))))</f>
        <v>ZÜMRÜT GRUP LTD.ŞTİ.</v>
      </c>
      <c r="O357" s="2"/>
      <c r="P357" s="2"/>
      <c r="Q357" s="1" t="str">
        <f>IF($D357="","",$C357&amp;"|"&amp;COUNTIFS($C$7:$C357,$C357))</f>
        <v>M005|18</v>
      </c>
      <c r="R357" s="1" t="str">
        <f t="shared" si="28"/>
        <v>ZUMRUTGRUPLTDSTI</v>
      </c>
      <c r="S357" s="1" t="str">
        <f t="shared" si="29"/>
        <v>M005|46172|1750|</v>
      </c>
      <c r="T357" s="1">
        <f>IF($E357="",0,SUMPRODUCT((AY_SONU!$O$7:$O$42="Evet")*(AY_SONU!$B$7:$B$42=DATE(YEAR($E357),MONTH($E357),1))))</f>
        <v>0</v>
      </c>
      <c r="U357" s="1" t="str">
        <f>IF(OR($G357="",$H357="Mahsup"),"",$G357&amp;"|"&amp;COUNTIFS($G$7:$G357,$G357,$H$7:$H357,"&lt;&gt;Mahsup"))</f>
        <v>MERKEZ KASA|279</v>
      </c>
    </row>
    <row r="358" spans="1:21" ht="18" customHeight="1" x14ac:dyDescent="0.3">
      <c r="A358" s="2"/>
      <c r="B358" s="65" t="str">
        <f t="shared" si="25"/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M018</v>
      </c>
      <c r="D358" s="61" t="s">
        <v>593</v>
      </c>
      <c r="E358" s="66">
        <v>46172</v>
      </c>
      <c r="F358" s="67">
        <v>2500</v>
      </c>
      <c r="G358" s="60" t="s">
        <v>717</v>
      </c>
      <c r="H358" s="60" t="s">
        <v>572</v>
      </c>
      <c r="I358" s="61"/>
      <c r="J358" s="61" t="s">
        <v>720</v>
      </c>
      <c r="K358" s="61"/>
      <c r="L358" s="73">
        <f t="shared" si="26"/>
        <v>46143</v>
      </c>
      <c r="M358" s="65" t="str">
        <f t="shared" ca="1" si="27"/>
        <v>UYGUN</v>
      </c>
      <c r="N358" s="74" t="str">
        <f>IF($C358="","",IF($C358="TANIMSIZ MÜŞTERİ","—",INDEX(MUSTERILER!$C$7:$C$156,MATCH($C358,MUSTERILER!$B$7:$B$156,0))))</f>
        <v>ÇINARHAN LTD.ŞTİ.</v>
      </c>
      <c r="O358" s="2"/>
      <c r="P358" s="2"/>
      <c r="Q358" s="1" t="str">
        <f>IF($D358="","",$C358&amp;"|"&amp;COUNTIFS($C$7:$C358,$C358))</f>
        <v>M018|16</v>
      </c>
      <c r="R358" s="1" t="str">
        <f t="shared" si="28"/>
        <v>CINARHANLTDSTI</v>
      </c>
      <c r="S358" s="1" t="str">
        <f t="shared" si="29"/>
        <v>M018|46172|2500|</v>
      </c>
      <c r="T358" s="1">
        <f>IF($E358="",0,SUMPRODUCT((AY_SONU!$O$7:$O$42="Evet")*(AY_SONU!$B$7:$B$42=DATE(YEAR($E358),MONTH($E358),1))))</f>
        <v>0</v>
      </c>
      <c r="U358" s="1" t="str">
        <f>IF(OR($G358="",$H358="Mahsup"),"",$G358&amp;"|"&amp;COUNTIFS($G$7:$G358,$G358,$H$7:$H358,"&lt;&gt;Mahsup"))</f>
        <v>MERKEZ KASA|280</v>
      </c>
    </row>
    <row r="359" spans="1:21" ht="18" customHeight="1" x14ac:dyDescent="0.3">
      <c r="A359" s="2"/>
      <c r="B359" s="65" t="str">
        <f t="shared" si="25"/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61" t="s">
        <v>654</v>
      </c>
      <c r="E359" s="66">
        <v>46172</v>
      </c>
      <c r="F359" s="67">
        <v>4000</v>
      </c>
      <c r="G359" s="60" t="s">
        <v>717</v>
      </c>
      <c r="H359" s="60" t="s">
        <v>572</v>
      </c>
      <c r="I359" s="61"/>
      <c r="J359" s="61" t="s">
        <v>720</v>
      </c>
      <c r="K359" s="61"/>
      <c r="L359" s="73">
        <f t="shared" si="26"/>
        <v>46143</v>
      </c>
      <c r="M359" s="65" t="str">
        <f t="shared" ca="1" si="27"/>
        <v>UYGUN</v>
      </c>
      <c r="N359" s="74" t="str">
        <f>IF($C359="","",IF($C359="TANIMSIZ MÜŞTERİ","—",INDEX(MUSTERILER!$C$7:$C$156,MATCH($C359,MUSTERILER!$B$7:$B$156,0))))</f>
        <v>PALAOĞULLARI LTD.ŞTİ.</v>
      </c>
      <c r="O359" s="2"/>
      <c r="P359" s="2"/>
      <c r="Q359" s="1" t="str">
        <f>IF($D359="","",$C359&amp;"|"&amp;COUNTIFS($C$7:$C359,$C359))</f>
        <v>M047|12</v>
      </c>
      <c r="R359" s="1" t="str">
        <f t="shared" si="28"/>
        <v>PALAOGULLARILTDSTI</v>
      </c>
      <c r="S359" s="1" t="str">
        <f t="shared" si="29"/>
        <v>M047|46172|4000|</v>
      </c>
      <c r="T359" s="1">
        <f>IF($E359="",0,SUMPRODUCT((AY_SONU!$O$7:$O$42="Evet")*(AY_SONU!$B$7:$B$42=DATE(YEAR($E359),MONTH($E359),1))))</f>
        <v>0</v>
      </c>
      <c r="U359" s="1" t="str">
        <f>IF(OR($G359="",$H359="Mahsup"),"",$G359&amp;"|"&amp;COUNTIFS($G$7:$G359,$G359,$H$7:$H359,"&lt;&gt;Mahsup"))</f>
        <v>MERKEZ KASA|281</v>
      </c>
    </row>
    <row r="360" spans="1:21" ht="18" customHeight="1" x14ac:dyDescent="0.3">
      <c r="A360" s="2"/>
      <c r="B360" s="65" t="str">
        <f t="shared" si="25"/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61" t="s">
        <v>674</v>
      </c>
      <c r="E360" s="66">
        <v>46172</v>
      </c>
      <c r="F360" s="67">
        <v>4000</v>
      </c>
      <c r="G360" s="60" t="s">
        <v>717</v>
      </c>
      <c r="H360" s="60" t="s">
        <v>572</v>
      </c>
      <c r="I360" s="61"/>
      <c r="J360" s="61" t="s">
        <v>720</v>
      </c>
      <c r="K360" s="61"/>
      <c r="L360" s="73">
        <f t="shared" si="26"/>
        <v>46143</v>
      </c>
      <c r="M360" s="65" t="str">
        <f t="shared" ca="1" si="27"/>
        <v>UYGUN</v>
      </c>
      <c r="N360" s="74" t="str">
        <f>IF($C360="","",IF($C360="TANIMSIZ MÜŞTERİ","—",INDEX(MUSTERILER!$C$7:$C$156,MATCH($C360,MUSTERILER!$B$7:$B$156,0))))</f>
        <v>YALIKENT LTD.ŞTİ.</v>
      </c>
      <c r="O360" s="2"/>
      <c r="P360" s="2"/>
      <c r="Q360" s="1" t="str">
        <f>IF($D360="","",$C360&amp;"|"&amp;COUNTIFS($C$7:$C360,$C360))</f>
        <v>M054|10</v>
      </c>
      <c r="R360" s="1" t="str">
        <f t="shared" si="28"/>
        <v>YALIKENTLTDSTI</v>
      </c>
      <c r="S360" s="1" t="str">
        <f t="shared" si="29"/>
        <v>M054|46172|4000|</v>
      </c>
      <c r="T360" s="1">
        <f>IF($E360="",0,SUMPRODUCT((AY_SONU!$O$7:$O$42="Evet")*(AY_SONU!$B$7:$B$42=DATE(YEAR($E360),MONTH($E360),1))))</f>
        <v>0</v>
      </c>
      <c r="U360" s="1" t="str">
        <f>IF(OR($G360="",$H360="Mahsup"),"",$G360&amp;"|"&amp;COUNTIFS($G$7:$G360,$G360,$H$7:$H360,"&lt;&gt;Mahsup"))</f>
        <v>MERKEZ KASA|282</v>
      </c>
    </row>
    <row r="361" spans="1:21" ht="18" customHeight="1" x14ac:dyDescent="0.3">
      <c r="A361" s="2"/>
      <c r="B361" s="65" t="str">
        <f t="shared" si="25"/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M023</v>
      </c>
      <c r="D361" s="61" t="s">
        <v>576</v>
      </c>
      <c r="E361" s="66">
        <v>46173</v>
      </c>
      <c r="F361" s="67">
        <v>12000</v>
      </c>
      <c r="G361" s="60" t="s">
        <v>723</v>
      </c>
      <c r="H361" s="60" t="s">
        <v>572</v>
      </c>
      <c r="I361" s="61"/>
      <c r="J361" s="61" t="s">
        <v>725</v>
      </c>
      <c r="K361" s="61"/>
      <c r="L361" s="73">
        <f t="shared" si="26"/>
        <v>46143</v>
      </c>
      <c r="M361" s="65" t="str">
        <f t="shared" ca="1" si="27"/>
        <v>UYGUN</v>
      </c>
      <c r="N361" s="74" t="str">
        <f>IF($C361="","",IF($C361="TANIMSIZ MÜŞTERİ","—",INDEX(MUSTERILER!$C$7:$C$156,MATCH($C361,MUSTERILER!$B$7:$B$156,0))))</f>
        <v>ALTINEL LTD.ŞTİ.</v>
      </c>
      <c r="O361" s="2"/>
      <c r="P361" s="2"/>
      <c r="Q361" s="1" t="str">
        <f>IF($D361="","",$C361&amp;"|"&amp;COUNTIFS($C$7:$C361,$C361))</f>
        <v>M023|5</v>
      </c>
      <c r="R361" s="1" t="str">
        <f t="shared" si="28"/>
        <v>ALTINELLTDSTI</v>
      </c>
      <c r="S361" s="1" t="str">
        <f t="shared" si="29"/>
        <v>M023|46173|12000|</v>
      </c>
      <c r="T361" s="1">
        <f>IF($E361="",0,SUMPRODUCT((AY_SONU!$O$7:$O$42="Evet")*(AY_SONU!$B$7:$B$42=DATE(YEAR($E361),MONTH($E361),1))))</f>
        <v>0</v>
      </c>
      <c r="U361" s="1" t="str">
        <f>IF(OR($G361="",$H361="Mahsup"),"",$G361&amp;"|"&amp;COUNTIFS($G$7:$G361,$G361,$H$7:$H361,"&lt;&gt;Mahsup"))</f>
        <v>ÖMER KARTAL|73</v>
      </c>
    </row>
    <row r="362" spans="1:21" ht="18" customHeight="1" x14ac:dyDescent="0.3">
      <c r="A362" s="2"/>
      <c r="B362" s="65" t="str">
        <f t="shared" si="25"/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M055</v>
      </c>
      <c r="D362" s="61" t="s">
        <v>660</v>
      </c>
      <c r="E362" s="66">
        <v>46173</v>
      </c>
      <c r="F362" s="67">
        <v>2000</v>
      </c>
      <c r="G362" s="60" t="s">
        <v>717</v>
      </c>
      <c r="H362" s="60" t="s">
        <v>572</v>
      </c>
      <c r="I362" s="61"/>
      <c r="J362" s="61" t="s">
        <v>720</v>
      </c>
      <c r="K362" s="61"/>
      <c r="L362" s="73">
        <f t="shared" si="26"/>
        <v>46143</v>
      </c>
      <c r="M362" s="65" t="str">
        <f t="shared" ca="1" si="27"/>
        <v>UYGUN</v>
      </c>
      <c r="N362" s="74" t="str">
        <f>IF($C362="","",IF($C362="TANIMSIZ MÜŞTERİ","—",INDEX(MUSTERILER!$C$7:$C$156,MATCH($C362,MUSTERILER!$B$7:$B$156,0))))</f>
        <v>SEMRA GÜMÜŞ</v>
      </c>
      <c r="O362" s="2"/>
      <c r="P362" s="2"/>
      <c r="Q362" s="1" t="str">
        <f>IF($D362="","",$C362&amp;"|"&amp;COUNTIFS($C$7:$C362,$C362))</f>
        <v>M055|3</v>
      </c>
      <c r="R362" s="1" t="str">
        <f t="shared" si="28"/>
        <v>SEMRAGUMUS</v>
      </c>
      <c r="S362" s="1" t="str">
        <f t="shared" si="29"/>
        <v>M055|46173|2000|</v>
      </c>
      <c r="T362" s="1">
        <f>IF($E362="",0,SUMPRODUCT((AY_SONU!$O$7:$O$42="Evet")*(AY_SONU!$B$7:$B$42=DATE(YEAR($E362),MONTH($E362),1))))</f>
        <v>0</v>
      </c>
      <c r="U362" s="1" t="str">
        <f>IF(OR($G362="",$H362="Mahsup"),"",$G362&amp;"|"&amp;COUNTIFS($G$7:$G362,$G362,$H$7:$H362,"&lt;&gt;Mahsup"))</f>
        <v>MERKEZ KASA|283</v>
      </c>
    </row>
    <row r="363" spans="1:21" ht="18" customHeight="1" x14ac:dyDescent="0.3">
      <c r="A363" s="2"/>
      <c r="B363" s="65" t="str">
        <f t="shared" si="25"/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M023</v>
      </c>
      <c r="D363" s="61" t="s">
        <v>576</v>
      </c>
      <c r="E363" s="66">
        <v>46174</v>
      </c>
      <c r="F363" s="67">
        <v>12000</v>
      </c>
      <c r="G363" s="60" t="s">
        <v>723</v>
      </c>
      <c r="H363" s="60" t="s">
        <v>572</v>
      </c>
      <c r="I363" s="61"/>
      <c r="J363" s="61" t="s">
        <v>725</v>
      </c>
      <c r="K363" s="61"/>
      <c r="L363" s="73">
        <f t="shared" si="26"/>
        <v>46174</v>
      </c>
      <c r="M363" s="65" t="str">
        <f t="shared" ca="1" si="27"/>
        <v>UYGUN</v>
      </c>
      <c r="N363" s="74" t="str">
        <f>IF($C363="","",IF($C363="TANIMSIZ MÜŞTERİ","—",INDEX(MUSTERILER!$C$7:$C$156,MATCH($C363,MUSTERILER!$B$7:$B$156,0))))</f>
        <v>ALTINEL LTD.ŞTİ.</v>
      </c>
      <c r="O363" s="2"/>
      <c r="P363" s="2"/>
      <c r="Q363" s="1" t="str">
        <f>IF($D363="","",$C363&amp;"|"&amp;COUNTIFS($C$7:$C363,$C363))</f>
        <v>M023|6</v>
      </c>
      <c r="R363" s="1" t="str">
        <f t="shared" si="28"/>
        <v>ALTINELLTDSTI</v>
      </c>
      <c r="S363" s="1" t="str">
        <f t="shared" si="29"/>
        <v>M023|46174|12000|</v>
      </c>
      <c r="T363" s="1">
        <f>IF($E363="",0,SUMPRODUCT((AY_SONU!$O$7:$O$42="Evet")*(AY_SONU!$B$7:$B$42=DATE(YEAR($E363),MONTH($E363),1))))</f>
        <v>0</v>
      </c>
      <c r="U363" s="1" t="str">
        <f>IF(OR($G363="",$H363="Mahsup"),"",$G363&amp;"|"&amp;COUNTIFS($G$7:$G363,$G363,$H$7:$H363,"&lt;&gt;Mahsup"))</f>
        <v>ÖMER KARTAL|74</v>
      </c>
    </row>
    <row r="364" spans="1:21" ht="18" customHeight="1" x14ac:dyDescent="0.3">
      <c r="A364" s="2"/>
      <c r="B364" s="65" t="str">
        <f t="shared" si="25"/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M027</v>
      </c>
      <c r="D364" s="61" t="s">
        <v>591</v>
      </c>
      <c r="E364" s="66">
        <v>46174</v>
      </c>
      <c r="F364" s="67">
        <v>2500</v>
      </c>
      <c r="G364" s="60" t="s">
        <v>717</v>
      </c>
      <c r="H364" s="60" t="s">
        <v>572</v>
      </c>
      <c r="I364" s="61"/>
      <c r="J364" s="61" t="s">
        <v>1305</v>
      </c>
      <c r="K364" s="61"/>
      <c r="L364" s="73">
        <f t="shared" si="26"/>
        <v>46174</v>
      </c>
      <c r="M364" s="65" t="str">
        <f t="shared" ca="1" si="27"/>
        <v>UYGUN</v>
      </c>
      <c r="N364" s="74" t="str">
        <f>IF($C364="","",IF($C364="TANIMSIZ MÜŞTERİ","—",INDEX(MUSTERILER!$C$7:$C$156,MATCH($C364,MUSTERILER!$B$7:$B$156,0))))</f>
        <v>CEREN DEMİRCİ</v>
      </c>
      <c r="O364" s="2"/>
      <c r="P364" s="2"/>
      <c r="Q364" s="1" t="str">
        <f>IF($D364="","",$C364&amp;"|"&amp;COUNTIFS($C$7:$C364,$C364))</f>
        <v>M027|4</v>
      </c>
      <c r="R364" s="1" t="str">
        <f t="shared" si="28"/>
        <v>CERENDEMIRCI</v>
      </c>
      <c r="S364" s="1" t="str">
        <f t="shared" si="29"/>
        <v>M027|46174|2500|</v>
      </c>
      <c r="T364" s="1">
        <f>IF($E364="",0,SUMPRODUCT((AY_SONU!$O$7:$O$42="Evet")*(AY_SONU!$B$7:$B$42=DATE(YEAR($E364),MONTH($E364),1))))</f>
        <v>0</v>
      </c>
      <c r="U364" s="1" t="str">
        <f>IF(OR($G364="",$H364="Mahsup"),"",$G364&amp;"|"&amp;COUNTIFS($G$7:$G364,$G364,$H$7:$H364,"&lt;&gt;Mahsup"))</f>
        <v>MERKEZ KASA|284</v>
      </c>
    </row>
    <row r="365" spans="1:21" ht="18" customHeight="1" x14ac:dyDescent="0.3">
      <c r="A365" s="2"/>
      <c r="B365" s="65" t="str">
        <f t="shared" si="25"/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M001</v>
      </c>
      <c r="D365" s="61" t="s">
        <v>729</v>
      </c>
      <c r="E365" s="66">
        <v>46179</v>
      </c>
      <c r="F365" s="67">
        <v>4000</v>
      </c>
      <c r="G365" s="60" t="s">
        <v>717</v>
      </c>
      <c r="H365" s="60" t="s">
        <v>572</v>
      </c>
      <c r="I365" s="61"/>
      <c r="J365" s="61" t="s">
        <v>720</v>
      </c>
      <c r="K365" s="61"/>
      <c r="L365" s="73">
        <f t="shared" si="26"/>
        <v>46174</v>
      </c>
      <c r="M365" s="65" t="str">
        <f t="shared" ca="1" si="27"/>
        <v>UYGUN</v>
      </c>
      <c r="N365" s="74" t="str">
        <f>IF($C365="","",IF($C365="TANIMSIZ MÜŞTERİ","—",INDEX(MUSTERILER!$C$7:$C$156,MATCH($C365,MUSTERILER!$B$7:$B$156,0))))</f>
        <v>ANKARA HAVANA LTD.ŞTİ.</v>
      </c>
      <c r="O365" s="2"/>
      <c r="P365" s="2"/>
      <c r="Q365" s="1" t="str">
        <f>IF($D365="","",$C365&amp;"|"&amp;COUNTIFS($C$7:$C365,$C365))</f>
        <v>M001|11</v>
      </c>
      <c r="R365" s="1" t="str">
        <f t="shared" si="28"/>
        <v>ANKARAHAVANALTDSTI</v>
      </c>
      <c r="S365" s="1" t="str">
        <f t="shared" si="29"/>
        <v>M001|46179|4000|</v>
      </c>
      <c r="T365" s="1">
        <f>IF($E365="",0,SUMPRODUCT((AY_SONU!$O$7:$O$42="Evet")*(AY_SONU!$B$7:$B$42=DATE(YEAR($E365),MONTH($E365),1))))</f>
        <v>0</v>
      </c>
      <c r="U365" s="1" t="str">
        <f>IF(OR($G365="",$H365="Mahsup"),"",$G365&amp;"|"&amp;COUNTIFS($G$7:$G365,$G365,$H$7:$H365,"&lt;&gt;Mahsup"))</f>
        <v>MERKEZ KASA|285</v>
      </c>
    </row>
    <row r="366" spans="1:21" ht="18" customHeight="1" x14ac:dyDescent="0.3">
      <c r="A366" s="2"/>
      <c r="B366" s="65" t="str">
        <f t="shared" si="25"/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M025</v>
      </c>
      <c r="D366" s="61" t="s">
        <v>583</v>
      </c>
      <c r="E366" s="66">
        <v>46179</v>
      </c>
      <c r="F366" s="67">
        <v>2000</v>
      </c>
      <c r="G366" s="60" t="s">
        <v>717</v>
      </c>
      <c r="H366" s="60" t="s">
        <v>572</v>
      </c>
      <c r="I366" s="61"/>
      <c r="J366" s="61" t="s">
        <v>720</v>
      </c>
      <c r="K366" s="61"/>
      <c r="L366" s="73">
        <f t="shared" si="26"/>
        <v>46174</v>
      </c>
      <c r="M366" s="65" t="str">
        <f t="shared" ca="1" si="27"/>
        <v>UYGUN</v>
      </c>
      <c r="N366" s="74" t="str">
        <f>IF($C366="","",IF($C366="TANIMSIZ MÜŞTERİ","—",INDEX(MUSTERILER!$C$7:$C$156,MATCH($C366,MUSTERILER!$B$7:$B$156,0))))</f>
        <v>ASIM AÇIKGÖZ</v>
      </c>
      <c r="O366" s="2"/>
      <c r="P366" s="2"/>
      <c r="Q366" s="1" t="str">
        <f>IF($D366="","",$C366&amp;"|"&amp;COUNTIFS($C$7:$C366,$C366))</f>
        <v>M025|18</v>
      </c>
      <c r="R366" s="1" t="str">
        <f t="shared" si="28"/>
        <v>ASIMACIKGOZ</v>
      </c>
      <c r="S366" s="1" t="str">
        <f t="shared" si="29"/>
        <v>M025|46179|2000|</v>
      </c>
      <c r="T366" s="1">
        <f>IF($E366="",0,SUMPRODUCT((AY_SONU!$O$7:$O$42="Evet")*(AY_SONU!$B$7:$B$42=DATE(YEAR($E366),MONTH($E366),1))))</f>
        <v>0</v>
      </c>
      <c r="U366" s="1" t="str">
        <f>IF(OR($G366="",$H366="Mahsup"),"",$G366&amp;"|"&amp;COUNTIFS($G$7:$G366,$G366,$H$7:$H366,"&lt;&gt;Mahsup"))</f>
        <v>MERKEZ KASA|286</v>
      </c>
    </row>
    <row r="367" spans="1:21" ht="18" customHeight="1" x14ac:dyDescent="0.3">
      <c r="A367" s="2"/>
      <c r="B367" s="65" t="str">
        <f t="shared" si="25"/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M017</v>
      </c>
      <c r="D367" s="61" t="s">
        <v>585</v>
      </c>
      <c r="E367" s="66">
        <v>46179</v>
      </c>
      <c r="F367" s="67">
        <v>2500</v>
      </c>
      <c r="G367" s="60" t="s">
        <v>717</v>
      </c>
      <c r="H367" s="60" t="s">
        <v>572</v>
      </c>
      <c r="I367" s="61"/>
      <c r="J367" s="61" t="s">
        <v>720</v>
      </c>
      <c r="K367" s="61"/>
      <c r="L367" s="73">
        <f t="shared" si="26"/>
        <v>46174</v>
      </c>
      <c r="M367" s="65" t="str">
        <f t="shared" ca="1" si="27"/>
        <v>UYGUN</v>
      </c>
      <c r="N367" s="74" t="str">
        <f>IF($C367="","",IF($C367="TANIMSIZ MÜŞTERİ","—",INDEX(MUSTERILER!$C$7:$C$156,MATCH($C367,MUSTERILER!$B$7:$B$156,0))))</f>
        <v>ASM EĞLENCE LTD.ŞTİ.</v>
      </c>
      <c r="O367" s="2"/>
      <c r="P367" s="2"/>
      <c r="Q367" s="1" t="str">
        <f>IF($D367="","",$C367&amp;"|"&amp;COUNTIFS($C$7:$C367,$C367))</f>
        <v>M017|19</v>
      </c>
      <c r="R367" s="1" t="str">
        <f t="shared" si="28"/>
        <v>ASMEGLENCELTDSTI</v>
      </c>
      <c r="S367" s="1" t="str">
        <f t="shared" si="29"/>
        <v>M017|46179|2500|</v>
      </c>
      <c r="T367" s="1">
        <f>IF($E367="",0,SUMPRODUCT((AY_SONU!$O$7:$O$42="Evet")*(AY_SONU!$B$7:$B$42=DATE(YEAR($E367),MONTH($E367),1))))</f>
        <v>0</v>
      </c>
      <c r="U367" s="1" t="str">
        <f>IF(OR($G367="",$H367="Mahsup"),"",$G367&amp;"|"&amp;COUNTIFS($G$7:$G367,$G367,$H$7:$H367,"&lt;&gt;Mahsup"))</f>
        <v>MERKEZ KASA|287</v>
      </c>
    </row>
    <row r="368" spans="1:21" ht="18" customHeight="1" x14ac:dyDescent="0.3">
      <c r="A368" s="2"/>
      <c r="B368" s="65" t="str">
        <f t="shared" si="25"/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M015</v>
      </c>
      <c r="D368" s="61" t="s">
        <v>719</v>
      </c>
      <c r="E368" s="66">
        <v>46179</v>
      </c>
      <c r="F368" s="67">
        <v>3000</v>
      </c>
      <c r="G368" s="60" t="s">
        <v>717</v>
      </c>
      <c r="H368" s="60" t="s">
        <v>572</v>
      </c>
      <c r="I368" s="61"/>
      <c r="J368" s="61" t="s">
        <v>720</v>
      </c>
      <c r="K368" s="61"/>
      <c r="L368" s="73">
        <f t="shared" si="26"/>
        <v>46174</v>
      </c>
      <c r="M368" s="65" t="str">
        <f t="shared" ca="1" si="27"/>
        <v>UYGUN</v>
      </c>
      <c r="N368" s="74" t="str">
        <f>IF($C368="","",IF($C368="TANIMSIZ MÜŞTERİ","—",INDEX(MUSTERILER!$C$7:$C$156,MATCH($C368,MUSTERILER!$B$7:$B$156,0))))</f>
        <v>ÇAYIRALAN LTD.ŞTİ.</v>
      </c>
      <c r="O368" s="2"/>
      <c r="P368" s="2"/>
      <c r="Q368" s="1" t="str">
        <f>IF($D368="","",$C368&amp;"|"&amp;COUNTIFS($C$7:$C368,$C368))</f>
        <v>M015|20</v>
      </c>
      <c r="R368" s="1" t="str">
        <f t="shared" si="28"/>
        <v>CAYIRALANLTDSTI</v>
      </c>
      <c r="S368" s="1" t="str">
        <f t="shared" si="29"/>
        <v>M015|46179|3000|</v>
      </c>
      <c r="T368" s="1">
        <f>IF($E368="",0,SUMPRODUCT((AY_SONU!$O$7:$O$42="Evet")*(AY_SONU!$B$7:$B$42=DATE(YEAR($E368),MONTH($E368),1))))</f>
        <v>0</v>
      </c>
      <c r="U368" s="1" t="str">
        <f>IF(OR($G368="",$H368="Mahsup"),"",$G368&amp;"|"&amp;COUNTIFS($G$7:$G368,$G368,$H$7:$H368,"&lt;&gt;Mahsup"))</f>
        <v>MERKEZ KASA|288</v>
      </c>
    </row>
    <row r="369" spans="1:21" ht="18" customHeight="1" x14ac:dyDescent="0.3">
      <c r="A369" s="2"/>
      <c r="B369" s="65" t="str">
        <f t="shared" si="25"/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M011</v>
      </c>
      <c r="D369" s="61" t="s">
        <v>730</v>
      </c>
      <c r="E369" s="66">
        <v>46179</v>
      </c>
      <c r="F369" s="67">
        <v>4000</v>
      </c>
      <c r="G369" s="60" t="s">
        <v>717</v>
      </c>
      <c r="H369" s="60" t="s">
        <v>572</v>
      </c>
      <c r="I369" s="61"/>
      <c r="J369" s="61" t="s">
        <v>720</v>
      </c>
      <c r="K369" s="61"/>
      <c r="L369" s="73">
        <f t="shared" si="26"/>
        <v>46174</v>
      </c>
      <c r="M369" s="65" t="str">
        <f t="shared" ca="1" si="27"/>
        <v>UYGUN</v>
      </c>
      <c r="N369" s="74" t="str">
        <f>IF($C369="","",IF($C369="TANIMSIZ MÜŞTERİ","—",INDEX(MUSTERILER!$C$7:$C$156,MATCH($C369,MUSTERILER!$B$7:$B$156,0))))</f>
        <v>EĞLENGÖR LTD.ŞTİ.</v>
      </c>
      <c r="O369" s="2"/>
      <c r="P369" s="2"/>
      <c r="Q369" s="1" t="str">
        <f>IF($D369="","",$C369&amp;"|"&amp;COUNTIFS($C$7:$C369,$C369))</f>
        <v>M011|21</v>
      </c>
      <c r="R369" s="1" t="str">
        <f t="shared" si="28"/>
        <v>EGLENGORLTDSTI</v>
      </c>
      <c r="S369" s="1" t="str">
        <f t="shared" si="29"/>
        <v>M011|46179|4000|</v>
      </c>
      <c r="T369" s="1">
        <f>IF($E369="",0,SUMPRODUCT((AY_SONU!$O$7:$O$42="Evet")*(AY_SONU!$B$7:$B$42=DATE(YEAR($E369),MONTH($E369),1))))</f>
        <v>0</v>
      </c>
      <c r="U369" s="1" t="str">
        <f>IF(OR($G369="",$H369="Mahsup"),"",$G369&amp;"|"&amp;COUNTIFS($G$7:$G369,$G369,$H$7:$H369,"&lt;&gt;Mahsup"))</f>
        <v>MERKEZ KASA|289</v>
      </c>
    </row>
    <row r="370" spans="1:21" ht="18" customHeight="1" x14ac:dyDescent="0.3">
      <c r="A370" s="2"/>
      <c r="B370" s="65" t="str">
        <f t="shared" si="25"/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M014</v>
      </c>
      <c r="D370" s="61" t="s">
        <v>731</v>
      </c>
      <c r="E370" s="66">
        <v>46179</v>
      </c>
      <c r="F370" s="67">
        <v>4000</v>
      </c>
      <c r="G370" s="60" t="s">
        <v>717</v>
      </c>
      <c r="H370" s="60" t="s">
        <v>572</v>
      </c>
      <c r="I370" s="61"/>
      <c r="J370" s="61" t="s">
        <v>720</v>
      </c>
      <c r="K370" s="61"/>
      <c r="L370" s="73">
        <f t="shared" si="26"/>
        <v>46174</v>
      </c>
      <c r="M370" s="65" t="str">
        <f t="shared" ca="1" si="27"/>
        <v>UYGUN</v>
      </c>
      <c r="N370" s="74" t="str">
        <f>IF($C370="","",IF($C370="TANIMSIZ MÜŞTERİ","—",INDEX(MUSTERILER!$C$7:$C$156,MATCH($C370,MUSTERILER!$B$7:$B$156,0))))</f>
        <v>FİNAL SİYAH BEYAZ LTD.ŞTİ.</v>
      </c>
      <c r="O370" s="2"/>
      <c r="P370" s="2"/>
      <c r="Q370" s="1" t="str">
        <f>IF($D370="","",$C370&amp;"|"&amp;COUNTIFS($C$7:$C370,$C370))</f>
        <v>M014|20</v>
      </c>
      <c r="R370" s="1" t="str">
        <f t="shared" si="28"/>
        <v>FINALSIYAHBEYAZLTDSTI</v>
      </c>
      <c r="S370" s="1" t="str">
        <f t="shared" si="29"/>
        <v>M014|46179|4000|</v>
      </c>
      <c r="T370" s="1">
        <f>IF($E370="",0,SUMPRODUCT((AY_SONU!$O$7:$O$42="Evet")*(AY_SONU!$B$7:$B$42=DATE(YEAR($E370),MONTH($E370),1))))</f>
        <v>0</v>
      </c>
      <c r="U370" s="1" t="str">
        <f>IF(OR($G370="",$H370="Mahsup"),"",$G370&amp;"|"&amp;COUNTIFS($G$7:$G370,$G370,$H$7:$H370,"&lt;&gt;Mahsup"))</f>
        <v>MERKEZ KASA|290</v>
      </c>
    </row>
    <row r="371" spans="1:21" ht="18" customHeight="1" x14ac:dyDescent="0.3">
      <c r="A371" s="2"/>
      <c r="B371" s="65" t="str">
        <f t="shared" si="25"/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M012</v>
      </c>
      <c r="D371" s="61" t="s">
        <v>721</v>
      </c>
      <c r="E371" s="66">
        <v>46179</v>
      </c>
      <c r="F371" s="67">
        <v>5000</v>
      </c>
      <c r="G371" s="60" t="s">
        <v>717</v>
      </c>
      <c r="H371" s="60" t="s">
        <v>572</v>
      </c>
      <c r="I371" s="61"/>
      <c r="J371" s="61" t="s">
        <v>720</v>
      </c>
      <c r="K371" s="61"/>
      <c r="L371" s="73">
        <f t="shared" si="26"/>
        <v>46174</v>
      </c>
      <c r="M371" s="65" t="str">
        <f t="shared" ca="1" si="27"/>
        <v>UYGUN</v>
      </c>
      <c r="N371" s="74" t="str">
        <f>IF($C371="","",IF($C371="TANIMSIZ MÜŞTERİ","—",INDEX(MUSTERILER!$C$7:$C$156,MATCH($C371,MUSTERILER!$B$7:$B$156,0))))</f>
        <v>İLDEŞ LTD.ŞTİ.</v>
      </c>
      <c r="O371" s="2"/>
      <c r="P371" s="2"/>
      <c r="Q371" s="1" t="str">
        <f>IF($D371="","",$C371&amp;"|"&amp;COUNTIFS($C$7:$C371,$C371))</f>
        <v>M012|22</v>
      </c>
      <c r="R371" s="1" t="str">
        <f t="shared" si="28"/>
        <v>ILDESLTDSTI</v>
      </c>
      <c r="S371" s="1" t="str">
        <f t="shared" si="29"/>
        <v>M012|46179|5000|</v>
      </c>
      <c r="T371" s="1">
        <f>IF($E371="",0,SUMPRODUCT((AY_SONU!$O$7:$O$42="Evet")*(AY_SONU!$B$7:$B$42=DATE(YEAR($E371),MONTH($E371),1))))</f>
        <v>0</v>
      </c>
      <c r="U371" s="1" t="str">
        <f>IF(OR($G371="",$H371="Mahsup"),"",$G371&amp;"|"&amp;COUNTIFS($G$7:$G371,$G371,$H$7:$H371,"&lt;&gt;Mahsup"))</f>
        <v>MERKEZ KASA|291</v>
      </c>
    </row>
    <row r="372" spans="1:21" ht="18" customHeight="1" x14ac:dyDescent="0.3">
      <c r="A372" s="2"/>
      <c r="B372" s="65" t="str">
        <f t="shared" si="25"/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M020</v>
      </c>
      <c r="D372" s="61" t="s">
        <v>623</v>
      </c>
      <c r="E372" s="66">
        <v>46179</v>
      </c>
      <c r="F372" s="67">
        <v>3000</v>
      </c>
      <c r="G372" s="60" t="s">
        <v>723</v>
      </c>
      <c r="H372" s="60" t="s">
        <v>572</v>
      </c>
      <c r="I372" s="61"/>
      <c r="J372" s="61" t="s">
        <v>720</v>
      </c>
      <c r="K372" s="61"/>
      <c r="L372" s="73">
        <f t="shared" si="26"/>
        <v>46174</v>
      </c>
      <c r="M372" s="65" t="str">
        <f t="shared" ca="1" si="27"/>
        <v>UYGUN</v>
      </c>
      <c r="N372" s="74" t="str">
        <f>IF($C372="","",IF($C372="TANIMSIZ MÜŞTERİ","—",INDEX(MUSTERILER!$C$7:$C$156,MATCH($C372,MUSTERILER!$B$7:$B$156,0))))</f>
        <v>KRİSTAL LTD.ŞTİ.</v>
      </c>
      <c r="O372" s="2"/>
      <c r="P372" s="2"/>
      <c r="Q372" s="1" t="str">
        <f>IF($D372="","",$C372&amp;"|"&amp;COUNTIFS($C$7:$C372,$C372))</f>
        <v>M020|21</v>
      </c>
      <c r="R372" s="1" t="str">
        <f t="shared" si="28"/>
        <v>KRISTALLTDSTI</v>
      </c>
      <c r="S372" s="1" t="str">
        <f t="shared" si="29"/>
        <v>M020|46179|3000|</v>
      </c>
      <c r="T372" s="1">
        <f>IF($E372="",0,SUMPRODUCT((AY_SONU!$O$7:$O$42="Evet")*(AY_SONU!$B$7:$B$42=DATE(YEAR($E372),MONTH($E372),1))))</f>
        <v>0</v>
      </c>
      <c r="U372" s="1" t="str">
        <f>IF(OR($G372="",$H372="Mahsup"),"",$G372&amp;"|"&amp;COUNTIFS($G$7:$G372,$G372,$H$7:$H372,"&lt;&gt;Mahsup"))</f>
        <v>ÖMER KARTAL|75</v>
      </c>
    </row>
    <row r="373" spans="1:21" ht="18" customHeight="1" x14ac:dyDescent="0.3">
      <c r="A373" s="2"/>
      <c r="B373" s="65" t="str">
        <f t="shared" si="25"/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M013</v>
      </c>
      <c r="D373" s="61" t="s">
        <v>734</v>
      </c>
      <c r="E373" s="66">
        <v>46179</v>
      </c>
      <c r="F373" s="67">
        <v>2000</v>
      </c>
      <c r="G373" s="60" t="s">
        <v>717</v>
      </c>
      <c r="H373" s="60" t="s">
        <v>572</v>
      </c>
      <c r="I373" s="61"/>
      <c r="J373" s="61" t="s">
        <v>720</v>
      </c>
      <c r="K373" s="61"/>
      <c r="L373" s="73">
        <f t="shared" si="26"/>
        <v>46174</v>
      </c>
      <c r="M373" s="65" t="str">
        <f t="shared" ca="1" si="27"/>
        <v>UYGUN</v>
      </c>
      <c r="N373" s="74" t="str">
        <f>IF($C373="","",IF($C373="TANIMSIZ MÜŞTERİ","—",INDEX(MUSTERILER!$C$7:$C$156,MATCH($C373,MUSTERILER!$B$7:$B$156,0))))</f>
        <v>NAZ 1 GIDA LTD.ŞTİ.</v>
      </c>
      <c r="O373" s="2"/>
      <c r="P373" s="2"/>
      <c r="Q373" s="1" t="str">
        <f>IF($D373="","",$C373&amp;"|"&amp;COUNTIFS($C$7:$C373,$C373))</f>
        <v>M013|14</v>
      </c>
      <c r="R373" s="1" t="str">
        <f t="shared" si="28"/>
        <v>NAZ1GIDALTDSTI</v>
      </c>
      <c r="S373" s="1" t="str">
        <f t="shared" si="29"/>
        <v>M013|46179|2000|</v>
      </c>
      <c r="T373" s="1">
        <f>IF($E373="",0,SUMPRODUCT((AY_SONU!$O$7:$O$42="Evet")*(AY_SONU!$B$7:$B$42=DATE(YEAR($E373),MONTH($E373),1))))</f>
        <v>0</v>
      </c>
      <c r="U373" s="1" t="str">
        <f>IF(OR($G373="",$H373="Mahsup"),"",$G373&amp;"|"&amp;COUNTIFS($G$7:$G373,$G373,$H$7:$H373,"&lt;&gt;Mahsup"))</f>
        <v>MERKEZ KASA|292</v>
      </c>
    </row>
    <row r="374" spans="1:21" ht="18" customHeight="1" x14ac:dyDescent="0.3">
      <c r="A374" s="2"/>
      <c r="B374" s="65" t="str">
        <f t="shared" si="25"/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M009</v>
      </c>
      <c r="D374" s="61" t="s">
        <v>735</v>
      </c>
      <c r="E374" s="66">
        <v>46179</v>
      </c>
      <c r="F374" s="67">
        <v>4000</v>
      </c>
      <c r="G374" s="60" t="s">
        <v>717</v>
      </c>
      <c r="H374" s="60" t="s">
        <v>572</v>
      </c>
      <c r="I374" s="61"/>
      <c r="J374" s="61" t="s">
        <v>720</v>
      </c>
      <c r="K374" s="61"/>
      <c r="L374" s="73">
        <f t="shared" si="26"/>
        <v>46174</v>
      </c>
      <c r="M374" s="65" t="str">
        <f t="shared" ca="1" si="27"/>
        <v>UYGUN</v>
      </c>
      <c r="N374" s="74" t="str">
        <f>IF($C374="","",IF($C374="TANIMSIZ MÜŞTERİ","—",INDEX(MUSTERILER!$C$7:$C$156,MATCH($C374,MUSTERILER!$B$7:$B$156,0))))</f>
        <v>PAKYILDIZ LTD.ŞTİ.</v>
      </c>
      <c r="O374" s="2"/>
      <c r="P374" s="2"/>
      <c r="Q374" s="1" t="str">
        <f>IF($D374="","",$C374&amp;"|"&amp;COUNTIFS($C$7:$C374,$C374))</f>
        <v>M009|18</v>
      </c>
      <c r="R374" s="1" t="str">
        <f t="shared" si="28"/>
        <v>PAKYILDIZLTDSTI</v>
      </c>
      <c r="S374" s="1" t="str">
        <f t="shared" si="29"/>
        <v>M009|46179|4000|</v>
      </c>
      <c r="T374" s="1">
        <f>IF($E374="",0,SUMPRODUCT((AY_SONU!$O$7:$O$42="Evet")*(AY_SONU!$B$7:$B$42=DATE(YEAR($E374),MONTH($E374),1))))</f>
        <v>0</v>
      </c>
      <c r="U374" s="1" t="str">
        <f>IF(OR($G374="",$H374="Mahsup"),"",$G374&amp;"|"&amp;COUNTIFS($G$7:$G374,$G374,$H$7:$H374,"&lt;&gt;Mahsup"))</f>
        <v>MERKEZ KASA|293</v>
      </c>
    </row>
    <row r="375" spans="1:21" ht="18" customHeight="1" x14ac:dyDescent="0.3">
      <c r="A375" s="2"/>
      <c r="B375" s="65" t="str">
        <f t="shared" si="25"/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M016</v>
      </c>
      <c r="D375" s="61" t="s">
        <v>736</v>
      </c>
      <c r="E375" s="66">
        <v>46179</v>
      </c>
      <c r="F375" s="67">
        <v>3000</v>
      </c>
      <c r="G375" s="60" t="s">
        <v>717</v>
      </c>
      <c r="H375" s="60" t="s">
        <v>572</v>
      </c>
      <c r="I375" s="61"/>
      <c r="J375" s="61" t="s">
        <v>720</v>
      </c>
      <c r="K375" s="61"/>
      <c r="L375" s="73">
        <f t="shared" si="26"/>
        <v>46174</v>
      </c>
      <c r="M375" s="65" t="str">
        <f t="shared" ca="1" si="27"/>
        <v>UYGUN</v>
      </c>
      <c r="N375" s="74" t="str">
        <f>IF($C375="","",IF($C375="TANIMSIZ MÜŞTERİ","—",INDEX(MUSTERILER!$C$7:$C$156,MATCH($C375,MUSTERILER!$B$7:$B$156,0))))</f>
        <v>RİX ŞOW LTD.ŞTİ.</v>
      </c>
      <c r="O375" s="2"/>
      <c r="P375" s="2"/>
      <c r="Q375" s="1" t="str">
        <f>IF($D375="","",$C375&amp;"|"&amp;COUNTIFS($C$7:$C375,$C375))</f>
        <v>M016|21</v>
      </c>
      <c r="R375" s="1" t="str">
        <f t="shared" si="28"/>
        <v>RIXSOWLTDSTI</v>
      </c>
      <c r="S375" s="1" t="str">
        <f t="shared" si="29"/>
        <v>M016|46179|3000|</v>
      </c>
      <c r="T375" s="1">
        <f>IF($E375="",0,SUMPRODUCT((AY_SONU!$O$7:$O$42="Evet")*(AY_SONU!$B$7:$B$42=DATE(YEAR($E375),MONTH($E375),1))))</f>
        <v>0</v>
      </c>
      <c r="U375" s="1" t="str">
        <f>IF(OR($G375="",$H375="Mahsup"),"",$G375&amp;"|"&amp;COUNTIFS($G$7:$G375,$G375,$H$7:$H375,"&lt;&gt;Mahsup"))</f>
        <v>MERKEZ KASA|294</v>
      </c>
    </row>
    <row r="376" spans="1:21" ht="18" customHeight="1" x14ac:dyDescent="0.3">
      <c r="A376" s="2"/>
      <c r="B376" s="65" t="str">
        <f t="shared" si="25"/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M018</v>
      </c>
      <c r="D376" s="61" t="s">
        <v>593</v>
      </c>
      <c r="E376" s="66">
        <v>46179</v>
      </c>
      <c r="F376" s="67">
        <v>2500</v>
      </c>
      <c r="G376" s="60" t="s">
        <v>717</v>
      </c>
      <c r="H376" s="60" t="s">
        <v>572</v>
      </c>
      <c r="I376" s="61"/>
      <c r="J376" s="61" t="s">
        <v>720</v>
      </c>
      <c r="K376" s="61"/>
      <c r="L376" s="73">
        <f t="shared" si="26"/>
        <v>46174</v>
      </c>
      <c r="M376" s="65" t="str">
        <f t="shared" ca="1" si="27"/>
        <v>UYGUN</v>
      </c>
      <c r="N376" s="74" t="str">
        <f>IF($C376="","",IF($C376="TANIMSIZ MÜŞTERİ","—",INDEX(MUSTERILER!$C$7:$C$156,MATCH($C376,MUSTERILER!$B$7:$B$156,0))))</f>
        <v>ÇINARHAN LTD.ŞTİ.</v>
      </c>
      <c r="O376" s="2"/>
      <c r="P376" s="2"/>
      <c r="Q376" s="1" t="str">
        <f>IF($D376="","",$C376&amp;"|"&amp;COUNTIFS($C$7:$C376,$C376))</f>
        <v>M018|17</v>
      </c>
      <c r="R376" s="1" t="str">
        <f t="shared" si="28"/>
        <v>CINARHANLTDSTI</v>
      </c>
      <c r="S376" s="1" t="str">
        <f t="shared" si="29"/>
        <v>M018|46179|2500|</v>
      </c>
      <c r="T376" s="1">
        <f>IF($E376="",0,SUMPRODUCT((AY_SONU!$O$7:$O$42="Evet")*(AY_SONU!$B$7:$B$42=DATE(YEAR($E376),MONTH($E376),1))))</f>
        <v>0</v>
      </c>
      <c r="U376" s="1" t="str">
        <f>IF(OR($G376="",$H376="Mahsup"),"",$G376&amp;"|"&amp;COUNTIFS($G$7:$G376,$G376,$H$7:$H376,"&lt;&gt;Mahsup"))</f>
        <v>MERKEZ KASA|295</v>
      </c>
    </row>
    <row r="377" spans="1:21" ht="18" customHeight="1" x14ac:dyDescent="0.3">
      <c r="A377" s="2"/>
      <c r="B377" s="65" t="str">
        <f t="shared" si="25"/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M035</v>
      </c>
      <c r="D377" s="61" t="s">
        <v>615</v>
      </c>
      <c r="E377" s="66">
        <v>46179</v>
      </c>
      <c r="F377" s="67">
        <v>3500</v>
      </c>
      <c r="G377" s="60" t="s">
        <v>717</v>
      </c>
      <c r="H377" s="60" t="s">
        <v>572</v>
      </c>
      <c r="I377" s="61"/>
      <c r="J377" s="61" t="s">
        <v>720</v>
      </c>
      <c r="K377" s="61"/>
      <c r="L377" s="73">
        <f t="shared" si="26"/>
        <v>46174</v>
      </c>
      <c r="M377" s="65" t="str">
        <f t="shared" ca="1" si="27"/>
        <v>UYGUN</v>
      </c>
      <c r="N377" s="74" t="str">
        <f>IF($C377="","",IF($C377="TANIMSIZ MÜŞTERİ","—",INDEX(MUSTERILER!$C$7:$C$156,MATCH($C377,MUSTERILER!$B$7:$B$156,0))))</f>
        <v>İSA DEMİRCİ</v>
      </c>
      <c r="O377" s="2"/>
      <c r="P377" s="2"/>
      <c r="Q377" s="1" t="str">
        <f>IF($D377="","",$C377&amp;"|"&amp;COUNTIFS($C$7:$C377,$C377))</f>
        <v>M035|5</v>
      </c>
      <c r="R377" s="1" t="str">
        <f t="shared" si="28"/>
        <v>ISADEMIRCI</v>
      </c>
      <c r="S377" s="1" t="str">
        <f t="shared" si="29"/>
        <v>M035|46179|3500|</v>
      </c>
      <c r="T377" s="1">
        <f>IF($E377="",0,SUMPRODUCT((AY_SONU!$O$7:$O$42="Evet")*(AY_SONU!$B$7:$B$42=DATE(YEAR($E377),MONTH($E377),1))))</f>
        <v>0</v>
      </c>
      <c r="U377" s="1" t="str">
        <f>IF(OR($G377="",$H377="Mahsup"),"",$G377&amp;"|"&amp;COUNTIFS($G$7:$G377,$G377,$H$7:$H377,"&lt;&gt;Mahsup"))</f>
        <v>MERKEZ KASA|296</v>
      </c>
    </row>
    <row r="378" spans="1:21" ht="18" customHeight="1" x14ac:dyDescent="0.3">
      <c r="A378" s="2"/>
      <c r="B378" s="65" t="str">
        <f t="shared" si="25"/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M020</v>
      </c>
      <c r="D378" s="61" t="s">
        <v>623</v>
      </c>
      <c r="E378" s="66">
        <v>46179</v>
      </c>
      <c r="F378" s="67">
        <v>4000</v>
      </c>
      <c r="G378" s="60" t="s">
        <v>717</v>
      </c>
      <c r="H378" s="60" t="s">
        <v>572</v>
      </c>
      <c r="I378" s="61"/>
      <c r="J378" s="61" t="s">
        <v>720</v>
      </c>
      <c r="K378" s="61"/>
      <c r="L378" s="73">
        <f t="shared" si="26"/>
        <v>46174</v>
      </c>
      <c r="M378" s="65" t="str">
        <f t="shared" ca="1" si="27"/>
        <v>UYGUN</v>
      </c>
      <c r="N378" s="74" t="str">
        <f>IF($C378="","",IF($C378="TANIMSIZ MÜŞTERİ","—",INDEX(MUSTERILER!$C$7:$C$156,MATCH($C378,MUSTERILER!$B$7:$B$156,0))))</f>
        <v>KRİSTAL LTD.ŞTİ.</v>
      </c>
      <c r="O378" s="2"/>
      <c r="P378" s="2"/>
      <c r="Q378" s="1" t="str">
        <f>IF($D378="","",$C378&amp;"|"&amp;COUNTIFS($C$7:$C378,$C378))</f>
        <v>M020|22</v>
      </c>
      <c r="R378" s="1" t="str">
        <f t="shared" si="28"/>
        <v>KRISTALLTDSTI</v>
      </c>
      <c r="S378" s="1" t="str">
        <f t="shared" si="29"/>
        <v>M020|46179|4000|</v>
      </c>
      <c r="T378" s="1">
        <f>IF($E378="",0,SUMPRODUCT((AY_SONU!$O$7:$O$42="Evet")*(AY_SONU!$B$7:$B$42=DATE(YEAR($E378),MONTH($E378),1))))</f>
        <v>0</v>
      </c>
      <c r="U378" s="1" t="str">
        <f>IF(OR($G378="",$H378="Mahsup"),"",$G378&amp;"|"&amp;COUNTIFS($G$7:$G378,$G378,$H$7:$H378,"&lt;&gt;Mahsup"))</f>
        <v>MERKEZ KASA|297</v>
      </c>
    </row>
    <row r="379" spans="1:21" ht="18" customHeight="1" x14ac:dyDescent="0.3">
      <c r="A379" s="2"/>
      <c r="B379" s="65" t="str">
        <f t="shared" si="25"/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M047</v>
      </c>
      <c r="D379" s="61" t="s">
        <v>654</v>
      </c>
      <c r="E379" s="66">
        <v>46179</v>
      </c>
      <c r="F379" s="67">
        <v>4000</v>
      </c>
      <c r="G379" s="60" t="s">
        <v>717</v>
      </c>
      <c r="H379" s="60" t="s">
        <v>572</v>
      </c>
      <c r="I379" s="61"/>
      <c r="J379" s="61" t="s">
        <v>720</v>
      </c>
      <c r="K379" s="61"/>
      <c r="L379" s="73">
        <f t="shared" si="26"/>
        <v>46174</v>
      </c>
      <c r="M379" s="65" t="str">
        <f t="shared" ca="1" si="27"/>
        <v>UYGUN</v>
      </c>
      <c r="N379" s="74" t="str">
        <f>IF($C379="","",IF($C379="TANIMSIZ MÜŞTERİ","—",INDEX(MUSTERILER!$C$7:$C$156,MATCH($C379,MUSTERILER!$B$7:$B$156,0))))</f>
        <v>PALAOĞULLARI LTD.ŞTİ.</v>
      </c>
      <c r="O379" s="2"/>
      <c r="P379" s="2"/>
      <c r="Q379" s="1" t="str">
        <f>IF($D379="","",$C379&amp;"|"&amp;COUNTIFS($C$7:$C379,$C379))</f>
        <v>M047|13</v>
      </c>
      <c r="R379" s="1" t="str">
        <f t="shared" si="28"/>
        <v>PALAOGULLARILTDSTI</v>
      </c>
      <c r="S379" s="1" t="str">
        <f t="shared" si="29"/>
        <v>M047|46179|4000|</v>
      </c>
      <c r="T379" s="1">
        <f>IF($E379="",0,SUMPRODUCT((AY_SONU!$O$7:$O$42="Evet")*(AY_SONU!$B$7:$B$42=DATE(YEAR($E379),MONTH($E379),1))))</f>
        <v>0</v>
      </c>
      <c r="U379" s="1" t="str">
        <f>IF(OR($G379="",$H379="Mahsup"),"",$G379&amp;"|"&amp;COUNTIFS($G$7:$G379,$G379,$H$7:$H379,"&lt;&gt;Mahsup"))</f>
        <v>MERKEZ KASA|298</v>
      </c>
    </row>
    <row r="380" spans="1:21" ht="18" customHeight="1" x14ac:dyDescent="0.3">
      <c r="A380" s="2"/>
      <c r="B380" s="65" t="str">
        <f t="shared" si="25"/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M054</v>
      </c>
      <c r="D380" s="61" t="s">
        <v>674</v>
      </c>
      <c r="E380" s="66">
        <v>46179</v>
      </c>
      <c r="F380" s="67">
        <v>4000</v>
      </c>
      <c r="G380" s="60" t="s">
        <v>717</v>
      </c>
      <c r="H380" s="60" t="s">
        <v>572</v>
      </c>
      <c r="I380" s="61"/>
      <c r="J380" s="61" t="s">
        <v>720</v>
      </c>
      <c r="K380" s="61"/>
      <c r="L380" s="73">
        <f t="shared" si="26"/>
        <v>46174</v>
      </c>
      <c r="M380" s="65" t="str">
        <f t="shared" ca="1" si="27"/>
        <v>UYGUN</v>
      </c>
      <c r="N380" s="74" t="str">
        <f>IF($C380="","",IF($C380="TANIMSIZ MÜŞTERİ","—",INDEX(MUSTERILER!$C$7:$C$156,MATCH($C380,MUSTERILER!$B$7:$B$156,0))))</f>
        <v>YALIKENT LTD.ŞTİ.</v>
      </c>
      <c r="O380" s="2"/>
      <c r="P380" s="2"/>
      <c r="Q380" s="1" t="str">
        <f>IF($D380="","",$C380&amp;"|"&amp;COUNTIFS($C$7:$C380,$C380))</f>
        <v>M054|11</v>
      </c>
      <c r="R380" s="1" t="str">
        <f t="shared" si="28"/>
        <v>YALIKENTLTDSTI</v>
      </c>
      <c r="S380" s="1" t="str">
        <f t="shared" si="29"/>
        <v>M054|46179|4000|</v>
      </c>
      <c r="T380" s="1">
        <f>IF($E380="",0,SUMPRODUCT((AY_SONU!$O$7:$O$42="Evet")*(AY_SONU!$B$7:$B$42=DATE(YEAR($E380),MONTH($E380),1))))</f>
        <v>0</v>
      </c>
      <c r="U380" s="1" t="str">
        <f>IF(OR($G380="",$H380="Mahsup"),"",$G380&amp;"|"&amp;COUNTIFS($G$7:$G380,$G380,$H$7:$H380,"&lt;&gt;Mahsup"))</f>
        <v>MERKEZ KASA|299</v>
      </c>
    </row>
    <row r="381" spans="1:21" ht="18" customHeight="1" x14ac:dyDescent="0.3">
      <c r="A381" s="2"/>
      <c r="B381" s="65" t="str">
        <f t="shared" si="25"/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M019</v>
      </c>
      <c r="D381" s="61" t="s">
        <v>570</v>
      </c>
      <c r="E381" s="66">
        <v>46183</v>
      </c>
      <c r="F381" s="67">
        <v>5000</v>
      </c>
      <c r="G381" s="60" t="s">
        <v>717</v>
      </c>
      <c r="H381" s="60" t="s">
        <v>572</v>
      </c>
      <c r="I381" s="61"/>
      <c r="J381" s="61" t="s">
        <v>720</v>
      </c>
      <c r="K381" s="61"/>
      <c r="L381" s="73">
        <f t="shared" si="26"/>
        <v>46174</v>
      </c>
      <c r="M381" s="65" t="str">
        <f t="shared" ca="1" si="27"/>
        <v>UYGUN</v>
      </c>
      <c r="N381" s="74" t="str">
        <f>IF($C381="","",IF($C381="TANIMSIZ MÜŞTERİ","—",INDEX(MUSTERILER!$C$7:$C$156,MATCH($C381,MUSTERILER!$B$7:$B$156,0))))</f>
        <v>AC OTEL LTD.ŞTİ.</v>
      </c>
      <c r="O381" s="2"/>
      <c r="P381" s="2"/>
      <c r="Q381" s="1" t="str">
        <f>IF($D381="","",$C381&amp;"|"&amp;COUNTIFS($C$7:$C381,$C381))</f>
        <v>M019|4</v>
      </c>
      <c r="R381" s="1" t="str">
        <f t="shared" si="28"/>
        <v>ACOTELLTDSTI</v>
      </c>
      <c r="S381" s="1" t="str">
        <f t="shared" si="29"/>
        <v>M019|46183|5000|</v>
      </c>
      <c r="T381" s="1">
        <f>IF($E381="",0,SUMPRODUCT((AY_SONU!$O$7:$O$42="Evet")*(AY_SONU!$B$7:$B$42=DATE(YEAR($E381),MONTH($E381),1))))</f>
        <v>0</v>
      </c>
      <c r="U381" s="1" t="str">
        <f>IF(OR($G381="",$H381="Mahsup"),"",$G381&amp;"|"&amp;COUNTIFS($G$7:$G381,$G381,$H$7:$H381,"&lt;&gt;Mahsup"))</f>
        <v>MERKEZ KASA|300</v>
      </c>
    </row>
    <row r="382" spans="1:21" ht="18" customHeight="1" x14ac:dyDescent="0.3">
      <c r="A382" s="2"/>
      <c r="B382" s="65" t="str">
        <f t="shared" si="25"/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M025</v>
      </c>
      <c r="D382" s="61" t="s">
        <v>583</v>
      </c>
      <c r="E382" s="66">
        <v>46186</v>
      </c>
      <c r="F382" s="67">
        <v>2000</v>
      </c>
      <c r="G382" s="60" t="s">
        <v>717</v>
      </c>
      <c r="H382" s="60" t="s">
        <v>572</v>
      </c>
      <c r="I382" s="61"/>
      <c r="J382" s="61" t="s">
        <v>720</v>
      </c>
      <c r="K382" s="61"/>
      <c r="L382" s="73">
        <f t="shared" si="26"/>
        <v>46174</v>
      </c>
      <c r="M382" s="65" t="str">
        <f t="shared" ca="1" si="27"/>
        <v>UYGUN</v>
      </c>
      <c r="N382" s="74" t="str">
        <f>IF($C382="","",IF($C382="TANIMSIZ MÜŞTERİ","—",INDEX(MUSTERILER!$C$7:$C$156,MATCH($C382,MUSTERILER!$B$7:$B$156,0))))</f>
        <v>ASIM AÇIKGÖZ</v>
      </c>
      <c r="O382" s="2"/>
      <c r="P382" s="2"/>
      <c r="Q382" s="1" t="str">
        <f>IF($D382="","",$C382&amp;"|"&amp;COUNTIFS($C$7:$C382,$C382))</f>
        <v>M025|19</v>
      </c>
      <c r="R382" s="1" t="str">
        <f t="shared" si="28"/>
        <v>ASIMACIKGOZ</v>
      </c>
      <c r="S382" s="1" t="str">
        <f t="shared" si="29"/>
        <v>M025|46186|2000|</v>
      </c>
      <c r="T382" s="1">
        <f>IF($E382="",0,SUMPRODUCT((AY_SONU!$O$7:$O$42="Evet")*(AY_SONU!$B$7:$B$42=DATE(YEAR($E382),MONTH($E382),1))))</f>
        <v>0</v>
      </c>
      <c r="U382" s="1" t="str">
        <f>IF(OR($G382="",$H382="Mahsup"),"",$G382&amp;"|"&amp;COUNTIFS($G$7:$G382,$G382,$H$7:$H382,"&lt;&gt;Mahsup"))</f>
        <v>MERKEZ KASA|301</v>
      </c>
    </row>
    <row r="383" spans="1:21" ht="18" customHeight="1" x14ac:dyDescent="0.3">
      <c r="A383" s="2"/>
      <c r="B383" s="65" t="str">
        <f t="shared" si="25"/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M017</v>
      </c>
      <c r="D383" s="61" t="s">
        <v>585</v>
      </c>
      <c r="E383" s="66">
        <v>46186</v>
      </c>
      <c r="F383" s="67">
        <v>2500</v>
      </c>
      <c r="G383" s="60" t="s">
        <v>717</v>
      </c>
      <c r="H383" s="60" t="s">
        <v>572</v>
      </c>
      <c r="I383" s="61"/>
      <c r="J383" s="61" t="s">
        <v>720</v>
      </c>
      <c r="K383" s="61"/>
      <c r="L383" s="73">
        <f t="shared" si="26"/>
        <v>46174</v>
      </c>
      <c r="M383" s="65" t="str">
        <f t="shared" ca="1" si="27"/>
        <v>UYGUN</v>
      </c>
      <c r="N383" s="74" t="str">
        <f>IF($C383="","",IF($C383="TANIMSIZ MÜŞTERİ","—",INDEX(MUSTERILER!$C$7:$C$156,MATCH($C383,MUSTERILER!$B$7:$B$156,0))))</f>
        <v>ASM EĞLENCE LTD.ŞTİ.</v>
      </c>
      <c r="O383" s="2"/>
      <c r="P383" s="2"/>
      <c r="Q383" s="1" t="str">
        <f>IF($D383="","",$C383&amp;"|"&amp;COUNTIFS($C$7:$C383,$C383))</f>
        <v>M017|20</v>
      </c>
      <c r="R383" s="1" t="str">
        <f t="shared" si="28"/>
        <v>ASMEGLENCELTDSTI</v>
      </c>
      <c r="S383" s="1" t="str">
        <f t="shared" si="29"/>
        <v>M017|46186|2500|</v>
      </c>
      <c r="T383" s="1">
        <f>IF($E383="",0,SUMPRODUCT((AY_SONU!$O$7:$O$42="Evet")*(AY_SONU!$B$7:$B$42=DATE(YEAR($E383),MONTH($E383),1))))</f>
        <v>0</v>
      </c>
      <c r="U383" s="1" t="str">
        <f>IF(OR($G383="",$H383="Mahsup"),"",$G383&amp;"|"&amp;COUNTIFS($G$7:$G383,$G383,$H$7:$H383,"&lt;&gt;Mahsup"))</f>
        <v>MERKEZ KASA|302</v>
      </c>
    </row>
    <row r="384" spans="1:21" ht="18" customHeight="1" x14ac:dyDescent="0.3">
      <c r="A384" s="2"/>
      <c r="B384" s="65" t="str">
        <f t="shared" si="25"/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M015</v>
      </c>
      <c r="D384" s="61" t="s">
        <v>719</v>
      </c>
      <c r="E384" s="66">
        <v>46186</v>
      </c>
      <c r="F384" s="67">
        <v>3000</v>
      </c>
      <c r="G384" s="60" t="s">
        <v>717</v>
      </c>
      <c r="H384" s="60" t="s">
        <v>572</v>
      </c>
      <c r="I384" s="61"/>
      <c r="J384" s="61" t="s">
        <v>720</v>
      </c>
      <c r="K384" s="61"/>
      <c r="L384" s="73">
        <f t="shared" si="26"/>
        <v>46174</v>
      </c>
      <c r="M384" s="65" t="str">
        <f t="shared" ca="1" si="27"/>
        <v>UYGUN</v>
      </c>
      <c r="N384" s="74" t="str">
        <f>IF($C384="","",IF($C384="TANIMSIZ MÜŞTERİ","—",INDEX(MUSTERILER!$C$7:$C$156,MATCH($C384,MUSTERILER!$B$7:$B$156,0))))</f>
        <v>ÇAYIRALAN LTD.ŞTİ.</v>
      </c>
      <c r="O384" s="2"/>
      <c r="P384" s="2"/>
      <c r="Q384" s="1" t="str">
        <f>IF($D384="","",$C384&amp;"|"&amp;COUNTIFS($C$7:$C384,$C384))</f>
        <v>M015|21</v>
      </c>
      <c r="R384" s="1" t="str">
        <f t="shared" si="28"/>
        <v>CAYIRALANLTDSTI</v>
      </c>
      <c r="S384" s="1" t="str">
        <f t="shared" si="29"/>
        <v>M015|46186|3000|</v>
      </c>
      <c r="T384" s="1">
        <f>IF($E384="",0,SUMPRODUCT((AY_SONU!$O$7:$O$42="Evet")*(AY_SONU!$B$7:$B$42=DATE(YEAR($E384),MONTH($E384),1))))</f>
        <v>0</v>
      </c>
      <c r="U384" s="1" t="str">
        <f>IF(OR($G384="",$H384="Mahsup"),"",$G384&amp;"|"&amp;COUNTIFS($G$7:$G384,$G384,$H$7:$H384,"&lt;&gt;Mahsup"))</f>
        <v>MERKEZ KASA|303</v>
      </c>
    </row>
    <row r="385" spans="1:21" ht="18" customHeight="1" x14ac:dyDescent="0.3">
      <c r="A385" s="2"/>
      <c r="B385" s="65" t="str">
        <f t="shared" si="25"/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M011</v>
      </c>
      <c r="D385" s="61" t="s">
        <v>730</v>
      </c>
      <c r="E385" s="66">
        <v>46186</v>
      </c>
      <c r="F385" s="67">
        <v>4000</v>
      </c>
      <c r="G385" s="60" t="s">
        <v>717</v>
      </c>
      <c r="H385" s="60" t="s">
        <v>572</v>
      </c>
      <c r="I385" s="61"/>
      <c r="J385" s="61" t="s">
        <v>720</v>
      </c>
      <c r="K385" s="61"/>
      <c r="L385" s="73">
        <f t="shared" si="26"/>
        <v>46174</v>
      </c>
      <c r="M385" s="65" t="str">
        <f t="shared" ca="1" si="27"/>
        <v>UYGUN</v>
      </c>
      <c r="N385" s="74" t="str">
        <f>IF($C385="","",IF($C385="TANIMSIZ MÜŞTERİ","—",INDEX(MUSTERILER!$C$7:$C$156,MATCH($C385,MUSTERILER!$B$7:$B$156,0))))</f>
        <v>EĞLENGÖR LTD.ŞTİ.</v>
      </c>
      <c r="O385" s="2"/>
      <c r="P385" s="2"/>
      <c r="Q385" s="1" t="str">
        <f>IF($D385="","",$C385&amp;"|"&amp;COUNTIFS($C$7:$C385,$C385))</f>
        <v>M011|22</v>
      </c>
      <c r="R385" s="1" t="str">
        <f t="shared" si="28"/>
        <v>EGLENGORLTDSTI</v>
      </c>
      <c r="S385" s="1" t="str">
        <f t="shared" si="29"/>
        <v>M011|46186|4000|</v>
      </c>
      <c r="T385" s="1">
        <f>IF($E385="",0,SUMPRODUCT((AY_SONU!$O$7:$O$42="Evet")*(AY_SONU!$B$7:$B$42=DATE(YEAR($E385),MONTH($E385),1))))</f>
        <v>0</v>
      </c>
      <c r="U385" s="1" t="str">
        <f>IF(OR($G385="",$H385="Mahsup"),"",$G385&amp;"|"&amp;COUNTIFS($G$7:$G385,$G385,$H$7:$H385,"&lt;&gt;Mahsup"))</f>
        <v>MERKEZ KASA|304</v>
      </c>
    </row>
    <row r="386" spans="1:21" ht="18" customHeight="1" x14ac:dyDescent="0.3">
      <c r="A386" s="2"/>
      <c r="B386" s="65" t="str">
        <f t="shared" si="25"/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M014</v>
      </c>
      <c r="D386" s="61" t="s">
        <v>731</v>
      </c>
      <c r="E386" s="66">
        <v>46186</v>
      </c>
      <c r="F386" s="67">
        <v>4000</v>
      </c>
      <c r="G386" s="60" t="s">
        <v>717</v>
      </c>
      <c r="H386" s="60" t="s">
        <v>572</v>
      </c>
      <c r="I386" s="61"/>
      <c r="J386" s="61" t="s">
        <v>720</v>
      </c>
      <c r="K386" s="61"/>
      <c r="L386" s="73">
        <f t="shared" si="26"/>
        <v>46174</v>
      </c>
      <c r="M386" s="65" t="str">
        <f t="shared" ca="1" si="27"/>
        <v>UYGUN</v>
      </c>
      <c r="N386" s="74" t="str">
        <f>IF($C386="","",IF($C386="TANIMSIZ MÜŞTERİ","—",INDEX(MUSTERILER!$C$7:$C$156,MATCH($C386,MUSTERILER!$B$7:$B$156,0))))</f>
        <v>FİNAL SİYAH BEYAZ LTD.ŞTİ.</v>
      </c>
      <c r="O386" s="2"/>
      <c r="P386" s="2"/>
      <c r="Q386" s="1" t="str">
        <f>IF($D386="","",$C386&amp;"|"&amp;COUNTIFS($C$7:$C386,$C386))</f>
        <v>M014|21</v>
      </c>
      <c r="R386" s="1" t="str">
        <f t="shared" si="28"/>
        <v>FINALSIYAHBEYAZLTDSTI</v>
      </c>
      <c r="S386" s="1" t="str">
        <f t="shared" si="29"/>
        <v>M014|46186|4000|</v>
      </c>
      <c r="T386" s="1">
        <f>IF($E386="",0,SUMPRODUCT((AY_SONU!$O$7:$O$42="Evet")*(AY_SONU!$B$7:$B$42=DATE(YEAR($E386),MONTH($E386),1))))</f>
        <v>0</v>
      </c>
      <c r="U386" s="1" t="str">
        <f>IF(OR($G386="",$H386="Mahsup"),"",$G386&amp;"|"&amp;COUNTIFS($G$7:$G386,$G386,$H$7:$H386,"&lt;&gt;Mahsup"))</f>
        <v>MERKEZ KASA|305</v>
      </c>
    </row>
    <row r="387" spans="1:21" ht="18" customHeight="1" x14ac:dyDescent="0.3">
      <c r="A387" s="2"/>
      <c r="B387" s="65" t="str">
        <f t="shared" si="25"/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M012</v>
      </c>
      <c r="D387" s="61" t="s">
        <v>721</v>
      </c>
      <c r="E387" s="66">
        <v>46186</v>
      </c>
      <c r="F387" s="67">
        <v>4000</v>
      </c>
      <c r="G387" s="60" t="s">
        <v>717</v>
      </c>
      <c r="H387" s="60" t="s">
        <v>572</v>
      </c>
      <c r="I387" s="61"/>
      <c r="J387" s="61" t="s">
        <v>720</v>
      </c>
      <c r="K387" s="61"/>
      <c r="L387" s="73">
        <f t="shared" si="26"/>
        <v>46174</v>
      </c>
      <c r="M387" s="65" t="str">
        <f t="shared" ca="1" si="27"/>
        <v>UYGUN</v>
      </c>
      <c r="N387" s="74" t="str">
        <f>IF($C387="","",IF($C387="TANIMSIZ MÜŞTERİ","—",INDEX(MUSTERILER!$C$7:$C$156,MATCH($C387,MUSTERILER!$B$7:$B$156,0))))</f>
        <v>İLDEŞ LTD.ŞTİ.</v>
      </c>
      <c r="O387" s="2"/>
      <c r="P387" s="2"/>
      <c r="Q387" s="1" t="str">
        <f>IF($D387="","",$C387&amp;"|"&amp;COUNTIFS($C$7:$C387,$C387))</f>
        <v>M012|23</v>
      </c>
      <c r="R387" s="1" t="str">
        <f t="shared" si="28"/>
        <v>ILDESLTDSTI</v>
      </c>
      <c r="S387" s="1" t="str">
        <f t="shared" si="29"/>
        <v>M012|46186|4000|</v>
      </c>
      <c r="T387" s="1">
        <f>IF($E387="",0,SUMPRODUCT((AY_SONU!$O$7:$O$42="Evet")*(AY_SONU!$B$7:$B$42=DATE(YEAR($E387),MONTH($E387),1))))</f>
        <v>0</v>
      </c>
      <c r="U387" s="1" t="str">
        <f>IF(OR($G387="",$H387="Mahsup"),"",$G387&amp;"|"&amp;COUNTIFS($G$7:$G387,$G387,$H$7:$H387,"&lt;&gt;Mahsup"))</f>
        <v>MERKEZ KASA|306</v>
      </c>
    </row>
    <row r="388" spans="1:21" ht="18" customHeight="1" x14ac:dyDescent="0.3">
      <c r="A388" s="2"/>
      <c r="B388" s="65" t="str">
        <f t="shared" si="25"/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M007</v>
      </c>
      <c r="D388" s="61" t="s">
        <v>733</v>
      </c>
      <c r="E388" s="66">
        <v>46186</v>
      </c>
      <c r="F388" s="67">
        <v>3500</v>
      </c>
      <c r="G388" s="60" t="s">
        <v>717</v>
      </c>
      <c r="H388" s="60" t="s">
        <v>572</v>
      </c>
      <c r="I388" s="61"/>
      <c r="J388" s="61" t="s">
        <v>720</v>
      </c>
      <c r="K388" s="61"/>
      <c r="L388" s="73">
        <f t="shared" si="26"/>
        <v>46174</v>
      </c>
      <c r="M388" s="65" t="str">
        <f t="shared" ca="1" si="27"/>
        <v>UYGUN</v>
      </c>
      <c r="N388" s="74" t="str">
        <f>IF($C388="","",IF($C388="TANIMSIZ MÜŞTERİ","—",INDEX(MUSTERILER!$C$7:$C$156,MATCH($C388,MUSTERILER!$B$7:$B$156,0))))</f>
        <v>MONAMOUR LTD.ŞTİ.</v>
      </c>
      <c r="O388" s="2"/>
      <c r="P388" s="2"/>
      <c r="Q388" s="1" t="str">
        <f>IF($D388="","",$C388&amp;"|"&amp;COUNTIFS($C$7:$C388,$C388))</f>
        <v>M007|17</v>
      </c>
      <c r="R388" s="1" t="str">
        <f t="shared" si="28"/>
        <v>MONAMOURLTDSTI</v>
      </c>
      <c r="S388" s="1" t="str">
        <f t="shared" si="29"/>
        <v>M007|46186|3500|</v>
      </c>
      <c r="T388" s="1">
        <f>IF($E388="",0,SUMPRODUCT((AY_SONU!$O$7:$O$42="Evet")*(AY_SONU!$B$7:$B$42=DATE(YEAR($E388),MONTH($E388),1))))</f>
        <v>0</v>
      </c>
      <c r="U388" s="1" t="str">
        <f>IF(OR($G388="",$H388="Mahsup"),"",$G388&amp;"|"&amp;COUNTIFS($G$7:$G388,$G388,$H$7:$H388,"&lt;&gt;Mahsup"))</f>
        <v>MERKEZ KASA|307</v>
      </c>
    </row>
    <row r="389" spans="1:21" ht="18" customHeight="1" x14ac:dyDescent="0.3">
      <c r="A389" s="2"/>
      <c r="B389" s="65" t="str">
        <f t="shared" si="25"/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M013</v>
      </c>
      <c r="D389" s="61" t="s">
        <v>734</v>
      </c>
      <c r="E389" s="66">
        <v>46186</v>
      </c>
      <c r="F389" s="67">
        <v>2000</v>
      </c>
      <c r="G389" s="60" t="s">
        <v>717</v>
      </c>
      <c r="H389" s="60" t="s">
        <v>572</v>
      </c>
      <c r="I389" s="61"/>
      <c r="J389" s="61" t="s">
        <v>720</v>
      </c>
      <c r="K389" s="61"/>
      <c r="L389" s="73">
        <f t="shared" si="26"/>
        <v>46174</v>
      </c>
      <c r="M389" s="65" t="str">
        <f t="shared" ca="1" si="27"/>
        <v>UYGUN</v>
      </c>
      <c r="N389" s="74" t="str">
        <f>IF($C389="","",IF($C389="TANIMSIZ MÜŞTERİ","—",INDEX(MUSTERILER!$C$7:$C$156,MATCH($C389,MUSTERILER!$B$7:$B$156,0))))</f>
        <v>NAZ 1 GIDA LTD.ŞTİ.</v>
      </c>
      <c r="O389" s="2"/>
      <c r="P389" s="2"/>
      <c r="Q389" s="1" t="str">
        <f>IF($D389="","",$C389&amp;"|"&amp;COUNTIFS($C$7:$C389,$C389))</f>
        <v>M013|15</v>
      </c>
      <c r="R389" s="1" t="str">
        <f t="shared" si="28"/>
        <v>NAZ1GIDALTDSTI</v>
      </c>
      <c r="S389" s="1" t="str">
        <f t="shared" si="29"/>
        <v>M013|46186|2000|</v>
      </c>
      <c r="T389" s="1">
        <f>IF($E389="",0,SUMPRODUCT((AY_SONU!$O$7:$O$42="Evet")*(AY_SONU!$B$7:$B$42=DATE(YEAR($E389),MONTH($E389),1))))</f>
        <v>0</v>
      </c>
      <c r="U389" s="1" t="str">
        <f>IF(OR($G389="",$H389="Mahsup"),"",$G389&amp;"|"&amp;COUNTIFS($G$7:$G389,$G389,$H$7:$H389,"&lt;&gt;Mahsup"))</f>
        <v>MERKEZ KASA|308</v>
      </c>
    </row>
    <row r="390" spans="1:21" ht="18" customHeight="1" x14ac:dyDescent="0.3">
      <c r="A390" s="2"/>
      <c r="B390" s="65" t="str">
        <f t="shared" si="25"/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M009</v>
      </c>
      <c r="D390" s="61" t="s">
        <v>735</v>
      </c>
      <c r="E390" s="66">
        <v>46186</v>
      </c>
      <c r="F390" s="67">
        <v>4000</v>
      </c>
      <c r="G390" s="60" t="s">
        <v>717</v>
      </c>
      <c r="H390" s="60" t="s">
        <v>572</v>
      </c>
      <c r="I390" s="61"/>
      <c r="J390" s="61" t="s">
        <v>720</v>
      </c>
      <c r="K390" s="61"/>
      <c r="L390" s="73">
        <f t="shared" si="26"/>
        <v>46174</v>
      </c>
      <c r="M390" s="65" t="str">
        <f t="shared" ca="1" si="27"/>
        <v>UYGUN</v>
      </c>
      <c r="N390" s="74" t="str">
        <f>IF($C390="","",IF($C390="TANIMSIZ MÜŞTERİ","—",INDEX(MUSTERILER!$C$7:$C$156,MATCH($C390,MUSTERILER!$B$7:$B$156,0))))</f>
        <v>PAKYILDIZ LTD.ŞTİ.</v>
      </c>
      <c r="O390" s="2"/>
      <c r="P390" s="2"/>
      <c r="Q390" s="1" t="str">
        <f>IF($D390="","",$C390&amp;"|"&amp;COUNTIFS($C$7:$C390,$C390))</f>
        <v>M009|19</v>
      </c>
      <c r="R390" s="1" t="str">
        <f t="shared" si="28"/>
        <v>PAKYILDIZLTDSTI</v>
      </c>
      <c r="S390" s="1" t="str">
        <f t="shared" si="29"/>
        <v>M009|46186|4000|</v>
      </c>
      <c r="T390" s="1">
        <f>IF($E390="",0,SUMPRODUCT((AY_SONU!$O$7:$O$42="Evet")*(AY_SONU!$B$7:$B$42=DATE(YEAR($E390),MONTH($E390),1))))</f>
        <v>0</v>
      </c>
      <c r="U390" s="1" t="str">
        <f>IF(OR($G390="",$H390="Mahsup"),"",$G390&amp;"|"&amp;COUNTIFS($G$7:$G390,$G390,$H$7:$H390,"&lt;&gt;Mahsup"))</f>
        <v>MERKEZ KASA|309</v>
      </c>
    </row>
    <row r="391" spans="1:21" ht="18" customHeight="1" x14ac:dyDescent="0.3">
      <c r="A391" s="2"/>
      <c r="B391" s="65" t="str">
        <f t="shared" ref="B391:B454" si="30"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M016</v>
      </c>
      <c r="D391" s="61" t="s">
        <v>736</v>
      </c>
      <c r="E391" s="66">
        <v>46186</v>
      </c>
      <c r="F391" s="67">
        <v>3000</v>
      </c>
      <c r="G391" s="60" t="s">
        <v>717</v>
      </c>
      <c r="H391" s="60" t="s">
        <v>572</v>
      </c>
      <c r="I391" s="61"/>
      <c r="J391" s="61" t="s">
        <v>720</v>
      </c>
      <c r="K391" s="61"/>
      <c r="L391" s="73">
        <f t="shared" ref="L391:L454" si="31">IF($E391="","",DATE(YEAR($E391),MONTH($E391),1))</f>
        <v>46174</v>
      </c>
      <c r="M391" s="65" t="str">
        <f t="shared" ref="M391:M454" ca="1" si="32">IF($D391="","",IF($C391="TANIMSIZ MÜŞTERİ","HATA",IF(OR($E391="",$F391&lt;=0,$G391=""),"EKSİK",IF($E391&gt;TODAY(),"İLERİ TARİH",IF(COUNTIF($S$7:$S$2503,$S391)&gt;1,"MÜKERRER?",IF($T391&gt;0,"KAPALI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RİX ŞOW LTD.ŞTİ.</v>
      </c>
      <c r="O391" s="2"/>
      <c r="P391" s="2"/>
      <c r="Q391" s="1" t="str">
        <f>IF($D391="","",$C391&amp;"|"&amp;COUNTIFS($C$7:$C391,$C391))</f>
        <v>M016|22</v>
      </c>
      <c r="R391" s="1" t="str">
        <f t="shared" ref="R391:R454" si="33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RIXSOWLTDSTI</v>
      </c>
      <c r="S391" s="1" t="str">
        <f t="shared" ref="S391:S454" si="34">IF($D391="","",$C391&amp;"|"&amp;TEXT($E391,"0")&amp;"|"&amp;TEXT($F391,"0")&amp;"|"&amp;$I391)</f>
        <v>M016|46186|3000|</v>
      </c>
      <c r="T391" s="1">
        <f>IF($E391="",0,SUMPRODUCT((AY_SONU!$O$7:$O$42="Evet")*(AY_SONU!$B$7:$B$42=DATE(YEAR($E391),MONTH($E391),1))))</f>
        <v>0</v>
      </c>
      <c r="U391" s="1" t="str">
        <f>IF(OR($G391="",$H391="Mahsup"),"",$G391&amp;"|"&amp;COUNTIFS($G$7:$G391,$G391,$H$7:$H391,"&lt;&gt;Mahsup"))</f>
        <v>MERKEZ KASA|310</v>
      </c>
    </row>
    <row r="392" spans="1:21" ht="18" customHeight="1" x14ac:dyDescent="0.3">
      <c r="A392" s="2"/>
      <c r="B392" s="65" t="str">
        <f t="shared" si="30"/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M005</v>
      </c>
      <c r="D392" s="61" t="s">
        <v>722</v>
      </c>
      <c r="E392" s="66">
        <v>46186</v>
      </c>
      <c r="F392" s="67">
        <v>1750</v>
      </c>
      <c r="G392" s="60" t="s">
        <v>717</v>
      </c>
      <c r="H392" s="60" t="s">
        <v>572</v>
      </c>
      <c r="I392" s="61"/>
      <c r="J392" s="61" t="s">
        <v>720</v>
      </c>
      <c r="K392" s="61"/>
      <c r="L392" s="73">
        <f t="shared" si="31"/>
        <v>46174</v>
      </c>
      <c r="M392" s="65" t="str">
        <f t="shared" ca="1" si="32"/>
        <v>UYGUN</v>
      </c>
      <c r="N392" s="74" t="str">
        <f>IF($C392="","",IF($C392="TANIMSIZ MÜŞTERİ","—",INDEX(MUSTERILER!$C$7:$C$156,MATCH($C392,MUSTERILER!$B$7:$B$156,0))))</f>
        <v>ZÜMRÜT GRUP LTD.ŞTİ.</v>
      </c>
      <c r="O392" s="2"/>
      <c r="P392" s="2"/>
      <c r="Q392" s="1" t="str">
        <f>IF($D392="","",$C392&amp;"|"&amp;COUNTIFS($C$7:$C392,$C392))</f>
        <v>M005|19</v>
      </c>
      <c r="R392" s="1" t="str">
        <f t="shared" si="33"/>
        <v>ZUMRUTGRUPLTDSTI</v>
      </c>
      <c r="S392" s="1" t="str">
        <f t="shared" si="34"/>
        <v>M005|46186|1750|</v>
      </c>
      <c r="T392" s="1">
        <f>IF($E392="",0,SUMPRODUCT((AY_SONU!$O$7:$O$42="Evet")*(AY_SONU!$B$7:$B$42=DATE(YEAR($E392),MONTH($E392),1))))</f>
        <v>0</v>
      </c>
      <c r="U392" s="1" t="str">
        <f>IF(OR($G392="",$H392="Mahsup"),"",$G392&amp;"|"&amp;COUNTIFS($G$7:$G392,$G392,$H$7:$H392,"&lt;&gt;Mahsup"))</f>
        <v>MERKEZ KASA|311</v>
      </c>
    </row>
    <row r="393" spans="1:21" ht="18" customHeight="1" x14ac:dyDescent="0.3">
      <c r="A393" s="2"/>
      <c r="B393" s="65" t="str">
        <f t="shared" si="30"/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M018</v>
      </c>
      <c r="D393" s="61" t="s">
        <v>593</v>
      </c>
      <c r="E393" s="66">
        <v>46186</v>
      </c>
      <c r="F393" s="67">
        <v>2500</v>
      </c>
      <c r="G393" s="60" t="s">
        <v>717</v>
      </c>
      <c r="H393" s="60" t="s">
        <v>572</v>
      </c>
      <c r="I393" s="61"/>
      <c r="J393" s="61" t="s">
        <v>720</v>
      </c>
      <c r="K393" s="61"/>
      <c r="L393" s="73">
        <f t="shared" si="31"/>
        <v>46174</v>
      </c>
      <c r="M393" s="65" t="str">
        <f t="shared" ca="1" si="32"/>
        <v>UYGUN</v>
      </c>
      <c r="N393" s="74" t="str">
        <f>IF($C393="","",IF($C393="TANIMSIZ MÜŞTERİ","—",INDEX(MUSTERILER!$C$7:$C$156,MATCH($C393,MUSTERILER!$B$7:$B$156,0))))</f>
        <v>ÇINARHAN LTD.ŞTİ.</v>
      </c>
      <c r="O393" s="2"/>
      <c r="P393" s="2"/>
      <c r="Q393" s="1" t="str">
        <f>IF($D393="","",$C393&amp;"|"&amp;COUNTIFS($C$7:$C393,$C393))</f>
        <v>M018|18</v>
      </c>
      <c r="R393" s="1" t="str">
        <f t="shared" si="33"/>
        <v>CINARHANLTDSTI</v>
      </c>
      <c r="S393" s="1" t="str">
        <f t="shared" si="34"/>
        <v>M018|46186|2500|</v>
      </c>
      <c r="T393" s="1">
        <f>IF($E393="",0,SUMPRODUCT((AY_SONU!$O$7:$O$42="Evet")*(AY_SONU!$B$7:$B$42=DATE(YEAR($E393),MONTH($E393),1))))</f>
        <v>0</v>
      </c>
      <c r="U393" s="1" t="str">
        <f>IF(OR($G393="",$H393="Mahsup"),"",$G393&amp;"|"&amp;COUNTIFS($G$7:$G393,$G393,$H$7:$H393,"&lt;&gt;Mahsup"))</f>
        <v>MERKEZ KASA|312</v>
      </c>
    </row>
    <row r="394" spans="1:21" ht="18" customHeight="1" x14ac:dyDescent="0.3">
      <c r="A394" s="2"/>
      <c r="B394" s="65" t="str">
        <f t="shared" si="30"/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M020</v>
      </c>
      <c r="D394" s="61" t="s">
        <v>623</v>
      </c>
      <c r="E394" s="66">
        <v>46186</v>
      </c>
      <c r="F394" s="67">
        <v>3000</v>
      </c>
      <c r="G394" s="60" t="s">
        <v>717</v>
      </c>
      <c r="H394" s="60" t="s">
        <v>572</v>
      </c>
      <c r="I394" s="61"/>
      <c r="J394" s="61" t="s">
        <v>720</v>
      </c>
      <c r="K394" s="61"/>
      <c r="L394" s="73">
        <f t="shared" si="31"/>
        <v>46174</v>
      </c>
      <c r="M394" s="65" t="str">
        <f t="shared" ca="1" si="32"/>
        <v>UYGUN</v>
      </c>
      <c r="N394" s="74" t="str">
        <f>IF($C394="","",IF($C394="TANIMSIZ MÜŞTERİ","—",INDEX(MUSTERILER!$C$7:$C$156,MATCH($C394,MUSTERILER!$B$7:$B$156,0))))</f>
        <v>KRİSTAL LTD.ŞTİ.</v>
      </c>
      <c r="O394" s="2"/>
      <c r="P394" s="2"/>
      <c r="Q394" s="1" t="str">
        <f>IF($D394="","",$C394&amp;"|"&amp;COUNTIFS($C$7:$C394,$C394))</f>
        <v>M020|23</v>
      </c>
      <c r="R394" s="1" t="str">
        <f t="shared" si="33"/>
        <v>KRISTALLTDSTI</v>
      </c>
      <c r="S394" s="1" t="str">
        <f t="shared" si="34"/>
        <v>M020|46186|3000|</v>
      </c>
      <c r="T394" s="1">
        <f>IF($E394="",0,SUMPRODUCT((AY_SONU!$O$7:$O$42="Evet")*(AY_SONU!$B$7:$B$42=DATE(YEAR($E394),MONTH($E394),1))))</f>
        <v>0</v>
      </c>
      <c r="U394" s="1" t="str">
        <f>IF(OR($G394="",$H394="Mahsup"),"",$G394&amp;"|"&amp;COUNTIFS($G$7:$G394,$G394,$H$7:$H394,"&lt;&gt;Mahsup"))</f>
        <v>MERKEZ KASA|313</v>
      </c>
    </row>
    <row r="395" spans="1:21" ht="18" customHeight="1" x14ac:dyDescent="0.3">
      <c r="A395" s="2"/>
      <c r="B395" s="65" t="str">
        <f t="shared" si="30"/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M047</v>
      </c>
      <c r="D395" s="61" t="s">
        <v>654</v>
      </c>
      <c r="E395" s="66">
        <v>46186</v>
      </c>
      <c r="F395" s="67">
        <v>4000</v>
      </c>
      <c r="G395" s="60" t="s">
        <v>717</v>
      </c>
      <c r="H395" s="60" t="s">
        <v>572</v>
      </c>
      <c r="I395" s="61"/>
      <c r="J395" s="61" t="s">
        <v>720</v>
      </c>
      <c r="K395" s="61"/>
      <c r="L395" s="73">
        <f t="shared" si="31"/>
        <v>46174</v>
      </c>
      <c r="M395" s="65" t="str">
        <f t="shared" ca="1" si="32"/>
        <v>UYGUN</v>
      </c>
      <c r="N395" s="74" t="str">
        <f>IF($C395="","",IF($C395="TANIMSIZ MÜŞTERİ","—",INDEX(MUSTERILER!$C$7:$C$156,MATCH($C395,MUSTERILER!$B$7:$B$156,0))))</f>
        <v>PALAOĞULLARI LTD.ŞTİ.</v>
      </c>
      <c r="O395" s="2"/>
      <c r="P395" s="2"/>
      <c r="Q395" s="1" t="str">
        <f>IF($D395="","",$C395&amp;"|"&amp;COUNTIFS($C$7:$C395,$C395))</f>
        <v>M047|14</v>
      </c>
      <c r="R395" s="1" t="str">
        <f t="shared" si="33"/>
        <v>PALAOGULLARILTDSTI</v>
      </c>
      <c r="S395" s="1" t="str">
        <f t="shared" si="34"/>
        <v>M047|46186|4000|</v>
      </c>
      <c r="T395" s="1">
        <f>IF($E395="",0,SUMPRODUCT((AY_SONU!$O$7:$O$42="Evet")*(AY_SONU!$B$7:$B$42=DATE(YEAR($E395),MONTH($E395),1))))</f>
        <v>0</v>
      </c>
      <c r="U395" s="1" t="str">
        <f>IF(OR($G395="",$H395="Mahsup"),"",$G395&amp;"|"&amp;COUNTIFS($G$7:$G395,$G395,$H$7:$H395,"&lt;&gt;Mahsup"))</f>
        <v>MERKEZ KASA|314</v>
      </c>
    </row>
    <row r="396" spans="1:21" ht="18" customHeight="1" x14ac:dyDescent="0.3">
      <c r="A396" s="2"/>
      <c r="B396" s="65" t="str">
        <f t="shared" si="30"/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M054</v>
      </c>
      <c r="D396" s="61" t="s">
        <v>674</v>
      </c>
      <c r="E396" s="66">
        <v>46186</v>
      </c>
      <c r="F396" s="67">
        <v>4000</v>
      </c>
      <c r="G396" s="60" t="s">
        <v>717</v>
      </c>
      <c r="H396" s="60" t="s">
        <v>572</v>
      </c>
      <c r="I396" s="61"/>
      <c r="J396" s="61" t="s">
        <v>720</v>
      </c>
      <c r="K396" s="61"/>
      <c r="L396" s="73">
        <f t="shared" si="31"/>
        <v>46174</v>
      </c>
      <c r="M396" s="65" t="str">
        <f t="shared" ca="1" si="32"/>
        <v>UYGUN</v>
      </c>
      <c r="N396" s="74" t="str">
        <f>IF($C396="","",IF($C396="TANIMSIZ MÜŞTERİ","—",INDEX(MUSTERILER!$C$7:$C$156,MATCH($C396,MUSTERILER!$B$7:$B$156,0))))</f>
        <v>YALIKENT LTD.ŞTİ.</v>
      </c>
      <c r="O396" s="2"/>
      <c r="P396" s="2"/>
      <c r="Q396" s="1" t="str">
        <f>IF($D396="","",$C396&amp;"|"&amp;COUNTIFS($C$7:$C396,$C396))</f>
        <v>M054|12</v>
      </c>
      <c r="R396" s="1" t="str">
        <f t="shared" si="33"/>
        <v>YALIKENTLTDSTI</v>
      </c>
      <c r="S396" s="1" t="str">
        <f t="shared" si="34"/>
        <v>M054|46186|4000|</v>
      </c>
      <c r="T396" s="1">
        <f>IF($E396="",0,SUMPRODUCT((AY_SONU!$O$7:$O$42="Evet")*(AY_SONU!$B$7:$B$42=DATE(YEAR($E396),MONTH($E396),1))))</f>
        <v>0</v>
      </c>
      <c r="U396" s="1" t="str">
        <f>IF(OR($G396="",$H396="Mahsup"),"",$G396&amp;"|"&amp;COUNTIFS($G$7:$G396,$G396,$H$7:$H396,"&lt;&gt;Mahsup"))</f>
        <v>MERKEZ KASA|315</v>
      </c>
    </row>
    <row r="397" spans="1:21" ht="18" customHeight="1" x14ac:dyDescent="0.3">
      <c r="A397" s="2"/>
      <c r="B397" s="65" t="str">
        <f t="shared" si="30"/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M051</v>
      </c>
      <c r="D397" s="61" t="s">
        <v>668</v>
      </c>
      <c r="E397" s="66">
        <v>46188</v>
      </c>
      <c r="F397" s="67">
        <v>3000</v>
      </c>
      <c r="G397" s="60" t="s">
        <v>723</v>
      </c>
      <c r="H397" s="60" t="s">
        <v>572</v>
      </c>
      <c r="I397" s="61"/>
      <c r="J397" s="61" t="s">
        <v>720</v>
      </c>
      <c r="K397" s="61"/>
      <c r="L397" s="73">
        <f t="shared" si="31"/>
        <v>46174</v>
      </c>
      <c r="M397" s="65" t="str">
        <f t="shared" ca="1" si="32"/>
        <v>UYGUN</v>
      </c>
      <c r="N397" s="74" t="str">
        <f>IF($C397="","",IF($C397="TANIMSIZ MÜŞTERİ","—",INDEX(MUSTERILER!$C$7:$C$156,MATCH($C397,MUSTERILER!$B$7:$B$156,0))))</f>
        <v>UFUK YILMAZ</v>
      </c>
      <c r="O397" s="2"/>
      <c r="P397" s="2"/>
      <c r="Q397" s="1" t="str">
        <f>IF($D397="","",$C397&amp;"|"&amp;COUNTIFS($C$7:$C397,$C397))</f>
        <v>M051|6</v>
      </c>
      <c r="R397" s="1" t="str">
        <f t="shared" si="33"/>
        <v>UFUKYILMAZ</v>
      </c>
      <c r="S397" s="1" t="str">
        <f t="shared" si="34"/>
        <v>M051|46188|3000|</v>
      </c>
      <c r="T397" s="1">
        <f>IF($E397="",0,SUMPRODUCT((AY_SONU!$O$7:$O$42="Evet")*(AY_SONU!$B$7:$B$42=DATE(YEAR($E397),MONTH($E397),1))))</f>
        <v>0</v>
      </c>
      <c r="U397" s="1" t="str">
        <f>IF(OR($G397="",$H397="Mahsup"),"",$G397&amp;"|"&amp;COUNTIFS($G$7:$G397,$G397,$H$7:$H397,"&lt;&gt;Mahsup"))</f>
        <v>ÖMER KARTAL|76</v>
      </c>
    </row>
    <row r="398" spans="1:21" ht="18" customHeight="1" x14ac:dyDescent="0.3">
      <c r="A398" s="2"/>
      <c r="B398" s="65" t="str">
        <f t="shared" si="30"/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M021</v>
      </c>
      <c r="D398" s="61" t="s">
        <v>581</v>
      </c>
      <c r="E398" s="66">
        <v>46193</v>
      </c>
      <c r="F398" s="67">
        <v>10000</v>
      </c>
      <c r="G398" s="60" t="s">
        <v>717</v>
      </c>
      <c r="H398" s="60" t="s">
        <v>572</v>
      </c>
      <c r="I398" s="61"/>
      <c r="J398" s="61" t="s">
        <v>720</v>
      </c>
      <c r="K398" s="61"/>
      <c r="L398" s="73">
        <f t="shared" si="31"/>
        <v>46174</v>
      </c>
      <c r="M398" s="65" t="str">
        <f t="shared" ca="1" si="32"/>
        <v>UYGUN</v>
      </c>
      <c r="N398" s="74" t="str">
        <f>IF($C398="","",IF($C398="TANIMSIZ MÜŞTERİ","—",INDEX(MUSTERILER!$C$7:$C$156,MATCH($C398,MUSTERILER!$B$7:$B$156,0))))</f>
        <v>ARON TOPTAN LTD.ŞTİ.</v>
      </c>
      <c r="O398" s="2"/>
      <c r="P398" s="2"/>
      <c r="Q398" s="1" t="str">
        <f>IF($D398="","",$C398&amp;"|"&amp;COUNTIFS($C$7:$C398,$C398))</f>
        <v>M021|4</v>
      </c>
      <c r="R398" s="1" t="str">
        <f t="shared" si="33"/>
        <v>ARONTOPTANLTDSTI</v>
      </c>
      <c r="S398" s="1" t="str">
        <f t="shared" si="34"/>
        <v>M021|46193|10000|</v>
      </c>
      <c r="T398" s="1">
        <f>IF($E398="",0,SUMPRODUCT((AY_SONU!$O$7:$O$42="Evet")*(AY_SONU!$B$7:$B$42=DATE(YEAR($E398),MONTH($E398),1))))</f>
        <v>0</v>
      </c>
      <c r="U398" s="1" t="str">
        <f>IF(OR($G398="",$H398="Mahsup"),"",$G398&amp;"|"&amp;COUNTIFS($G$7:$G398,$G398,$H$7:$H398,"&lt;&gt;Mahsup"))</f>
        <v>MERKEZ KASA|316</v>
      </c>
    </row>
    <row r="399" spans="1:21" ht="18" customHeight="1" x14ac:dyDescent="0.3">
      <c r="A399" s="2"/>
      <c r="B399" s="65" t="str">
        <f t="shared" si="30"/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M025</v>
      </c>
      <c r="D399" s="61" t="s">
        <v>583</v>
      </c>
      <c r="E399" s="66">
        <v>46194</v>
      </c>
      <c r="F399" s="67">
        <v>2000</v>
      </c>
      <c r="G399" s="60" t="s">
        <v>723</v>
      </c>
      <c r="H399" s="60" t="s">
        <v>572</v>
      </c>
      <c r="I399" s="61"/>
      <c r="J399" s="61" t="s">
        <v>720</v>
      </c>
      <c r="K399" s="61"/>
      <c r="L399" s="73">
        <f t="shared" si="31"/>
        <v>46174</v>
      </c>
      <c r="M399" s="65" t="str">
        <f t="shared" ca="1" si="32"/>
        <v>UYGUN</v>
      </c>
      <c r="N399" s="74" t="str">
        <f>IF($C399="","",IF($C399="TANIMSIZ MÜŞTERİ","—",INDEX(MUSTERILER!$C$7:$C$156,MATCH($C399,MUSTERILER!$B$7:$B$156,0))))</f>
        <v>ASIM AÇIKGÖZ</v>
      </c>
      <c r="O399" s="2"/>
      <c r="P399" s="2"/>
      <c r="Q399" s="1" t="str">
        <f>IF($D399="","",$C399&amp;"|"&amp;COUNTIFS($C$7:$C399,$C399))</f>
        <v>M025|20</v>
      </c>
      <c r="R399" s="1" t="str">
        <f t="shared" si="33"/>
        <v>ASIMACIKGOZ</v>
      </c>
      <c r="S399" s="1" t="str">
        <f t="shared" si="34"/>
        <v>M025|46194|2000|</v>
      </c>
      <c r="T399" s="1">
        <f>IF($E399="",0,SUMPRODUCT((AY_SONU!$O$7:$O$42="Evet")*(AY_SONU!$B$7:$B$42=DATE(YEAR($E399),MONTH($E399),1))))</f>
        <v>0</v>
      </c>
      <c r="U399" s="1" t="str">
        <f>IF(OR($G399="",$H399="Mahsup"),"",$G399&amp;"|"&amp;COUNTIFS($G$7:$G399,$G399,$H$7:$H399,"&lt;&gt;Mahsup"))</f>
        <v>ÖMER KARTAL|77</v>
      </c>
    </row>
    <row r="400" spans="1:21" ht="18" customHeight="1" x14ac:dyDescent="0.3">
      <c r="A400" s="2"/>
      <c r="B400" s="65" t="str">
        <f t="shared" si="30"/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M017</v>
      </c>
      <c r="D400" s="61" t="s">
        <v>585</v>
      </c>
      <c r="E400" s="66">
        <v>46194</v>
      </c>
      <c r="F400" s="67">
        <v>2500</v>
      </c>
      <c r="G400" s="60" t="s">
        <v>723</v>
      </c>
      <c r="H400" s="60" t="s">
        <v>572</v>
      </c>
      <c r="I400" s="61"/>
      <c r="J400" s="61" t="s">
        <v>720</v>
      </c>
      <c r="K400" s="61"/>
      <c r="L400" s="73">
        <f t="shared" si="31"/>
        <v>46174</v>
      </c>
      <c r="M400" s="65" t="str">
        <f t="shared" ca="1" si="32"/>
        <v>UYGUN</v>
      </c>
      <c r="N400" s="74" t="str">
        <f>IF($C400="","",IF($C400="TANIMSIZ MÜŞTERİ","—",INDEX(MUSTERILER!$C$7:$C$156,MATCH($C400,MUSTERILER!$B$7:$B$156,0))))</f>
        <v>ASM EĞLENCE LTD.ŞTİ.</v>
      </c>
      <c r="O400" s="2"/>
      <c r="P400" s="2"/>
      <c r="Q400" s="1" t="str">
        <f>IF($D400="","",$C400&amp;"|"&amp;COUNTIFS($C$7:$C400,$C400))</f>
        <v>M017|21</v>
      </c>
      <c r="R400" s="1" t="str">
        <f t="shared" si="33"/>
        <v>ASMEGLENCELTDSTI</v>
      </c>
      <c r="S400" s="1" t="str">
        <f t="shared" si="34"/>
        <v>M017|46194|2500|</v>
      </c>
      <c r="T400" s="1">
        <f>IF($E400="",0,SUMPRODUCT((AY_SONU!$O$7:$O$42="Evet")*(AY_SONU!$B$7:$B$42=DATE(YEAR($E400),MONTH($E400),1))))</f>
        <v>0</v>
      </c>
      <c r="U400" s="1" t="str">
        <f>IF(OR($G400="",$H400="Mahsup"),"",$G400&amp;"|"&amp;COUNTIFS($G$7:$G400,$G400,$H$7:$H400,"&lt;&gt;Mahsup"))</f>
        <v>ÖMER KARTAL|78</v>
      </c>
    </row>
    <row r="401" spans="1:21" ht="18" customHeight="1" x14ac:dyDescent="0.3">
      <c r="A401" s="2"/>
      <c r="B401" s="65" t="str">
        <f t="shared" si="30"/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M015</v>
      </c>
      <c r="D401" s="61" t="s">
        <v>719</v>
      </c>
      <c r="E401" s="66">
        <v>46194</v>
      </c>
      <c r="F401" s="67">
        <v>3000</v>
      </c>
      <c r="G401" s="60" t="s">
        <v>723</v>
      </c>
      <c r="H401" s="60" t="s">
        <v>572</v>
      </c>
      <c r="I401" s="61"/>
      <c r="J401" s="61" t="s">
        <v>724</v>
      </c>
      <c r="K401" s="61"/>
      <c r="L401" s="73">
        <f t="shared" si="31"/>
        <v>46174</v>
      </c>
      <c r="M401" s="65" t="str">
        <f t="shared" ca="1" si="32"/>
        <v>UYGUN</v>
      </c>
      <c r="N401" s="74" t="str">
        <f>IF($C401="","",IF($C401="TANIMSIZ MÜŞTERİ","—",INDEX(MUSTERILER!$C$7:$C$156,MATCH($C401,MUSTERILER!$B$7:$B$156,0))))</f>
        <v>ÇAYIRALAN LTD.ŞTİ.</v>
      </c>
      <c r="O401" s="2"/>
      <c r="P401" s="2"/>
      <c r="Q401" s="1" t="str">
        <f>IF($D401="","",$C401&amp;"|"&amp;COUNTIFS($C$7:$C401,$C401))</f>
        <v>M015|22</v>
      </c>
      <c r="R401" s="1" t="str">
        <f t="shared" si="33"/>
        <v>CAYIRALANLTDSTI</v>
      </c>
      <c r="S401" s="1" t="str">
        <f t="shared" si="34"/>
        <v>M015|46194|3000|</v>
      </c>
      <c r="T401" s="1">
        <f>IF($E401="",0,SUMPRODUCT((AY_SONU!$O$7:$O$42="Evet")*(AY_SONU!$B$7:$B$42=DATE(YEAR($E401),MONTH($E401),1))))</f>
        <v>0</v>
      </c>
      <c r="U401" s="1" t="str">
        <f>IF(OR($G401="",$H401="Mahsup"),"",$G401&amp;"|"&amp;COUNTIFS($G$7:$G401,$G401,$H$7:$H401,"&lt;&gt;Mahsup"))</f>
        <v>ÖMER KARTAL|79</v>
      </c>
    </row>
    <row r="402" spans="1:21" ht="18" customHeight="1" x14ac:dyDescent="0.3">
      <c r="A402" s="2"/>
      <c r="B402" s="65" t="str">
        <f t="shared" si="30"/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M007</v>
      </c>
      <c r="D402" s="61" t="s">
        <v>733</v>
      </c>
      <c r="E402" s="66">
        <v>46194</v>
      </c>
      <c r="F402" s="67">
        <v>3500</v>
      </c>
      <c r="G402" s="60" t="s">
        <v>723</v>
      </c>
      <c r="H402" s="60" t="s">
        <v>572</v>
      </c>
      <c r="I402" s="61"/>
      <c r="J402" s="61" t="s">
        <v>724</v>
      </c>
      <c r="K402" s="61"/>
      <c r="L402" s="73">
        <f t="shared" si="31"/>
        <v>46174</v>
      </c>
      <c r="M402" s="65" t="str">
        <f t="shared" ca="1" si="32"/>
        <v>UYGUN</v>
      </c>
      <c r="N402" s="74" t="str">
        <f>IF($C402="","",IF($C402="TANIMSIZ MÜŞTERİ","—",INDEX(MUSTERILER!$C$7:$C$156,MATCH($C402,MUSTERILER!$B$7:$B$156,0))))</f>
        <v>MONAMOUR LTD.ŞTİ.</v>
      </c>
      <c r="O402" s="2"/>
      <c r="P402" s="2"/>
      <c r="Q402" s="1" t="str">
        <f>IF($D402="","",$C402&amp;"|"&amp;COUNTIFS($C$7:$C402,$C402))</f>
        <v>M007|18</v>
      </c>
      <c r="R402" s="1" t="str">
        <f t="shared" si="33"/>
        <v>MONAMOURLTDSTI</v>
      </c>
      <c r="S402" s="1" t="str">
        <f t="shared" si="34"/>
        <v>M007|46194|3500|</v>
      </c>
      <c r="T402" s="1">
        <f>IF($E402="",0,SUMPRODUCT((AY_SONU!$O$7:$O$42="Evet")*(AY_SONU!$B$7:$B$42=DATE(YEAR($E402),MONTH($E402),1))))</f>
        <v>0</v>
      </c>
      <c r="U402" s="1" t="str">
        <f>IF(OR($G402="",$H402="Mahsup"),"",$G402&amp;"|"&amp;COUNTIFS($G$7:$G402,$G402,$H$7:$H402,"&lt;&gt;Mahsup"))</f>
        <v>ÖMER KARTAL|80</v>
      </c>
    </row>
    <row r="403" spans="1:21" ht="18" customHeight="1" x14ac:dyDescent="0.3">
      <c r="A403" s="2"/>
      <c r="B403" s="65" t="str">
        <f t="shared" si="30"/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M009</v>
      </c>
      <c r="D403" s="61" t="s">
        <v>735</v>
      </c>
      <c r="E403" s="66">
        <v>46194</v>
      </c>
      <c r="F403" s="67">
        <v>4000</v>
      </c>
      <c r="G403" s="60" t="s">
        <v>723</v>
      </c>
      <c r="H403" s="60" t="s">
        <v>572</v>
      </c>
      <c r="I403" s="61"/>
      <c r="J403" s="61" t="s">
        <v>724</v>
      </c>
      <c r="K403" s="61"/>
      <c r="L403" s="73">
        <f t="shared" si="31"/>
        <v>46174</v>
      </c>
      <c r="M403" s="65" t="str">
        <f t="shared" ca="1" si="32"/>
        <v>UYGUN</v>
      </c>
      <c r="N403" s="74" t="str">
        <f>IF($C403="","",IF($C403="TANIMSIZ MÜŞTERİ","—",INDEX(MUSTERILER!$C$7:$C$156,MATCH($C403,MUSTERILER!$B$7:$B$156,0))))</f>
        <v>PAKYILDIZ LTD.ŞTİ.</v>
      </c>
      <c r="O403" s="2"/>
      <c r="P403" s="2"/>
      <c r="Q403" s="1" t="str">
        <f>IF($D403="","",$C403&amp;"|"&amp;COUNTIFS($C$7:$C403,$C403))</f>
        <v>M009|20</v>
      </c>
      <c r="R403" s="1" t="str">
        <f t="shared" si="33"/>
        <v>PAKYILDIZLTDSTI</v>
      </c>
      <c r="S403" s="1" t="str">
        <f t="shared" si="34"/>
        <v>M009|46194|4000|</v>
      </c>
      <c r="T403" s="1">
        <f>IF($E403="",0,SUMPRODUCT((AY_SONU!$O$7:$O$42="Evet")*(AY_SONU!$B$7:$B$42=DATE(YEAR($E403),MONTH($E403),1))))</f>
        <v>0</v>
      </c>
      <c r="U403" s="1" t="str">
        <f>IF(OR($G403="",$H403="Mahsup"),"",$G403&amp;"|"&amp;COUNTIFS($G$7:$G403,$G403,$H$7:$H403,"&lt;&gt;Mahsup"))</f>
        <v>ÖMER KARTAL|81</v>
      </c>
    </row>
    <row r="404" spans="1:21" ht="18" customHeight="1" x14ac:dyDescent="0.3">
      <c r="A404" s="2"/>
      <c r="B404" s="65" t="str">
        <f t="shared" si="30"/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M016</v>
      </c>
      <c r="D404" s="61" t="s">
        <v>736</v>
      </c>
      <c r="E404" s="66">
        <v>46194</v>
      </c>
      <c r="F404" s="67">
        <v>3000</v>
      </c>
      <c r="G404" s="60" t="s">
        <v>723</v>
      </c>
      <c r="H404" s="60" t="s">
        <v>572</v>
      </c>
      <c r="I404" s="61"/>
      <c r="J404" s="61" t="s">
        <v>724</v>
      </c>
      <c r="K404" s="61"/>
      <c r="L404" s="73">
        <f t="shared" si="31"/>
        <v>46174</v>
      </c>
      <c r="M404" s="65" t="str">
        <f t="shared" ca="1" si="32"/>
        <v>UYGUN</v>
      </c>
      <c r="N404" s="74" t="str">
        <f>IF($C404="","",IF($C404="TANIMSIZ MÜŞTERİ","—",INDEX(MUSTERILER!$C$7:$C$156,MATCH($C404,MUSTERILER!$B$7:$B$156,0))))</f>
        <v>RİX ŞOW LTD.ŞTİ.</v>
      </c>
      <c r="O404" s="2"/>
      <c r="P404" s="2"/>
      <c r="Q404" s="1" t="str">
        <f>IF($D404="","",$C404&amp;"|"&amp;COUNTIFS($C$7:$C404,$C404))</f>
        <v>M016|23</v>
      </c>
      <c r="R404" s="1" t="str">
        <f t="shared" si="33"/>
        <v>RIXSOWLTDSTI</v>
      </c>
      <c r="S404" s="1" t="str">
        <f t="shared" si="34"/>
        <v>M016|46194|3000|</v>
      </c>
      <c r="T404" s="1">
        <f>IF($E404="",0,SUMPRODUCT((AY_SONU!$O$7:$O$42="Evet")*(AY_SONU!$B$7:$B$42=DATE(YEAR($E404),MONTH($E404),1))))</f>
        <v>0</v>
      </c>
      <c r="U404" s="1" t="str">
        <f>IF(OR($G404="",$H404="Mahsup"),"",$G404&amp;"|"&amp;COUNTIFS($G$7:$G404,$G404,$H$7:$H404,"&lt;&gt;Mahsup"))</f>
        <v>ÖMER KARTAL|82</v>
      </c>
    </row>
    <row r="405" spans="1:21" ht="18" customHeight="1" x14ac:dyDescent="0.3">
      <c r="A405" s="2"/>
      <c r="B405" s="65" t="str">
        <f t="shared" si="30"/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M011</v>
      </c>
      <c r="D405" s="61" t="s">
        <v>730</v>
      </c>
      <c r="E405" s="66">
        <v>46194</v>
      </c>
      <c r="F405" s="67">
        <v>4000</v>
      </c>
      <c r="G405" s="60" t="s">
        <v>717</v>
      </c>
      <c r="H405" s="60" t="s">
        <v>572</v>
      </c>
      <c r="I405" s="61"/>
      <c r="J405" s="61" t="s">
        <v>720</v>
      </c>
      <c r="K405" s="61"/>
      <c r="L405" s="73">
        <f t="shared" si="31"/>
        <v>46174</v>
      </c>
      <c r="M405" s="65" t="str">
        <f t="shared" ca="1" si="32"/>
        <v>UYGUN</v>
      </c>
      <c r="N405" s="74" t="str">
        <f>IF($C405="","",IF($C405="TANIMSIZ MÜŞTERİ","—",INDEX(MUSTERILER!$C$7:$C$156,MATCH($C405,MUSTERILER!$B$7:$B$156,0))))</f>
        <v>EĞLENGÖR LTD.ŞTİ.</v>
      </c>
      <c r="O405" s="2"/>
      <c r="P405" s="2"/>
      <c r="Q405" s="1" t="str">
        <f>IF($D405="","",$C405&amp;"|"&amp;COUNTIFS($C$7:$C405,$C405))</f>
        <v>M011|23</v>
      </c>
      <c r="R405" s="1" t="str">
        <f t="shared" si="33"/>
        <v>EGLENGORLTDSTI</v>
      </c>
      <c r="S405" s="1" t="str">
        <f t="shared" si="34"/>
        <v>M011|46194|4000|</v>
      </c>
      <c r="T405" s="1">
        <f>IF($E405="",0,SUMPRODUCT((AY_SONU!$O$7:$O$42="Evet")*(AY_SONU!$B$7:$B$42=DATE(YEAR($E405),MONTH($E405),1))))</f>
        <v>0</v>
      </c>
      <c r="U405" s="1" t="str">
        <f>IF(OR($G405="",$H405="Mahsup"),"",$G405&amp;"|"&amp;COUNTIFS($G$7:$G405,$G405,$H$7:$H405,"&lt;&gt;Mahsup"))</f>
        <v>MERKEZ KASA|317</v>
      </c>
    </row>
    <row r="406" spans="1:21" ht="18" customHeight="1" x14ac:dyDescent="0.3">
      <c r="A406" s="2"/>
      <c r="B406" s="65" t="str">
        <f t="shared" si="30"/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M014</v>
      </c>
      <c r="D406" s="61" t="s">
        <v>731</v>
      </c>
      <c r="E406" s="66">
        <v>46194</v>
      </c>
      <c r="F406" s="67">
        <v>4000</v>
      </c>
      <c r="G406" s="60" t="s">
        <v>717</v>
      </c>
      <c r="H406" s="60" t="s">
        <v>572</v>
      </c>
      <c r="I406" s="61"/>
      <c r="J406" s="61" t="s">
        <v>720</v>
      </c>
      <c r="K406" s="61"/>
      <c r="L406" s="73">
        <f t="shared" si="31"/>
        <v>46174</v>
      </c>
      <c r="M406" s="65" t="str">
        <f t="shared" ca="1" si="32"/>
        <v>UYGUN</v>
      </c>
      <c r="N406" s="74" t="str">
        <f>IF($C406="","",IF($C406="TANIMSIZ MÜŞTERİ","—",INDEX(MUSTERILER!$C$7:$C$156,MATCH($C406,MUSTERILER!$B$7:$B$156,0))))</f>
        <v>FİNAL SİYAH BEYAZ LTD.ŞTİ.</v>
      </c>
      <c r="O406" s="2"/>
      <c r="P406" s="2"/>
      <c r="Q406" s="1" t="str">
        <f>IF($D406="","",$C406&amp;"|"&amp;COUNTIFS($C$7:$C406,$C406))</f>
        <v>M014|22</v>
      </c>
      <c r="R406" s="1" t="str">
        <f t="shared" si="33"/>
        <v>FINALSIYAHBEYAZLTDSTI</v>
      </c>
      <c r="S406" s="1" t="str">
        <f t="shared" si="34"/>
        <v>M014|46194|4000|</v>
      </c>
      <c r="T406" s="1">
        <f>IF($E406="",0,SUMPRODUCT((AY_SONU!$O$7:$O$42="Evet")*(AY_SONU!$B$7:$B$42=DATE(YEAR($E406),MONTH($E406),1))))</f>
        <v>0</v>
      </c>
      <c r="U406" s="1" t="str">
        <f>IF(OR($G406="",$H406="Mahsup"),"",$G406&amp;"|"&amp;COUNTIFS($G$7:$G406,$G406,$H$7:$H406,"&lt;&gt;Mahsup"))</f>
        <v>MERKEZ KASA|318</v>
      </c>
    </row>
    <row r="407" spans="1:21" ht="18" customHeight="1" x14ac:dyDescent="0.3">
      <c r="A407" s="2"/>
      <c r="B407" s="65" t="str">
        <f t="shared" si="30"/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M012</v>
      </c>
      <c r="D407" s="61" t="s">
        <v>721</v>
      </c>
      <c r="E407" s="66">
        <v>46194</v>
      </c>
      <c r="F407" s="67">
        <v>5000</v>
      </c>
      <c r="G407" s="60" t="s">
        <v>717</v>
      </c>
      <c r="H407" s="60" t="s">
        <v>572</v>
      </c>
      <c r="I407" s="61"/>
      <c r="J407" s="61" t="s">
        <v>720</v>
      </c>
      <c r="K407" s="61"/>
      <c r="L407" s="73">
        <f t="shared" si="31"/>
        <v>46174</v>
      </c>
      <c r="M407" s="65" t="str">
        <f t="shared" ca="1" si="32"/>
        <v>UYGUN</v>
      </c>
      <c r="N407" s="74" t="str">
        <f>IF($C407="","",IF($C407="TANIMSIZ MÜŞTERİ","—",INDEX(MUSTERILER!$C$7:$C$156,MATCH($C407,MUSTERILER!$B$7:$B$156,0))))</f>
        <v>İLDEŞ LTD.ŞTİ.</v>
      </c>
      <c r="O407" s="2"/>
      <c r="P407" s="2"/>
      <c r="Q407" s="1" t="str">
        <f>IF($D407="","",$C407&amp;"|"&amp;COUNTIFS($C$7:$C407,$C407))</f>
        <v>M012|24</v>
      </c>
      <c r="R407" s="1" t="str">
        <f t="shared" si="33"/>
        <v>ILDESLTDSTI</v>
      </c>
      <c r="S407" s="1" t="str">
        <f t="shared" si="34"/>
        <v>M012|46194|5000|</v>
      </c>
      <c r="T407" s="1">
        <f>IF($E407="",0,SUMPRODUCT((AY_SONU!$O$7:$O$42="Evet")*(AY_SONU!$B$7:$B$42=DATE(YEAR($E407),MONTH($E407),1))))</f>
        <v>0</v>
      </c>
      <c r="U407" s="1" t="str">
        <f>IF(OR($G407="",$H407="Mahsup"),"",$G407&amp;"|"&amp;COUNTIFS($G$7:$G407,$G407,$H$7:$H407,"&lt;&gt;Mahsup"))</f>
        <v>MERKEZ KASA|319</v>
      </c>
    </row>
    <row r="408" spans="1:21" ht="18" customHeight="1" x14ac:dyDescent="0.3">
      <c r="A408" s="2"/>
      <c r="B408" s="65" t="str">
        <f t="shared" si="30"/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61" t="s">
        <v>623</v>
      </c>
      <c r="E408" s="66">
        <v>46194</v>
      </c>
      <c r="F408" s="67">
        <v>3000</v>
      </c>
      <c r="G408" s="60" t="s">
        <v>717</v>
      </c>
      <c r="H408" s="60" t="s">
        <v>572</v>
      </c>
      <c r="I408" s="61"/>
      <c r="J408" s="61" t="s">
        <v>720</v>
      </c>
      <c r="K408" s="61"/>
      <c r="L408" s="73">
        <f t="shared" si="31"/>
        <v>46174</v>
      </c>
      <c r="M408" s="65" t="str">
        <f t="shared" ca="1" si="32"/>
        <v>UYGUN</v>
      </c>
      <c r="N408" s="74" t="str">
        <f>IF($C408="","",IF($C408="TANIMSIZ MÜŞTERİ","—",INDEX(MUSTERILER!$C$7:$C$156,MATCH($C408,MUSTERILER!$B$7:$B$156,0))))</f>
        <v>KRİSTAL LTD.ŞTİ.</v>
      </c>
      <c r="O408" s="2"/>
      <c r="P408" s="2"/>
      <c r="Q408" s="1" t="str">
        <f>IF($D408="","",$C408&amp;"|"&amp;COUNTIFS($C$7:$C408,$C408))</f>
        <v>M020|24</v>
      </c>
      <c r="R408" s="1" t="str">
        <f t="shared" si="33"/>
        <v>KRISTALLTDSTI</v>
      </c>
      <c r="S408" s="1" t="str">
        <f t="shared" si="34"/>
        <v>M020|46194|3000|</v>
      </c>
      <c r="T408" s="1">
        <f>IF($E408="",0,SUMPRODUCT((AY_SONU!$O$7:$O$42="Evet")*(AY_SONU!$B$7:$B$42=DATE(YEAR($E408),MONTH($E408),1))))</f>
        <v>0</v>
      </c>
      <c r="U408" s="1" t="str">
        <f>IF(OR($G408="",$H408="Mahsup"),"",$G408&amp;"|"&amp;COUNTIFS($G$7:$G408,$G408,$H$7:$H408,"&lt;&gt;Mahsup"))</f>
        <v>MERKEZ KASA|320</v>
      </c>
    </row>
    <row r="409" spans="1:21" ht="18" customHeight="1" x14ac:dyDescent="0.3">
      <c r="A409" s="2"/>
      <c r="B409" s="65" t="str">
        <f t="shared" si="30"/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M047</v>
      </c>
      <c r="D409" s="61" t="s">
        <v>654</v>
      </c>
      <c r="E409" s="66">
        <v>46194</v>
      </c>
      <c r="F409" s="67">
        <v>1000</v>
      </c>
      <c r="G409" s="60" t="s">
        <v>717</v>
      </c>
      <c r="H409" s="60" t="s">
        <v>572</v>
      </c>
      <c r="I409" s="61"/>
      <c r="J409" s="61" t="s">
        <v>720</v>
      </c>
      <c r="K409" s="61"/>
      <c r="L409" s="73">
        <f t="shared" si="31"/>
        <v>46174</v>
      </c>
      <c r="M409" s="65" t="str">
        <f t="shared" ca="1" si="32"/>
        <v>UYGUN</v>
      </c>
      <c r="N409" s="74" t="str">
        <f>IF($C409="","",IF($C409="TANIMSIZ MÜŞTERİ","—",INDEX(MUSTERILER!$C$7:$C$156,MATCH($C409,MUSTERILER!$B$7:$B$156,0))))</f>
        <v>PALAOĞULLARI LTD.ŞTİ.</v>
      </c>
      <c r="O409" s="2"/>
      <c r="P409" s="2"/>
      <c r="Q409" s="1" t="str">
        <f>IF($D409="","",$C409&amp;"|"&amp;COUNTIFS($C$7:$C409,$C409))</f>
        <v>M047|15</v>
      </c>
      <c r="R409" s="1" t="str">
        <f t="shared" si="33"/>
        <v>PALAOGULLARILTDSTI</v>
      </c>
      <c r="S409" s="1" t="str">
        <f t="shared" si="34"/>
        <v>M047|46194|1000|</v>
      </c>
      <c r="T409" s="1">
        <f>IF($E409="",0,SUMPRODUCT((AY_SONU!$O$7:$O$42="Evet")*(AY_SONU!$B$7:$B$42=DATE(YEAR($E409),MONTH($E409),1))))</f>
        <v>0</v>
      </c>
      <c r="U409" s="1" t="str">
        <f>IF(OR($G409="",$H409="Mahsup"),"",$G409&amp;"|"&amp;COUNTIFS($G$7:$G409,$G409,$H$7:$H409,"&lt;&gt;Mahsup"))</f>
        <v>MERKEZ KASA|321</v>
      </c>
    </row>
    <row r="410" spans="1:21" ht="18" customHeight="1" x14ac:dyDescent="0.3">
      <c r="A410" s="2"/>
      <c r="B410" s="65" t="str">
        <f t="shared" si="30"/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M047</v>
      </c>
      <c r="D410" s="61" t="s">
        <v>654</v>
      </c>
      <c r="E410" s="66">
        <v>46194</v>
      </c>
      <c r="F410" s="67">
        <v>5000</v>
      </c>
      <c r="G410" s="60" t="s">
        <v>717</v>
      </c>
      <c r="H410" s="60" t="s">
        <v>572</v>
      </c>
      <c r="I410" s="61"/>
      <c r="J410" s="61" t="s">
        <v>720</v>
      </c>
      <c r="K410" s="61"/>
      <c r="L410" s="73">
        <f t="shared" si="31"/>
        <v>46174</v>
      </c>
      <c r="M410" s="65" t="str">
        <f t="shared" ca="1" si="32"/>
        <v>UYGUN</v>
      </c>
      <c r="N410" s="74" t="str">
        <f>IF($C410="","",IF($C410="TANIMSIZ MÜŞTERİ","—",INDEX(MUSTERILER!$C$7:$C$156,MATCH($C410,MUSTERILER!$B$7:$B$156,0))))</f>
        <v>PALAOĞULLARI LTD.ŞTİ.</v>
      </c>
      <c r="O410" s="2"/>
      <c r="P410" s="2"/>
      <c r="Q410" s="1" t="str">
        <f>IF($D410="","",$C410&amp;"|"&amp;COUNTIFS($C$7:$C410,$C410))</f>
        <v>M047|16</v>
      </c>
      <c r="R410" s="1" t="str">
        <f t="shared" si="33"/>
        <v>PALAOGULLARILTDSTI</v>
      </c>
      <c r="S410" s="1" t="str">
        <f t="shared" si="34"/>
        <v>M047|46194|5000|</v>
      </c>
      <c r="T410" s="1">
        <f>IF($E410="",0,SUMPRODUCT((AY_SONU!$O$7:$O$42="Evet")*(AY_SONU!$B$7:$B$42=DATE(YEAR($E410),MONTH($E410),1))))</f>
        <v>0</v>
      </c>
      <c r="U410" s="1" t="str">
        <f>IF(OR($G410="",$H410="Mahsup"),"",$G410&amp;"|"&amp;COUNTIFS($G$7:$G410,$G410,$H$7:$H410,"&lt;&gt;Mahsup"))</f>
        <v>MERKEZ KASA|322</v>
      </c>
    </row>
    <row r="411" spans="1:21" ht="18" customHeight="1" x14ac:dyDescent="0.3">
      <c r="A411" s="2"/>
      <c r="B411" s="65" t="str">
        <f t="shared" si="30"/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M054</v>
      </c>
      <c r="D411" s="61" t="s">
        <v>674</v>
      </c>
      <c r="E411" s="66">
        <v>46194</v>
      </c>
      <c r="F411" s="67">
        <v>4000</v>
      </c>
      <c r="G411" s="60" t="s">
        <v>717</v>
      </c>
      <c r="H411" s="60" t="s">
        <v>572</v>
      </c>
      <c r="I411" s="61"/>
      <c r="J411" s="61" t="s">
        <v>720</v>
      </c>
      <c r="K411" s="61"/>
      <c r="L411" s="73">
        <f t="shared" si="31"/>
        <v>46174</v>
      </c>
      <c r="M411" s="65" t="str">
        <f t="shared" ca="1" si="32"/>
        <v>UYGUN</v>
      </c>
      <c r="N411" s="74" t="str">
        <f>IF($C411="","",IF($C411="TANIMSIZ MÜŞTERİ","—",INDEX(MUSTERILER!$C$7:$C$156,MATCH($C411,MUSTERILER!$B$7:$B$156,0))))</f>
        <v>YALIKENT LTD.ŞTİ.</v>
      </c>
      <c r="O411" s="2"/>
      <c r="P411" s="2"/>
      <c r="Q411" s="1" t="str">
        <f>IF($D411="","",$C411&amp;"|"&amp;COUNTIFS($C$7:$C411,$C411))</f>
        <v>M054|13</v>
      </c>
      <c r="R411" s="1" t="str">
        <f t="shared" si="33"/>
        <v>YALIKENTLTDSTI</v>
      </c>
      <c r="S411" s="1" t="str">
        <f t="shared" si="34"/>
        <v>M054|46194|4000|</v>
      </c>
      <c r="T411" s="1">
        <f>IF($E411="",0,SUMPRODUCT((AY_SONU!$O$7:$O$42="Evet")*(AY_SONU!$B$7:$B$42=DATE(YEAR($E411),MONTH($E411),1))))</f>
        <v>0</v>
      </c>
      <c r="U411" s="1" t="str">
        <f>IF(OR($G411="",$H411="Mahsup"),"",$G411&amp;"|"&amp;COUNTIFS($G$7:$G411,$G411,$H$7:$H411,"&lt;&gt;Mahsup"))</f>
        <v>MERKEZ KASA|323</v>
      </c>
    </row>
    <row r="412" spans="1:21" ht="18" customHeight="1" x14ac:dyDescent="0.3">
      <c r="A412" s="2"/>
      <c r="B412" s="65" t="str">
        <f t="shared" si="30"/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M037</v>
      </c>
      <c r="D412" s="61" t="s">
        <v>625</v>
      </c>
      <c r="E412" s="66">
        <v>46195</v>
      </c>
      <c r="F412" s="67">
        <v>2000</v>
      </c>
      <c r="G412" s="60" t="s">
        <v>717</v>
      </c>
      <c r="H412" s="60" t="s">
        <v>572</v>
      </c>
      <c r="I412" s="61"/>
      <c r="J412" s="61" t="s">
        <v>720</v>
      </c>
      <c r="K412" s="61"/>
      <c r="L412" s="73">
        <f t="shared" si="31"/>
        <v>46174</v>
      </c>
      <c r="M412" s="65" t="str">
        <f t="shared" ca="1" si="32"/>
        <v>UYGUN</v>
      </c>
      <c r="N412" s="74" t="str">
        <f>IF($C412="","",IF($C412="TANIMSIZ MÜŞTERİ","—",INDEX(MUSTERILER!$C$7:$C$156,MATCH($C412,MUSTERILER!$B$7:$B$156,0))))</f>
        <v>MEHMET EVREN KILINÇ</v>
      </c>
      <c r="O412" s="2"/>
      <c r="P412" s="2"/>
      <c r="Q412" s="1" t="str">
        <f>IF($D412="","",$C412&amp;"|"&amp;COUNTIFS($C$7:$C412,$C412))</f>
        <v>M037|5</v>
      </c>
      <c r="R412" s="1" t="str">
        <f t="shared" si="33"/>
        <v>MEHMETEVRENKILINC</v>
      </c>
      <c r="S412" s="1" t="str">
        <f t="shared" si="34"/>
        <v>M037|46195|2000|</v>
      </c>
      <c r="T412" s="1">
        <f>IF($E412="",0,SUMPRODUCT((AY_SONU!$O$7:$O$42="Evet")*(AY_SONU!$B$7:$B$42=DATE(YEAR($E412),MONTH($E412),1))))</f>
        <v>0</v>
      </c>
      <c r="U412" s="1" t="str">
        <f>IF(OR($G412="",$H412="Mahsup"),"",$G412&amp;"|"&amp;COUNTIFS($G$7:$G412,$G412,$H$7:$H412,"&lt;&gt;Mahsup"))</f>
        <v>MERKEZ KASA|324</v>
      </c>
    </row>
    <row r="413" spans="1:21" ht="18" customHeight="1" x14ac:dyDescent="0.3">
      <c r="A413" s="2"/>
      <c r="B413" s="65" t="str">
        <f t="shared" si="30"/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M030</v>
      </c>
      <c r="D413" s="61" t="s">
        <v>603</v>
      </c>
      <c r="E413" s="66">
        <v>46196</v>
      </c>
      <c r="F413" s="67">
        <v>2000</v>
      </c>
      <c r="G413" s="60" t="s">
        <v>717</v>
      </c>
      <c r="H413" s="60" t="s">
        <v>572</v>
      </c>
      <c r="I413" s="61"/>
      <c r="J413" s="61" t="s">
        <v>720</v>
      </c>
      <c r="K413" s="61"/>
      <c r="L413" s="73">
        <f t="shared" si="31"/>
        <v>46174</v>
      </c>
      <c r="M413" s="65" t="str">
        <f t="shared" ca="1" si="32"/>
        <v>UYGUN</v>
      </c>
      <c r="N413" s="74" t="str">
        <f>IF($C413="","",IF($C413="TANIMSIZ MÜŞTERİ","—",INDEX(MUSTERILER!$C$7:$C$156,MATCH($C413,MUSTERILER!$B$7:$B$156,0))))</f>
        <v>FARUK DEMİRCİ</v>
      </c>
      <c r="O413" s="2"/>
      <c r="P413" s="2"/>
      <c r="Q413" s="1" t="str">
        <f>IF($D413="","",$C413&amp;"|"&amp;COUNTIFS($C$7:$C413,$C413))</f>
        <v>M030|3</v>
      </c>
      <c r="R413" s="1" t="str">
        <f t="shared" si="33"/>
        <v>FARUKDEMIRCI</v>
      </c>
      <c r="S413" s="1" t="str">
        <f t="shared" si="34"/>
        <v>M030|46196|2000|</v>
      </c>
      <c r="T413" s="1">
        <f>IF($E413="",0,SUMPRODUCT((AY_SONU!$O$7:$O$42="Evet")*(AY_SONU!$B$7:$B$42=DATE(YEAR($E413),MONTH($E413),1))))</f>
        <v>0</v>
      </c>
      <c r="U413" s="1" t="str">
        <f>IF(OR($G413="",$H413="Mahsup"),"",$G413&amp;"|"&amp;COUNTIFS($G$7:$G413,$G413,$H$7:$H413,"&lt;&gt;Mahsup"))</f>
        <v>MERKEZ KASA|325</v>
      </c>
    </row>
    <row r="414" spans="1:21" ht="18" customHeight="1" x14ac:dyDescent="0.3">
      <c r="A414" s="2"/>
      <c r="B414" s="65" t="str">
        <f t="shared" si="30"/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M047</v>
      </c>
      <c r="D414" s="61" t="s">
        <v>654</v>
      </c>
      <c r="E414" s="66">
        <v>46196</v>
      </c>
      <c r="F414" s="67">
        <v>23600</v>
      </c>
      <c r="G414" s="60" t="s">
        <v>717</v>
      </c>
      <c r="H414" s="60" t="s">
        <v>572</v>
      </c>
      <c r="I414" s="61"/>
      <c r="J414" s="61" t="s">
        <v>741</v>
      </c>
      <c r="K414" s="61"/>
      <c r="L414" s="73">
        <f t="shared" si="31"/>
        <v>46174</v>
      </c>
      <c r="M414" s="65" t="str">
        <f t="shared" ca="1" si="32"/>
        <v>UYGUN</v>
      </c>
      <c r="N414" s="74" t="str">
        <f>IF($C414="","",IF($C414="TANIMSIZ MÜŞTERİ","—",INDEX(MUSTERILER!$C$7:$C$156,MATCH($C414,MUSTERILER!$B$7:$B$156,0))))</f>
        <v>PALAOĞULLARI LTD.ŞTİ.</v>
      </c>
      <c r="O414" s="2"/>
      <c r="P414" s="2"/>
      <c r="Q414" s="1" t="str">
        <f>IF($D414="","",$C414&amp;"|"&amp;COUNTIFS($C$7:$C414,$C414))</f>
        <v>M047|17</v>
      </c>
      <c r="R414" s="1" t="str">
        <f t="shared" si="33"/>
        <v>PALAOGULLARILTDSTI</v>
      </c>
      <c r="S414" s="1" t="str">
        <f t="shared" si="34"/>
        <v>M047|46196|23600|</v>
      </c>
      <c r="T414" s="1">
        <f>IF($E414="",0,SUMPRODUCT((AY_SONU!$O$7:$O$42="Evet")*(AY_SONU!$B$7:$B$42=DATE(YEAR($E414),MONTH($E414),1))))</f>
        <v>0</v>
      </c>
      <c r="U414" s="1" t="str">
        <f>IF(OR($G414="",$H414="Mahsup"),"",$G414&amp;"|"&amp;COUNTIFS($G$7:$G414,$G414,$H$7:$H414,"&lt;&gt;Mahsup"))</f>
        <v>MERKEZ KASA|326</v>
      </c>
    </row>
    <row r="415" spans="1:21" ht="18" customHeight="1" x14ac:dyDescent="0.3">
      <c r="A415" s="2"/>
      <c r="B415" s="65" t="str">
        <f t="shared" si="30"/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M041</v>
      </c>
      <c r="D415" s="61" t="s">
        <v>633</v>
      </c>
      <c r="E415" s="66">
        <v>46198</v>
      </c>
      <c r="F415" s="67">
        <v>5000</v>
      </c>
      <c r="G415" s="60" t="s">
        <v>717</v>
      </c>
      <c r="H415" s="60" t="s">
        <v>572</v>
      </c>
      <c r="I415" s="61"/>
      <c r="J415" s="61" t="s">
        <v>720</v>
      </c>
      <c r="K415" s="61"/>
      <c r="L415" s="73">
        <f t="shared" si="31"/>
        <v>46174</v>
      </c>
      <c r="M415" s="65" t="str">
        <f t="shared" ca="1" si="32"/>
        <v>UYGUN</v>
      </c>
      <c r="N415" s="74" t="str">
        <f>IF($C415="","",IF($C415="TANIMSIZ MÜŞTERİ","—",INDEX(MUSTERILER!$C$7:$C$156,MATCH($C415,MUSTERILER!$B$7:$B$156,0))))</f>
        <v>MESUT KÖKLÜ</v>
      </c>
      <c r="O415" s="2"/>
      <c r="P415" s="2"/>
      <c r="Q415" s="1" t="str">
        <f>IF($D415="","",$C415&amp;"|"&amp;COUNTIFS($C$7:$C415,$C415))</f>
        <v>M041|1</v>
      </c>
      <c r="R415" s="1" t="str">
        <f t="shared" si="33"/>
        <v>MESUTKOKLU</v>
      </c>
      <c r="S415" s="1" t="str">
        <f t="shared" si="34"/>
        <v>M041|46198|5000|</v>
      </c>
      <c r="T415" s="1">
        <f>IF($E415="",0,SUMPRODUCT((AY_SONU!$O$7:$O$42="Evet")*(AY_SONU!$B$7:$B$42=DATE(YEAR($E415),MONTH($E415),1))))</f>
        <v>0</v>
      </c>
      <c r="U415" s="1" t="str">
        <f>IF(OR($G415="",$H415="Mahsup"),"",$G415&amp;"|"&amp;COUNTIFS($G$7:$G415,$G415,$H$7:$H415,"&lt;&gt;Mahsup"))</f>
        <v>MERKEZ KASA|327</v>
      </c>
    </row>
    <row r="416" spans="1:21" ht="18" customHeight="1" x14ac:dyDescent="0.3">
      <c r="A416" s="2"/>
      <c r="B416" s="65" t="str">
        <f t="shared" si="30"/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M001</v>
      </c>
      <c r="D416" s="61" t="s">
        <v>729</v>
      </c>
      <c r="E416" s="66">
        <v>46200</v>
      </c>
      <c r="F416" s="67">
        <v>4000</v>
      </c>
      <c r="G416" s="60" t="s">
        <v>717</v>
      </c>
      <c r="H416" s="60" t="s">
        <v>572</v>
      </c>
      <c r="I416" s="61"/>
      <c r="J416" s="61" t="s">
        <v>720</v>
      </c>
      <c r="K416" s="61"/>
      <c r="L416" s="73">
        <f t="shared" si="31"/>
        <v>46174</v>
      </c>
      <c r="M416" s="65" t="str">
        <f t="shared" ca="1" si="32"/>
        <v>UYGUN</v>
      </c>
      <c r="N416" s="74" t="str">
        <f>IF($C416="","",IF($C416="TANIMSIZ MÜŞTERİ","—",INDEX(MUSTERILER!$C$7:$C$156,MATCH($C416,MUSTERILER!$B$7:$B$156,0))))</f>
        <v>ANKARA HAVANA LTD.ŞTİ.</v>
      </c>
      <c r="O416" s="2"/>
      <c r="P416" s="2"/>
      <c r="Q416" s="1" t="str">
        <f>IF($D416="","",$C416&amp;"|"&amp;COUNTIFS($C$7:$C416,$C416))</f>
        <v>M001|12</v>
      </c>
      <c r="R416" s="1" t="str">
        <f t="shared" si="33"/>
        <v>ANKARAHAVANALTDSTI</v>
      </c>
      <c r="S416" s="1" t="str">
        <f t="shared" si="34"/>
        <v>M001|46200|4000|</v>
      </c>
      <c r="T416" s="1">
        <f>IF($E416="",0,SUMPRODUCT((AY_SONU!$O$7:$O$42="Evet")*(AY_SONU!$B$7:$B$42=DATE(YEAR($E416),MONTH($E416),1))))</f>
        <v>0</v>
      </c>
      <c r="U416" s="1" t="str">
        <f>IF(OR($G416="",$H416="Mahsup"),"",$G416&amp;"|"&amp;COUNTIFS($G$7:$G416,$G416,$H$7:$H416,"&lt;&gt;Mahsup"))</f>
        <v>MERKEZ KASA|328</v>
      </c>
    </row>
    <row r="417" spans="1:21" ht="18" customHeight="1" x14ac:dyDescent="0.3">
      <c r="A417" s="2"/>
      <c r="B417" s="65" t="str">
        <f t="shared" si="30"/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M025</v>
      </c>
      <c r="D417" s="61" t="s">
        <v>583</v>
      </c>
      <c r="E417" s="66">
        <v>46200</v>
      </c>
      <c r="F417" s="67">
        <v>2000</v>
      </c>
      <c r="G417" s="60" t="s">
        <v>717</v>
      </c>
      <c r="H417" s="60" t="s">
        <v>572</v>
      </c>
      <c r="I417" s="61"/>
      <c r="J417" s="61" t="s">
        <v>720</v>
      </c>
      <c r="K417" s="61"/>
      <c r="L417" s="73">
        <f t="shared" si="31"/>
        <v>46174</v>
      </c>
      <c r="M417" s="65" t="str">
        <f t="shared" ca="1" si="32"/>
        <v>UYGUN</v>
      </c>
      <c r="N417" s="74" t="str">
        <f>IF($C417="","",IF($C417="TANIMSIZ MÜŞTERİ","—",INDEX(MUSTERILER!$C$7:$C$156,MATCH($C417,MUSTERILER!$B$7:$B$156,0))))</f>
        <v>ASIM AÇIKGÖZ</v>
      </c>
      <c r="O417" s="2"/>
      <c r="P417" s="2"/>
      <c r="Q417" s="1" t="str">
        <f>IF($D417="","",$C417&amp;"|"&amp;COUNTIFS($C$7:$C417,$C417))</f>
        <v>M025|21</v>
      </c>
      <c r="R417" s="1" t="str">
        <f t="shared" si="33"/>
        <v>ASIMACIKGOZ</v>
      </c>
      <c r="S417" s="1" t="str">
        <f t="shared" si="34"/>
        <v>M025|46200|2000|</v>
      </c>
      <c r="T417" s="1">
        <f>IF($E417="",0,SUMPRODUCT((AY_SONU!$O$7:$O$42="Evet")*(AY_SONU!$B$7:$B$42=DATE(YEAR($E417),MONTH($E417),1))))</f>
        <v>0</v>
      </c>
      <c r="U417" s="1" t="str">
        <f>IF(OR($G417="",$H417="Mahsup"),"",$G417&amp;"|"&amp;COUNTIFS($G$7:$G417,$G417,$H$7:$H417,"&lt;&gt;Mahsup"))</f>
        <v>MERKEZ KASA|329</v>
      </c>
    </row>
    <row r="418" spans="1:21" ht="18" customHeight="1" x14ac:dyDescent="0.3">
      <c r="A418" s="2"/>
      <c r="B418" s="65" t="str">
        <f t="shared" si="30"/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M007</v>
      </c>
      <c r="D418" s="61" t="s">
        <v>733</v>
      </c>
      <c r="E418" s="66">
        <v>46200</v>
      </c>
      <c r="F418" s="67">
        <v>3500</v>
      </c>
      <c r="G418" s="60" t="s">
        <v>723</v>
      </c>
      <c r="H418" s="60" t="s">
        <v>572</v>
      </c>
      <c r="I418" s="61"/>
      <c r="J418" s="61" t="s">
        <v>724</v>
      </c>
      <c r="K418" s="61"/>
      <c r="L418" s="73">
        <f t="shared" si="31"/>
        <v>46174</v>
      </c>
      <c r="M418" s="65" t="str">
        <f t="shared" ca="1" si="32"/>
        <v>UYGUN</v>
      </c>
      <c r="N418" s="74" t="str">
        <f>IF($C418="","",IF($C418="TANIMSIZ MÜŞTERİ","—",INDEX(MUSTERILER!$C$7:$C$156,MATCH($C418,MUSTERILER!$B$7:$B$156,0))))</f>
        <v>MONAMOUR LTD.ŞTİ.</v>
      </c>
      <c r="O418" s="2"/>
      <c r="P418" s="2"/>
      <c r="Q418" s="1" t="str">
        <f>IF($D418="","",$C418&amp;"|"&amp;COUNTIFS($C$7:$C418,$C418))</f>
        <v>M007|19</v>
      </c>
      <c r="R418" s="1" t="str">
        <f t="shared" si="33"/>
        <v>MONAMOURLTDSTI</v>
      </c>
      <c r="S418" s="1" t="str">
        <f t="shared" si="34"/>
        <v>M007|46200|3500|</v>
      </c>
      <c r="T418" s="1">
        <f>IF($E418="",0,SUMPRODUCT((AY_SONU!$O$7:$O$42="Evet")*(AY_SONU!$B$7:$B$42=DATE(YEAR($E418),MONTH($E418),1))))</f>
        <v>0</v>
      </c>
      <c r="U418" s="1" t="str">
        <f>IF(OR($G418="",$H418="Mahsup"),"",$G418&amp;"|"&amp;COUNTIFS($G$7:$G418,$G418,$H$7:$H418,"&lt;&gt;Mahsup"))</f>
        <v>ÖMER KARTAL|83</v>
      </c>
    </row>
    <row r="419" spans="1:21" ht="18" customHeight="1" x14ac:dyDescent="0.3">
      <c r="A419" s="2"/>
      <c r="B419" s="65" t="str">
        <f t="shared" si="30"/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M017</v>
      </c>
      <c r="D419" s="61" t="s">
        <v>585</v>
      </c>
      <c r="E419" s="66">
        <v>46200</v>
      </c>
      <c r="F419" s="67">
        <v>2500</v>
      </c>
      <c r="G419" s="60" t="s">
        <v>717</v>
      </c>
      <c r="H419" s="60" t="s">
        <v>572</v>
      </c>
      <c r="I419" s="61"/>
      <c r="J419" s="61" t="s">
        <v>720</v>
      </c>
      <c r="K419" s="61"/>
      <c r="L419" s="73">
        <f t="shared" si="31"/>
        <v>46174</v>
      </c>
      <c r="M419" s="65" t="str">
        <f t="shared" ca="1" si="32"/>
        <v>UYGUN</v>
      </c>
      <c r="N419" s="74" t="str">
        <f>IF($C419="","",IF($C419="TANIMSIZ MÜŞTERİ","—",INDEX(MUSTERILER!$C$7:$C$156,MATCH($C419,MUSTERILER!$B$7:$B$156,0))))</f>
        <v>ASM EĞLENCE LTD.ŞTİ.</v>
      </c>
      <c r="O419" s="2"/>
      <c r="P419" s="2"/>
      <c r="Q419" s="1" t="str">
        <f>IF($D419="","",$C419&amp;"|"&amp;COUNTIFS($C$7:$C419,$C419))</f>
        <v>M017|22</v>
      </c>
      <c r="R419" s="1" t="str">
        <f t="shared" si="33"/>
        <v>ASMEGLENCELTDSTI</v>
      </c>
      <c r="S419" s="1" t="str">
        <f t="shared" si="34"/>
        <v>M017|46200|2500|</v>
      </c>
      <c r="T419" s="1">
        <f>IF($E419="",0,SUMPRODUCT((AY_SONU!$O$7:$O$42="Evet")*(AY_SONU!$B$7:$B$42=DATE(YEAR($E419),MONTH($E419),1))))</f>
        <v>0</v>
      </c>
      <c r="U419" s="1" t="str">
        <f>IF(OR($G419="",$H419="Mahsup"),"",$G419&amp;"|"&amp;COUNTIFS($G$7:$G419,$G419,$H$7:$H419,"&lt;&gt;Mahsup"))</f>
        <v>MERKEZ KASA|330</v>
      </c>
    </row>
    <row r="420" spans="1:21" ht="18" customHeight="1" x14ac:dyDescent="0.3">
      <c r="A420" s="2"/>
      <c r="B420" s="65" t="str">
        <f t="shared" si="30"/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M015</v>
      </c>
      <c r="D420" s="61" t="s">
        <v>719</v>
      </c>
      <c r="E420" s="66">
        <v>46200</v>
      </c>
      <c r="F420" s="67">
        <v>3000</v>
      </c>
      <c r="G420" s="60" t="s">
        <v>717</v>
      </c>
      <c r="H420" s="60" t="s">
        <v>572</v>
      </c>
      <c r="I420" s="61"/>
      <c r="J420" s="61" t="s">
        <v>720</v>
      </c>
      <c r="K420" s="61"/>
      <c r="L420" s="73">
        <f t="shared" si="31"/>
        <v>46174</v>
      </c>
      <c r="M420" s="65" t="str">
        <f t="shared" ca="1" si="32"/>
        <v>UYGUN</v>
      </c>
      <c r="N420" s="74" t="str">
        <f>IF($C420="","",IF($C420="TANIMSIZ MÜŞTERİ","—",INDEX(MUSTERILER!$C$7:$C$156,MATCH($C420,MUSTERILER!$B$7:$B$156,0))))</f>
        <v>ÇAYIRALAN LTD.ŞTİ.</v>
      </c>
      <c r="O420" s="2"/>
      <c r="P420" s="2"/>
      <c r="Q420" s="1" t="str">
        <f>IF($D420="","",$C420&amp;"|"&amp;COUNTIFS($C$7:$C420,$C420))</f>
        <v>M015|23</v>
      </c>
      <c r="R420" s="1" t="str">
        <f t="shared" si="33"/>
        <v>CAYIRALANLTDSTI</v>
      </c>
      <c r="S420" s="1" t="str">
        <f t="shared" si="34"/>
        <v>M015|46200|3000|</v>
      </c>
      <c r="T420" s="1">
        <f>IF($E420="",0,SUMPRODUCT((AY_SONU!$O$7:$O$42="Evet")*(AY_SONU!$B$7:$B$42=DATE(YEAR($E420),MONTH($E420),1))))</f>
        <v>0</v>
      </c>
      <c r="U420" s="1" t="str">
        <f>IF(OR($G420="",$H420="Mahsup"),"",$G420&amp;"|"&amp;COUNTIFS($G$7:$G420,$G420,$H$7:$H420,"&lt;&gt;Mahsup"))</f>
        <v>MERKEZ KASA|331</v>
      </c>
    </row>
    <row r="421" spans="1:21" ht="18" customHeight="1" x14ac:dyDescent="0.3">
      <c r="A421" s="2"/>
      <c r="B421" s="65" t="str">
        <f t="shared" si="30"/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M011</v>
      </c>
      <c r="D421" s="61" t="s">
        <v>730</v>
      </c>
      <c r="E421" s="66">
        <v>46200</v>
      </c>
      <c r="F421" s="67">
        <v>4000</v>
      </c>
      <c r="G421" s="60" t="s">
        <v>717</v>
      </c>
      <c r="H421" s="60" t="s">
        <v>572</v>
      </c>
      <c r="I421" s="61"/>
      <c r="J421" s="61" t="s">
        <v>720</v>
      </c>
      <c r="K421" s="61"/>
      <c r="L421" s="73">
        <f t="shared" si="31"/>
        <v>46174</v>
      </c>
      <c r="M421" s="65" t="str">
        <f t="shared" ca="1" si="32"/>
        <v>UYGUN</v>
      </c>
      <c r="N421" s="74" t="str">
        <f>IF($C421="","",IF($C421="TANIMSIZ MÜŞTERİ","—",INDEX(MUSTERILER!$C$7:$C$156,MATCH($C421,MUSTERILER!$B$7:$B$156,0))))</f>
        <v>EĞLENGÖR LTD.ŞTİ.</v>
      </c>
      <c r="O421" s="2"/>
      <c r="P421" s="2"/>
      <c r="Q421" s="1" t="str">
        <f>IF($D421="","",$C421&amp;"|"&amp;COUNTIFS($C$7:$C421,$C421))</f>
        <v>M011|24</v>
      </c>
      <c r="R421" s="1" t="str">
        <f t="shared" si="33"/>
        <v>EGLENGORLTDSTI</v>
      </c>
      <c r="S421" s="1" t="str">
        <f t="shared" si="34"/>
        <v>M011|46200|4000|</v>
      </c>
      <c r="T421" s="1">
        <f>IF($E421="",0,SUMPRODUCT((AY_SONU!$O$7:$O$42="Evet")*(AY_SONU!$B$7:$B$42=DATE(YEAR($E421),MONTH($E421),1))))</f>
        <v>0</v>
      </c>
      <c r="U421" s="1" t="str">
        <f>IF(OR($G421="",$H421="Mahsup"),"",$G421&amp;"|"&amp;COUNTIFS($G$7:$G421,$G421,$H$7:$H421,"&lt;&gt;Mahsup"))</f>
        <v>MERKEZ KASA|332</v>
      </c>
    </row>
    <row r="422" spans="1:21" ht="18" customHeight="1" x14ac:dyDescent="0.3">
      <c r="A422" s="2"/>
      <c r="B422" s="65" t="str">
        <f t="shared" si="30"/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M035</v>
      </c>
      <c r="D422" s="61" t="s">
        <v>615</v>
      </c>
      <c r="E422" s="66">
        <v>46200</v>
      </c>
      <c r="F422" s="67">
        <v>3500</v>
      </c>
      <c r="G422" s="60" t="s">
        <v>723</v>
      </c>
      <c r="H422" s="60" t="s">
        <v>572</v>
      </c>
      <c r="I422" s="61"/>
      <c r="J422" s="61" t="s">
        <v>720</v>
      </c>
      <c r="K422" s="61"/>
      <c r="L422" s="73">
        <f t="shared" si="31"/>
        <v>46174</v>
      </c>
      <c r="M422" s="65" t="str">
        <f t="shared" ca="1" si="32"/>
        <v>UYGUN</v>
      </c>
      <c r="N422" s="74" t="str">
        <f>IF($C422="","",IF($C422="TANIMSIZ MÜŞTERİ","—",INDEX(MUSTERILER!$C$7:$C$156,MATCH($C422,MUSTERILER!$B$7:$B$156,0))))</f>
        <v>İSA DEMİRCİ</v>
      </c>
      <c r="O422" s="2"/>
      <c r="P422" s="2"/>
      <c r="Q422" s="1" t="str">
        <f>IF($D422="","",$C422&amp;"|"&amp;COUNTIFS($C$7:$C422,$C422))</f>
        <v>M035|6</v>
      </c>
      <c r="R422" s="1" t="str">
        <f t="shared" si="33"/>
        <v>ISADEMIRCI</v>
      </c>
      <c r="S422" s="1" t="str">
        <f t="shared" si="34"/>
        <v>M035|46200|3500|</v>
      </c>
      <c r="T422" s="1">
        <f>IF($E422="",0,SUMPRODUCT((AY_SONU!$O$7:$O$42="Evet")*(AY_SONU!$B$7:$B$42=DATE(YEAR($E422),MONTH($E422),1))))</f>
        <v>0</v>
      </c>
      <c r="U422" s="1" t="str">
        <f>IF(OR($G422="",$H422="Mahsup"),"",$G422&amp;"|"&amp;COUNTIFS($G$7:$G422,$G422,$H$7:$H422,"&lt;&gt;Mahsup"))</f>
        <v>ÖMER KARTAL|84</v>
      </c>
    </row>
    <row r="423" spans="1:21" ht="18" customHeight="1" x14ac:dyDescent="0.3">
      <c r="A423" s="2"/>
      <c r="B423" s="65" t="str">
        <f t="shared" si="30"/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M014</v>
      </c>
      <c r="D423" s="61" t="s">
        <v>731</v>
      </c>
      <c r="E423" s="66">
        <v>46200</v>
      </c>
      <c r="F423" s="67">
        <v>4000</v>
      </c>
      <c r="G423" s="60" t="s">
        <v>717</v>
      </c>
      <c r="H423" s="60" t="s">
        <v>572</v>
      </c>
      <c r="I423" s="61"/>
      <c r="J423" s="61" t="s">
        <v>720</v>
      </c>
      <c r="K423" s="61"/>
      <c r="L423" s="73">
        <f t="shared" si="31"/>
        <v>46174</v>
      </c>
      <c r="M423" s="65" t="str">
        <f t="shared" ca="1" si="32"/>
        <v>UYGUN</v>
      </c>
      <c r="N423" s="74" t="str">
        <f>IF($C423="","",IF($C423="TANIMSIZ MÜŞTERİ","—",INDEX(MUSTERILER!$C$7:$C$156,MATCH($C423,MUSTERILER!$B$7:$B$156,0))))</f>
        <v>FİNAL SİYAH BEYAZ LTD.ŞTİ.</v>
      </c>
      <c r="O423" s="2"/>
      <c r="P423" s="2"/>
      <c r="Q423" s="1" t="str">
        <f>IF($D423="","",$C423&amp;"|"&amp;COUNTIFS($C$7:$C423,$C423))</f>
        <v>M014|23</v>
      </c>
      <c r="R423" s="1" t="str">
        <f t="shared" si="33"/>
        <v>FINALSIYAHBEYAZLTDSTI</v>
      </c>
      <c r="S423" s="1" t="str">
        <f t="shared" si="34"/>
        <v>M014|46200|4000|</v>
      </c>
      <c r="T423" s="1">
        <f>IF($E423="",0,SUMPRODUCT((AY_SONU!$O$7:$O$42="Evet")*(AY_SONU!$B$7:$B$42=DATE(YEAR($E423),MONTH($E423),1))))</f>
        <v>0</v>
      </c>
      <c r="U423" s="1" t="str">
        <f>IF(OR($G423="",$H423="Mahsup"),"",$G423&amp;"|"&amp;COUNTIFS($G$7:$G423,$G423,$H$7:$H423,"&lt;&gt;Mahsup"))</f>
        <v>MERKEZ KASA|333</v>
      </c>
    </row>
    <row r="424" spans="1:21" ht="18" customHeight="1" x14ac:dyDescent="0.3">
      <c r="A424" s="2"/>
      <c r="B424" s="65" t="str">
        <f t="shared" si="30"/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M012</v>
      </c>
      <c r="D424" s="61" t="s">
        <v>721</v>
      </c>
      <c r="E424" s="66">
        <v>46200</v>
      </c>
      <c r="F424" s="67">
        <v>5000</v>
      </c>
      <c r="G424" s="60" t="s">
        <v>717</v>
      </c>
      <c r="H424" s="60" t="s">
        <v>572</v>
      </c>
      <c r="I424" s="61"/>
      <c r="J424" s="61" t="s">
        <v>720</v>
      </c>
      <c r="K424" s="61"/>
      <c r="L424" s="73">
        <f t="shared" si="31"/>
        <v>46174</v>
      </c>
      <c r="M424" s="65" t="str">
        <f t="shared" ca="1" si="32"/>
        <v>UYGUN</v>
      </c>
      <c r="N424" s="74" t="str">
        <f>IF($C424="","",IF($C424="TANIMSIZ MÜŞTERİ","—",INDEX(MUSTERILER!$C$7:$C$156,MATCH($C424,MUSTERILER!$B$7:$B$156,0))))</f>
        <v>İLDEŞ LTD.ŞTİ.</v>
      </c>
      <c r="O424" s="2"/>
      <c r="P424" s="2"/>
      <c r="Q424" s="1" t="str">
        <f>IF($D424="","",$C424&amp;"|"&amp;COUNTIFS($C$7:$C424,$C424))</f>
        <v>M012|25</v>
      </c>
      <c r="R424" s="1" t="str">
        <f t="shared" si="33"/>
        <v>ILDESLTDSTI</v>
      </c>
      <c r="S424" s="1" t="str">
        <f t="shared" si="34"/>
        <v>M012|46200|5000|</v>
      </c>
      <c r="T424" s="1">
        <f>IF($E424="",0,SUMPRODUCT((AY_SONU!$O$7:$O$42="Evet")*(AY_SONU!$B$7:$B$42=DATE(YEAR($E424),MONTH($E424),1))))</f>
        <v>0</v>
      </c>
      <c r="U424" s="1" t="str">
        <f>IF(OR($G424="",$H424="Mahsup"),"",$G424&amp;"|"&amp;COUNTIFS($G$7:$G424,$G424,$H$7:$H424,"&lt;&gt;Mahsup"))</f>
        <v>MERKEZ KASA|334</v>
      </c>
    </row>
    <row r="425" spans="1:21" ht="18" customHeight="1" x14ac:dyDescent="0.3">
      <c r="A425" s="2"/>
      <c r="B425" s="65" t="str">
        <f t="shared" si="30"/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M054</v>
      </c>
      <c r="D425" s="61" t="s">
        <v>674</v>
      </c>
      <c r="E425" s="66">
        <v>46200</v>
      </c>
      <c r="F425" s="67">
        <v>23000</v>
      </c>
      <c r="G425" s="60" t="s">
        <v>723</v>
      </c>
      <c r="H425" s="60" t="s">
        <v>572</v>
      </c>
      <c r="I425" s="61"/>
      <c r="J425" s="61" t="s">
        <v>720</v>
      </c>
      <c r="K425" s="61"/>
      <c r="L425" s="73">
        <f t="shared" si="31"/>
        <v>46174</v>
      </c>
      <c r="M425" s="65" t="str">
        <f t="shared" ca="1" si="32"/>
        <v>UYGUN</v>
      </c>
      <c r="N425" s="74" t="str">
        <f>IF($C425="","",IF($C425="TANIMSIZ MÜŞTERİ","—",INDEX(MUSTERILER!$C$7:$C$156,MATCH($C425,MUSTERILER!$B$7:$B$156,0))))</f>
        <v>YALIKENT LTD.ŞTİ.</v>
      </c>
      <c r="O425" s="2"/>
      <c r="P425" s="2"/>
      <c r="Q425" s="1" t="str">
        <f>IF($D425="","",$C425&amp;"|"&amp;COUNTIFS($C$7:$C425,$C425))</f>
        <v>M054|14</v>
      </c>
      <c r="R425" s="1" t="str">
        <f t="shared" si="33"/>
        <v>YALIKENTLTDSTI</v>
      </c>
      <c r="S425" s="1" t="str">
        <f t="shared" si="34"/>
        <v>M054|46200|23000|</v>
      </c>
      <c r="T425" s="1">
        <f>IF($E425="",0,SUMPRODUCT((AY_SONU!$O$7:$O$42="Evet")*(AY_SONU!$B$7:$B$42=DATE(YEAR($E425),MONTH($E425),1))))</f>
        <v>0</v>
      </c>
      <c r="U425" s="1" t="str">
        <f>IF(OR($G425="",$H425="Mahsup"),"",$G425&amp;"|"&amp;COUNTIFS($G$7:$G425,$G425,$H$7:$H425,"&lt;&gt;Mahsup"))</f>
        <v>ÖMER KARTAL|85</v>
      </c>
    </row>
    <row r="426" spans="1:21" ht="18" customHeight="1" x14ac:dyDescent="0.3">
      <c r="A426" s="2"/>
      <c r="B426" s="65" t="str">
        <f t="shared" si="30"/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M046</v>
      </c>
      <c r="D426" s="61" t="s">
        <v>648</v>
      </c>
      <c r="E426" s="66">
        <v>46200</v>
      </c>
      <c r="F426" s="67">
        <v>3500</v>
      </c>
      <c r="G426" s="60" t="s">
        <v>723</v>
      </c>
      <c r="H426" s="60" t="s">
        <v>572</v>
      </c>
      <c r="I426" s="61"/>
      <c r="J426" s="61" t="s">
        <v>720</v>
      </c>
      <c r="K426" s="61"/>
      <c r="L426" s="73">
        <f t="shared" si="31"/>
        <v>46174</v>
      </c>
      <c r="M426" s="65" t="str">
        <f t="shared" ca="1" si="32"/>
        <v>UYGUN</v>
      </c>
      <c r="N426" s="74" t="str">
        <f>IF($C426="","",IF($C426="TANIMSIZ MÜŞTERİ","—",INDEX(MUSTERILER!$C$7:$C$156,MATCH($C426,MUSTERILER!$B$7:$B$156,0))))</f>
        <v>ÖMER DEMİRCİ</v>
      </c>
      <c r="O426" s="2"/>
      <c r="P426" s="2"/>
      <c r="Q426" s="1" t="str">
        <f>IF($D426="","",$C426&amp;"|"&amp;COUNTIFS($C$7:$C426,$C426))</f>
        <v>M046|1</v>
      </c>
      <c r="R426" s="1" t="str">
        <f t="shared" si="33"/>
        <v>OMERDEMIRCI</v>
      </c>
      <c r="S426" s="1" t="str">
        <f t="shared" si="34"/>
        <v>M046|46200|3500|</v>
      </c>
      <c r="T426" s="1">
        <f>IF($E426="",0,SUMPRODUCT((AY_SONU!$O$7:$O$42="Evet")*(AY_SONU!$B$7:$B$42=DATE(YEAR($E426),MONTH($E426),1))))</f>
        <v>0</v>
      </c>
      <c r="U426" s="1" t="str">
        <f>IF(OR($G426="",$H426="Mahsup"),"",$G426&amp;"|"&amp;COUNTIFS($G$7:$G426,$G426,$H$7:$H426,"&lt;&gt;Mahsup"))</f>
        <v>ÖMER KARTAL|86</v>
      </c>
    </row>
    <row r="427" spans="1:21" ht="18" customHeight="1" x14ac:dyDescent="0.3">
      <c r="A427" s="2"/>
      <c r="B427" s="65" t="str">
        <f t="shared" si="30"/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M013</v>
      </c>
      <c r="D427" s="61" t="s">
        <v>734</v>
      </c>
      <c r="E427" s="66">
        <v>46200</v>
      </c>
      <c r="F427" s="67">
        <v>2000</v>
      </c>
      <c r="G427" s="60" t="s">
        <v>717</v>
      </c>
      <c r="H427" s="60" t="s">
        <v>572</v>
      </c>
      <c r="I427" s="61"/>
      <c r="J427" s="61" t="s">
        <v>720</v>
      </c>
      <c r="K427" s="61"/>
      <c r="L427" s="73">
        <f t="shared" si="31"/>
        <v>46174</v>
      </c>
      <c r="M427" s="65" t="str">
        <f t="shared" ca="1" si="32"/>
        <v>UYGUN</v>
      </c>
      <c r="N427" s="74" t="str">
        <f>IF($C427="","",IF($C427="TANIMSIZ MÜŞTERİ","—",INDEX(MUSTERILER!$C$7:$C$156,MATCH($C427,MUSTERILER!$B$7:$B$156,0))))</f>
        <v>NAZ 1 GIDA LTD.ŞTİ.</v>
      </c>
      <c r="O427" s="2"/>
      <c r="P427" s="2"/>
      <c r="Q427" s="1" t="str">
        <f>IF($D427="","",$C427&amp;"|"&amp;COUNTIFS($C$7:$C427,$C427))</f>
        <v>M013|16</v>
      </c>
      <c r="R427" s="1" t="str">
        <f t="shared" si="33"/>
        <v>NAZ1GIDALTDSTI</v>
      </c>
      <c r="S427" s="1" t="str">
        <f t="shared" si="34"/>
        <v>M013|46200|2000|</v>
      </c>
      <c r="T427" s="1">
        <f>IF($E427="",0,SUMPRODUCT((AY_SONU!$O$7:$O$42="Evet")*(AY_SONU!$B$7:$B$42=DATE(YEAR($E427),MONTH($E427),1))))</f>
        <v>0</v>
      </c>
      <c r="U427" s="1" t="str">
        <f>IF(OR($G427="",$H427="Mahsup"),"",$G427&amp;"|"&amp;COUNTIFS($G$7:$G427,$G427,$H$7:$H427,"&lt;&gt;Mahsup"))</f>
        <v>MERKEZ KASA|335</v>
      </c>
    </row>
    <row r="428" spans="1:21" ht="18" customHeight="1" x14ac:dyDescent="0.3">
      <c r="A428" s="2"/>
      <c r="B428" s="65" t="str">
        <f t="shared" si="30"/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M009</v>
      </c>
      <c r="D428" s="61" t="s">
        <v>735</v>
      </c>
      <c r="E428" s="66">
        <v>46200</v>
      </c>
      <c r="F428" s="67">
        <v>4000</v>
      </c>
      <c r="G428" s="60" t="s">
        <v>717</v>
      </c>
      <c r="H428" s="60" t="s">
        <v>572</v>
      </c>
      <c r="I428" s="61"/>
      <c r="J428" s="61" t="s">
        <v>720</v>
      </c>
      <c r="K428" s="61"/>
      <c r="L428" s="73">
        <f t="shared" si="31"/>
        <v>46174</v>
      </c>
      <c r="M428" s="65" t="str">
        <f t="shared" ca="1" si="32"/>
        <v>UYGUN</v>
      </c>
      <c r="N428" s="74" t="str">
        <f>IF($C428="","",IF($C428="TANIMSIZ MÜŞTERİ","—",INDEX(MUSTERILER!$C$7:$C$156,MATCH($C428,MUSTERILER!$B$7:$B$156,0))))</f>
        <v>PAKYILDIZ LTD.ŞTİ.</v>
      </c>
      <c r="O428" s="2"/>
      <c r="P428" s="2"/>
      <c r="Q428" s="1" t="str">
        <f>IF($D428="","",$C428&amp;"|"&amp;COUNTIFS($C$7:$C428,$C428))</f>
        <v>M009|21</v>
      </c>
      <c r="R428" s="1" t="str">
        <f t="shared" si="33"/>
        <v>PAKYILDIZLTDSTI</v>
      </c>
      <c r="S428" s="1" t="str">
        <f t="shared" si="34"/>
        <v>M009|46200|4000|</v>
      </c>
      <c r="T428" s="1">
        <f>IF($E428="",0,SUMPRODUCT((AY_SONU!$O$7:$O$42="Evet")*(AY_SONU!$B$7:$B$42=DATE(YEAR($E428),MONTH($E428),1))))</f>
        <v>0</v>
      </c>
      <c r="U428" s="1" t="str">
        <f>IF(OR($G428="",$H428="Mahsup"),"",$G428&amp;"|"&amp;COUNTIFS($G$7:$G428,$G428,$H$7:$H428,"&lt;&gt;Mahsup"))</f>
        <v>MERKEZ KASA|336</v>
      </c>
    </row>
    <row r="429" spans="1:21" ht="18" customHeight="1" x14ac:dyDescent="0.3">
      <c r="A429" s="2"/>
      <c r="B429" s="65" t="str">
        <f t="shared" si="30"/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M016</v>
      </c>
      <c r="D429" s="61" t="s">
        <v>736</v>
      </c>
      <c r="E429" s="66">
        <v>46200</v>
      </c>
      <c r="F429" s="67">
        <v>3000</v>
      </c>
      <c r="G429" s="60" t="s">
        <v>717</v>
      </c>
      <c r="H429" s="60" t="s">
        <v>572</v>
      </c>
      <c r="I429" s="61"/>
      <c r="J429" s="61" t="s">
        <v>720</v>
      </c>
      <c r="K429" s="61"/>
      <c r="L429" s="73">
        <f t="shared" si="31"/>
        <v>46174</v>
      </c>
      <c r="M429" s="65" t="str">
        <f t="shared" ca="1" si="32"/>
        <v>UYGUN</v>
      </c>
      <c r="N429" s="74" t="str">
        <f>IF($C429="","",IF($C429="TANIMSIZ MÜŞTERİ","—",INDEX(MUSTERILER!$C$7:$C$156,MATCH($C429,MUSTERILER!$B$7:$B$156,0))))</f>
        <v>RİX ŞOW LTD.ŞTİ.</v>
      </c>
      <c r="O429" s="2"/>
      <c r="P429" s="2"/>
      <c r="Q429" s="1" t="str">
        <f>IF($D429="","",$C429&amp;"|"&amp;COUNTIFS($C$7:$C429,$C429))</f>
        <v>M016|24</v>
      </c>
      <c r="R429" s="1" t="str">
        <f t="shared" si="33"/>
        <v>RIXSOWLTDSTI</v>
      </c>
      <c r="S429" s="1" t="str">
        <f t="shared" si="34"/>
        <v>M016|46200|3000|</v>
      </c>
      <c r="T429" s="1">
        <f>IF($E429="",0,SUMPRODUCT((AY_SONU!$O$7:$O$42="Evet")*(AY_SONU!$B$7:$B$42=DATE(YEAR($E429),MONTH($E429),1))))</f>
        <v>0</v>
      </c>
      <c r="U429" s="1" t="str">
        <f>IF(OR($G429="",$H429="Mahsup"),"",$G429&amp;"|"&amp;COUNTIFS($G$7:$G429,$G429,$H$7:$H429,"&lt;&gt;Mahsup"))</f>
        <v>MERKEZ KASA|337</v>
      </c>
    </row>
    <row r="430" spans="1:21" ht="18" customHeight="1" x14ac:dyDescent="0.3">
      <c r="A430" s="2"/>
      <c r="B430" s="65" t="str">
        <f t="shared" si="30"/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M020</v>
      </c>
      <c r="D430" s="61" t="s">
        <v>623</v>
      </c>
      <c r="E430" s="66">
        <v>46200</v>
      </c>
      <c r="F430" s="67">
        <v>3000</v>
      </c>
      <c r="G430" s="60" t="s">
        <v>717</v>
      </c>
      <c r="H430" s="60" t="s">
        <v>572</v>
      </c>
      <c r="I430" s="61"/>
      <c r="J430" s="61" t="s">
        <v>720</v>
      </c>
      <c r="K430" s="61"/>
      <c r="L430" s="73">
        <f t="shared" si="31"/>
        <v>46174</v>
      </c>
      <c r="M430" s="65" t="str">
        <f t="shared" ca="1" si="32"/>
        <v>UYGUN</v>
      </c>
      <c r="N430" s="74" t="str">
        <f>IF($C430="","",IF($C430="TANIMSIZ MÜŞTERİ","—",INDEX(MUSTERILER!$C$7:$C$156,MATCH($C430,MUSTERILER!$B$7:$B$156,0))))</f>
        <v>KRİSTAL LTD.ŞTİ.</v>
      </c>
      <c r="O430" s="2"/>
      <c r="P430" s="2"/>
      <c r="Q430" s="1" t="str">
        <f>IF($D430="","",$C430&amp;"|"&amp;COUNTIFS($C$7:$C430,$C430))</f>
        <v>M020|25</v>
      </c>
      <c r="R430" s="1" t="str">
        <f t="shared" si="33"/>
        <v>KRISTALLTDSTI</v>
      </c>
      <c r="S430" s="1" t="str">
        <f t="shared" si="34"/>
        <v>M020|46200|3000|</v>
      </c>
      <c r="T430" s="1">
        <f>IF($E430="",0,SUMPRODUCT((AY_SONU!$O$7:$O$42="Evet")*(AY_SONU!$B$7:$B$42=DATE(YEAR($E430),MONTH($E430),1))))</f>
        <v>0</v>
      </c>
      <c r="U430" s="1" t="str">
        <f>IF(OR($G430="",$H430="Mahsup"),"",$G430&amp;"|"&amp;COUNTIFS($G$7:$G430,$G430,$H$7:$H430,"&lt;&gt;Mahsup"))</f>
        <v>MERKEZ KASA|338</v>
      </c>
    </row>
    <row r="431" spans="1:21" ht="18" customHeight="1" x14ac:dyDescent="0.3">
      <c r="A431" s="2"/>
      <c r="B431" s="65" t="str">
        <f t="shared" si="30"/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M054</v>
      </c>
      <c r="D431" s="61" t="s">
        <v>674</v>
      </c>
      <c r="E431" s="66">
        <v>46200</v>
      </c>
      <c r="F431" s="67">
        <v>4000</v>
      </c>
      <c r="G431" s="60" t="s">
        <v>717</v>
      </c>
      <c r="H431" s="60" t="s">
        <v>572</v>
      </c>
      <c r="I431" s="61"/>
      <c r="J431" s="61" t="s">
        <v>720</v>
      </c>
      <c r="K431" s="61"/>
      <c r="L431" s="73">
        <f t="shared" si="31"/>
        <v>46174</v>
      </c>
      <c r="M431" s="65" t="str">
        <f t="shared" ca="1" si="32"/>
        <v>UYGUN</v>
      </c>
      <c r="N431" s="74" t="str">
        <f>IF($C431="","",IF($C431="TANIMSIZ MÜŞTERİ","—",INDEX(MUSTERILER!$C$7:$C$156,MATCH($C431,MUSTERILER!$B$7:$B$156,0))))</f>
        <v>YALIKENT LTD.ŞTİ.</v>
      </c>
      <c r="O431" s="2"/>
      <c r="P431" s="2"/>
      <c r="Q431" s="1" t="str">
        <f>IF($D431="","",$C431&amp;"|"&amp;COUNTIFS($C$7:$C431,$C431))</f>
        <v>M054|15</v>
      </c>
      <c r="R431" s="1" t="str">
        <f t="shared" si="33"/>
        <v>YALIKENTLTDSTI</v>
      </c>
      <c r="S431" s="1" t="str">
        <f t="shared" si="34"/>
        <v>M054|46200|4000|</v>
      </c>
      <c r="T431" s="1">
        <f>IF($E431="",0,SUMPRODUCT((AY_SONU!$O$7:$O$42="Evet")*(AY_SONU!$B$7:$B$42=DATE(YEAR($E431),MONTH($E431),1))))</f>
        <v>0</v>
      </c>
      <c r="U431" s="1" t="str">
        <f>IF(OR($G431="",$H431="Mahsup"),"",$G431&amp;"|"&amp;COUNTIFS($G$7:$G431,$G431,$H$7:$H431,"&lt;&gt;Mahsup"))</f>
        <v>MERKEZ KASA|339</v>
      </c>
    </row>
    <row r="432" spans="1:21" ht="18" customHeight="1" x14ac:dyDescent="0.3">
      <c r="A432" s="2"/>
      <c r="B432" s="65" t="str">
        <f t="shared" si="30"/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M053</v>
      </c>
      <c r="D432" s="61" t="s">
        <v>676</v>
      </c>
      <c r="E432" s="66">
        <v>46203</v>
      </c>
      <c r="F432" s="67">
        <v>6000</v>
      </c>
      <c r="G432" s="60" t="s">
        <v>717</v>
      </c>
      <c r="H432" s="60" t="s">
        <v>572</v>
      </c>
      <c r="I432" s="61"/>
      <c r="J432" s="61" t="s">
        <v>720</v>
      </c>
      <c r="K432" s="61"/>
      <c r="L432" s="73">
        <f t="shared" si="31"/>
        <v>46174</v>
      </c>
      <c r="M432" s="65" t="str">
        <f t="shared" ca="1" si="32"/>
        <v>UYGUN</v>
      </c>
      <c r="N432" s="74" t="str">
        <f>IF($C432="","",IF($C432="TANIMSIZ MÜŞTERİ","—",INDEX(MUSTERILER!$C$7:$C$156,MATCH($C432,MUSTERILER!$B$7:$B$156,0))))</f>
        <v>YEDİYİRMİDÖRT LTD.ŞTİ.</v>
      </c>
      <c r="O432" s="2"/>
      <c r="P432" s="2"/>
      <c r="Q432" s="1" t="str">
        <f>IF($D432="","",$C432&amp;"|"&amp;COUNTIFS($C$7:$C432,$C432))</f>
        <v>M053|4</v>
      </c>
      <c r="R432" s="1" t="str">
        <f t="shared" si="33"/>
        <v>YEDIYIRMIDORTLTDSTI</v>
      </c>
      <c r="S432" s="1" t="str">
        <f t="shared" si="34"/>
        <v>M053|46203|6000|</v>
      </c>
      <c r="T432" s="1">
        <f>IF($E432="",0,SUMPRODUCT((AY_SONU!$O$7:$O$42="Evet")*(AY_SONU!$B$7:$B$42=DATE(YEAR($E432),MONTH($E432),1))))</f>
        <v>0</v>
      </c>
      <c r="U432" s="1" t="str">
        <f>IF(OR($G432="",$H432="Mahsup"),"",$G432&amp;"|"&amp;COUNTIFS($G$7:$G432,$G432,$H$7:$H432,"&lt;&gt;Mahsup"))</f>
        <v>MERKEZ KASA|340</v>
      </c>
    </row>
    <row r="433" spans="1:21" ht="18" customHeight="1" x14ac:dyDescent="0.3">
      <c r="A433" s="2"/>
      <c r="B433" s="65" t="str">
        <f t="shared" si="30"/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M023</v>
      </c>
      <c r="D433" s="61" t="s">
        <v>576</v>
      </c>
      <c r="E433" s="66">
        <v>46204</v>
      </c>
      <c r="F433" s="67">
        <v>12000</v>
      </c>
      <c r="G433" s="60" t="s">
        <v>723</v>
      </c>
      <c r="H433" s="60" t="s">
        <v>572</v>
      </c>
      <c r="I433" s="61"/>
      <c r="J433" s="61" t="s">
        <v>725</v>
      </c>
      <c r="K433" s="61"/>
      <c r="L433" s="73">
        <f t="shared" si="31"/>
        <v>46204</v>
      </c>
      <c r="M433" s="65" t="str">
        <f t="shared" ca="1" si="32"/>
        <v>UYGUN</v>
      </c>
      <c r="N433" s="74" t="str">
        <f>IF($C433="","",IF($C433="TANIMSIZ MÜŞTERİ","—",INDEX(MUSTERILER!$C$7:$C$156,MATCH($C433,MUSTERILER!$B$7:$B$156,0))))</f>
        <v>ALTINEL LTD.ŞTİ.</v>
      </c>
      <c r="O433" s="2"/>
      <c r="P433" s="2"/>
      <c r="Q433" s="1" t="str">
        <f>IF($D433="","",$C433&amp;"|"&amp;COUNTIFS($C$7:$C433,$C433))</f>
        <v>M023|7</v>
      </c>
      <c r="R433" s="1" t="str">
        <f t="shared" si="33"/>
        <v>ALTINELLTDSTI</v>
      </c>
      <c r="S433" s="1" t="str">
        <f t="shared" si="34"/>
        <v>M023|46204|12000|</v>
      </c>
      <c r="T433" s="1">
        <f>IF($E433="",0,SUMPRODUCT((AY_SONU!$O$7:$O$42="Evet")*(AY_SONU!$B$7:$B$42=DATE(YEAR($E433),MONTH($E433),1))))</f>
        <v>0</v>
      </c>
      <c r="U433" s="1" t="str">
        <f>IF(OR($G433="",$H433="Mahsup"),"",$G433&amp;"|"&amp;COUNTIFS($G$7:$G433,$G433,$H$7:$H433,"&lt;&gt;Mahsup"))</f>
        <v>ÖMER KARTAL|87</v>
      </c>
    </row>
    <row r="434" spans="1:21" ht="18" customHeight="1" x14ac:dyDescent="0.3">
      <c r="A434" s="2"/>
      <c r="B434" s="65" t="str">
        <f t="shared" si="30"/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M027</v>
      </c>
      <c r="D434" s="61" t="s">
        <v>591</v>
      </c>
      <c r="E434" s="66">
        <v>46204</v>
      </c>
      <c r="F434" s="67">
        <v>2500</v>
      </c>
      <c r="G434" s="60" t="s">
        <v>717</v>
      </c>
      <c r="H434" s="60" t="s">
        <v>572</v>
      </c>
      <c r="I434" s="61"/>
      <c r="J434" s="61" t="s">
        <v>1305</v>
      </c>
      <c r="K434" s="61"/>
      <c r="L434" s="73">
        <f t="shared" si="31"/>
        <v>46204</v>
      </c>
      <c r="M434" s="65" t="str">
        <f t="shared" ca="1" si="32"/>
        <v>UYGUN</v>
      </c>
      <c r="N434" s="74" t="str">
        <f>IF($C434="","",IF($C434="TANIMSIZ MÜŞTERİ","—",INDEX(MUSTERILER!$C$7:$C$156,MATCH($C434,MUSTERILER!$B$7:$B$156,0))))</f>
        <v>CEREN DEMİRCİ</v>
      </c>
      <c r="O434" s="2"/>
      <c r="P434" s="2"/>
      <c r="Q434" s="1" t="str">
        <f>IF($D434="","",$C434&amp;"|"&amp;COUNTIFS($C$7:$C434,$C434))</f>
        <v>M027|5</v>
      </c>
      <c r="R434" s="1" t="str">
        <f t="shared" si="33"/>
        <v>CERENDEMIRCI</v>
      </c>
      <c r="S434" s="1" t="str">
        <f t="shared" si="34"/>
        <v>M027|46204|2500|</v>
      </c>
      <c r="T434" s="1">
        <f>IF($E434="",0,SUMPRODUCT((AY_SONU!$O$7:$O$42="Evet")*(AY_SONU!$B$7:$B$42=DATE(YEAR($E434),MONTH($E434),1))))</f>
        <v>0</v>
      </c>
      <c r="U434" s="1" t="str">
        <f>IF(OR($G434="",$H434="Mahsup"),"",$G434&amp;"|"&amp;COUNTIFS($G$7:$G434,$G434,$H$7:$H434,"&lt;&gt;Mahsup"))</f>
        <v>MERKEZ KASA|341</v>
      </c>
    </row>
    <row r="435" spans="1:21" ht="18" customHeight="1" x14ac:dyDescent="0.3">
      <c r="A435" s="2"/>
      <c r="B435" s="65" t="str">
        <f t="shared" si="30"/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61" t="s">
        <v>583</v>
      </c>
      <c r="E435" s="66">
        <v>46207</v>
      </c>
      <c r="F435" s="67">
        <v>2000</v>
      </c>
      <c r="G435" s="60" t="s">
        <v>723</v>
      </c>
      <c r="H435" s="60" t="s">
        <v>572</v>
      </c>
      <c r="I435" s="61"/>
      <c r="J435" s="61" t="s">
        <v>720</v>
      </c>
      <c r="K435" s="61"/>
      <c r="L435" s="73">
        <f t="shared" si="31"/>
        <v>46204</v>
      </c>
      <c r="M435" s="65" t="str">
        <f t="shared" ca="1" si="32"/>
        <v>UYGUN</v>
      </c>
      <c r="N435" s="74" t="str">
        <f>IF($C435="","",IF($C435="TANIMSIZ MÜŞTERİ","—",INDEX(MUSTERILER!$C$7:$C$156,MATCH($C435,MUSTERILER!$B$7:$B$156,0))))</f>
        <v>ASIM AÇIKGÖZ</v>
      </c>
      <c r="O435" s="2"/>
      <c r="P435" s="2"/>
      <c r="Q435" s="1" t="str">
        <f>IF($D435="","",$C435&amp;"|"&amp;COUNTIFS($C$7:$C435,$C435))</f>
        <v>M025|22</v>
      </c>
      <c r="R435" s="1" t="str">
        <f t="shared" si="33"/>
        <v>ASIMACIKGOZ</v>
      </c>
      <c r="S435" s="1" t="str">
        <f t="shared" si="34"/>
        <v>M025|46207|2000|</v>
      </c>
      <c r="T435" s="1">
        <f>IF($E435="",0,SUMPRODUCT((AY_SONU!$O$7:$O$42="Evet")*(AY_SONU!$B$7:$B$42=DATE(YEAR($E435),MONTH($E435),1))))</f>
        <v>0</v>
      </c>
      <c r="U435" s="1" t="str">
        <f>IF(OR($G435="",$H435="Mahsup"),"",$G435&amp;"|"&amp;COUNTIFS($G$7:$G435,$G435,$H$7:$H435,"&lt;&gt;Mahsup"))</f>
        <v>ÖMER KARTAL|88</v>
      </c>
    </row>
    <row r="436" spans="1:21" ht="18" customHeight="1" x14ac:dyDescent="0.3">
      <c r="A436" s="2"/>
      <c r="B436" s="65" t="str">
        <f t="shared" si="30"/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M017</v>
      </c>
      <c r="D436" s="61" t="s">
        <v>585</v>
      </c>
      <c r="E436" s="66">
        <v>46207</v>
      </c>
      <c r="F436" s="67">
        <v>2500</v>
      </c>
      <c r="G436" s="60" t="s">
        <v>723</v>
      </c>
      <c r="H436" s="60" t="s">
        <v>572</v>
      </c>
      <c r="I436" s="61"/>
      <c r="J436" s="61" t="s">
        <v>720</v>
      </c>
      <c r="K436" s="61"/>
      <c r="L436" s="73">
        <f t="shared" si="31"/>
        <v>46204</v>
      </c>
      <c r="M436" s="65" t="str">
        <f t="shared" ca="1" si="32"/>
        <v>UYGUN</v>
      </c>
      <c r="N436" s="74" t="str">
        <f>IF($C436="","",IF($C436="TANIMSIZ MÜŞTERİ","—",INDEX(MUSTERILER!$C$7:$C$156,MATCH($C436,MUSTERILER!$B$7:$B$156,0))))</f>
        <v>ASM EĞLENCE LTD.ŞTİ.</v>
      </c>
      <c r="O436" s="2"/>
      <c r="P436" s="2"/>
      <c r="Q436" s="1" t="str">
        <f>IF($D436="","",$C436&amp;"|"&amp;COUNTIFS($C$7:$C436,$C436))</f>
        <v>M017|23</v>
      </c>
      <c r="R436" s="1" t="str">
        <f t="shared" si="33"/>
        <v>ASMEGLENCELTDSTI</v>
      </c>
      <c r="S436" s="1" t="str">
        <f t="shared" si="34"/>
        <v>M017|46207|2500|</v>
      </c>
      <c r="T436" s="1">
        <f>IF($E436="",0,SUMPRODUCT((AY_SONU!$O$7:$O$42="Evet")*(AY_SONU!$B$7:$B$42=DATE(YEAR($E436),MONTH($E436),1))))</f>
        <v>0</v>
      </c>
      <c r="U436" s="1" t="str">
        <f>IF(OR($G436="",$H436="Mahsup"),"",$G436&amp;"|"&amp;COUNTIFS($G$7:$G436,$G436,$H$7:$H436,"&lt;&gt;Mahsup"))</f>
        <v>ÖMER KARTAL|89</v>
      </c>
    </row>
    <row r="437" spans="1:21" ht="18" customHeight="1" x14ac:dyDescent="0.3">
      <c r="A437" s="2"/>
      <c r="B437" s="65" t="str">
        <f t="shared" si="30"/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M015</v>
      </c>
      <c r="D437" s="61" t="s">
        <v>719</v>
      </c>
      <c r="E437" s="66">
        <v>46207</v>
      </c>
      <c r="F437" s="67">
        <v>3000</v>
      </c>
      <c r="G437" s="60" t="s">
        <v>723</v>
      </c>
      <c r="H437" s="60" t="s">
        <v>572</v>
      </c>
      <c r="I437" s="61"/>
      <c r="J437" s="61" t="s">
        <v>724</v>
      </c>
      <c r="K437" s="61"/>
      <c r="L437" s="73">
        <f t="shared" si="31"/>
        <v>46204</v>
      </c>
      <c r="M437" s="65" t="str">
        <f t="shared" ca="1" si="32"/>
        <v>UYGUN</v>
      </c>
      <c r="N437" s="74" t="str">
        <f>IF($C437="","",IF($C437="TANIMSIZ MÜŞTERİ","—",INDEX(MUSTERILER!$C$7:$C$156,MATCH($C437,MUSTERILER!$B$7:$B$156,0))))</f>
        <v>ÇAYIRALAN LTD.ŞTİ.</v>
      </c>
      <c r="O437" s="2"/>
      <c r="P437" s="2"/>
      <c r="Q437" s="1" t="str">
        <f>IF($D437="","",$C437&amp;"|"&amp;COUNTIFS($C$7:$C437,$C437))</f>
        <v>M015|24</v>
      </c>
      <c r="R437" s="1" t="str">
        <f t="shared" si="33"/>
        <v>CAYIRALANLTDSTI</v>
      </c>
      <c r="S437" s="1" t="str">
        <f t="shared" si="34"/>
        <v>M015|46207|3000|</v>
      </c>
      <c r="T437" s="1">
        <f>IF($E437="",0,SUMPRODUCT((AY_SONU!$O$7:$O$42="Evet")*(AY_SONU!$B$7:$B$42=DATE(YEAR($E437),MONTH($E437),1))))</f>
        <v>0</v>
      </c>
      <c r="U437" s="1" t="str">
        <f>IF(OR($G437="",$H437="Mahsup"),"",$G437&amp;"|"&amp;COUNTIFS($G$7:$G437,$G437,$H$7:$H437,"&lt;&gt;Mahsup"))</f>
        <v>ÖMER KARTAL|90</v>
      </c>
    </row>
    <row r="438" spans="1:21" ht="18" customHeight="1" x14ac:dyDescent="0.3">
      <c r="A438" s="2"/>
      <c r="B438" s="65" t="str">
        <f t="shared" si="30"/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M011</v>
      </c>
      <c r="D438" s="61" t="s">
        <v>730</v>
      </c>
      <c r="E438" s="66">
        <v>46207</v>
      </c>
      <c r="F438" s="67">
        <v>4000</v>
      </c>
      <c r="G438" s="60" t="s">
        <v>723</v>
      </c>
      <c r="H438" s="60" t="s">
        <v>572</v>
      </c>
      <c r="I438" s="61"/>
      <c r="J438" s="61" t="s">
        <v>724</v>
      </c>
      <c r="K438" s="61"/>
      <c r="L438" s="73">
        <f t="shared" si="31"/>
        <v>46204</v>
      </c>
      <c r="M438" s="65" t="str">
        <f t="shared" ca="1" si="32"/>
        <v>UYGUN</v>
      </c>
      <c r="N438" s="74" t="str">
        <f>IF($C438="","",IF($C438="TANIMSIZ MÜŞTERİ","—",INDEX(MUSTERILER!$C$7:$C$156,MATCH($C438,MUSTERILER!$B$7:$B$156,0))))</f>
        <v>EĞLENGÖR LTD.ŞTİ.</v>
      </c>
      <c r="O438" s="2"/>
      <c r="P438" s="2"/>
      <c r="Q438" s="1" t="str">
        <f>IF($D438="","",$C438&amp;"|"&amp;COUNTIFS($C$7:$C438,$C438))</f>
        <v>M011|25</v>
      </c>
      <c r="R438" s="1" t="str">
        <f t="shared" si="33"/>
        <v>EGLENGORLTDSTI</v>
      </c>
      <c r="S438" s="1" t="str">
        <f t="shared" si="34"/>
        <v>M011|46207|4000|</v>
      </c>
      <c r="T438" s="1">
        <f>IF($E438="",0,SUMPRODUCT((AY_SONU!$O$7:$O$42="Evet")*(AY_SONU!$B$7:$B$42=DATE(YEAR($E438),MONTH($E438),1))))</f>
        <v>0</v>
      </c>
      <c r="U438" s="1" t="str">
        <f>IF(OR($G438="",$H438="Mahsup"),"",$G438&amp;"|"&amp;COUNTIFS($G$7:$G438,$G438,$H$7:$H438,"&lt;&gt;Mahsup"))</f>
        <v>ÖMER KARTAL|91</v>
      </c>
    </row>
    <row r="439" spans="1:21" ht="18" customHeight="1" x14ac:dyDescent="0.3">
      <c r="A439" s="2"/>
      <c r="B439" s="65" t="str">
        <f t="shared" si="30"/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M014</v>
      </c>
      <c r="D439" s="61" t="s">
        <v>731</v>
      </c>
      <c r="E439" s="66">
        <v>46207</v>
      </c>
      <c r="F439" s="67">
        <v>4000</v>
      </c>
      <c r="G439" s="60" t="s">
        <v>723</v>
      </c>
      <c r="H439" s="60" t="s">
        <v>572</v>
      </c>
      <c r="I439" s="61"/>
      <c r="J439" s="61" t="s">
        <v>724</v>
      </c>
      <c r="K439" s="61"/>
      <c r="L439" s="73">
        <f t="shared" si="31"/>
        <v>46204</v>
      </c>
      <c r="M439" s="65" t="str">
        <f t="shared" ca="1" si="32"/>
        <v>UYGUN</v>
      </c>
      <c r="N439" s="74" t="str">
        <f>IF($C439="","",IF($C439="TANIMSIZ MÜŞTERİ","—",INDEX(MUSTERILER!$C$7:$C$156,MATCH($C439,MUSTERILER!$B$7:$B$156,0))))</f>
        <v>FİNAL SİYAH BEYAZ LTD.ŞTİ.</v>
      </c>
      <c r="O439" s="2"/>
      <c r="P439" s="2"/>
      <c r="Q439" s="1" t="str">
        <f>IF($D439="","",$C439&amp;"|"&amp;COUNTIFS($C$7:$C439,$C439))</f>
        <v>M014|24</v>
      </c>
      <c r="R439" s="1" t="str">
        <f t="shared" si="33"/>
        <v>FINALSIYAHBEYAZLTDSTI</v>
      </c>
      <c r="S439" s="1" t="str">
        <f t="shared" si="34"/>
        <v>M014|46207|4000|</v>
      </c>
      <c r="T439" s="1">
        <f>IF($E439="",0,SUMPRODUCT((AY_SONU!$O$7:$O$42="Evet")*(AY_SONU!$B$7:$B$42=DATE(YEAR($E439),MONTH($E439),1))))</f>
        <v>0</v>
      </c>
      <c r="U439" s="1" t="str">
        <f>IF(OR($G439="",$H439="Mahsup"),"",$G439&amp;"|"&amp;COUNTIFS($G$7:$G439,$G439,$H$7:$H439,"&lt;&gt;Mahsup"))</f>
        <v>ÖMER KARTAL|92</v>
      </c>
    </row>
    <row r="440" spans="1:21" ht="18" customHeight="1" x14ac:dyDescent="0.3">
      <c r="A440" s="2"/>
      <c r="B440" s="65" t="str">
        <f t="shared" si="30"/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61" t="s">
        <v>734</v>
      </c>
      <c r="E440" s="66">
        <v>46207</v>
      </c>
      <c r="F440" s="67">
        <v>2000</v>
      </c>
      <c r="G440" s="60" t="s">
        <v>723</v>
      </c>
      <c r="H440" s="60" t="s">
        <v>572</v>
      </c>
      <c r="I440" s="61"/>
      <c r="J440" s="61" t="s">
        <v>724</v>
      </c>
      <c r="K440" s="61"/>
      <c r="L440" s="73">
        <f t="shared" si="31"/>
        <v>46204</v>
      </c>
      <c r="M440" s="65" t="str">
        <f t="shared" ca="1" si="32"/>
        <v>UYGUN</v>
      </c>
      <c r="N440" s="74" t="str">
        <f>IF($C440="","",IF($C440="TANIMSIZ MÜŞTERİ","—",INDEX(MUSTERILER!$C$7:$C$156,MATCH($C440,MUSTERILER!$B$7:$B$156,0))))</f>
        <v>NAZ 1 GIDA LTD.ŞTİ.</v>
      </c>
      <c r="O440" s="2"/>
      <c r="P440" s="2"/>
      <c r="Q440" s="1" t="str">
        <f>IF($D440="","",$C440&amp;"|"&amp;COUNTIFS($C$7:$C440,$C440))</f>
        <v>M013|17</v>
      </c>
      <c r="R440" s="1" t="str">
        <f t="shared" si="33"/>
        <v>NAZ1GIDALTDSTI</v>
      </c>
      <c r="S440" s="1" t="str">
        <f t="shared" si="34"/>
        <v>M013|46207|2000|</v>
      </c>
      <c r="T440" s="1">
        <f>IF($E440="",0,SUMPRODUCT((AY_SONU!$O$7:$O$42="Evet")*(AY_SONU!$B$7:$B$42=DATE(YEAR($E440),MONTH($E440),1))))</f>
        <v>0</v>
      </c>
      <c r="U440" s="1" t="str">
        <f>IF(OR($G440="",$H440="Mahsup"),"",$G440&amp;"|"&amp;COUNTIFS($G$7:$G440,$G440,$H$7:$H440,"&lt;&gt;Mahsup"))</f>
        <v>ÖMER KARTAL|93</v>
      </c>
    </row>
    <row r="441" spans="1:21" ht="18" customHeight="1" x14ac:dyDescent="0.3">
      <c r="A441" s="2"/>
      <c r="B441" s="65" t="str">
        <f t="shared" si="30"/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61" t="s">
        <v>735</v>
      </c>
      <c r="E441" s="66">
        <v>46207</v>
      </c>
      <c r="F441" s="67">
        <v>4000</v>
      </c>
      <c r="G441" s="60" t="s">
        <v>723</v>
      </c>
      <c r="H441" s="60" t="s">
        <v>572</v>
      </c>
      <c r="I441" s="61"/>
      <c r="J441" s="61" t="s">
        <v>724</v>
      </c>
      <c r="K441" s="61"/>
      <c r="L441" s="73">
        <f t="shared" si="31"/>
        <v>46204</v>
      </c>
      <c r="M441" s="65" t="str">
        <f t="shared" ca="1" si="32"/>
        <v>UYGUN</v>
      </c>
      <c r="N441" s="74" t="str">
        <f>IF($C441="","",IF($C441="TANIMSIZ MÜŞTERİ","—",INDEX(MUSTERILER!$C$7:$C$156,MATCH($C441,MUSTERILER!$B$7:$B$156,0))))</f>
        <v>PAKYILDIZ LTD.ŞTİ.</v>
      </c>
      <c r="O441" s="2"/>
      <c r="P441" s="2"/>
      <c r="Q441" s="1" t="str">
        <f>IF($D441="","",$C441&amp;"|"&amp;COUNTIFS($C$7:$C441,$C441))</f>
        <v>M009|22</v>
      </c>
      <c r="R441" s="1" t="str">
        <f t="shared" si="33"/>
        <v>PAKYILDIZLTDSTI</v>
      </c>
      <c r="S441" s="1" t="str">
        <f t="shared" si="34"/>
        <v>M009|46207|4000|</v>
      </c>
      <c r="T441" s="1">
        <f>IF($E441="",0,SUMPRODUCT((AY_SONU!$O$7:$O$42="Evet")*(AY_SONU!$B$7:$B$42=DATE(YEAR($E441),MONTH($E441),1))))</f>
        <v>0</v>
      </c>
      <c r="U441" s="1" t="str">
        <f>IF(OR($G441="",$H441="Mahsup"),"",$G441&amp;"|"&amp;COUNTIFS($G$7:$G441,$G441,$H$7:$H441,"&lt;&gt;Mahsup"))</f>
        <v>ÖMER KARTAL|94</v>
      </c>
    </row>
    <row r="442" spans="1:21" ht="18" customHeight="1" x14ac:dyDescent="0.3">
      <c r="A442" s="2"/>
      <c r="B442" s="65" t="str">
        <f t="shared" si="30"/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M016</v>
      </c>
      <c r="D442" s="61" t="s">
        <v>736</v>
      </c>
      <c r="E442" s="66">
        <v>46207</v>
      </c>
      <c r="F442" s="67">
        <v>3000</v>
      </c>
      <c r="G442" s="60" t="s">
        <v>723</v>
      </c>
      <c r="H442" s="60" t="s">
        <v>572</v>
      </c>
      <c r="I442" s="61"/>
      <c r="J442" s="61" t="s">
        <v>724</v>
      </c>
      <c r="K442" s="61"/>
      <c r="L442" s="73">
        <f t="shared" si="31"/>
        <v>46204</v>
      </c>
      <c r="M442" s="65" t="str">
        <f t="shared" ca="1" si="32"/>
        <v>UYGUN</v>
      </c>
      <c r="N442" s="74" t="str">
        <f>IF($C442="","",IF($C442="TANIMSIZ MÜŞTERİ","—",INDEX(MUSTERILER!$C$7:$C$156,MATCH($C442,MUSTERILER!$B$7:$B$156,0))))</f>
        <v>RİX ŞOW LTD.ŞTİ.</v>
      </c>
      <c r="O442" s="2"/>
      <c r="P442" s="2"/>
      <c r="Q442" s="1" t="str">
        <f>IF($D442="","",$C442&amp;"|"&amp;COUNTIFS($C$7:$C442,$C442))</f>
        <v>M016|25</v>
      </c>
      <c r="R442" s="1" t="str">
        <f t="shared" si="33"/>
        <v>RIXSOWLTDSTI</v>
      </c>
      <c r="S442" s="1" t="str">
        <f t="shared" si="34"/>
        <v>M016|46207|3000|</v>
      </c>
      <c r="T442" s="1">
        <f>IF($E442="",0,SUMPRODUCT((AY_SONU!$O$7:$O$42="Evet")*(AY_SONU!$B$7:$B$42=DATE(YEAR($E442),MONTH($E442),1))))</f>
        <v>0</v>
      </c>
      <c r="U442" s="1" t="str">
        <f>IF(OR($G442="",$H442="Mahsup"),"",$G442&amp;"|"&amp;COUNTIFS($G$7:$G442,$G442,$H$7:$H442,"&lt;&gt;Mahsup"))</f>
        <v>ÖMER KARTAL|95</v>
      </c>
    </row>
    <row r="443" spans="1:21" ht="18" customHeight="1" x14ac:dyDescent="0.3">
      <c r="A443" s="2"/>
      <c r="B443" s="65" t="str">
        <f t="shared" si="30"/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M054</v>
      </c>
      <c r="D443" s="61" t="s">
        <v>674</v>
      </c>
      <c r="E443" s="66">
        <v>46207</v>
      </c>
      <c r="F443" s="67">
        <v>5000</v>
      </c>
      <c r="G443" s="60" t="s">
        <v>717</v>
      </c>
      <c r="H443" s="60" t="s">
        <v>572</v>
      </c>
      <c r="I443" s="61"/>
      <c r="J443" s="61" t="s">
        <v>742</v>
      </c>
      <c r="K443" s="61"/>
      <c r="L443" s="73">
        <f t="shared" si="31"/>
        <v>46204</v>
      </c>
      <c r="M443" s="65" t="str">
        <f t="shared" ca="1" si="32"/>
        <v>UYGUN</v>
      </c>
      <c r="N443" s="74" t="str">
        <f>IF($C443="","",IF($C443="TANIMSIZ MÜŞTERİ","—",INDEX(MUSTERILER!$C$7:$C$156,MATCH($C443,MUSTERILER!$B$7:$B$156,0))))</f>
        <v>YALIKENT LTD.ŞTİ.</v>
      </c>
      <c r="O443" s="2"/>
      <c r="P443" s="2"/>
      <c r="Q443" s="1" t="str">
        <f>IF($D443="","",$C443&amp;"|"&amp;COUNTIFS($C$7:$C443,$C443))</f>
        <v>M054|16</v>
      </c>
      <c r="R443" s="1" t="str">
        <f t="shared" si="33"/>
        <v>YALIKENTLTDSTI</v>
      </c>
      <c r="S443" s="1" t="str">
        <f t="shared" si="34"/>
        <v>M054|46207|5000|</v>
      </c>
      <c r="T443" s="1">
        <f>IF($E443="",0,SUMPRODUCT((AY_SONU!$O$7:$O$42="Evet")*(AY_SONU!$B$7:$B$42=DATE(YEAR($E443),MONTH($E443),1))))</f>
        <v>0</v>
      </c>
      <c r="U443" s="1" t="str">
        <f>IF(OR($G443="",$H443="Mahsup"),"",$G443&amp;"|"&amp;COUNTIFS($G$7:$G443,$G443,$H$7:$H443,"&lt;&gt;Mahsup"))</f>
        <v>MERKEZ KASA|342</v>
      </c>
    </row>
    <row r="444" spans="1:21" ht="18" customHeight="1" x14ac:dyDescent="0.3">
      <c r="A444" s="2"/>
      <c r="B444" s="65" t="str">
        <f t="shared" si="30"/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M020</v>
      </c>
      <c r="D444" s="61" t="s">
        <v>623</v>
      </c>
      <c r="E444" s="66">
        <v>46207</v>
      </c>
      <c r="F444" s="67">
        <v>3000</v>
      </c>
      <c r="G444" s="60" t="s">
        <v>717</v>
      </c>
      <c r="H444" s="60" t="s">
        <v>572</v>
      </c>
      <c r="I444" s="61"/>
      <c r="J444" s="61" t="s">
        <v>720</v>
      </c>
      <c r="K444" s="61"/>
      <c r="L444" s="73">
        <f t="shared" si="31"/>
        <v>46204</v>
      </c>
      <c r="M444" s="65" t="str">
        <f t="shared" ca="1" si="32"/>
        <v>UYGUN</v>
      </c>
      <c r="N444" s="74" t="str">
        <f>IF($C444="","",IF($C444="TANIMSIZ MÜŞTERİ","—",INDEX(MUSTERILER!$C$7:$C$156,MATCH($C444,MUSTERILER!$B$7:$B$156,0))))</f>
        <v>KRİSTAL LTD.ŞTİ.</v>
      </c>
      <c r="O444" s="2"/>
      <c r="P444" s="2"/>
      <c r="Q444" s="1" t="str">
        <f>IF($D444="","",$C444&amp;"|"&amp;COUNTIFS($C$7:$C444,$C444))</f>
        <v>M020|26</v>
      </c>
      <c r="R444" s="1" t="str">
        <f t="shared" si="33"/>
        <v>KRISTALLTDSTI</v>
      </c>
      <c r="S444" s="1" t="str">
        <f t="shared" si="34"/>
        <v>M020|46207|3000|</v>
      </c>
      <c r="T444" s="1">
        <f>IF($E444="",0,SUMPRODUCT((AY_SONU!$O$7:$O$42="Evet")*(AY_SONU!$B$7:$B$42=DATE(YEAR($E444),MONTH($E444),1))))</f>
        <v>0</v>
      </c>
      <c r="U444" s="1" t="str">
        <f>IF(OR($G444="",$H444="Mahsup"),"",$G444&amp;"|"&amp;COUNTIFS($G$7:$G444,$G444,$H$7:$H444,"&lt;&gt;Mahsup"))</f>
        <v>MERKEZ KASA|343</v>
      </c>
    </row>
    <row r="445" spans="1:21" ht="18" customHeight="1" x14ac:dyDescent="0.3">
      <c r="A445" s="2"/>
      <c r="B445" s="65" t="str">
        <f t="shared" si="30"/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M025</v>
      </c>
      <c r="D445" s="61" t="s">
        <v>583</v>
      </c>
      <c r="E445" s="66">
        <v>46214</v>
      </c>
      <c r="F445" s="67">
        <v>2000</v>
      </c>
      <c r="G445" s="60" t="s">
        <v>723</v>
      </c>
      <c r="H445" s="60" t="s">
        <v>572</v>
      </c>
      <c r="I445" s="61"/>
      <c r="J445" s="61" t="s">
        <v>720</v>
      </c>
      <c r="K445" s="61"/>
      <c r="L445" s="73">
        <f t="shared" si="31"/>
        <v>46204</v>
      </c>
      <c r="M445" s="65" t="str">
        <f t="shared" ca="1" si="32"/>
        <v>UYGUN</v>
      </c>
      <c r="N445" s="74" t="str">
        <f>IF($C445="","",IF($C445="TANIMSIZ MÜŞTERİ","—",INDEX(MUSTERILER!$C$7:$C$156,MATCH($C445,MUSTERILER!$B$7:$B$156,0))))</f>
        <v>ASIM AÇIKGÖZ</v>
      </c>
      <c r="O445" s="2"/>
      <c r="P445" s="2"/>
      <c r="Q445" s="1" t="str">
        <f>IF($D445="","",$C445&amp;"|"&amp;COUNTIFS($C$7:$C445,$C445))</f>
        <v>M025|23</v>
      </c>
      <c r="R445" s="1" t="str">
        <f t="shared" si="33"/>
        <v>ASIMACIKGOZ</v>
      </c>
      <c r="S445" s="1" t="str">
        <f t="shared" si="34"/>
        <v>M025|46214|2000|</v>
      </c>
      <c r="T445" s="1">
        <f>IF($E445="",0,SUMPRODUCT((AY_SONU!$O$7:$O$42="Evet")*(AY_SONU!$B$7:$B$42=DATE(YEAR($E445),MONTH($E445),1))))</f>
        <v>0</v>
      </c>
      <c r="U445" s="1" t="str">
        <f>IF(OR($G445="",$H445="Mahsup"),"",$G445&amp;"|"&amp;COUNTIFS($G$7:$G445,$G445,$H$7:$H445,"&lt;&gt;Mahsup"))</f>
        <v>ÖMER KARTAL|96</v>
      </c>
    </row>
    <row r="446" spans="1:21" ht="18" customHeight="1" x14ac:dyDescent="0.3">
      <c r="A446" s="2"/>
      <c r="B446" s="65" t="str">
        <f t="shared" si="30"/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M017</v>
      </c>
      <c r="D446" s="61" t="s">
        <v>585</v>
      </c>
      <c r="E446" s="66">
        <v>46214</v>
      </c>
      <c r="F446" s="67">
        <v>2500</v>
      </c>
      <c r="G446" s="60" t="s">
        <v>723</v>
      </c>
      <c r="H446" s="60" t="s">
        <v>572</v>
      </c>
      <c r="I446" s="61"/>
      <c r="J446" s="61" t="s">
        <v>720</v>
      </c>
      <c r="K446" s="61"/>
      <c r="L446" s="73">
        <f t="shared" si="31"/>
        <v>46204</v>
      </c>
      <c r="M446" s="65" t="str">
        <f t="shared" ca="1" si="32"/>
        <v>UYGUN</v>
      </c>
      <c r="N446" s="74" t="str">
        <f>IF($C446="","",IF($C446="TANIMSIZ MÜŞTERİ","—",INDEX(MUSTERILER!$C$7:$C$156,MATCH($C446,MUSTERILER!$B$7:$B$156,0))))</f>
        <v>ASM EĞLENCE LTD.ŞTİ.</v>
      </c>
      <c r="O446" s="2"/>
      <c r="P446" s="2"/>
      <c r="Q446" s="1" t="str">
        <f>IF($D446="","",$C446&amp;"|"&amp;COUNTIFS($C$7:$C446,$C446))</f>
        <v>M017|24</v>
      </c>
      <c r="R446" s="1" t="str">
        <f t="shared" si="33"/>
        <v>ASMEGLENCELTDSTI</v>
      </c>
      <c r="S446" s="1" t="str">
        <f t="shared" si="34"/>
        <v>M017|46214|2500|</v>
      </c>
      <c r="T446" s="1">
        <f>IF($E446="",0,SUMPRODUCT((AY_SONU!$O$7:$O$42="Evet")*(AY_SONU!$B$7:$B$42=DATE(YEAR($E446),MONTH($E446),1))))</f>
        <v>0</v>
      </c>
      <c r="U446" s="1" t="str">
        <f>IF(OR($G446="",$H446="Mahsup"),"",$G446&amp;"|"&amp;COUNTIFS($G$7:$G446,$G446,$H$7:$H446,"&lt;&gt;Mahsup"))</f>
        <v>ÖMER KARTAL|97</v>
      </c>
    </row>
    <row r="447" spans="1:21" ht="18" customHeight="1" x14ac:dyDescent="0.3">
      <c r="A447" s="2"/>
      <c r="B447" s="65" t="str">
        <f t="shared" si="30"/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M015</v>
      </c>
      <c r="D447" s="61" t="s">
        <v>719</v>
      </c>
      <c r="E447" s="66">
        <v>46214</v>
      </c>
      <c r="F447" s="67">
        <v>3000</v>
      </c>
      <c r="G447" s="60" t="s">
        <v>723</v>
      </c>
      <c r="H447" s="60" t="s">
        <v>572</v>
      </c>
      <c r="I447" s="61"/>
      <c r="J447" s="61" t="s">
        <v>724</v>
      </c>
      <c r="K447" s="61"/>
      <c r="L447" s="73">
        <f t="shared" si="31"/>
        <v>46204</v>
      </c>
      <c r="M447" s="65" t="str">
        <f t="shared" ca="1" si="32"/>
        <v>UYGUN</v>
      </c>
      <c r="N447" s="74" t="str">
        <f>IF($C447="","",IF($C447="TANIMSIZ MÜŞTERİ","—",INDEX(MUSTERILER!$C$7:$C$156,MATCH($C447,MUSTERILER!$B$7:$B$156,0))))</f>
        <v>ÇAYIRALAN LTD.ŞTİ.</v>
      </c>
      <c r="O447" s="2"/>
      <c r="P447" s="2"/>
      <c r="Q447" s="1" t="str">
        <f>IF($D447="","",$C447&amp;"|"&amp;COUNTIFS($C$7:$C447,$C447))</f>
        <v>M015|25</v>
      </c>
      <c r="R447" s="1" t="str">
        <f t="shared" si="33"/>
        <v>CAYIRALANLTDSTI</v>
      </c>
      <c r="S447" s="1" t="str">
        <f t="shared" si="34"/>
        <v>M015|46214|3000|</v>
      </c>
      <c r="T447" s="1">
        <f>IF($E447="",0,SUMPRODUCT((AY_SONU!$O$7:$O$42="Evet")*(AY_SONU!$B$7:$B$42=DATE(YEAR($E447),MONTH($E447),1))))</f>
        <v>0</v>
      </c>
      <c r="U447" s="1" t="str">
        <f>IF(OR($G447="",$H447="Mahsup"),"",$G447&amp;"|"&amp;COUNTIFS($G$7:$G447,$G447,$H$7:$H447,"&lt;&gt;Mahsup"))</f>
        <v>ÖMER KARTAL|98</v>
      </c>
    </row>
    <row r="448" spans="1:21" ht="18" customHeight="1" x14ac:dyDescent="0.3">
      <c r="A448" s="2"/>
      <c r="B448" s="65" t="str">
        <f t="shared" si="30"/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M011</v>
      </c>
      <c r="D448" s="61" t="s">
        <v>730</v>
      </c>
      <c r="E448" s="66">
        <v>46214</v>
      </c>
      <c r="F448" s="67">
        <v>4000</v>
      </c>
      <c r="G448" s="60" t="s">
        <v>723</v>
      </c>
      <c r="H448" s="60" t="s">
        <v>572</v>
      </c>
      <c r="I448" s="61"/>
      <c r="J448" s="61" t="s">
        <v>724</v>
      </c>
      <c r="K448" s="61"/>
      <c r="L448" s="73">
        <f t="shared" si="31"/>
        <v>46204</v>
      </c>
      <c r="M448" s="65" t="str">
        <f t="shared" ca="1" si="32"/>
        <v>UYGUN</v>
      </c>
      <c r="N448" s="74" t="str">
        <f>IF($C448="","",IF($C448="TANIMSIZ MÜŞTERİ","—",INDEX(MUSTERILER!$C$7:$C$156,MATCH($C448,MUSTERILER!$B$7:$B$156,0))))</f>
        <v>EĞLENGÖR LTD.ŞTİ.</v>
      </c>
      <c r="O448" s="2"/>
      <c r="P448" s="2"/>
      <c r="Q448" s="1" t="str">
        <f>IF($D448="","",$C448&amp;"|"&amp;COUNTIFS($C$7:$C448,$C448))</f>
        <v>M011|26</v>
      </c>
      <c r="R448" s="1" t="str">
        <f t="shared" si="33"/>
        <v>EGLENGORLTDSTI</v>
      </c>
      <c r="S448" s="1" t="str">
        <f t="shared" si="34"/>
        <v>M011|46214|4000|</v>
      </c>
      <c r="T448" s="1">
        <f>IF($E448="",0,SUMPRODUCT((AY_SONU!$O$7:$O$42="Evet")*(AY_SONU!$B$7:$B$42=DATE(YEAR($E448),MONTH($E448),1))))</f>
        <v>0</v>
      </c>
      <c r="U448" s="1" t="str">
        <f>IF(OR($G448="",$H448="Mahsup"),"",$G448&amp;"|"&amp;COUNTIFS($G$7:$G448,$G448,$H$7:$H448,"&lt;&gt;Mahsup"))</f>
        <v>ÖMER KARTAL|99</v>
      </c>
    </row>
    <row r="449" spans="1:21" ht="18" customHeight="1" x14ac:dyDescent="0.3">
      <c r="A449" s="2"/>
      <c r="B449" s="65" t="str">
        <f t="shared" si="30"/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M014</v>
      </c>
      <c r="D449" s="61" t="s">
        <v>731</v>
      </c>
      <c r="E449" s="66">
        <v>46214</v>
      </c>
      <c r="F449" s="67">
        <v>4000</v>
      </c>
      <c r="G449" s="60" t="s">
        <v>723</v>
      </c>
      <c r="H449" s="60" t="s">
        <v>572</v>
      </c>
      <c r="I449" s="61"/>
      <c r="J449" s="61" t="s">
        <v>724</v>
      </c>
      <c r="K449" s="61"/>
      <c r="L449" s="73">
        <f t="shared" si="31"/>
        <v>46204</v>
      </c>
      <c r="M449" s="65" t="str">
        <f t="shared" ca="1" si="32"/>
        <v>UYGUN</v>
      </c>
      <c r="N449" s="74" t="str">
        <f>IF($C449="","",IF($C449="TANIMSIZ MÜŞTERİ","—",INDEX(MUSTERILER!$C$7:$C$156,MATCH($C449,MUSTERILER!$B$7:$B$156,0))))</f>
        <v>FİNAL SİYAH BEYAZ LTD.ŞTİ.</v>
      </c>
      <c r="O449" s="2"/>
      <c r="P449" s="2"/>
      <c r="Q449" s="1" t="str">
        <f>IF($D449="","",$C449&amp;"|"&amp;COUNTIFS($C$7:$C449,$C449))</f>
        <v>M014|25</v>
      </c>
      <c r="R449" s="1" t="str">
        <f t="shared" si="33"/>
        <v>FINALSIYAHBEYAZLTDSTI</v>
      </c>
      <c r="S449" s="1" t="str">
        <f t="shared" si="34"/>
        <v>M014|46214|4000|</v>
      </c>
      <c r="T449" s="1">
        <f>IF($E449="",0,SUMPRODUCT((AY_SONU!$O$7:$O$42="Evet")*(AY_SONU!$B$7:$B$42=DATE(YEAR($E449),MONTH($E449),1))))</f>
        <v>0</v>
      </c>
      <c r="U449" s="1" t="str">
        <f>IF(OR($G449="",$H449="Mahsup"),"",$G449&amp;"|"&amp;COUNTIFS($G$7:$G449,$G449,$H$7:$H449,"&lt;&gt;Mahsup"))</f>
        <v>ÖMER KARTAL|100</v>
      </c>
    </row>
    <row r="450" spans="1:21" ht="18" customHeight="1" x14ac:dyDescent="0.3">
      <c r="A450" s="2"/>
      <c r="B450" s="65" t="str">
        <f t="shared" si="30"/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M013</v>
      </c>
      <c r="D450" s="61" t="s">
        <v>734</v>
      </c>
      <c r="E450" s="66">
        <v>46214</v>
      </c>
      <c r="F450" s="67">
        <v>2000</v>
      </c>
      <c r="G450" s="60" t="s">
        <v>723</v>
      </c>
      <c r="H450" s="60" t="s">
        <v>572</v>
      </c>
      <c r="I450" s="61"/>
      <c r="J450" s="61" t="s">
        <v>724</v>
      </c>
      <c r="K450" s="61"/>
      <c r="L450" s="73">
        <f t="shared" si="31"/>
        <v>46204</v>
      </c>
      <c r="M450" s="65" t="str">
        <f t="shared" ca="1" si="32"/>
        <v>UYGUN</v>
      </c>
      <c r="N450" s="74" t="str">
        <f>IF($C450="","",IF($C450="TANIMSIZ MÜŞTERİ","—",INDEX(MUSTERILER!$C$7:$C$156,MATCH($C450,MUSTERILER!$B$7:$B$156,0))))</f>
        <v>NAZ 1 GIDA LTD.ŞTİ.</v>
      </c>
      <c r="O450" s="2"/>
      <c r="P450" s="2"/>
      <c r="Q450" s="1" t="str">
        <f>IF($D450="","",$C450&amp;"|"&amp;COUNTIFS($C$7:$C450,$C450))</f>
        <v>M013|18</v>
      </c>
      <c r="R450" s="1" t="str">
        <f t="shared" si="33"/>
        <v>NAZ1GIDALTDSTI</v>
      </c>
      <c r="S450" s="1" t="str">
        <f t="shared" si="34"/>
        <v>M013|46214|2000|</v>
      </c>
      <c r="T450" s="1">
        <f>IF($E450="",0,SUMPRODUCT((AY_SONU!$O$7:$O$42="Evet")*(AY_SONU!$B$7:$B$42=DATE(YEAR($E450),MONTH($E450),1))))</f>
        <v>0</v>
      </c>
      <c r="U450" s="1" t="str">
        <f>IF(OR($G450="",$H450="Mahsup"),"",$G450&amp;"|"&amp;COUNTIFS($G$7:$G450,$G450,$H$7:$H450,"&lt;&gt;Mahsup"))</f>
        <v>ÖMER KARTAL|101</v>
      </c>
    </row>
    <row r="451" spans="1:21" ht="18" customHeight="1" x14ac:dyDescent="0.3">
      <c r="A451" s="2"/>
      <c r="B451" s="65" t="str">
        <f t="shared" si="30"/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M009</v>
      </c>
      <c r="D451" s="61" t="s">
        <v>735</v>
      </c>
      <c r="E451" s="66">
        <v>46214</v>
      </c>
      <c r="F451" s="67">
        <v>4000</v>
      </c>
      <c r="G451" s="60" t="s">
        <v>723</v>
      </c>
      <c r="H451" s="60" t="s">
        <v>572</v>
      </c>
      <c r="I451" s="61"/>
      <c r="J451" s="61" t="s">
        <v>724</v>
      </c>
      <c r="K451" s="61"/>
      <c r="L451" s="73">
        <f t="shared" si="31"/>
        <v>46204</v>
      </c>
      <c r="M451" s="65" t="str">
        <f t="shared" ca="1" si="32"/>
        <v>UYGUN</v>
      </c>
      <c r="N451" s="74" t="str">
        <f>IF($C451="","",IF($C451="TANIMSIZ MÜŞTERİ","—",INDEX(MUSTERILER!$C$7:$C$156,MATCH($C451,MUSTERILER!$B$7:$B$156,0))))</f>
        <v>PAKYILDIZ LTD.ŞTİ.</v>
      </c>
      <c r="O451" s="2"/>
      <c r="P451" s="2"/>
      <c r="Q451" s="1" t="str">
        <f>IF($D451="","",$C451&amp;"|"&amp;COUNTIFS($C$7:$C451,$C451))</f>
        <v>M009|23</v>
      </c>
      <c r="R451" s="1" t="str">
        <f t="shared" si="33"/>
        <v>PAKYILDIZLTDSTI</v>
      </c>
      <c r="S451" s="1" t="str">
        <f t="shared" si="34"/>
        <v>M009|46214|4000|</v>
      </c>
      <c r="T451" s="1">
        <f>IF($E451="",0,SUMPRODUCT((AY_SONU!$O$7:$O$42="Evet")*(AY_SONU!$B$7:$B$42=DATE(YEAR($E451),MONTH($E451),1))))</f>
        <v>0</v>
      </c>
      <c r="U451" s="1" t="str">
        <f>IF(OR($G451="",$H451="Mahsup"),"",$G451&amp;"|"&amp;COUNTIFS($G$7:$G451,$G451,$H$7:$H451,"&lt;&gt;Mahsup"))</f>
        <v>ÖMER KARTAL|102</v>
      </c>
    </row>
    <row r="452" spans="1:21" ht="18" customHeight="1" x14ac:dyDescent="0.3">
      <c r="A452" s="2"/>
      <c r="B452" s="65" t="str">
        <f t="shared" si="30"/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M016</v>
      </c>
      <c r="D452" s="61" t="s">
        <v>736</v>
      </c>
      <c r="E452" s="66">
        <v>46214</v>
      </c>
      <c r="F452" s="67">
        <v>3000</v>
      </c>
      <c r="G452" s="60" t="s">
        <v>723</v>
      </c>
      <c r="H452" s="60" t="s">
        <v>572</v>
      </c>
      <c r="I452" s="61"/>
      <c r="J452" s="61" t="s">
        <v>724</v>
      </c>
      <c r="K452" s="61"/>
      <c r="L452" s="73">
        <f t="shared" si="31"/>
        <v>46204</v>
      </c>
      <c r="M452" s="65" t="str">
        <f t="shared" ca="1" si="32"/>
        <v>UYGUN</v>
      </c>
      <c r="N452" s="74" t="str">
        <f>IF($C452="","",IF($C452="TANIMSIZ MÜŞTERİ","—",INDEX(MUSTERILER!$C$7:$C$156,MATCH($C452,MUSTERILER!$B$7:$B$156,0))))</f>
        <v>RİX ŞOW LTD.ŞTİ.</v>
      </c>
      <c r="O452" s="2"/>
      <c r="P452" s="2"/>
      <c r="Q452" s="1" t="str">
        <f>IF($D452="","",$C452&amp;"|"&amp;COUNTIFS($C$7:$C452,$C452))</f>
        <v>M016|26</v>
      </c>
      <c r="R452" s="1" t="str">
        <f t="shared" si="33"/>
        <v>RIXSOWLTDSTI</v>
      </c>
      <c r="S452" s="1" t="str">
        <f t="shared" si="34"/>
        <v>M016|46214|3000|</v>
      </c>
      <c r="T452" s="1">
        <f>IF($E452="",0,SUMPRODUCT((AY_SONU!$O$7:$O$42="Evet")*(AY_SONU!$B$7:$B$42=DATE(YEAR($E452),MONTH($E452),1))))</f>
        <v>0</v>
      </c>
      <c r="U452" s="1" t="str">
        <f>IF(OR($G452="",$H452="Mahsup"),"",$G452&amp;"|"&amp;COUNTIFS($G$7:$G452,$G452,$H$7:$H452,"&lt;&gt;Mahsup"))</f>
        <v>ÖMER KARTAL|103</v>
      </c>
    </row>
    <row r="453" spans="1:21" ht="18" customHeight="1" x14ac:dyDescent="0.3">
      <c r="A453" s="2"/>
      <c r="B453" s="65" t="str">
        <f t="shared" si="30"/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M020</v>
      </c>
      <c r="D453" s="61" t="s">
        <v>623</v>
      </c>
      <c r="E453" s="66">
        <v>46214</v>
      </c>
      <c r="F453" s="67">
        <v>3000</v>
      </c>
      <c r="G453" s="60" t="s">
        <v>723</v>
      </c>
      <c r="H453" s="60" t="s">
        <v>572</v>
      </c>
      <c r="I453" s="61"/>
      <c r="J453" s="61" t="s">
        <v>720</v>
      </c>
      <c r="K453" s="61"/>
      <c r="L453" s="73">
        <f t="shared" si="31"/>
        <v>46204</v>
      </c>
      <c r="M453" s="65" t="str">
        <f t="shared" ca="1" si="32"/>
        <v>UYGUN</v>
      </c>
      <c r="N453" s="74" t="str">
        <f>IF($C453="","",IF($C453="TANIMSIZ MÜŞTERİ","—",INDEX(MUSTERILER!$C$7:$C$156,MATCH($C453,MUSTERILER!$B$7:$B$156,0))))</f>
        <v>KRİSTAL LTD.ŞTİ.</v>
      </c>
      <c r="O453" s="2"/>
      <c r="P453" s="2"/>
      <c r="Q453" s="1" t="str">
        <f>IF($D453="","",$C453&amp;"|"&amp;COUNTIFS($C$7:$C453,$C453))</f>
        <v>M020|27</v>
      </c>
      <c r="R453" s="1" t="str">
        <f t="shared" si="33"/>
        <v>KRISTALLTDSTI</v>
      </c>
      <c r="S453" s="1" t="str">
        <f t="shared" si="34"/>
        <v>M020|46214|3000|</v>
      </c>
      <c r="T453" s="1">
        <f>IF($E453="",0,SUMPRODUCT((AY_SONU!$O$7:$O$42="Evet")*(AY_SONU!$B$7:$B$42=DATE(YEAR($E453),MONTH($E453),1))))</f>
        <v>0</v>
      </c>
      <c r="U453" s="1" t="str">
        <f>IF(OR($G453="",$H453="Mahsup"),"",$G453&amp;"|"&amp;COUNTIFS($G$7:$G453,$G453,$H$7:$H453,"&lt;&gt;Mahsup"))</f>
        <v>ÖMER KARTAL|104</v>
      </c>
    </row>
    <row r="454" spans="1:21" ht="18" customHeight="1" x14ac:dyDescent="0.3">
      <c r="A454" s="2"/>
      <c r="B454" s="65" t="str">
        <f t="shared" si="30"/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M054</v>
      </c>
      <c r="D454" s="61" t="s">
        <v>674</v>
      </c>
      <c r="E454" s="66">
        <v>46214</v>
      </c>
      <c r="F454" s="67">
        <v>5000</v>
      </c>
      <c r="G454" s="60" t="s">
        <v>717</v>
      </c>
      <c r="H454" s="60" t="s">
        <v>572</v>
      </c>
      <c r="I454" s="61"/>
      <c r="J454" s="61" t="s">
        <v>742</v>
      </c>
      <c r="K454" s="61"/>
      <c r="L454" s="73">
        <f t="shared" si="31"/>
        <v>46204</v>
      </c>
      <c r="M454" s="65" t="str">
        <f t="shared" ca="1" si="32"/>
        <v>UYGUN</v>
      </c>
      <c r="N454" s="74" t="str">
        <f>IF($C454="","",IF($C454="TANIMSIZ MÜŞTERİ","—",INDEX(MUSTERILER!$C$7:$C$156,MATCH($C454,MUSTERILER!$B$7:$B$156,0))))</f>
        <v>YALIKENT LTD.ŞTİ.</v>
      </c>
      <c r="O454" s="2"/>
      <c r="P454" s="2"/>
      <c r="Q454" s="1" t="str">
        <f>IF($D454="","",$C454&amp;"|"&amp;COUNTIFS($C$7:$C454,$C454))</f>
        <v>M054|17</v>
      </c>
      <c r="R454" s="1" t="str">
        <f t="shared" si="33"/>
        <v>YALIKENTLTDSTI</v>
      </c>
      <c r="S454" s="1" t="str">
        <f t="shared" si="34"/>
        <v>M054|46214|5000|</v>
      </c>
      <c r="T454" s="1">
        <f>IF($E454="",0,SUMPRODUCT((AY_SONU!$O$7:$O$42="Evet")*(AY_SONU!$B$7:$B$42=DATE(YEAR($E454),MONTH($E454),1))))</f>
        <v>0</v>
      </c>
      <c r="U454" s="1" t="str">
        <f>IF(OR($G454="",$H454="Mahsup"),"",$G454&amp;"|"&amp;COUNTIFS($G$7:$G454,$G454,$H$7:$H454,"&lt;&gt;Mahsup"))</f>
        <v>MERKEZ KASA|344</v>
      </c>
    </row>
    <row r="455" spans="1:21" ht="18" customHeight="1" x14ac:dyDescent="0.3">
      <c r="A455" s="2"/>
      <c r="B455" s="65" t="str">
        <f t="shared" ref="B455:B518" si="35"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M051</v>
      </c>
      <c r="D455" s="61" t="s">
        <v>668</v>
      </c>
      <c r="E455" s="66">
        <v>46218</v>
      </c>
      <c r="F455" s="67">
        <v>3000</v>
      </c>
      <c r="G455" s="60" t="s">
        <v>723</v>
      </c>
      <c r="H455" s="60" t="s">
        <v>572</v>
      </c>
      <c r="I455" s="61"/>
      <c r="J455" s="61" t="s">
        <v>720</v>
      </c>
      <c r="K455" s="61"/>
      <c r="L455" s="73">
        <f t="shared" ref="L455:L518" si="36">IF($E455="","",DATE(YEAR($E455),MONTH($E455),1))</f>
        <v>46204</v>
      </c>
      <c r="M455" s="65" t="str">
        <f t="shared" ref="M455:M518" ca="1" si="37">IF($D455="","",IF($C455="TANIMSIZ MÜŞTERİ","HATA",IF(OR($E455="",$F455&lt;=0,$G455=""),"EKSİK",IF($E455&gt;TODAY(),"İLERİ TARİH",IF(COUNTIF($S$7:$S$2503,$S455)&gt;1,"MÜKERRER?",IF($T455&gt;0,"KAPALI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UFUK YILMAZ</v>
      </c>
      <c r="O455" s="2"/>
      <c r="P455" s="2"/>
      <c r="Q455" s="1" t="str">
        <f>IF($D455="","",$C455&amp;"|"&amp;COUNTIFS($C$7:$C455,$C455))</f>
        <v>M051|7</v>
      </c>
      <c r="R455" s="1" t="str">
        <f t="shared" ref="R455:R518" si="38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UFUKYILMAZ</v>
      </c>
      <c r="S455" s="1" t="str">
        <f t="shared" ref="S455:S518" si="39">IF($D455="","",$C455&amp;"|"&amp;TEXT($E455,"0")&amp;"|"&amp;TEXT($F455,"0")&amp;"|"&amp;$I455)</f>
        <v>M051|46218|3000|</v>
      </c>
      <c r="T455" s="1">
        <f>IF($E455="",0,SUMPRODUCT((AY_SONU!$O$7:$O$42="Evet")*(AY_SONU!$B$7:$B$42=DATE(YEAR($E455),MONTH($E455),1))))</f>
        <v>0</v>
      </c>
      <c r="U455" s="1" t="str">
        <f>IF(OR($G455="",$H455="Mahsup"),"",$G455&amp;"|"&amp;COUNTIFS($G$7:$G455,$G455,$H$7:$H455,"&lt;&gt;Mahsup"))</f>
        <v>ÖMER KARTAL|105</v>
      </c>
    </row>
    <row r="456" spans="1:21" ht="18" customHeight="1" x14ac:dyDescent="0.3">
      <c r="A456" s="2"/>
      <c r="B456" s="65" t="str">
        <f t="shared" si="35"/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M001</v>
      </c>
      <c r="D456" s="61" t="s">
        <v>729</v>
      </c>
      <c r="E456" s="66">
        <v>46221</v>
      </c>
      <c r="F456" s="67">
        <v>4000</v>
      </c>
      <c r="G456" s="60" t="s">
        <v>717</v>
      </c>
      <c r="H456" s="60" t="s">
        <v>572</v>
      </c>
      <c r="I456" s="61"/>
      <c r="J456" s="61" t="s">
        <v>720</v>
      </c>
      <c r="K456" s="61"/>
      <c r="L456" s="73">
        <f t="shared" si="36"/>
        <v>46204</v>
      </c>
      <c r="M456" s="65" t="str">
        <f t="shared" ca="1" si="37"/>
        <v>UYGUN</v>
      </c>
      <c r="N456" s="74" t="str">
        <f>IF($C456="","",IF($C456="TANIMSIZ MÜŞTERİ","—",INDEX(MUSTERILER!$C$7:$C$156,MATCH($C456,MUSTERILER!$B$7:$B$156,0))))</f>
        <v>ANKARA HAVANA LTD.ŞTİ.</v>
      </c>
      <c r="O456" s="2"/>
      <c r="P456" s="2"/>
      <c r="Q456" s="1" t="str">
        <f>IF($D456="","",$C456&amp;"|"&amp;COUNTIFS($C$7:$C456,$C456))</f>
        <v>M001|13</v>
      </c>
      <c r="R456" s="1" t="str">
        <f t="shared" si="38"/>
        <v>ANKARAHAVANALTDSTI</v>
      </c>
      <c r="S456" s="1" t="str">
        <f t="shared" si="39"/>
        <v>M001|46221|4000|</v>
      </c>
      <c r="T456" s="1">
        <f>IF($E456="",0,SUMPRODUCT((AY_SONU!$O$7:$O$42="Evet")*(AY_SONU!$B$7:$B$42=DATE(YEAR($E456),MONTH($E456),1))))</f>
        <v>0</v>
      </c>
      <c r="U456" s="1" t="str">
        <f>IF(OR($G456="",$H456="Mahsup"),"",$G456&amp;"|"&amp;COUNTIFS($G$7:$G456,$G456,$H$7:$H456,"&lt;&gt;Mahsup"))</f>
        <v>MERKEZ KASA|345</v>
      </c>
    </row>
    <row r="457" spans="1:21" ht="18" customHeight="1" x14ac:dyDescent="0.3">
      <c r="A457" s="2"/>
      <c r="B457" s="65" t="str">
        <f t="shared" si="35"/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M025</v>
      </c>
      <c r="D457" s="61" t="s">
        <v>583</v>
      </c>
      <c r="E457" s="66">
        <v>46221</v>
      </c>
      <c r="F457" s="67">
        <v>2000</v>
      </c>
      <c r="G457" s="60" t="s">
        <v>717</v>
      </c>
      <c r="H457" s="60" t="s">
        <v>572</v>
      </c>
      <c r="I457" s="61"/>
      <c r="J457" s="61" t="s">
        <v>720</v>
      </c>
      <c r="K457" s="61"/>
      <c r="L457" s="73">
        <f t="shared" si="36"/>
        <v>46204</v>
      </c>
      <c r="M457" s="65" t="str">
        <f t="shared" ca="1" si="37"/>
        <v>UYGUN</v>
      </c>
      <c r="N457" s="74" t="str">
        <f>IF($C457="","",IF($C457="TANIMSIZ MÜŞTERİ","—",INDEX(MUSTERILER!$C$7:$C$156,MATCH($C457,MUSTERILER!$B$7:$B$156,0))))</f>
        <v>ASIM AÇIKGÖZ</v>
      </c>
      <c r="O457" s="2"/>
      <c r="P457" s="2"/>
      <c r="Q457" s="1" t="str">
        <f>IF($D457="","",$C457&amp;"|"&amp;COUNTIFS($C$7:$C457,$C457))</f>
        <v>M025|24</v>
      </c>
      <c r="R457" s="1" t="str">
        <f t="shared" si="38"/>
        <v>ASIMACIKGOZ</v>
      </c>
      <c r="S457" s="1" t="str">
        <f t="shared" si="39"/>
        <v>M025|46221|2000|</v>
      </c>
      <c r="T457" s="1">
        <f>IF($E457="",0,SUMPRODUCT((AY_SONU!$O$7:$O$42="Evet")*(AY_SONU!$B$7:$B$42=DATE(YEAR($E457),MONTH($E457),1))))</f>
        <v>0</v>
      </c>
      <c r="U457" s="1" t="str">
        <f>IF(OR($G457="",$H457="Mahsup"),"",$G457&amp;"|"&amp;COUNTIFS($G$7:$G457,$G457,$H$7:$H457,"&lt;&gt;Mahsup"))</f>
        <v>MERKEZ KASA|346</v>
      </c>
    </row>
    <row r="458" spans="1:21" ht="18" customHeight="1" x14ac:dyDescent="0.3">
      <c r="A458" s="2"/>
      <c r="B458" s="65" t="str">
        <f t="shared" si="35"/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M015</v>
      </c>
      <c r="D458" s="61" t="s">
        <v>719</v>
      </c>
      <c r="E458" s="66">
        <v>46221</v>
      </c>
      <c r="F458" s="67">
        <v>3000</v>
      </c>
      <c r="G458" s="60" t="s">
        <v>717</v>
      </c>
      <c r="H458" s="60" t="s">
        <v>572</v>
      </c>
      <c r="I458" s="61"/>
      <c r="J458" s="61" t="s">
        <v>720</v>
      </c>
      <c r="K458" s="61"/>
      <c r="L458" s="73">
        <f t="shared" si="36"/>
        <v>46204</v>
      </c>
      <c r="M458" s="65" t="str">
        <f t="shared" ca="1" si="37"/>
        <v>UYGUN</v>
      </c>
      <c r="N458" s="74" t="str">
        <f>IF($C458="","",IF($C458="TANIMSIZ MÜŞTERİ","—",INDEX(MUSTERILER!$C$7:$C$156,MATCH($C458,MUSTERILER!$B$7:$B$156,0))))</f>
        <v>ÇAYIRALAN LTD.ŞTİ.</v>
      </c>
      <c r="O458" s="2"/>
      <c r="P458" s="2"/>
      <c r="Q458" s="1" t="str">
        <f>IF($D458="","",$C458&amp;"|"&amp;COUNTIFS($C$7:$C458,$C458))</f>
        <v>M015|26</v>
      </c>
      <c r="R458" s="1" t="str">
        <f t="shared" si="38"/>
        <v>CAYIRALANLTDSTI</v>
      </c>
      <c r="S458" s="1" t="str">
        <f t="shared" si="39"/>
        <v>M015|46221|3000|</v>
      </c>
      <c r="T458" s="1">
        <f>IF($E458="",0,SUMPRODUCT((AY_SONU!$O$7:$O$42="Evet")*(AY_SONU!$B$7:$B$42=DATE(YEAR($E458),MONTH($E458),1))))</f>
        <v>0</v>
      </c>
      <c r="U458" s="1" t="str">
        <f>IF(OR($G458="",$H458="Mahsup"),"",$G458&amp;"|"&amp;COUNTIFS($G$7:$G458,$G458,$H$7:$H458,"&lt;&gt;Mahsup"))</f>
        <v>MERKEZ KASA|347</v>
      </c>
    </row>
    <row r="459" spans="1:21" ht="18" customHeight="1" x14ac:dyDescent="0.3">
      <c r="A459" s="2"/>
      <c r="B459" s="65" t="str">
        <f t="shared" si="35"/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M011</v>
      </c>
      <c r="D459" s="61" t="s">
        <v>730</v>
      </c>
      <c r="E459" s="66">
        <v>46221</v>
      </c>
      <c r="F459" s="67">
        <v>4000</v>
      </c>
      <c r="G459" s="60" t="s">
        <v>717</v>
      </c>
      <c r="H459" s="60" t="s">
        <v>572</v>
      </c>
      <c r="I459" s="61"/>
      <c r="J459" s="61" t="s">
        <v>720</v>
      </c>
      <c r="K459" s="61"/>
      <c r="L459" s="73">
        <f t="shared" si="36"/>
        <v>46204</v>
      </c>
      <c r="M459" s="65" t="str">
        <f t="shared" ca="1" si="37"/>
        <v>UYGUN</v>
      </c>
      <c r="N459" s="74" t="str">
        <f>IF($C459="","",IF($C459="TANIMSIZ MÜŞTERİ","—",INDEX(MUSTERILER!$C$7:$C$156,MATCH($C459,MUSTERILER!$B$7:$B$156,0))))</f>
        <v>EĞLENGÖR LTD.ŞTİ.</v>
      </c>
      <c r="O459" s="2"/>
      <c r="P459" s="2"/>
      <c r="Q459" s="1" t="str">
        <f>IF($D459="","",$C459&amp;"|"&amp;COUNTIFS($C$7:$C459,$C459))</f>
        <v>M011|27</v>
      </c>
      <c r="R459" s="1" t="str">
        <f t="shared" si="38"/>
        <v>EGLENGORLTDSTI</v>
      </c>
      <c r="S459" s="1" t="str">
        <f t="shared" si="39"/>
        <v>M011|46221|4000|</v>
      </c>
      <c r="T459" s="1">
        <f>IF($E459="",0,SUMPRODUCT((AY_SONU!$O$7:$O$42="Evet")*(AY_SONU!$B$7:$B$42=DATE(YEAR($E459),MONTH($E459),1))))</f>
        <v>0</v>
      </c>
      <c r="U459" s="1" t="str">
        <f>IF(OR($G459="",$H459="Mahsup"),"",$G459&amp;"|"&amp;COUNTIFS($G$7:$G459,$G459,$H$7:$H459,"&lt;&gt;Mahsup"))</f>
        <v>MERKEZ KASA|348</v>
      </c>
    </row>
    <row r="460" spans="1:21" ht="18" customHeight="1" x14ac:dyDescent="0.3">
      <c r="A460" s="2"/>
      <c r="B460" s="65" t="str">
        <f t="shared" si="35"/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M014</v>
      </c>
      <c r="D460" s="61" t="s">
        <v>731</v>
      </c>
      <c r="E460" s="66">
        <v>46221</v>
      </c>
      <c r="F460" s="67">
        <v>4000</v>
      </c>
      <c r="G460" s="60" t="s">
        <v>717</v>
      </c>
      <c r="H460" s="60" t="s">
        <v>572</v>
      </c>
      <c r="I460" s="61"/>
      <c r="J460" s="61" t="s">
        <v>720</v>
      </c>
      <c r="K460" s="61"/>
      <c r="L460" s="73">
        <f t="shared" si="36"/>
        <v>46204</v>
      </c>
      <c r="M460" s="65" t="str">
        <f t="shared" ca="1" si="37"/>
        <v>UYGUN</v>
      </c>
      <c r="N460" s="74" t="str">
        <f>IF($C460="","",IF($C460="TANIMSIZ MÜŞTERİ","—",INDEX(MUSTERILER!$C$7:$C$156,MATCH($C460,MUSTERILER!$B$7:$B$156,0))))</f>
        <v>FİNAL SİYAH BEYAZ LTD.ŞTİ.</v>
      </c>
      <c r="O460" s="2"/>
      <c r="P460" s="2"/>
      <c r="Q460" s="1" t="str">
        <f>IF($D460="","",$C460&amp;"|"&amp;COUNTIFS($C$7:$C460,$C460))</f>
        <v>M014|26</v>
      </c>
      <c r="R460" s="1" t="str">
        <f t="shared" si="38"/>
        <v>FINALSIYAHBEYAZLTDSTI</v>
      </c>
      <c r="S460" s="1" t="str">
        <f t="shared" si="39"/>
        <v>M014|46221|4000|</v>
      </c>
      <c r="T460" s="1">
        <f>IF($E460="",0,SUMPRODUCT((AY_SONU!$O$7:$O$42="Evet")*(AY_SONU!$B$7:$B$42=DATE(YEAR($E460),MONTH($E460),1))))</f>
        <v>0</v>
      </c>
      <c r="U460" s="1" t="str">
        <f>IF(OR($G460="",$H460="Mahsup"),"",$G460&amp;"|"&amp;COUNTIFS($G$7:$G460,$G460,$H$7:$H460,"&lt;&gt;Mahsup"))</f>
        <v>MERKEZ KASA|349</v>
      </c>
    </row>
    <row r="461" spans="1:21" ht="18" customHeight="1" x14ac:dyDescent="0.3">
      <c r="A461" s="2"/>
      <c r="B461" s="65" t="str">
        <f t="shared" si="35"/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M012</v>
      </c>
      <c r="D461" s="61" t="s">
        <v>721</v>
      </c>
      <c r="E461" s="66">
        <v>46221</v>
      </c>
      <c r="F461" s="67">
        <v>4000</v>
      </c>
      <c r="G461" s="60" t="s">
        <v>717</v>
      </c>
      <c r="H461" s="60" t="s">
        <v>572</v>
      </c>
      <c r="I461" s="61"/>
      <c r="J461" s="61" t="s">
        <v>720</v>
      </c>
      <c r="K461" s="61"/>
      <c r="L461" s="73">
        <f t="shared" si="36"/>
        <v>46204</v>
      </c>
      <c r="M461" s="65" t="str">
        <f t="shared" ca="1" si="37"/>
        <v>UYGUN</v>
      </c>
      <c r="N461" s="74" t="str">
        <f>IF($C461="","",IF($C461="TANIMSIZ MÜŞTERİ","—",INDEX(MUSTERILER!$C$7:$C$156,MATCH($C461,MUSTERILER!$B$7:$B$156,0))))</f>
        <v>İLDEŞ LTD.ŞTİ.</v>
      </c>
      <c r="O461" s="2"/>
      <c r="P461" s="2"/>
      <c r="Q461" s="1" t="str">
        <f>IF($D461="","",$C461&amp;"|"&amp;COUNTIFS($C$7:$C461,$C461))</f>
        <v>M012|26</v>
      </c>
      <c r="R461" s="1" t="str">
        <f t="shared" si="38"/>
        <v>ILDESLTDSTI</v>
      </c>
      <c r="S461" s="1" t="str">
        <f t="shared" si="39"/>
        <v>M012|46221|4000|</v>
      </c>
      <c r="T461" s="1">
        <f>IF($E461="",0,SUMPRODUCT((AY_SONU!$O$7:$O$42="Evet")*(AY_SONU!$B$7:$B$42=DATE(YEAR($E461),MONTH($E461),1))))</f>
        <v>0</v>
      </c>
      <c r="U461" s="1" t="str">
        <f>IF(OR($G461="",$H461="Mahsup"),"",$G461&amp;"|"&amp;COUNTIFS($G$7:$G461,$G461,$H$7:$H461,"&lt;&gt;Mahsup"))</f>
        <v>MERKEZ KASA|350</v>
      </c>
    </row>
    <row r="462" spans="1:21" ht="18" customHeight="1" x14ac:dyDescent="0.3">
      <c r="A462" s="2"/>
      <c r="B462" s="65" t="str">
        <f t="shared" si="35"/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M013</v>
      </c>
      <c r="D462" s="61" t="s">
        <v>734</v>
      </c>
      <c r="E462" s="66">
        <v>46221</v>
      </c>
      <c r="F462" s="67">
        <v>2000</v>
      </c>
      <c r="G462" s="60" t="s">
        <v>717</v>
      </c>
      <c r="H462" s="60" t="s">
        <v>572</v>
      </c>
      <c r="I462" s="61"/>
      <c r="J462" s="61" t="s">
        <v>720</v>
      </c>
      <c r="K462" s="61"/>
      <c r="L462" s="73">
        <f t="shared" si="36"/>
        <v>46204</v>
      </c>
      <c r="M462" s="65" t="str">
        <f t="shared" ca="1" si="37"/>
        <v>UYGUN</v>
      </c>
      <c r="N462" s="74" t="str">
        <f>IF($C462="","",IF($C462="TANIMSIZ MÜŞTERİ","—",INDEX(MUSTERILER!$C$7:$C$156,MATCH($C462,MUSTERILER!$B$7:$B$156,0))))</f>
        <v>NAZ 1 GIDA LTD.ŞTİ.</v>
      </c>
      <c r="O462" s="2"/>
      <c r="P462" s="2"/>
      <c r="Q462" s="1" t="str">
        <f>IF($D462="","",$C462&amp;"|"&amp;COUNTIFS($C$7:$C462,$C462))</f>
        <v>M013|19</v>
      </c>
      <c r="R462" s="1" t="str">
        <f t="shared" si="38"/>
        <v>NAZ1GIDALTDSTI</v>
      </c>
      <c r="S462" s="1" t="str">
        <f t="shared" si="39"/>
        <v>M013|46221|2000|</v>
      </c>
      <c r="T462" s="1">
        <f>IF($E462="",0,SUMPRODUCT((AY_SONU!$O$7:$O$42="Evet")*(AY_SONU!$B$7:$B$42=DATE(YEAR($E462),MONTH($E462),1))))</f>
        <v>0</v>
      </c>
      <c r="U462" s="1" t="str">
        <f>IF(OR($G462="",$H462="Mahsup"),"",$G462&amp;"|"&amp;COUNTIFS($G$7:$G462,$G462,$H$7:$H462,"&lt;&gt;Mahsup"))</f>
        <v>MERKEZ KASA|351</v>
      </c>
    </row>
    <row r="463" spans="1:21" ht="18" customHeight="1" x14ac:dyDescent="0.3">
      <c r="A463" s="2"/>
      <c r="B463" s="65" t="str">
        <f t="shared" si="35"/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M009</v>
      </c>
      <c r="D463" s="61" t="s">
        <v>735</v>
      </c>
      <c r="E463" s="66">
        <v>46221</v>
      </c>
      <c r="F463" s="67">
        <v>4000</v>
      </c>
      <c r="G463" s="60" t="s">
        <v>717</v>
      </c>
      <c r="H463" s="60" t="s">
        <v>572</v>
      </c>
      <c r="I463" s="61"/>
      <c r="J463" s="61" t="s">
        <v>720</v>
      </c>
      <c r="K463" s="61"/>
      <c r="L463" s="73">
        <f t="shared" si="36"/>
        <v>46204</v>
      </c>
      <c r="M463" s="65" t="str">
        <f t="shared" ca="1" si="37"/>
        <v>UYGUN</v>
      </c>
      <c r="N463" s="74" t="str">
        <f>IF($C463="","",IF($C463="TANIMSIZ MÜŞTERİ","—",INDEX(MUSTERILER!$C$7:$C$156,MATCH($C463,MUSTERILER!$B$7:$B$156,0))))</f>
        <v>PAKYILDIZ LTD.ŞTİ.</v>
      </c>
      <c r="O463" s="2"/>
      <c r="P463" s="2"/>
      <c r="Q463" s="1" t="str">
        <f>IF($D463="","",$C463&amp;"|"&amp;COUNTIFS($C$7:$C463,$C463))</f>
        <v>M009|24</v>
      </c>
      <c r="R463" s="1" t="str">
        <f t="shared" si="38"/>
        <v>PAKYILDIZLTDSTI</v>
      </c>
      <c r="S463" s="1" t="str">
        <f t="shared" si="39"/>
        <v>M009|46221|4000|</v>
      </c>
      <c r="T463" s="1">
        <f>IF($E463="",0,SUMPRODUCT((AY_SONU!$O$7:$O$42="Evet")*(AY_SONU!$B$7:$B$42=DATE(YEAR($E463),MONTH($E463),1))))</f>
        <v>0</v>
      </c>
      <c r="U463" s="1" t="str">
        <f>IF(OR($G463="",$H463="Mahsup"),"",$G463&amp;"|"&amp;COUNTIFS($G$7:$G463,$G463,$H$7:$H463,"&lt;&gt;Mahsup"))</f>
        <v>MERKEZ KASA|352</v>
      </c>
    </row>
    <row r="464" spans="1:21" ht="18" customHeight="1" x14ac:dyDescent="0.3">
      <c r="A464" s="2"/>
      <c r="B464" s="65" t="str">
        <f t="shared" si="35"/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M009</v>
      </c>
      <c r="D464" s="61" t="s">
        <v>735</v>
      </c>
      <c r="E464" s="66">
        <v>46221</v>
      </c>
      <c r="F464" s="67">
        <v>5000</v>
      </c>
      <c r="G464" s="60" t="s">
        <v>717</v>
      </c>
      <c r="H464" s="60" t="s">
        <v>572</v>
      </c>
      <c r="I464" s="61"/>
      <c r="J464" s="61" t="s">
        <v>720</v>
      </c>
      <c r="K464" s="61"/>
      <c r="L464" s="73">
        <f t="shared" si="36"/>
        <v>46204</v>
      </c>
      <c r="M464" s="65" t="str">
        <f t="shared" ca="1" si="37"/>
        <v>UYGUN</v>
      </c>
      <c r="N464" s="74" t="str">
        <f>IF($C464="","",IF($C464="TANIMSIZ MÜŞTERİ","—",INDEX(MUSTERILER!$C$7:$C$156,MATCH($C464,MUSTERILER!$B$7:$B$156,0))))</f>
        <v>PAKYILDIZ LTD.ŞTİ.</v>
      </c>
      <c r="O464" s="2"/>
      <c r="P464" s="2"/>
      <c r="Q464" s="1" t="str">
        <f>IF($D464="","",$C464&amp;"|"&amp;COUNTIFS($C$7:$C464,$C464))</f>
        <v>M009|25</v>
      </c>
      <c r="R464" s="1" t="str">
        <f t="shared" si="38"/>
        <v>PAKYILDIZLTDSTI</v>
      </c>
      <c r="S464" s="1" t="str">
        <f t="shared" si="39"/>
        <v>M009|46221|5000|</v>
      </c>
      <c r="T464" s="1">
        <f>IF($E464="",0,SUMPRODUCT((AY_SONU!$O$7:$O$42="Evet")*(AY_SONU!$B$7:$B$42=DATE(YEAR($E464),MONTH($E464),1))))</f>
        <v>0</v>
      </c>
      <c r="U464" s="1" t="str">
        <f>IF(OR($G464="",$H464="Mahsup"),"",$G464&amp;"|"&amp;COUNTIFS($G$7:$G464,$G464,$H$7:$H464,"&lt;&gt;Mahsup"))</f>
        <v>MERKEZ KASA|353</v>
      </c>
    </row>
    <row r="465" spans="1:21" ht="18" customHeight="1" x14ac:dyDescent="0.3">
      <c r="A465" s="2"/>
      <c r="B465" s="65" t="str">
        <f t="shared" si="35"/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M035</v>
      </c>
      <c r="D465" s="61" t="s">
        <v>615</v>
      </c>
      <c r="E465" s="66">
        <v>46221</v>
      </c>
      <c r="F465" s="67">
        <v>3500</v>
      </c>
      <c r="G465" s="60" t="s">
        <v>723</v>
      </c>
      <c r="H465" s="60" t="s">
        <v>572</v>
      </c>
      <c r="I465" s="61"/>
      <c r="J465" s="61" t="s">
        <v>720</v>
      </c>
      <c r="K465" s="61"/>
      <c r="L465" s="73">
        <f t="shared" si="36"/>
        <v>46204</v>
      </c>
      <c r="M465" s="65" t="str">
        <f t="shared" ca="1" si="37"/>
        <v>UYGUN</v>
      </c>
      <c r="N465" s="74" t="str">
        <f>IF($C465="","",IF($C465="TANIMSIZ MÜŞTERİ","—",INDEX(MUSTERILER!$C$7:$C$156,MATCH($C465,MUSTERILER!$B$7:$B$156,0))))</f>
        <v>İSA DEMİRCİ</v>
      </c>
      <c r="O465" s="2"/>
      <c r="P465" s="2"/>
      <c r="Q465" s="1" t="str">
        <f>IF($D465="","",$C465&amp;"|"&amp;COUNTIFS($C$7:$C465,$C465))</f>
        <v>M035|7</v>
      </c>
      <c r="R465" s="1" t="str">
        <f t="shared" si="38"/>
        <v>ISADEMIRCI</v>
      </c>
      <c r="S465" s="1" t="str">
        <f t="shared" si="39"/>
        <v>M035|46221|3500|</v>
      </c>
      <c r="T465" s="1">
        <f>IF($E465="",0,SUMPRODUCT((AY_SONU!$O$7:$O$42="Evet")*(AY_SONU!$B$7:$B$42=DATE(YEAR($E465),MONTH($E465),1))))</f>
        <v>0</v>
      </c>
      <c r="U465" s="1" t="str">
        <f>IF(OR($G465="",$H465="Mahsup"),"",$G465&amp;"|"&amp;COUNTIFS($G$7:$G465,$G465,$H$7:$H465,"&lt;&gt;Mahsup"))</f>
        <v>ÖMER KARTAL|106</v>
      </c>
    </row>
    <row r="466" spans="1:21" ht="18" customHeight="1" x14ac:dyDescent="0.3">
      <c r="A466" s="2"/>
      <c r="B466" s="65" t="str">
        <f t="shared" si="35"/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M016</v>
      </c>
      <c r="D466" s="61" t="s">
        <v>736</v>
      </c>
      <c r="E466" s="66">
        <v>46221</v>
      </c>
      <c r="F466" s="67">
        <v>3000</v>
      </c>
      <c r="G466" s="60" t="s">
        <v>717</v>
      </c>
      <c r="H466" s="60" t="s">
        <v>572</v>
      </c>
      <c r="I466" s="61"/>
      <c r="J466" s="61" t="s">
        <v>720</v>
      </c>
      <c r="K466" s="61"/>
      <c r="L466" s="73">
        <f t="shared" si="36"/>
        <v>46204</v>
      </c>
      <c r="M466" s="65" t="str">
        <f t="shared" ca="1" si="37"/>
        <v>UYGUN</v>
      </c>
      <c r="N466" s="74" t="str">
        <f>IF($C466="","",IF($C466="TANIMSIZ MÜŞTERİ","—",INDEX(MUSTERILER!$C$7:$C$156,MATCH($C466,MUSTERILER!$B$7:$B$156,0))))</f>
        <v>RİX ŞOW LTD.ŞTİ.</v>
      </c>
      <c r="O466" s="2"/>
      <c r="P466" s="2"/>
      <c r="Q466" s="1" t="str">
        <f>IF($D466="","",$C466&amp;"|"&amp;COUNTIFS($C$7:$C466,$C466))</f>
        <v>M016|27</v>
      </c>
      <c r="R466" s="1" t="str">
        <f t="shared" si="38"/>
        <v>RIXSOWLTDSTI</v>
      </c>
      <c r="S466" s="1" t="str">
        <f t="shared" si="39"/>
        <v>M016|46221|3000|</v>
      </c>
      <c r="T466" s="1">
        <f>IF($E466="",0,SUMPRODUCT((AY_SONU!$O$7:$O$42="Evet")*(AY_SONU!$B$7:$B$42=DATE(YEAR($E466),MONTH($E466),1))))</f>
        <v>0</v>
      </c>
      <c r="U466" s="1" t="str">
        <f>IF(OR($G466="",$H466="Mahsup"),"",$G466&amp;"|"&amp;COUNTIFS($G$7:$G466,$G466,$H$7:$H466,"&lt;&gt;Mahsup"))</f>
        <v>MERKEZ KASA|354</v>
      </c>
    </row>
    <row r="467" spans="1:21" ht="18" customHeight="1" x14ac:dyDescent="0.3">
      <c r="A467" s="2"/>
      <c r="B467" s="65" t="str">
        <f t="shared" si="35"/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M046</v>
      </c>
      <c r="D467" s="61" t="s">
        <v>648</v>
      </c>
      <c r="E467" s="66">
        <v>46221</v>
      </c>
      <c r="F467" s="67">
        <v>3500</v>
      </c>
      <c r="G467" s="60" t="s">
        <v>723</v>
      </c>
      <c r="H467" s="60" t="s">
        <v>572</v>
      </c>
      <c r="I467" s="61"/>
      <c r="J467" s="61" t="s">
        <v>720</v>
      </c>
      <c r="K467" s="61"/>
      <c r="L467" s="73">
        <f t="shared" si="36"/>
        <v>46204</v>
      </c>
      <c r="M467" s="65" t="str">
        <f t="shared" ca="1" si="37"/>
        <v>UYGUN</v>
      </c>
      <c r="N467" s="74" t="str">
        <f>IF($C467="","",IF($C467="TANIMSIZ MÜŞTERİ","—",INDEX(MUSTERILER!$C$7:$C$156,MATCH($C467,MUSTERILER!$B$7:$B$156,0))))</f>
        <v>ÖMER DEMİRCİ</v>
      </c>
      <c r="O467" s="2"/>
      <c r="P467" s="2"/>
      <c r="Q467" s="1" t="str">
        <f>IF($D467="","",$C467&amp;"|"&amp;COUNTIFS($C$7:$C467,$C467))</f>
        <v>M046|2</v>
      </c>
      <c r="R467" s="1" t="str">
        <f t="shared" si="38"/>
        <v>OMERDEMIRCI</v>
      </c>
      <c r="S467" s="1" t="str">
        <f t="shared" si="39"/>
        <v>M046|46221|3500|</v>
      </c>
      <c r="T467" s="1">
        <f>IF($E467="",0,SUMPRODUCT((AY_SONU!$O$7:$O$42="Evet")*(AY_SONU!$B$7:$B$42=DATE(YEAR($E467),MONTH($E467),1))))</f>
        <v>0</v>
      </c>
      <c r="U467" s="1" t="str">
        <f>IF(OR($G467="",$H467="Mahsup"),"",$G467&amp;"|"&amp;COUNTIFS($G$7:$G467,$G467,$H$7:$H467,"&lt;&gt;Mahsup"))</f>
        <v>ÖMER KARTAL|107</v>
      </c>
    </row>
    <row r="468" spans="1:21" ht="18" customHeight="1" x14ac:dyDescent="0.3">
      <c r="A468" s="2"/>
      <c r="B468" s="65" t="str">
        <f t="shared" si="35"/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M054</v>
      </c>
      <c r="D468" s="61" t="s">
        <v>674</v>
      </c>
      <c r="E468" s="66">
        <v>46221</v>
      </c>
      <c r="F468" s="67">
        <v>5000</v>
      </c>
      <c r="G468" s="60" t="s">
        <v>717</v>
      </c>
      <c r="H468" s="60" t="s">
        <v>572</v>
      </c>
      <c r="I468" s="61"/>
      <c r="J468" s="61" t="s">
        <v>742</v>
      </c>
      <c r="K468" s="61"/>
      <c r="L468" s="73">
        <f t="shared" si="36"/>
        <v>46204</v>
      </c>
      <c r="M468" s="65" t="str">
        <f t="shared" ca="1" si="37"/>
        <v>UYGUN</v>
      </c>
      <c r="N468" s="74" t="str">
        <f>IF($C468="","",IF($C468="TANIMSIZ MÜŞTERİ","—",INDEX(MUSTERILER!$C$7:$C$156,MATCH($C468,MUSTERILER!$B$7:$B$156,0))))</f>
        <v>YALIKENT LTD.ŞTİ.</v>
      </c>
      <c r="O468" s="2"/>
      <c r="P468" s="2"/>
      <c r="Q468" s="1" t="str">
        <f>IF($D468="","",$C468&amp;"|"&amp;COUNTIFS($C$7:$C468,$C468))</f>
        <v>M054|18</v>
      </c>
      <c r="R468" s="1" t="str">
        <f t="shared" si="38"/>
        <v>YALIKENTLTDSTI</v>
      </c>
      <c r="S468" s="1" t="str">
        <f t="shared" si="39"/>
        <v>M054|46221|5000|</v>
      </c>
      <c r="T468" s="1">
        <f>IF($E468="",0,SUMPRODUCT((AY_SONU!$O$7:$O$42="Evet")*(AY_SONU!$B$7:$B$42=DATE(YEAR($E468),MONTH($E468),1))))</f>
        <v>0</v>
      </c>
      <c r="U468" s="1" t="str">
        <f>IF(OR($G468="",$H468="Mahsup"),"",$G468&amp;"|"&amp;COUNTIFS($G$7:$G468,$G468,$H$7:$H468,"&lt;&gt;Mahsup"))</f>
        <v>MERKEZ KASA|355</v>
      </c>
    </row>
    <row r="469" spans="1:21" ht="18" customHeight="1" x14ac:dyDescent="0.3">
      <c r="A469" s="2"/>
      <c r="B469" s="65" t="str">
        <f t="shared" si="35"/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M005</v>
      </c>
      <c r="D469" s="61" t="s">
        <v>722</v>
      </c>
      <c r="E469" s="66">
        <v>46221</v>
      </c>
      <c r="F469" s="67">
        <v>3500</v>
      </c>
      <c r="G469" s="60" t="s">
        <v>717</v>
      </c>
      <c r="H469" s="60" t="s">
        <v>572</v>
      </c>
      <c r="I469" s="61"/>
      <c r="J469" s="61" t="s">
        <v>720</v>
      </c>
      <c r="K469" s="61"/>
      <c r="L469" s="73">
        <f t="shared" si="36"/>
        <v>46204</v>
      </c>
      <c r="M469" s="65" t="str">
        <f t="shared" ca="1" si="37"/>
        <v>UYGUN</v>
      </c>
      <c r="N469" s="74" t="str">
        <f>IF($C469="","",IF($C469="TANIMSIZ MÜŞTERİ","—",INDEX(MUSTERILER!$C$7:$C$156,MATCH($C469,MUSTERILER!$B$7:$B$156,0))))</f>
        <v>ZÜMRÜT GRUP LTD.ŞTİ.</v>
      </c>
      <c r="O469" s="2"/>
      <c r="P469" s="2"/>
      <c r="Q469" s="1" t="str">
        <f>IF($D469="","",$C469&amp;"|"&amp;COUNTIFS($C$7:$C469,$C469))</f>
        <v>M005|20</v>
      </c>
      <c r="R469" s="1" t="str">
        <f t="shared" si="38"/>
        <v>ZUMRUTGRUPLTDSTI</v>
      </c>
      <c r="S469" s="1" t="str">
        <f t="shared" si="39"/>
        <v>M005|46221|3500|</v>
      </c>
      <c r="T469" s="1">
        <f>IF($E469="",0,SUMPRODUCT((AY_SONU!$O$7:$O$42="Evet")*(AY_SONU!$B$7:$B$42=DATE(YEAR($E469),MONTH($E469),1))))</f>
        <v>0</v>
      </c>
      <c r="U469" s="1" t="str">
        <f>IF(OR($G469="",$H469="Mahsup"),"",$G469&amp;"|"&amp;COUNTIFS($G$7:$G469,$G469,$H$7:$H469,"&lt;&gt;Mahsup"))</f>
        <v>MERKEZ KASA|356</v>
      </c>
    </row>
    <row r="470" spans="1:21" ht="18" customHeight="1" x14ac:dyDescent="0.3">
      <c r="A470" s="2"/>
      <c r="B470" s="65" t="str">
        <f t="shared" si="35"/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M018</v>
      </c>
      <c r="D470" s="61" t="s">
        <v>593</v>
      </c>
      <c r="E470" s="66">
        <v>46221</v>
      </c>
      <c r="F470" s="67">
        <v>5000</v>
      </c>
      <c r="G470" s="60" t="s">
        <v>717</v>
      </c>
      <c r="H470" s="60" t="s">
        <v>572</v>
      </c>
      <c r="I470" s="61"/>
      <c r="J470" s="61" t="s">
        <v>720</v>
      </c>
      <c r="K470" s="61"/>
      <c r="L470" s="73">
        <f t="shared" si="36"/>
        <v>46204</v>
      </c>
      <c r="M470" s="65" t="str">
        <f t="shared" ca="1" si="37"/>
        <v>UYGUN</v>
      </c>
      <c r="N470" s="74" t="str">
        <f>IF($C470="","",IF($C470="TANIMSIZ MÜŞTERİ","—",INDEX(MUSTERILER!$C$7:$C$156,MATCH($C470,MUSTERILER!$B$7:$B$156,0))))</f>
        <v>ÇINARHAN LTD.ŞTİ.</v>
      </c>
      <c r="O470" s="2"/>
      <c r="P470" s="2"/>
      <c r="Q470" s="1" t="str">
        <f>IF($D470="","",$C470&amp;"|"&amp;COUNTIFS($C$7:$C470,$C470))</f>
        <v>M018|19</v>
      </c>
      <c r="R470" s="1" t="str">
        <f t="shared" si="38"/>
        <v>CINARHANLTDSTI</v>
      </c>
      <c r="S470" s="1" t="str">
        <f t="shared" si="39"/>
        <v>M018|46221|5000|</v>
      </c>
      <c r="T470" s="1">
        <f>IF($E470="",0,SUMPRODUCT((AY_SONU!$O$7:$O$42="Evet")*(AY_SONU!$B$7:$B$42=DATE(YEAR($E470),MONTH($E470),1))))</f>
        <v>0</v>
      </c>
      <c r="U470" s="1" t="str">
        <f>IF(OR($G470="",$H470="Mahsup"),"",$G470&amp;"|"&amp;COUNTIFS($G$7:$G470,$G470,$H$7:$H470,"&lt;&gt;Mahsup"))</f>
        <v>MERKEZ KASA|357</v>
      </c>
    </row>
    <row r="471" spans="1:21" ht="18" customHeight="1" x14ac:dyDescent="0.3">
      <c r="A471" s="2"/>
      <c r="B471" s="65" t="str">
        <f t="shared" si="35"/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M047</v>
      </c>
      <c r="D471" s="61" t="s">
        <v>654</v>
      </c>
      <c r="E471" s="66">
        <v>46221</v>
      </c>
      <c r="F471" s="67">
        <v>5000</v>
      </c>
      <c r="G471" s="60" t="s">
        <v>717</v>
      </c>
      <c r="H471" s="60" t="s">
        <v>572</v>
      </c>
      <c r="I471" s="61"/>
      <c r="J471" s="61" t="s">
        <v>720</v>
      </c>
      <c r="K471" s="61"/>
      <c r="L471" s="73">
        <f t="shared" si="36"/>
        <v>46204</v>
      </c>
      <c r="M471" s="65" t="str">
        <f t="shared" ca="1" si="37"/>
        <v>UYGUN</v>
      </c>
      <c r="N471" s="74" t="str">
        <f>IF($C471="","",IF($C471="TANIMSIZ MÜŞTERİ","—",INDEX(MUSTERILER!$C$7:$C$156,MATCH($C471,MUSTERILER!$B$7:$B$156,0))))</f>
        <v>PALAOĞULLARI LTD.ŞTİ.</v>
      </c>
      <c r="O471" s="2"/>
      <c r="P471" s="2"/>
      <c r="Q471" s="1" t="str">
        <f>IF($D471="","",$C471&amp;"|"&amp;COUNTIFS($C$7:$C471,$C471))</f>
        <v>M047|18</v>
      </c>
      <c r="R471" s="1" t="str">
        <f t="shared" si="38"/>
        <v>PALAOGULLARILTDSTI</v>
      </c>
      <c r="S471" s="1" t="str">
        <f t="shared" si="39"/>
        <v>M047|46221|5000|</v>
      </c>
      <c r="T471" s="1">
        <f>IF($E471="",0,SUMPRODUCT((AY_SONU!$O$7:$O$42="Evet")*(AY_SONU!$B$7:$B$42=DATE(YEAR($E471),MONTH($E471),1))))</f>
        <v>0</v>
      </c>
      <c r="U471" s="1" t="str">
        <f>IF(OR($G471="",$H471="Mahsup"),"",$G471&amp;"|"&amp;COUNTIFS($G$7:$G471,$G471,$H$7:$H471,"&lt;&gt;Mahsup"))</f>
        <v>MERKEZ KASA|358</v>
      </c>
    </row>
    <row r="472" spans="1:21" ht="18" customHeight="1" x14ac:dyDescent="0.3">
      <c r="A472" s="2"/>
      <c r="B472" s="65" t="str">
        <f t="shared" si="35"/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M030</v>
      </c>
      <c r="D472" s="61" t="s">
        <v>603</v>
      </c>
      <c r="E472" s="66">
        <v>46225</v>
      </c>
      <c r="F472" s="67">
        <v>2000</v>
      </c>
      <c r="G472" s="60" t="s">
        <v>717</v>
      </c>
      <c r="H472" s="60" t="s">
        <v>572</v>
      </c>
      <c r="I472" s="61"/>
      <c r="J472" s="61" t="s">
        <v>720</v>
      </c>
      <c r="K472" s="61"/>
      <c r="L472" s="73">
        <f t="shared" si="36"/>
        <v>46204</v>
      </c>
      <c r="M472" s="65" t="str">
        <f t="shared" ca="1" si="37"/>
        <v>UYGUN</v>
      </c>
      <c r="N472" s="74" t="str">
        <f>IF($C472="","",IF($C472="TANIMSIZ MÜŞTERİ","—",INDEX(MUSTERILER!$C$7:$C$156,MATCH($C472,MUSTERILER!$B$7:$B$156,0))))</f>
        <v>FARUK DEMİRCİ</v>
      </c>
      <c r="O472" s="2"/>
      <c r="P472" s="2"/>
      <c r="Q472" s="1" t="str">
        <f>IF($D472="","",$C472&amp;"|"&amp;COUNTIFS($C$7:$C472,$C472))</f>
        <v>M030|4</v>
      </c>
      <c r="R472" s="1" t="str">
        <f t="shared" si="38"/>
        <v>FARUKDEMIRCI</v>
      </c>
      <c r="S472" s="1" t="str">
        <f t="shared" si="39"/>
        <v>M030|46225|2000|</v>
      </c>
      <c r="T472" s="1">
        <f>IF($E472="",0,SUMPRODUCT((AY_SONU!$O$7:$O$42="Evet")*(AY_SONU!$B$7:$B$42=DATE(YEAR($E472),MONTH($E472),1))))</f>
        <v>0</v>
      </c>
      <c r="U472" s="1" t="str">
        <f>IF(OR($G472="",$H472="Mahsup"),"",$G472&amp;"|"&amp;COUNTIFS($G$7:$G472,$G472,$H$7:$H472,"&lt;&gt;Mahsup"))</f>
        <v>MERKEZ KASA|359</v>
      </c>
    </row>
    <row r="473" spans="1:21" ht="18" customHeight="1" x14ac:dyDescent="0.3">
      <c r="A473" s="2"/>
      <c r="B473" s="65" t="str">
        <f t="shared" si="35"/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M037</v>
      </c>
      <c r="D473" s="61" t="s">
        <v>625</v>
      </c>
      <c r="E473" s="66">
        <v>46225</v>
      </c>
      <c r="F473" s="67">
        <v>2000</v>
      </c>
      <c r="G473" s="60" t="s">
        <v>717</v>
      </c>
      <c r="H473" s="60" t="s">
        <v>572</v>
      </c>
      <c r="I473" s="61"/>
      <c r="J473" s="61" t="s">
        <v>720</v>
      </c>
      <c r="K473" s="61"/>
      <c r="L473" s="73">
        <f t="shared" si="36"/>
        <v>46204</v>
      </c>
      <c r="M473" s="65" t="str">
        <f t="shared" ca="1" si="37"/>
        <v>UYGUN</v>
      </c>
      <c r="N473" s="74" t="str">
        <f>IF($C473="","",IF($C473="TANIMSIZ MÜŞTERİ","—",INDEX(MUSTERILER!$C$7:$C$156,MATCH($C473,MUSTERILER!$B$7:$B$156,0))))</f>
        <v>MEHMET EVREN KILINÇ</v>
      </c>
      <c r="O473" s="2"/>
      <c r="P473" s="2"/>
      <c r="Q473" s="1" t="str">
        <f>IF($D473="","",$C473&amp;"|"&amp;COUNTIFS($C$7:$C473,$C473))</f>
        <v>M037|6</v>
      </c>
      <c r="R473" s="1" t="str">
        <f t="shared" si="38"/>
        <v>MEHMETEVRENKILINC</v>
      </c>
      <c r="S473" s="1" t="str">
        <f t="shared" si="39"/>
        <v>M037|46225|2000|</v>
      </c>
      <c r="T473" s="1">
        <f>IF($E473="",0,SUMPRODUCT((AY_SONU!$O$7:$O$42="Evet")*(AY_SONU!$B$7:$B$42=DATE(YEAR($E473),MONTH($E473),1))))</f>
        <v>0</v>
      </c>
      <c r="U473" s="1" t="str">
        <f>IF(OR($G473="",$H473="Mahsup"),"",$G473&amp;"|"&amp;COUNTIFS($G$7:$G473,$G473,$H$7:$H473,"&lt;&gt;Mahsup"))</f>
        <v>MERKEZ KASA|360</v>
      </c>
    </row>
    <row r="474" spans="1:21" ht="18" customHeight="1" x14ac:dyDescent="0.3">
      <c r="A474" s="2"/>
      <c r="B474" s="65" t="str">
        <f t="shared" si="35"/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M048</v>
      </c>
      <c r="D474" s="61" t="s">
        <v>656</v>
      </c>
      <c r="E474" s="66">
        <v>46226</v>
      </c>
      <c r="F474" s="67">
        <v>6000</v>
      </c>
      <c r="G474" s="60" t="s">
        <v>717</v>
      </c>
      <c r="H474" s="60" t="s">
        <v>572</v>
      </c>
      <c r="I474" s="61"/>
      <c r="J474" s="61" t="s">
        <v>720</v>
      </c>
      <c r="K474" s="61"/>
      <c r="L474" s="73">
        <f t="shared" si="36"/>
        <v>46204</v>
      </c>
      <c r="M474" s="65" t="str">
        <f t="shared" ca="1" si="37"/>
        <v>UYGUN</v>
      </c>
      <c r="N474" s="74" t="str">
        <f>IF($C474="","",IF($C474="TANIMSIZ MÜŞTERİ","—",INDEX(MUSTERILER!$C$7:$C$156,MATCH($C474,MUSTERILER!$B$7:$B$156,0))))</f>
        <v>RASİM DEMİRCİ</v>
      </c>
      <c r="O474" s="2"/>
      <c r="P474" s="2"/>
      <c r="Q474" s="1" t="str">
        <f>IF($D474="","",$C474&amp;"|"&amp;COUNTIFS($C$7:$C474,$C474))</f>
        <v>M048|2</v>
      </c>
      <c r="R474" s="1" t="str">
        <f t="shared" si="38"/>
        <v>RASIMDEMIRCI</v>
      </c>
      <c r="S474" s="1" t="str">
        <f t="shared" si="39"/>
        <v>M048|46226|6000|</v>
      </c>
      <c r="T474" s="1">
        <f>IF($E474="",0,SUMPRODUCT((AY_SONU!$O$7:$O$42="Evet")*(AY_SONU!$B$7:$B$42=DATE(YEAR($E474),MONTH($E474),1))))</f>
        <v>0</v>
      </c>
      <c r="U474" s="1" t="str">
        <f>IF(OR($G474="",$H474="Mahsup"),"",$G474&amp;"|"&amp;COUNTIFS($G$7:$G474,$G474,$H$7:$H474,"&lt;&gt;Mahsup"))</f>
        <v>MERKEZ KASA|361</v>
      </c>
    </row>
    <row r="475" spans="1:21" ht="18" customHeight="1" x14ac:dyDescent="0.3">
      <c r="A475" s="2"/>
      <c r="B475" s="65" t="str">
        <f t="shared" si="35"/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M001</v>
      </c>
      <c r="D475" s="61" t="s">
        <v>729</v>
      </c>
      <c r="E475" s="66">
        <v>46228</v>
      </c>
      <c r="F475" s="67">
        <v>4000</v>
      </c>
      <c r="G475" s="60" t="s">
        <v>717</v>
      </c>
      <c r="H475" s="60" t="s">
        <v>572</v>
      </c>
      <c r="I475" s="61"/>
      <c r="J475" s="61" t="s">
        <v>720</v>
      </c>
      <c r="K475" s="61"/>
      <c r="L475" s="73">
        <f t="shared" si="36"/>
        <v>46204</v>
      </c>
      <c r="M475" s="65" t="str">
        <f t="shared" ca="1" si="37"/>
        <v>UYGUN</v>
      </c>
      <c r="N475" s="74" t="str">
        <f>IF($C475="","",IF($C475="TANIMSIZ MÜŞTERİ","—",INDEX(MUSTERILER!$C$7:$C$156,MATCH($C475,MUSTERILER!$B$7:$B$156,0))))</f>
        <v>ANKARA HAVANA LTD.ŞTİ.</v>
      </c>
      <c r="O475" s="2"/>
      <c r="P475" s="2"/>
      <c r="Q475" s="1" t="str">
        <f>IF($D475="","",$C475&amp;"|"&amp;COUNTIFS($C$7:$C475,$C475))</f>
        <v>M001|14</v>
      </c>
      <c r="R475" s="1" t="str">
        <f t="shared" si="38"/>
        <v>ANKARAHAVANALTDSTI</v>
      </c>
      <c r="S475" s="1" t="str">
        <f t="shared" si="39"/>
        <v>M001|46228|4000|</v>
      </c>
      <c r="T475" s="1">
        <f>IF($E475="",0,SUMPRODUCT((AY_SONU!$O$7:$O$42="Evet")*(AY_SONU!$B$7:$B$42=DATE(YEAR($E475),MONTH($E475),1))))</f>
        <v>0</v>
      </c>
      <c r="U475" s="1" t="str">
        <f>IF(OR($G475="",$H475="Mahsup"),"",$G475&amp;"|"&amp;COUNTIFS($G$7:$G475,$G475,$H$7:$H475,"&lt;&gt;Mahsup"))</f>
        <v>MERKEZ KASA|362</v>
      </c>
    </row>
    <row r="476" spans="1:21" ht="18" customHeight="1" x14ac:dyDescent="0.3">
      <c r="A476" s="2"/>
      <c r="B476" s="65" t="str">
        <f t="shared" si="35"/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M025</v>
      </c>
      <c r="D476" s="61" t="s">
        <v>583</v>
      </c>
      <c r="E476" s="66">
        <v>46228</v>
      </c>
      <c r="F476" s="67">
        <v>2000</v>
      </c>
      <c r="G476" s="60" t="s">
        <v>717</v>
      </c>
      <c r="H476" s="60" t="s">
        <v>572</v>
      </c>
      <c r="I476" s="61"/>
      <c r="J476" s="61" t="s">
        <v>720</v>
      </c>
      <c r="K476" s="61"/>
      <c r="L476" s="73">
        <f t="shared" si="36"/>
        <v>46204</v>
      </c>
      <c r="M476" s="65" t="str">
        <f t="shared" ca="1" si="37"/>
        <v>UYGUN</v>
      </c>
      <c r="N476" s="74" t="str">
        <f>IF($C476="","",IF($C476="TANIMSIZ MÜŞTERİ","—",INDEX(MUSTERILER!$C$7:$C$156,MATCH($C476,MUSTERILER!$B$7:$B$156,0))))</f>
        <v>ASIM AÇIKGÖZ</v>
      </c>
      <c r="O476" s="2"/>
      <c r="P476" s="2"/>
      <c r="Q476" s="1" t="str">
        <f>IF($D476="","",$C476&amp;"|"&amp;COUNTIFS($C$7:$C476,$C476))</f>
        <v>M025|25</v>
      </c>
      <c r="R476" s="1" t="str">
        <f t="shared" si="38"/>
        <v>ASIMACIKGOZ</v>
      </c>
      <c r="S476" s="1" t="str">
        <f t="shared" si="39"/>
        <v>M025|46228|2000|</v>
      </c>
      <c r="T476" s="1">
        <f>IF($E476="",0,SUMPRODUCT((AY_SONU!$O$7:$O$42="Evet")*(AY_SONU!$B$7:$B$42=DATE(YEAR($E476),MONTH($E476),1))))</f>
        <v>0</v>
      </c>
      <c r="U476" s="1" t="str">
        <f>IF(OR($G476="",$H476="Mahsup"),"",$G476&amp;"|"&amp;COUNTIFS($G$7:$G476,$G476,$H$7:$H476,"&lt;&gt;Mahsup"))</f>
        <v>MERKEZ KASA|363</v>
      </c>
    </row>
    <row r="477" spans="1:21" ht="18" customHeight="1" x14ac:dyDescent="0.3">
      <c r="A477" s="2"/>
      <c r="B477" s="65" t="str">
        <f t="shared" si="35"/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M017</v>
      </c>
      <c r="D477" s="61" t="s">
        <v>585</v>
      </c>
      <c r="E477" s="66">
        <v>46228</v>
      </c>
      <c r="F477" s="67">
        <v>2500</v>
      </c>
      <c r="G477" s="60" t="s">
        <v>717</v>
      </c>
      <c r="H477" s="60" t="s">
        <v>572</v>
      </c>
      <c r="I477" s="61"/>
      <c r="J477" s="61" t="s">
        <v>720</v>
      </c>
      <c r="K477" s="61"/>
      <c r="L477" s="73">
        <f t="shared" si="36"/>
        <v>46204</v>
      </c>
      <c r="M477" s="65" t="str">
        <f t="shared" ca="1" si="37"/>
        <v>UYGUN</v>
      </c>
      <c r="N477" s="74" t="str">
        <f>IF($C477="","",IF($C477="TANIMSIZ MÜŞTERİ","—",INDEX(MUSTERILER!$C$7:$C$156,MATCH($C477,MUSTERILER!$B$7:$B$156,0))))</f>
        <v>ASM EĞLENCE LTD.ŞTİ.</v>
      </c>
      <c r="O477" s="2"/>
      <c r="P477" s="2"/>
      <c r="Q477" s="1" t="str">
        <f>IF($D477="","",$C477&amp;"|"&amp;COUNTIFS($C$7:$C477,$C477))</f>
        <v>M017|25</v>
      </c>
      <c r="R477" s="1" t="str">
        <f t="shared" si="38"/>
        <v>ASMEGLENCELTDSTI</v>
      </c>
      <c r="S477" s="1" t="str">
        <f t="shared" si="39"/>
        <v>M017|46228|2500|</v>
      </c>
      <c r="T477" s="1">
        <f>IF($E477="",0,SUMPRODUCT((AY_SONU!$O$7:$O$42="Evet")*(AY_SONU!$B$7:$B$42=DATE(YEAR($E477),MONTH($E477),1))))</f>
        <v>0</v>
      </c>
      <c r="U477" s="1" t="str">
        <f>IF(OR($G477="",$H477="Mahsup"),"",$G477&amp;"|"&amp;COUNTIFS($G$7:$G477,$G477,$H$7:$H477,"&lt;&gt;Mahsup"))</f>
        <v>MERKEZ KASA|364</v>
      </c>
    </row>
    <row r="478" spans="1:21" ht="18" customHeight="1" x14ac:dyDescent="0.3">
      <c r="A478" s="2"/>
      <c r="B478" s="65" t="str">
        <f t="shared" si="35"/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M015</v>
      </c>
      <c r="D478" s="61" t="s">
        <v>719</v>
      </c>
      <c r="E478" s="66">
        <v>46228</v>
      </c>
      <c r="F478" s="67">
        <v>3000</v>
      </c>
      <c r="G478" s="60" t="s">
        <v>717</v>
      </c>
      <c r="H478" s="60" t="s">
        <v>572</v>
      </c>
      <c r="I478" s="61"/>
      <c r="J478" s="61" t="s">
        <v>720</v>
      </c>
      <c r="K478" s="61"/>
      <c r="L478" s="73">
        <f t="shared" si="36"/>
        <v>46204</v>
      </c>
      <c r="M478" s="65" t="str">
        <f t="shared" ca="1" si="37"/>
        <v>UYGUN</v>
      </c>
      <c r="N478" s="74" t="str">
        <f>IF($C478="","",IF($C478="TANIMSIZ MÜŞTERİ","—",INDEX(MUSTERILER!$C$7:$C$156,MATCH($C478,MUSTERILER!$B$7:$B$156,0))))</f>
        <v>ÇAYIRALAN LTD.ŞTİ.</v>
      </c>
      <c r="O478" s="2"/>
      <c r="P478" s="2"/>
      <c r="Q478" s="1" t="str">
        <f>IF($D478="","",$C478&amp;"|"&amp;COUNTIFS($C$7:$C478,$C478))</f>
        <v>M015|27</v>
      </c>
      <c r="R478" s="1" t="str">
        <f t="shared" si="38"/>
        <v>CAYIRALANLTDSTI</v>
      </c>
      <c r="S478" s="1" t="str">
        <f t="shared" si="39"/>
        <v>M015|46228|3000|</v>
      </c>
      <c r="T478" s="1">
        <f>IF($E478="",0,SUMPRODUCT((AY_SONU!$O$7:$O$42="Evet")*(AY_SONU!$B$7:$B$42=DATE(YEAR($E478),MONTH($E478),1))))</f>
        <v>0</v>
      </c>
      <c r="U478" s="1" t="str">
        <f>IF(OR($G478="",$H478="Mahsup"),"",$G478&amp;"|"&amp;COUNTIFS($G$7:$G478,$G478,$H$7:$H478,"&lt;&gt;Mahsup"))</f>
        <v>MERKEZ KASA|365</v>
      </c>
    </row>
    <row r="479" spans="1:21" ht="18" customHeight="1" x14ac:dyDescent="0.3">
      <c r="A479" s="2"/>
      <c r="B479" s="65" t="str">
        <f t="shared" si="35"/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M011</v>
      </c>
      <c r="D479" s="61" t="s">
        <v>730</v>
      </c>
      <c r="E479" s="66">
        <v>46228</v>
      </c>
      <c r="F479" s="67">
        <v>4000</v>
      </c>
      <c r="G479" s="60" t="s">
        <v>717</v>
      </c>
      <c r="H479" s="60" t="s">
        <v>572</v>
      </c>
      <c r="I479" s="61"/>
      <c r="J479" s="61" t="s">
        <v>720</v>
      </c>
      <c r="K479" s="61"/>
      <c r="L479" s="73">
        <f t="shared" si="36"/>
        <v>46204</v>
      </c>
      <c r="M479" s="65" t="str">
        <f t="shared" ca="1" si="37"/>
        <v>UYGUN</v>
      </c>
      <c r="N479" s="74" t="str">
        <f>IF($C479="","",IF($C479="TANIMSIZ MÜŞTERİ","—",INDEX(MUSTERILER!$C$7:$C$156,MATCH($C479,MUSTERILER!$B$7:$B$156,0))))</f>
        <v>EĞLENGÖR LTD.ŞTİ.</v>
      </c>
      <c r="O479" s="2"/>
      <c r="P479" s="2"/>
      <c r="Q479" s="1" t="str">
        <f>IF($D479="","",$C479&amp;"|"&amp;COUNTIFS($C$7:$C479,$C479))</f>
        <v>M011|28</v>
      </c>
      <c r="R479" s="1" t="str">
        <f t="shared" si="38"/>
        <v>EGLENGORLTDSTI</v>
      </c>
      <c r="S479" s="1" t="str">
        <f t="shared" si="39"/>
        <v>M011|46228|4000|</v>
      </c>
      <c r="T479" s="1">
        <f>IF($E479="",0,SUMPRODUCT((AY_SONU!$O$7:$O$42="Evet")*(AY_SONU!$B$7:$B$42=DATE(YEAR($E479),MONTH($E479),1))))</f>
        <v>0</v>
      </c>
      <c r="U479" s="1" t="str">
        <f>IF(OR($G479="",$H479="Mahsup"),"",$G479&amp;"|"&amp;COUNTIFS($G$7:$G479,$G479,$H$7:$H479,"&lt;&gt;Mahsup"))</f>
        <v>MERKEZ KASA|366</v>
      </c>
    </row>
    <row r="480" spans="1:21" ht="18" customHeight="1" x14ac:dyDescent="0.3">
      <c r="A480" s="2"/>
      <c r="B480" s="65" t="str">
        <f t="shared" si="35"/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M014</v>
      </c>
      <c r="D480" s="61" t="s">
        <v>731</v>
      </c>
      <c r="E480" s="66">
        <v>46228</v>
      </c>
      <c r="F480" s="67">
        <v>4000</v>
      </c>
      <c r="G480" s="60" t="s">
        <v>717</v>
      </c>
      <c r="H480" s="60" t="s">
        <v>572</v>
      </c>
      <c r="I480" s="61"/>
      <c r="J480" s="61" t="s">
        <v>720</v>
      </c>
      <c r="K480" s="61"/>
      <c r="L480" s="73">
        <f t="shared" si="36"/>
        <v>46204</v>
      </c>
      <c r="M480" s="65" t="str">
        <f t="shared" ca="1" si="37"/>
        <v>UYGUN</v>
      </c>
      <c r="N480" s="74" t="str">
        <f>IF($C480="","",IF($C480="TANIMSIZ MÜŞTERİ","—",INDEX(MUSTERILER!$C$7:$C$156,MATCH($C480,MUSTERILER!$B$7:$B$156,0))))</f>
        <v>FİNAL SİYAH BEYAZ LTD.ŞTİ.</v>
      </c>
      <c r="O480" s="2"/>
      <c r="P480" s="2"/>
      <c r="Q480" s="1" t="str">
        <f>IF($D480="","",$C480&amp;"|"&amp;COUNTIFS($C$7:$C480,$C480))</f>
        <v>M014|27</v>
      </c>
      <c r="R480" s="1" t="str">
        <f t="shared" si="38"/>
        <v>FINALSIYAHBEYAZLTDSTI</v>
      </c>
      <c r="S480" s="1" t="str">
        <f t="shared" si="39"/>
        <v>M014|46228|4000|</v>
      </c>
      <c r="T480" s="1">
        <f>IF($E480="",0,SUMPRODUCT((AY_SONU!$O$7:$O$42="Evet")*(AY_SONU!$B$7:$B$42=DATE(YEAR($E480),MONTH($E480),1))))</f>
        <v>0</v>
      </c>
      <c r="U480" s="1" t="str">
        <f>IF(OR($G480="",$H480="Mahsup"),"",$G480&amp;"|"&amp;COUNTIFS($G$7:$G480,$G480,$H$7:$H480,"&lt;&gt;Mahsup"))</f>
        <v>MERKEZ KASA|367</v>
      </c>
    </row>
    <row r="481" spans="1:21" ht="18" customHeight="1" x14ac:dyDescent="0.3">
      <c r="A481" s="2"/>
      <c r="B481" s="65" t="str">
        <f t="shared" si="35"/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M012</v>
      </c>
      <c r="D481" s="61" t="s">
        <v>721</v>
      </c>
      <c r="E481" s="66">
        <v>46228</v>
      </c>
      <c r="F481" s="67">
        <v>4000</v>
      </c>
      <c r="G481" s="60" t="s">
        <v>717</v>
      </c>
      <c r="H481" s="60" t="s">
        <v>572</v>
      </c>
      <c r="I481" s="61"/>
      <c r="J481" s="61" t="s">
        <v>720</v>
      </c>
      <c r="K481" s="61"/>
      <c r="L481" s="73">
        <f t="shared" si="36"/>
        <v>46204</v>
      </c>
      <c r="M481" s="65" t="str">
        <f t="shared" ca="1" si="37"/>
        <v>UYGUN</v>
      </c>
      <c r="N481" s="74" t="str">
        <f>IF($C481="","",IF($C481="TANIMSIZ MÜŞTERİ","—",INDEX(MUSTERILER!$C$7:$C$156,MATCH($C481,MUSTERILER!$B$7:$B$156,0))))</f>
        <v>İLDEŞ LTD.ŞTİ.</v>
      </c>
      <c r="O481" s="2"/>
      <c r="P481" s="2"/>
      <c r="Q481" s="1" t="str">
        <f>IF($D481="","",$C481&amp;"|"&amp;COUNTIFS($C$7:$C481,$C481))</f>
        <v>M012|27</v>
      </c>
      <c r="R481" s="1" t="str">
        <f t="shared" si="38"/>
        <v>ILDESLTDSTI</v>
      </c>
      <c r="S481" s="1" t="str">
        <f t="shared" si="39"/>
        <v>M012|46228|4000|</v>
      </c>
      <c r="T481" s="1">
        <f>IF($E481="",0,SUMPRODUCT((AY_SONU!$O$7:$O$42="Evet")*(AY_SONU!$B$7:$B$42=DATE(YEAR($E481),MONTH($E481),1))))</f>
        <v>0</v>
      </c>
      <c r="U481" s="1" t="str">
        <f>IF(OR($G481="",$H481="Mahsup"),"",$G481&amp;"|"&amp;COUNTIFS($G$7:$G481,$G481,$H$7:$H481,"&lt;&gt;Mahsup"))</f>
        <v>MERKEZ KASA|368</v>
      </c>
    </row>
    <row r="482" spans="1:21" ht="18" customHeight="1" x14ac:dyDescent="0.3">
      <c r="A482" s="2"/>
      <c r="B482" s="65" t="str">
        <f t="shared" si="35"/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M007</v>
      </c>
      <c r="D482" s="61" t="s">
        <v>733</v>
      </c>
      <c r="E482" s="66">
        <v>46228</v>
      </c>
      <c r="F482" s="67">
        <v>3500</v>
      </c>
      <c r="G482" s="60" t="s">
        <v>717</v>
      </c>
      <c r="H482" s="60" t="s">
        <v>572</v>
      </c>
      <c r="I482" s="61"/>
      <c r="J482" s="61" t="s">
        <v>720</v>
      </c>
      <c r="K482" s="61"/>
      <c r="L482" s="73">
        <f t="shared" si="36"/>
        <v>46204</v>
      </c>
      <c r="M482" s="65" t="str">
        <f t="shared" ca="1" si="37"/>
        <v>UYGUN</v>
      </c>
      <c r="N482" s="74" t="str">
        <f>IF($C482="","",IF($C482="TANIMSIZ MÜŞTERİ","—",INDEX(MUSTERILER!$C$7:$C$156,MATCH($C482,MUSTERILER!$B$7:$B$156,0))))</f>
        <v>MONAMOUR LTD.ŞTİ.</v>
      </c>
      <c r="O482" s="2"/>
      <c r="P482" s="2"/>
      <c r="Q482" s="1" t="str">
        <f>IF($D482="","",$C482&amp;"|"&amp;COUNTIFS($C$7:$C482,$C482))</f>
        <v>M007|20</v>
      </c>
      <c r="R482" s="1" t="str">
        <f t="shared" si="38"/>
        <v>MONAMOURLTDSTI</v>
      </c>
      <c r="S482" s="1" t="str">
        <f t="shared" si="39"/>
        <v>M007|46228|3500|</v>
      </c>
      <c r="T482" s="1">
        <f>IF($E482="",0,SUMPRODUCT((AY_SONU!$O$7:$O$42="Evet")*(AY_SONU!$B$7:$B$42=DATE(YEAR($E482),MONTH($E482),1))))</f>
        <v>0</v>
      </c>
      <c r="U482" s="1" t="str">
        <f>IF(OR($G482="",$H482="Mahsup"),"",$G482&amp;"|"&amp;COUNTIFS($G$7:$G482,$G482,$H$7:$H482,"&lt;&gt;Mahsup"))</f>
        <v>MERKEZ KASA|369</v>
      </c>
    </row>
    <row r="483" spans="1:21" ht="18" customHeight="1" x14ac:dyDescent="0.3">
      <c r="A483" s="2"/>
      <c r="B483" s="65" t="str">
        <f t="shared" si="35"/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M013</v>
      </c>
      <c r="D483" s="61" t="s">
        <v>734</v>
      </c>
      <c r="E483" s="66">
        <v>46228</v>
      </c>
      <c r="F483" s="67">
        <v>2000</v>
      </c>
      <c r="G483" s="60" t="s">
        <v>717</v>
      </c>
      <c r="H483" s="60" t="s">
        <v>572</v>
      </c>
      <c r="I483" s="61"/>
      <c r="J483" s="61" t="s">
        <v>720</v>
      </c>
      <c r="K483" s="61"/>
      <c r="L483" s="73">
        <f t="shared" si="36"/>
        <v>46204</v>
      </c>
      <c r="M483" s="65" t="str">
        <f t="shared" ca="1" si="37"/>
        <v>UYGUN</v>
      </c>
      <c r="N483" s="74" t="str">
        <f>IF($C483="","",IF($C483="TANIMSIZ MÜŞTERİ","—",INDEX(MUSTERILER!$C$7:$C$156,MATCH($C483,MUSTERILER!$B$7:$B$156,0))))</f>
        <v>NAZ 1 GIDA LTD.ŞTİ.</v>
      </c>
      <c r="O483" s="2"/>
      <c r="P483" s="2"/>
      <c r="Q483" s="1" t="str">
        <f>IF($D483="","",$C483&amp;"|"&amp;COUNTIFS($C$7:$C483,$C483))</f>
        <v>M013|20</v>
      </c>
      <c r="R483" s="1" t="str">
        <f t="shared" si="38"/>
        <v>NAZ1GIDALTDSTI</v>
      </c>
      <c r="S483" s="1" t="str">
        <f t="shared" si="39"/>
        <v>M013|46228|2000|</v>
      </c>
      <c r="T483" s="1">
        <f>IF($E483="",0,SUMPRODUCT((AY_SONU!$O$7:$O$42="Evet")*(AY_SONU!$B$7:$B$42=DATE(YEAR($E483),MONTH($E483),1))))</f>
        <v>0</v>
      </c>
      <c r="U483" s="1" t="str">
        <f>IF(OR($G483="",$H483="Mahsup"),"",$G483&amp;"|"&amp;COUNTIFS($G$7:$G483,$G483,$H$7:$H483,"&lt;&gt;Mahsup"))</f>
        <v>MERKEZ KASA|370</v>
      </c>
    </row>
    <row r="484" spans="1:21" ht="18" customHeight="1" x14ac:dyDescent="0.3">
      <c r="A484" s="2"/>
      <c r="B484" s="65" t="str">
        <f t="shared" si="35"/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M054</v>
      </c>
      <c r="D484" s="61" t="s">
        <v>674</v>
      </c>
      <c r="E484" s="66">
        <v>46228</v>
      </c>
      <c r="F484" s="67">
        <v>5000</v>
      </c>
      <c r="G484" s="60" t="s">
        <v>717</v>
      </c>
      <c r="H484" s="60" t="s">
        <v>572</v>
      </c>
      <c r="I484" s="61"/>
      <c r="J484" s="61" t="s">
        <v>742</v>
      </c>
      <c r="K484" s="61"/>
      <c r="L484" s="73">
        <f t="shared" si="36"/>
        <v>46204</v>
      </c>
      <c r="M484" s="65" t="str">
        <f t="shared" ca="1" si="37"/>
        <v>UYGUN</v>
      </c>
      <c r="N484" s="74" t="str">
        <f>IF($C484="","",IF($C484="TANIMSIZ MÜŞTERİ","—",INDEX(MUSTERILER!$C$7:$C$156,MATCH($C484,MUSTERILER!$B$7:$B$156,0))))</f>
        <v>YALIKENT LTD.ŞTİ.</v>
      </c>
      <c r="O484" s="2"/>
      <c r="P484" s="2"/>
      <c r="Q484" s="1" t="str">
        <f>IF($D484="","",$C484&amp;"|"&amp;COUNTIFS($C$7:$C484,$C484))</f>
        <v>M054|19</v>
      </c>
      <c r="R484" s="1" t="str">
        <f t="shared" si="38"/>
        <v>YALIKENTLTDSTI</v>
      </c>
      <c r="S484" s="1" t="str">
        <f t="shared" si="39"/>
        <v>M054|46228|5000|</v>
      </c>
      <c r="T484" s="1">
        <f>IF($E484="",0,SUMPRODUCT((AY_SONU!$O$7:$O$42="Evet")*(AY_SONU!$B$7:$B$42=DATE(YEAR($E484),MONTH($E484),1))))</f>
        <v>0</v>
      </c>
      <c r="U484" s="1" t="str">
        <f>IF(OR($G484="",$H484="Mahsup"),"",$G484&amp;"|"&amp;COUNTIFS($G$7:$G484,$G484,$H$7:$H484,"&lt;&gt;Mahsup"))</f>
        <v>MERKEZ KASA|371</v>
      </c>
    </row>
    <row r="485" spans="1:21" ht="18" customHeight="1" x14ac:dyDescent="0.3">
      <c r="A485" s="2"/>
      <c r="B485" s="65" t="str">
        <f t="shared" si="35"/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M005</v>
      </c>
      <c r="D485" s="61" t="s">
        <v>722</v>
      </c>
      <c r="E485" s="66">
        <v>46228</v>
      </c>
      <c r="F485" s="67">
        <v>1750</v>
      </c>
      <c r="G485" s="60" t="s">
        <v>717</v>
      </c>
      <c r="H485" s="60" t="s">
        <v>572</v>
      </c>
      <c r="I485" s="61"/>
      <c r="J485" s="61" t="s">
        <v>720</v>
      </c>
      <c r="K485" s="61"/>
      <c r="L485" s="73">
        <f t="shared" si="36"/>
        <v>46204</v>
      </c>
      <c r="M485" s="65" t="str">
        <f t="shared" ca="1" si="37"/>
        <v>UYGUN</v>
      </c>
      <c r="N485" s="74" t="str">
        <f>IF($C485="","",IF($C485="TANIMSIZ MÜŞTERİ","—",INDEX(MUSTERILER!$C$7:$C$156,MATCH($C485,MUSTERILER!$B$7:$B$156,0))))</f>
        <v>ZÜMRÜT GRUP LTD.ŞTİ.</v>
      </c>
      <c r="O485" s="2"/>
      <c r="P485" s="2"/>
      <c r="Q485" s="1" t="str">
        <f>IF($D485="","",$C485&amp;"|"&amp;COUNTIFS($C$7:$C485,$C485))</f>
        <v>M005|21</v>
      </c>
      <c r="R485" s="1" t="str">
        <f t="shared" si="38"/>
        <v>ZUMRUTGRUPLTDSTI</v>
      </c>
      <c r="S485" s="1" t="str">
        <f t="shared" si="39"/>
        <v>M005|46228|1750|</v>
      </c>
      <c r="T485" s="1">
        <f>IF($E485="",0,SUMPRODUCT((AY_SONU!$O$7:$O$42="Evet")*(AY_SONU!$B$7:$B$42=DATE(YEAR($E485),MONTH($E485),1))))</f>
        <v>0</v>
      </c>
      <c r="U485" s="1" t="str">
        <f>IF(OR($G485="",$H485="Mahsup"),"",$G485&amp;"|"&amp;COUNTIFS($G$7:$G485,$G485,$H$7:$H485,"&lt;&gt;Mahsup"))</f>
        <v>MERKEZ KASA|372</v>
      </c>
    </row>
    <row r="486" spans="1:21" ht="18" customHeight="1" x14ac:dyDescent="0.3">
      <c r="A486" s="2"/>
      <c r="B486" s="65" t="str">
        <f t="shared" si="35"/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61" t="s">
        <v>623</v>
      </c>
      <c r="E486" s="66">
        <v>46228</v>
      </c>
      <c r="F486" s="67">
        <v>3000</v>
      </c>
      <c r="G486" s="60" t="s">
        <v>717</v>
      </c>
      <c r="H486" s="60" t="s">
        <v>572</v>
      </c>
      <c r="I486" s="61"/>
      <c r="J486" s="61" t="s">
        <v>720</v>
      </c>
      <c r="K486" s="61"/>
      <c r="L486" s="73">
        <f t="shared" si="36"/>
        <v>46204</v>
      </c>
      <c r="M486" s="65" t="str">
        <f t="shared" ca="1" si="37"/>
        <v>UYGUN</v>
      </c>
      <c r="N486" s="74" t="str">
        <f>IF($C486="","",IF($C486="TANIMSIZ MÜŞTERİ","—",INDEX(MUSTERILER!$C$7:$C$156,MATCH($C486,MUSTERILER!$B$7:$B$156,0))))</f>
        <v>KRİSTAL LTD.ŞTİ.</v>
      </c>
      <c r="O486" s="2"/>
      <c r="P486" s="2"/>
      <c r="Q486" s="1" t="str">
        <f>IF($D486="","",$C486&amp;"|"&amp;COUNTIFS($C$7:$C486,$C486))</f>
        <v>M020|28</v>
      </c>
      <c r="R486" s="1" t="str">
        <f t="shared" si="38"/>
        <v>KRISTALLTDSTI</v>
      </c>
      <c r="S486" s="1" t="str">
        <f t="shared" si="39"/>
        <v>M020|46228|3000|</v>
      </c>
      <c r="T486" s="1">
        <f>IF($E486="",0,SUMPRODUCT((AY_SONU!$O$7:$O$42="Evet")*(AY_SONU!$B$7:$B$42=DATE(YEAR($E486),MONTH($E486),1))))</f>
        <v>0</v>
      </c>
      <c r="U486" s="1" t="str">
        <f>IF(OR($G486="",$H486="Mahsup"),"",$G486&amp;"|"&amp;COUNTIFS($G$7:$G486,$G486,$H$7:$H486,"&lt;&gt;Mahsup"))</f>
        <v>MERKEZ KASA|373</v>
      </c>
    </row>
    <row r="487" spans="1:21" ht="18" customHeight="1" x14ac:dyDescent="0.3">
      <c r="A487" s="2"/>
      <c r="B487" s="65" t="str">
        <f t="shared" si="35"/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M047</v>
      </c>
      <c r="D487" s="61" t="s">
        <v>654</v>
      </c>
      <c r="E487" s="66">
        <v>46228</v>
      </c>
      <c r="F487" s="67">
        <v>15000</v>
      </c>
      <c r="G487" s="60" t="s">
        <v>717</v>
      </c>
      <c r="H487" s="60" t="s">
        <v>572</v>
      </c>
      <c r="I487" s="61"/>
      <c r="J487" s="61" t="s">
        <v>720</v>
      </c>
      <c r="K487" s="61"/>
      <c r="L487" s="73">
        <f t="shared" si="36"/>
        <v>46204</v>
      </c>
      <c r="M487" s="65" t="str">
        <f t="shared" ca="1" si="37"/>
        <v>UYGUN</v>
      </c>
      <c r="N487" s="74" t="str">
        <f>IF($C487="","",IF($C487="TANIMSIZ MÜŞTERİ","—",INDEX(MUSTERILER!$C$7:$C$156,MATCH($C487,MUSTERILER!$B$7:$B$156,0))))</f>
        <v>PALAOĞULLARI LTD.ŞTİ.</v>
      </c>
      <c r="O487" s="2"/>
      <c r="P487" s="2"/>
      <c r="Q487" s="1" t="str">
        <f>IF($D487="","",$C487&amp;"|"&amp;COUNTIFS($C$7:$C487,$C487))</f>
        <v>M047|19</v>
      </c>
      <c r="R487" s="1" t="str">
        <f t="shared" si="38"/>
        <v>PALAOGULLARILTDSTI</v>
      </c>
      <c r="S487" s="1" t="str">
        <f t="shared" si="39"/>
        <v>M047|46228|15000|</v>
      </c>
      <c r="T487" s="1">
        <f>IF($E487="",0,SUMPRODUCT((AY_SONU!$O$7:$O$42="Evet")*(AY_SONU!$B$7:$B$42=DATE(YEAR($E487),MONTH($E487),1))))</f>
        <v>0</v>
      </c>
      <c r="U487" s="1" t="str">
        <f>IF(OR($G487="",$H487="Mahsup"),"",$G487&amp;"|"&amp;COUNTIFS($G$7:$G487,$G487,$H$7:$H487,"&lt;&gt;Mahsup"))</f>
        <v>MERKEZ KASA|374</v>
      </c>
    </row>
    <row r="488" spans="1:21" ht="18" customHeight="1" x14ac:dyDescent="0.3">
      <c r="A488" s="2"/>
      <c r="B488" s="65" t="str">
        <f t="shared" si="35"/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M001</v>
      </c>
      <c r="D488" s="61" t="s">
        <v>729</v>
      </c>
      <c r="E488" s="66">
        <v>46235</v>
      </c>
      <c r="F488" s="67">
        <v>14000</v>
      </c>
      <c r="G488" s="60" t="s">
        <v>717</v>
      </c>
      <c r="H488" s="60" t="s">
        <v>572</v>
      </c>
      <c r="I488" s="61"/>
      <c r="J488" s="61" t="s">
        <v>720</v>
      </c>
      <c r="K488" s="61"/>
      <c r="L488" s="73">
        <f t="shared" si="36"/>
        <v>46235</v>
      </c>
      <c r="M488" s="65" t="str">
        <f t="shared" ca="1" si="37"/>
        <v>UYGUN</v>
      </c>
      <c r="N488" s="74" t="str">
        <f>IF($C488="","",IF($C488="TANIMSIZ MÜŞTERİ","—",INDEX(MUSTERILER!$C$7:$C$156,MATCH($C488,MUSTERILER!$B$7:$B$156,0))))</f>
        <v>ANKARA HAVANA LTD.ŞTİ.</v>
      </c>
      <c r="O488" s="2"/>
      <c r="P488" s="2"/>
      <c r="Q488" s="1" t="str">
        <f>IF($D488="","",$C488&amp;"|"&amp;COUNTIFS($C$7:$C488,$C488))</f>
        <v>M001|15</v>
      </c>
      <c r="R488" s="1" t="str">
        <f t="shared" si="38"/>
        <v>ANKARAHAVANALTDSTI</v>
      </c>
      <c r="S488" s="1" t="str">
        <f t="shared" si="39"/>
        <v>M001|46235|14000|</v>
      </c>
      <c r="T488" s="1">
        <f>IF($E488="",0,SUMPRODUCT((AY_SONU!$O$7:$O$42="Evet")*(AY_SONU!$B$7:$B$42=DATE(YEAR($E488),MONTH($E488),1))))</f>
        <v>0</v>
      </c>
      <c r="U488" s="1" t="str">
        <f>IF(OR($G488="",$H488="Mahsup"),"",$G488&amp;"|"&amp;COUNTIFS($G$7:$G488,$G488,$H$7:$H488,"&lt;&gt;Mahsup"))</f>
        <v>MERKEZ KASA|375</v>
      </c>
    </row>
    <row r="489" spans="1:21" ht="18" customHeight="1" x14ac:dyDescent="0.3">
      <c r="A489" s="2"/>
      <c r="B489" s="65" t="str">
        <f t="shared" si="35"/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M025</v>
      </c>
      <c r="D489" s="61" t="s">
        <v>583</v>
      </c>
      <c r="E489" s="66">
        <v>46235</v>
      </c>
      <c r="F489" s="67">
        <v>2000</v>
      </c>
      <c r="G489" s="60" t="s">
        <v>717</v>
      </c>
      <c r="H489" s="60" t="s">
        <v>572</v>
      </c>
      <c r="I489" s="61"/>
      <c r="J489" s="61" t="s">
        <v>720</v>
      </c>
      <c r="K489" s="61"/>
      <c r="L489" s="73">
        <f t="shared" si="36"/>
        <v>46235</v>
      </c>
      <c r="M489" s="65" t="str">
        <f t="shared" ca="1" si="37"/>
        <v>UYGUN</v>
      </c>
      <c r="N489" s="74" t="str">
        <f>IF($C489="","",IF($C489="TANIMSIZ MÜŞTERİ","—",INDEX(MUSTERILER!$C$7:$C$156,MATCH($C489,MUSTERILER!$B$7:$B$156,0))))</f>
        <v>ASIM AÇIKGÖZ</v>
      </c>
      <c r="O489" s="2"/>
      <c r="P489" s="2"/>
      <c r="Q489" s="1" t="str">
        <f>IF($D489="","",$C489&amp;"|"&amp;COUNTIFS($C$7:$C489,$C489))</f>
        <v>M025|26</v>
      </c>
      <c r="R489" s="1" t="str">
        <f t="shared" si="38"/>
        <v>ASIMACIKGOZ</v>
      </c>
      <c r="S489" s="1" t="str">
        <f t="shared" si="39"/>
        <v>M025|46235|2000|</v>
      </c>
      <c r="T489" s="1">
        <f>IF($E489="",0,SUMPRODUCT((AY_SONU!$O$7:$O$42="Evet")*(AY_SONU!$B$7:$B$42=DATE(YEAR($E489),MONTH($E489),1))))</f>
        <v>0</v>
      </c>
      <c r="U489" s="1" t="str">
        <f>IF(OR($G489="",$H489="Mahsup"),"",$G489&amp;"|"&amp;COUNTIFS($G$7:$G489,$G489,$H$7:$H489,"&lt;&gt;Mahsup"))</f>
        <v>MERKEZ KASA|376</v>
      </c>
    </row>
    <row r="490" spans="1:21" ht="18" customHeight="1" x14ac:dyDescent="0.3">
      <c r="A490" s="2"/>
      <c r="B490" s="65" t="str">
        <f t="shared" si="35"/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M017</v>
      </c>
      <c r="D490" s="61" t="s">
        <v>585</v>
      </c>
      <c r="E490" s="66">
        <v>46235</v>
      </c>
      <c r="F490" s="67">
        <v>2500</v>
      </c>
      <c r="G490" s="60" t="s">
        <v>717</v>
      </c>
      <c r="H490" s="60" t="s">
        <v>572</v>
      </c>
      <c r="I490" s="61"/>
      <c r="J490" s="61" t="s">
        <v>720</v>
      </c>
      <c r="K490" s="61"/>
      <c r="L490" s="73">
        <f t="shared" si="36"/>
        <v>46235</v>
      </c>
      <c r="M490" s="65" t="str">
        <f t="shared" ca="1" si="37"/>
        <v>UYGUN</v>
      </c>
      <c r="N490" s="74" t="str">
        <f>IF($C490="","",IF($C490="TANIMSIZ MÜŞTERİ","—",INDEX(MUSTERILER!$C$7:$C$156,MATCH($C490,MUSTERILER!$B$7:$B$156,0))))</f>
        <v>ASM EĞLENCE LTD.ŞTİ.</v>
      </c>
      <c r="O490" s="2"/>
      <c r="P490" s="2"/>
      <c r="Q490" s="1" t="str">
        <f>IF($D490="","",$C490&amp;"|"&amp;COUNTIFS($C$7:$C490,$C490))</f>
        <v>M017|26</v>
      </c>
      <c r="R490" s="1" t="str">
        <f t="shared" si="38"/>
        <v>ASMEGLENCELTDSTI</v>
      </c>
      <c r="S490" s="1" t="str">
        <f t="shared" si="39"/>
        <v>M017|46235|2500|</v>
      </c>
      <c r="T490" s="1">
        <f>IF($E490="",0,SUMPRODUCT((AY_SONU!$O$7:$O$42="Evet")*(AY_SONU!$B$7:$B$42=DATE(YEAR($E490),MONTH($E490),1))))</f>
        <v>0</v>
      </c>
      <c r="U490" s="1" t="str">
        <f>IF(OR($G490="",$H490="Mahsup"),"",$G490&amp;"|"&amp;COUNTIFS($G$7:$G490,$G490,$H$7:$H490,"&lt;&gt;Mahsup"))</f>
        <v>MERKEZ KASA|377</v>
      </c>
    </row>
    <row r="491" spans="1:21" ht="18" customHeight="1" x14ac:dyDescent="0.3">
      <c r="A491" s="2"/>
      <c r="B491" s="65" t="str">
        <f t="shared" si="35"/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M011</v>
      </c>
      <c r="D491" s="61" t="s">
        <v>730</v>
      </c>
      <c r="E491" s="66">
        <v>46235</v>
      </c>
      <c r="F491" s="67">
        <v>4000</v>
      </c>
      <c r="G491" s="60" t="s">
        <v>717</v>
      </c>
      <c r="H491" s="60" t="s">
        <v>572</v>
      </c>
      <c r="I491" s="61"/>
      <c r="J491" s="61" t="s">
        <v>720</v>
      </c>
      <c r="K491" s="61"/>
      <c r="L491" s="73">
        <f t="shared" si="36"/>
        <v>46235</v>
      </c>
      <c r="M491" s="65" t="str">
        <f t="shared" ca="1" si="37"/>
        <v>UYGUN</v>
      </c>
      <c r="N491" s="74" t="str">
        <f>IF($C491="","",IF($C491="TANIMSIZ MÜŞTERİ","—",INDEX(MUSTERILER!$C$7:$C$156,MATCH($C491,MUSTERILER!$B$7:$B$156,0))))</f>
        <v>EĞLENGÖR LTD.ŞTİ.</v>
      </c>
      <c r="O491" s="2"/>
      <c r="P491" s="2"/>
      <c r="Q491" s="1" t="str">
        <f>IF($D491="","",$C491&amp;"|"&amp;COUNTIFS($C$7:$C491,$C491))</f>
        <v>M011|29</v>
      </c>
      <c r="R491" s="1" t="str">
        <f t="shared" si="38"/>
        <v>EGLENGORLTDSTI</v>
      </c>
      <c r="S491" s="1" t="str">
        <f t="shared" si="39"/>
        <v>M011|46235|4000|</v>
      </c>
      <c r="T491" s="1">
        <f>IF($E491="",0,SUMPRODUCT((AY_SONU!$O$7:$O$42="Evet")*(AY_SONU!$B$7:$B$42=DATE(YEAR($E491),MONTH($E491),1))))</f>
        <v>0</v>
      </c>
      <c r="U491" s="1" t="str">
        <f>IF(OR($G491="",$H491="Mahsup"),"",$G491&amp;"|"&amp;COUNTIFS($G$7:$G491,$G491,$H$7:$H491,"&lt;&gt;Mahsup"))</f>
        <v>MERKEZ KASA|378</v>
      </c>
    </row>
    <row r="492" spans="1:21" ht="18" customHeight="1" x14ac:dyDescent="0.3">
      <c r="A492" s="2"/>
      <c r="B492" s="65" t="str">
        <f t="shared" si="35"/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M014</v>
      </c>
      <c r="D492" s="61" t="s">
        <v>731</v>
      </c>
      <c r="E492" s="66">
        <v>46235</v>
      </c>
      <c r="F492" s="67">
        <v>4000</v>
      </c>
      <c r="G492" s="60" t="s">
        <v>717</v>
      </c>
      <c r="H492" s="60" t="s">
        <v>572</v>
      </c>
      <c r="I492" s="61"/>
      <c r="J492" s="61" t="s">
        <v>720</v>
      </c>
      <c r="K492" s="61"/>
      <c r="L492" s="73">
        <f t="shared" si="36"/>
        <v>46235</v>
      </c>
      <c r="M492" s="65" t="str">
        <f t="shared" ca="1" si="37"/>
        <v>UYGUN</v>
      </c>
      <c r="N492" s="74" t="str">
        <f>IF($C492="","",IF($C492="TANIMSIZ MÜŞTERİ","—",INDEX(MUSTERILER!$C$7:$C$156,MATCH($C492,MUSTERILER!$B$7:$B$156,0))))</f>
        <v>FİNAL SİYAH BEYAZ LTD.ŞTİ.</v>
      </c>
      <c r="O492" s="2"/>
      <c r="P492" s="2"/>
      <c r="Q492" s="1" t="str">
        <f>IF($D492="","",$C492&amp;"|"&amp;COUNTIFS($C$7:$C492,$C492))</f>
        <v>M014|28</v>
      </c>
      <c r="R492" s="1" t="str">
        <f t="shared" si="38"/>
        <v>FINALSIYAHBEYAZLTDSTI</v>
      </c>
      <c r="S492" s="1" t="str">
        <f t="shared" si="39"/>
        <v>M014|46235|4000|</v>
      </c>
      <c r="T492" s="1">
        <f>IF($E492="",0,SUMPRODUCT((AY_SONU!$O$7:$O$42="Evet")*(AY_SONU!$B$7:$B$42=DATE(YEAR($E492),MONTH($E492),1))))</f>
        <v>0</v>
      </c>
      <c r="U492" s="1" t="str">
        <f>IF(OR($G492="",$H492="Mahsup"),"",$G492&amp;"|"&amp;COUNTIFS($G$7:$G492,$G492,$H$7:$H492,"&lt;&gt;Mahsup"))</f>
        <v>MERKEZ KASA|379</v>
      </c>
    </row>
    <row r="493" spans="1:21" ht="18" customHeight="1" x14ac:dyDescent="0.3">
      <c r="A493" s="2"/>
      <c r="B493" s="65" t="str">
        <f t="shared" si="35"/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M007</v>
      </c>
      <c r="D493" s="61" t="s">
        <v>733</v>
      </c>
      <c r="E493" s="66">
        <v>46235</v>
      </c>
      <c r="F493" s="67">
        <v>3500</v>
      </c>
      <c r="G493" s="60" t="s">
        <v>717</v>
      </c>
      <c r="H493" s="60" t="s">
        <v>572</v>
      </c>
      <c r="I493" s="61"/>
      <c r="J493" s="61" t="s">
        <v>720</v>
      </c>
      <c r="K493" s="61"/>
      <c r="L493" s="73">
        <f t="shared" si="36"/>
        <v>46235</v>
      </c>
      <c r="M493" s="65" t="str">
        <f t="shared" ca="1" si="37"/>
        <v>UYGUN</v>
      </c>
      <c r="N493" s="74" t="str">
        <f>IF($C493="","",IF($C493="TANIMSIZ MÜŞTERİ","—",INDEX(MUSTERILER!$C$7:$C$156,MATCH($C493,MUSTERILER!$B$7:$B$156,0))))</f>
        <v>MONAMOUR LTD.ŞTİ.</v>
      </c>
      <c r="O493" s="2"/>
      <c r="P493" s="2"/>
      <c r="Q493" s="1" t="str">
        <f>IF($D493="","",$C493&amp;"|"&amp;COUNTIFS($C$7:$C493,$C493))</f>
        <v>M007|21</v>
      </c>
      <c r="R493" s="1" t="str">
        <f t="shared" si="38"/>
        <v>MONAMOURLTDSTI</v>
      </c>
      <c r="S493" s="1" t="str">
        <f t="shared" si="39"/>
        <v>M007|46235|3500|</v>
      </c>
      <c r="T493" s="1">
        <f>IF($E493="",0,SUMPRODUCT((AY_SONU!$O$7:$O$42="Evet")*(AY_SONU!$B$7:$B$42=DATE(YEAR($E493),MONTH($E493),1))))</f>
        <v>0</v>
      </c>
      <c r="U493" s="1" t="str">
        <f>IF(OR($G493="",$H493="Mahsup"),"",$G493&amp;"|"&amp;COUNTIFS($G$7:$G493,$G493,$H$7:$H493,"&lt;&gt;Mahsup"))</f>
        <v>MERKEZ KASA|380</v>
      </c>
    </row>
    <row r="494" spans="1:21" ht="18" customHeight="1" x14ac:dyDescent="0.3">
      <c r="A494" s="2"/>
      <c r="B494" s="65" t="str">
        <f t="shared" si="35"/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M013</v>
      </c>
      <c r="D494" s="61" t="s">
        <v>734</v>
      </c>
      <c r="E494" s="66">
        <v>46235</v>
      </c>
      <c r="F494" s="67">
        <v>2000</v>
      </c>
      <c r="G494" s="60" t="s">
        <v>717</v>
      </c>
      <c r="H494" s="60" t="s">
        <v>572</v>
      </c>
      <c r="I494" s="61"/>
      <c r="J494" s="61" t="s">
        <v>720</v>
      </c>
      <c r="K494" s="61"/>
      <c r="L494" s="73">
        <f t="shared" si="36"/>
        <v>46235</v>
      </c>
      <c r="M494" s="65" t="str">
        <f t="shared" ca="1" si="37"/>
        <v>UYGUN</v>
      </c>
      <c r="N494" s="74" t="str">
        <f>IF($C494="","",IF($C494="TANIMSIZ MÜŞTERİ","—",INDEX(MUSTERILER!$C$7:$C$156,MATCH($C494,MUSTERILER!$B$7:$B$156,0))))</f>
        <v>NAZ 1 GIDA LTD.ŞTİ.</v>
      </c>
      <c r="O494" s="2"/>
      <c r="P494" s="2"/>
      <c r="Q494" s="1" t="str">
        <f>IF($D494="","",$C494&amp;"|"&amp;COUNTIFS($C$7:$C494,$C494))</f>
        <v>M013|21</v>
      </c>
      <c r="R494" s="1" t="str">
        <f t="shared" si="38"/>
        <v>NAZ1GIDALTDSTI</v>
      </c>
      <c r="S494" s="1" t="str">
        <f t="shared" si="39"/>
        <v>M013|46235|2000|</v>
      </c>
      <c r="T494" s="1">
        <f>IF($E494="",0,SUMPRODUCT((AY_SONU!$O$7:$O$42="Evet")*(AY_SONU!$B$7:$B$42=DATE(YEAR($E494),MONTH($E494),1))))</f>
        <v>0</v>
      </c>
      <c r="U494" s="1" t="str">
        <f>IF(OR($G494="",$H494="Mahsup"),"",$G494&amp;"|"&amp;COUNTIFS($G$7:$G494,$G494,$H$7:$H494,"&lt;&gt;Mahsup"))</f>
        <v>MERKEZ KASA|381</v>
      </c>
    </row>
    <row r="495" spans="1:21" ht="18" customHeight="1" x14ac:dyDescent="0.3">
      <c r="A495" s="2"/>
      <c r="B495" s="65" t="str">
        <f t="shared" si="35"/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M009</v>
      </c>
      <c r="D495" s="61" t="s">
        <v>735</v>
      </c>
      <c r="E495" s="66">
        <v>46235</v>
      </c>
      <c r="F495" s="67">
        <v>4000</v>
      </c>
      <c r="G495" s="60" t="s">
        <v>717</v>
      </c>
      <c r="H495" s="60" t="s">
        <v>572</v>
      </c>
      <c r="I495" s="61"/>
      <c r="J495" s="61" t="s">
        <v>720</v>
      </c>
      <c r="K495" s="61"/>
      <c r="L495" s="73">
        <f t="shared" si="36"/>
        <v>46235</v>
      </c>
      <c r="M495" s="65" t="str">
        <f t="shared" ca="1" si="37"/>
        <v>UYGUN</v>
      </c>
      <c r="N495" s="74" t="str">
        <f>IF($C495="","",IF($C495="TANIMSIZ MÜŞTERİ","—",INDEX(MUSTERILER!$C$7:$C$156,MATCH($C495,MUSTERILER!$B$7:$B$156,0))))</f>
        <v>PAKYILDIZ LTD.ŞTİ.</v>
      </c>
      <c r="O495" s="2"/>
      <c r="P495" s="2"/>
      <c r="Q495" s="1" t="str">
        <f>IF($D495="","",$C495&amp;"|"&amp;COUNTIFS($C$7:$C495,$C495))</f>
        <v>M009|26</v>
      </c>
      <c r="R495" s="1" t="str">
        <f t="shared" si="38"/>
        <v>PAKYILDIZLTDSTI</v>
      </c>
      <c r="S495" s="1" t="str">
        <f t="shared" si="39"/>
        <v>M009|46235|4000|</v>
      </c>
      <c r="T495" s="1">
        <f>IF($E495="",0,SUMPRODUCT((AY_SONU!$O$7:$O$42="Evet")*(AY_SONU!$B$7:$B$42=DATE(YEAR($E495),MONTH($E495),1))))</f>
        <v>0</v>
      </c>
      <c r="U495" s="1" t="str">
        <f>IF(OR($G495="",$H495="Mahsup"),"",$G495&amp;"|"&amp;COUNTIFS($G$7:$G495,$G495,$H$7:$H495,"&lt;&gt;Mahsup"))</f>
        <v>MERKEZ KASA|382</v>
      </c>
    </row>
    <row r="496" spans="1:21" ht="18" customHeight="1" x14ac:dyDescent="0.3">
      <c r="A496" s="2"/>
      <c r="B496" s="65" t="str">
        <f t="shared" si="35"/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M016</v>
      </c>
      <c r="D496" s="61" t="s">
        <v>736</v>
      </c>
      <c r="E496" s="66">
        <v>46235</v>
      </c>
      <c r="F496" s="67">
        <v>3000</v>
      </c>
      <c r="G496" s="60" t="s">
        <v>717</v>
      </c>
      <c r="H496" s="60" t="s">
        <v>572</v>
      </c>
      <c r="I496" s="61"/>
      <c r="J496" s="61" t="s">
        <v>720</v>
      </c>
      <c r="K496" s="61"/>
      <c r="L496" s="73">
        <f t="shared" si="36"/>
        <v>46235</v>
      </c>
      <c r="M496" s="65" t="str">
        <f t="shared" ca="1" si="37"/>
        <v>UYGUN</v>
      </c>
      <c r="N496" s="74" t="str">
        <f>IF($C496="","",IF($C496="TANIMSIZ MÜŞTERİ","—",INDEX(MUSTERILER!$C$7:$C$156,MATCH($C496,MUSTERILER!$B$7:$B$156,0))))</f>
        <v>RİX ŞOW LTD.ŞTİ.</v>
      </c>
      <c r="O496" s="2"/>
      <c r="P496" s="2"/>
      <c r="Q496" s="1" t="str">
        <f>IF($D496="","",$C496&amp;"|"&amp;COUNTIFS($C$7:$C496,$C496))</f>
        <v>M016|28</v>
      </c>
      <c r="R496" s="1" t="str">
        <f t="shared" si="38"/>
        <v>RIXSOWLTDSTI</v>
      </c>
      <c r="S496" s="1" t="str">
        <f t="shared" si="39"/>
        <v>M016|46235|3000|</v>
      </c>
      <c r="T496" s="1">
        <f>IF($E496="",0,SUMPRODUCT((AY_SONU!$O$7:$O$42="Evet")*(AY_SONU!$B$7:$B$42=DATE(YEAR($E496),MONTH($E496),1))))</f>
        <v>0</v>
      </c>
      <c r="U496" s="1" t="str">
        <f>IF(OR($G496="",$H496="Mahsup"),"",$G496&amp;"|"&amp;COUNTIFS($G$7:$G496,$G496,$H$7:$H496,"&lt;&gt;Mahsup"))</f>
        <v>MERKEZ KASA|383</v>
      </c>
    </row>
    <row r="497" spans="1:21" ht="18" customHeight="1" x14ac:dyDescent="0.3">
      <c r="A497" s="2"/>
      <c r="B497" s="65" t="str">
        <f t="shared" si="35"/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M054</v>
      </c>
      <c r="D497" s="61" t="s">
        <v>674</v>
      </c>
      <c r="E497" s="66">
        <v>46235</v>
      </c>
      <c r="F497" s="67">
        <v>5000</v>
      </c>
      <c r="G497" s="60" t="s">
        <v>717</v>
      </c>
      <c r="H497" s="60" t="s">
        <v>572</v>
      </c>
      <c r="I497" s="61"/>
      <c r="J497" s="61" t="s">
        <v>742</v>
      </c>
      <c r="K497" s="61"/>
      <c r="L497" s="73">
        <f t="shared" si="36"/>
        <v>46235</v>
      </c>
      <c r="M497" s="65" t="str">
        <f t="shared" ca="1" si="37"/>
        <v>UYGUN</v>
      </c>
      <c r="N497" s="74" t="str">
        <f>IF($C497="","",IF($C497="TANIMSIZ MÜŞTERİ","—",INDEX(MUSTERILER!$C$7:$C$156,MATCH($C497,MUSTERILER!$B$7:$B$156,0))))</f>
        <v>YALIKENT LTD.ŞTİ.</v>
      </c>
      <c r="O497" s="2"/>
      <c r="P497" s="2"/>
      <c r="Q497" s="1" t="str">
        <f>IF($D497="","",$C497&amp;"|"&amp;COUNTIFS($C$7:$C497,$C497))</f>
        <v>M054|20</v>
      </c>
      <c r="R497" s="1" t="str">
        <f t="shared" si="38"/>
        <v>YALIKENTLTDSTI</v>
      </c>
      <c r="S497" s="1" t="str">
        <f t="shared" si="39"/>
        <v>M054|46235|5000|</v>
      </c>
      <c r="T497" s="1">
        <f>IF($E497="",0,SUMPRODUCT((AY_SONU!$O$7:$O$42="Evet")*(AY_SONU!$B$7:$B$42=DATE(YEAR($E497),MONTH($E497),1))))</f>
        <v>0</v>
      </c>
      <c r="U497" s="1" t="str">
        <f>IF(OR($G497="",$H497="Mahsup"),"",$G497&amp;"|"&amp;COUNTIFS($G$7:$G497,$G497,$H$7:$H497,"&lt;&gt;Mahsup"))</f>
        <v>MERKEZ KASA|384</v>
      </c>
    </row>
    <row r="498" spans="1:21" ht="18" customHeight="1" x14ac:dyDescent="0.3">
      <c r="A498" s="2"/>
      <c r="B498" s="65" t="str">
        <f t="shared" si="35"/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M005</v>
      </c>
      <c r="D498" s="61" t="s">
        <v>722</v>
      </c>
      <c r="E498" s="66">
        <v>46235</v>
      </c>
      <c r="F498" s="67">
        <v>1750</v>
      </c>
      <c r="G498" s="60" t="s">
        <v>717</v>
      </c>
      <c r="H498" s="60" t="s">
        <v>572</v>
      </c>
      <c r="I498" s="61"/>
      <c r="J498" s="61" t="s">
        <v>720</v>
      </c>
      <c r="K498" s="61"/>
      <c r="L498" s="73">
        <f t="shared" si="36"/>
        <v>46235</v>
      </c>
      <c r="M498" s="65" t="str">
        <f t="shared" ca="1" si="37"/>
        <v>UYGUN</v>
      </c>
      <c r="N498" s="74" t="str">
        <f>IF($C498="","",IF($C498="TANIMSIZ MÜŞTERİ","—",INDEX(MUSTERILER!$C$7:$C$156,MATCH($C498,MUSTERILER!$B$7:$B$156,0))))</f>
        <v>ZÜMRÜT GRUP LTD.ŞTİ.</v>
      </c>
      <c r="O498" s="2"/>
      <c r="P498" s="2"/>
      <c r="Q498" s="1" t="str">
        <f>IF($D498="","",$C498&amp;"|"&amp;COUNTIFS($C$7:$C498,$C498))</f>
        <v>M005|22</v>
      </c>
      <c r="R498" s="1" t="str">
        <f t="shared" si="38"/>
        <v>ZUMRUTGRUPLTDSTI</v>
      </c>
      <c r="S498" s="1" t="str">
        <f t="shared" si="39"/>
        <v>M005|46235|1750|</v>
      </c>
      <c r="T498" s="1">
        <f>IF($E498="",0,SUMPRODUCT((AY_SONU!$O$7:$O$42="Evet")*(AY_SONU!$B$7:$B$42=DATE(YEAR($E498),MONTH($E498),1))))</f>
        <v>0</v>
      </c>
      <c r="U498" s="1" t="str">
        <f>IF(OR($G498="",$H498="Mahsup"),"",$G498&amp;"|"&amp;COUNTIFS($G$7:$G498,$G498,$H$7:$H498,"&lt;&gt;Mahsup"))</f>
        <v>MERKEZ KASA|385</v>
      </c>
    </row>
    <row r="499" spans="1:21" ht="18" customHeight="1" x14ac:dyDescent="0.3">
      <c r="A499" s="2"/>
      <c r="B499" s="65" t="str">
        <f t="shared" si="35"/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M018</v>
      </c>
      <c r="D499" s="61" t="s">
        <v>593</v>
      </c>
      <c r="E499" s="66">
        <v>46235</v>
      </c>
      <c r="F499" s="67">
        <v>4000</v>
      </c>
      <c r="G499" s="60" t="s">
        <v>717</v>
      </c>
      <c r="H499" s="60" t="s">
        <v>572</v>
      </c>
      <c r="I499" s="61"/>
      <c r="J499" s="61" t="s">
        <v>720</v>
      </c>
      <c r="K499" s="61"/>
      <c r="L499" s="73">
        <f t="shared" si="36"/>
        <v>46235</v>
      </c>
      <c r="M499" s="65" t="str">
        <f t="shared" ca="1" si="37"/>
        <v>UYGUN</v>
      </c>
      <c r="N499" s="74" t="str">
        <f>IF($C499="","",IF($C499="TANIMSIZ MÜŞTERİ","—",INDEX(MUSTERILER!$C$7:$C$156,MATCH($C499,MUSTERILER!$B$7:$B$156,0))))</f>
        <v>ÇINARHAN LTD.ŞTİ.</v>
      </c>
      <c r="O499" s="2"/>
      <c r="P499" s="2"/>
      <c r="Q499" s="1" t="str">
        <f>IF($D499="","",$C499&amp;"|"&amp;COUNTIFS($C$7:$C499,$C499))</f>
        <v>M018|20</v>
      </c>
      <c r="R499" s="1" t="str">
        <f t="shared" si="38"/>
        <v>CINARHANLTDSTI</v>
      </c>
      <c r="S499" s="1" t="str">
        <f t="shared" si="39"/>
        <v>M018|46235|4000|</v>
      </c>
      <c r="T499" s="1">
        <f>IF($E499="",0,SUMPRODUCT((AY_SONU!$O$7:$O$42="Evet")*(AY_SONU!$B$7:$B$42=DATE(YEAR($E499),MONTH($E499),1))))</f>
        <v>0</v>
      </c>
      <c r="U499" s="1" t="str">
        <f>IF(OR($G499="",$H499="Mahsup"),"",$G499&amp;"|"&amp;COUNTIFS($G$7:$G499,$G499,$H$7:$H499,"&lt;&gt;Mahsup"))</f>
        <v>MERKEZ KASA|386</v>
      </c>
    </row>
    <row r="500" spans="1:21" ht="18" customHeight="1" x14ac:dyDescent="0.3">
      <c r="A500" s="2"/>
      <c r="B500" s="65" t="str">
        <f t="shared" si="35"/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M018</v>
      </c>
      <c r="D500" s="61" t="s">
        <v>593</v>
      </c>
      <c r="E500" s="66">
        <v>46235</v>
      </c>
      <c r="F500" s="67">
        <v>4500</v>
      </c>
      <c r="G500" s="60" t="s">
        <v>717</v>
      </c>
      <c r="H500" s="60" t="s">
        <v>572</v>
      </c>
      <c r="I500" s="61"/>
      <c r="J500" s="61" t="s">
        <v>720</v>
      </c>
      <c r="K500" s="61"/>
      <c r="L500" s="73">
        <f t="shared" si="36"/>
        <v>46235</v>
      </c>
      <c r="M500" s="65" t="str">
        <f t="shared" ca="1" si="37"/>
        <v>UYGUN</v>
      </c>
      <c r="N500" s="74" t="str">
        <f>IF($C500="","",IF($C500="TANIMSIZ MÜŞTERİ","—",INDEX(MUSTERILER!$C$7:$C$156,MATCH($C500,MUSTERILER!$B$7:$B$156,0))))</f>
        <v>ÇINARHAN LTD.ŞTİ.</v>
      </c>
      <c r="O500" s="2"/>
      <c r="P500" s="2"/>
      <c r="Q500" s="1" t="str">
        <f>IF($D500="","",$C500&amp;"|"&amp;COUNTIFS($C$7:$C500,$C500))</f>
        <v>M018|21</v>
      </c>
      <c r="R500" s="1" t="str">
        <f t="shared" si="38"/>
        <v>CINARHANLTDSTI</v>
      </c>
      <c r="S500" s="1" t="str">
        <f t="shared" si="39"/>
        <v>M018|46235|4500|</v>
      </c>
      <c r="T500" s="1">
        <f>IF($E500="",0,SUMPRODUCT((AY_SONU!$O$7:$O$42="Evet")*(AY_SONU!$B$7:$B$42=DATE(YEAR($E500),MONTH($E500),1))))</f>
        <v>0</v>
      </c>
      <c r="U500" s="1" t="str">
        <f>IF(OR($G500="",$H500="Mahsup"),"",$G500&amp;"|"&amp;COUNTIFS($G$7:$G500,$G500,$H$7:$H500,"&lt;&gt;Mahsup"))</f>
        <v>MERKEZ KASA|387</v>
      </c>
    </row>
    <row r="501" spans="1:21" ht="18" customHeight="1" x14ac:dyDescent="0.3">
      <c r="A501" s="2"/>
      <c r="B501" s="65" t="str">
        <f t="shared" si="35"/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M020</v>
      </c>
      <c r="D501" s="61" t="s">
        <v>623</v>
      </c>
      <c r="E501" s="66">
        <v>46235</v>
      </c>
      <c r="F501" s="67">
        <v>2000</v>
      </c>
      <c r="G501" s="60" t="s">
        <v>717</v>
      </c>
      <c r="H501" s="60" t="s">
        <v>572</v>
      </c>
      <c r="I501" s="61"/>
      <c r="J501" s="61" t="s">
        <v>720</v>
      </c>
      <c r="K501" s="61"/>
      <c r="L501" s="73">
        <f t="shared" si="36"/>
        <v>46235</v>
      </c>
      <c r="M501" s="65" t="str">
        <f t="shared" ca="1" si="37"/>
        <v>UYGUN</v>
      </c>
      <c r="N501" s="74" t="str">
        <f>IF($C501="","",IF($C501="TANIMSIZ MÜŞTERİ","—",INDEX(MUSTERILER!$C$7:$C$156,MATCH($C501,MUSTERILER!$B$7:$B$156,0))))</f>
        <v>KRİSTAL LTD.ŞTİ.</v>
      </c>
      <c r="O501" s="2"/>
      <c r="P501" s="2"/>
      <c r="Q501" s="1" t="str">
        <f>IF($D501="","",$C501&amp;"|"&amp;COUNTIFS($C$7:$C501,$C501))</f>
        <v>M020|29</v>
      </c>
      <c r="R501" s="1" t="str">
        <f t="shared" si="38"/>
        <v>KRISTALLTDSTI</v>
      </c>
      <c r="S501" s="1" t="str">
        <f t="shared" si="39"/>
        <v>M020|46235|2000|</v>
      </c>
      <c r="T501" s="1">
        <f>IF($E501="",0,SUMPRODUCT((AY_SONU!$O$7:$O$42="Evet")*(AY_SONU!$B$7:$B$42=DATE(YEAR($E501),MONTH($E501),1))))</f>
        <v>0</v>
      </c>
      <c r="U501" s="1" t="str">
        <f>IF(OR($G501="",$H501="Mahsup"),"",$G501&amp;"|"&amp;COUNTIFS($G$7:$G501,$G501,$H$7:$H501,"&lt;&gt;Mahsup"))</f>
        <v>MERKEZ KASA|388</v>
      </c>
    </row>
    <row r="502" spans="1:21" ht="18" customHeight="1" x14ac:dyDescent="0.3">
      <c r="A502" s="2"/>
      <c r="B502" s="65" t="str">
        <f t="shared" si="35"/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M027</v>
      </c>
      <c r="D502" s="61" t="s">
        <v>591</v>
      </c>
      <c r="E502" s="66">
        <v>46235</v>
      </c>
      <c r="F502" s="67">
        <v>2500</v>
      </c>
      <c r="G502" s="60" t="s">
        <v>717</v>
      </c>
      <c r="H502" s="60" t="s">
        <v>572</v>
      </c>
      <c r="I502" s="61"/>
      <c r="J502" s="61" t="s">
        <v>1305</v>
      </c>
      <c r="K502" s="61"/>
      <c r="L502" s="73">
        <f t="shared" si="36"/>
        <v>46235</v>
      </c>
      <c r="M502" s="65" t="str">
        <f t="shared" ca="1" si="37"/>
        <v>UYGUN</v>
      </c>
      <c r="N502" s="74" t="str">
        <f>IF($C502="","",IF($C502="TANIMSIZ MÜŞTERİ","—",INDEX(MUSTERILER!$C$7:$C$156,MATCH($C502,MUSTERILER!$B$7:$B$156,0))))</f>
        <v>CEREN DEMİRCİ</v>
      </c>
      <c r="O502" s="2"/>
      <c r="P502" s="2"/>
      <c r="Q502" s="1" t="str">
        <f>IF($D502="","",$C502&amp;"|"&amp;COUNTIFS($C$7:$C502,$C502))</f>
        <v>M027|6</v>
      </c>
      <c r="R502" s="1" t="str">
        <f t="shared" si="38"/>
        <v>CERENDEMIRCI</v>
      </c>
      <c r="S502" s="1" t="str">
        <f t="shared" si="39"/>
        <v>M027|46235|2500|</v>
      </c>
      <c r="T502" s="1">
        <f>IF($E502="",0,SUMPRODUCT((AY_SONU!$O$7:$O$42="Evet")*(AY_SONU!$B$7:$B$42=DATE(YEAR($E502),MONTH($E502),1))))</f>
        <v>0</v>
      </c>
      <c r="U502" s="1" t="str">
        <f>IF(OR($G502="",$H502="Mahsup"),"",$G502&amp;"|"&amp;COUNTIFS($G$7:$G502,$G502,$H$7:$H502,"&lt;&gt;Mahsup"))</f>
        <v>MERKEZ KASA|389</v>
      </c>
    </row>
    <row r="503" spans="1:21" ht="18" customHeight="1" x14ac:dyDescent="0.3">
      <c r="A503" s="2"/>
      <c r="B503" s="65" t="str">
        <f t="shared" si="35"/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M025</v>
      </c>
      <c r="D503" s="61" t="s">
        <v>583</v>
      </c>
      <c r="E503" s="66">
        <v>46243</v>
      </c>
      <c r="F503" s="67">
        <v>2000</v>
      </c>
      <c r="G503" s="60" t="s">
        <v>717</v>
      </c>
      <c r="H503" s="60" t="s">
        <v>572</v>
      </c>
      <c r="I503" s="61"/>
      <c r="J503" s="61" t="s">
        <v>720</v>
      </c>
      <c r="K503" s="61"/>
      <c r="L503" s="73">
        <f t="shared" si="36"/>
        <v>46235</v>
      </c>
      <c r="M503" s="65" t="str">
        <f t="shared" ca="1" si="37"/>
        <v>UYGUN</v>
      </c>
      <c r="N503" s="74" t="str">
        <f>IF($C503="","",IF($C503="TANIMSIZ MÜŞTERİ","—",INDEX(MUSTERILER!$C$7:$C$156,MATCH($C503,MUSTERILER!$B$7:$B$156,0))))</f>
        <v>ASIM AÇIKGÖZ</v>
      </c>
      <c r="O503" s="2"/>
      <c r="P503" s="2"/>
      <c r="Q503" s="1" t="str">
        <f>IF($D503="","",$C503&amp;"|"&amp;COUNTIFS($C$7:$C503,$C503))</f>
        <v>M025|27</v>
      </c>
      <c r="R503" s="1" t="str">
        <f t="shared" si="38"/>
        <v>ASIMACIKGOZ</v>
      </c>
      <c r="S503" s="1" t="str">
        <f t="shared" si="39"/>
        <v>M025|46243|2000|</v>
      </c>
      <c r="T503" s="1">
        <f>IF($E503="",0,SUMPRODUCT((AY_SONU!$O$7:$O$42="Evet")*(AY_SONU!$B$7:$B$42=DATE(YEAR($E503),MONTH($E503),1))))</f>
        <v>0</v>
      </c>
      <c r="U503" s="1" t="str">
        <f>IF(OR($G503="",$H503="Mahsup"),"",$G503&amp;"|"&amp;COUNTIFS($G$7:$G503,$G503,$H$7:$H503,"&lt;&gt;Mahsup"))</f>
        <v>MERKEZ KASA|390</v>
      </c>
    </row>
    <row r="504" spans="1:21" ht="18" customHeight="1" x14ac:dyDescent="0.3">
      <c r="A504" s="2"/>
      <c r="B504" s="65" t="str">
        <f t="shared" si="35"/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M017</v>
      </c>
      <c r="D504" s="61" t="s">
        <v>585</v>
      </c>
      <c r="E504" s="66">
        <v>46243</v>
      </c>
      <c r="F504" s="67">
        <v>2500</v>
      </c>
      <c r="G504" s="60" t="s">
        <v>717</v>
      </c>
      <c r="H504" s="60" t="s">
        <v>572</v>
      </c>
      <c r="I504" s="61"/>
      <c r="J504" s="61" t="s">
        <v>720</v>
      </c>
      <c r="K504" s="61"/>
      <c r="L504" s="73">
        <f t="shared" si="36"/>
        <v>46235</v>
      </c>
      <c r="M504" s="65" t="str">
        <f t="shared" ca="1" si="37"/>
        <v>UYGUN</v>
      </c>
      <c r="N504" s="74" t="str">
        <f>IF($C504="","",IF($C504="TANIMSIZ MÜŞTERİ","—",INDEX(MUSTERILER!$C$7:$C$156,MATCH($C504,MUSTERILER!$B$7:$B$156,0))))</f>
        <v>ASM EĞLENCE LTD.ŞTİ.</v>
      </c>
      <c r="O504" s="2"/>
      <c r="P504" s="2"/>
      <c r="Q504" s="1" t="str">
        <f>IF($D504="","",$C504&amp;"|"&amp;COUNTIFS($C$7:$C504,$C504))</f>
        <v>M017|27</v>
      </c>
      <c r="R504" s="1" t="str">
        <f t="shared" si="38"/>
        <v>ASMEGLENCELTDSTI</v>
      </c>
      <c r="S504" s="1" t="str">
        <f t="shared" si="39"/>
        <v>M017|46243|2500|</v>
      </c>
      <c r="T504" s="1">
        <f>IF($E504="",0,SUMPRODUCT((AY_SONU!$O$7:$O$42="Evet")*(AY_SONU!$B$7:$B$42=DATE(YEAR($E504),MONTH($E504),1))))</f>
        <v>0</v>
      </c>
      <c r="U504" s="1" t="str">
        <f>IF(OR($G504="",$H504="Mahsup"),"",$G504&amp;"|"&amp;COUNTIFS($G$7:$G504,$G504,$H$7:$H504,"&lt;&gt;Mahsup"))</f>
        <v>MERKEZ KASA|391</v>
      </c>
    </row>
    <row r="505" spans="1:21" ht="18" customHeight="1" x14ac:dyDescent="0.3">
      <c r="A505" s="2"/>
      <c r="B505" s="65" t="str">
        <f t="shared" si="35"/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M015</v>
      </c>
      <c r="D505" s="61" t="s">
        <v>719</v>
      </c>
      <c r="E505" s="66">
        <v>46243</v>
      </c>
      <c r="F505" s="67">
        <v>3000</v>
      </c>
      <c r="G505" s="60" t="s">
        <v>717</v>
      </c>
      <c r="H505" s="60" t="s">
        <v>572</v>
      </c>
      <c r="I505" s="61"/>
      <c r="J505" s="61" t="s">
        <v>720</v>
      </c>
      <c r="K505" s="61"/>
      <c r="L505" s="73">
        <f t="shared" si="36"/>
        <v>46235</v>
      </c>
      <c r="M505" s="65" t="str">
        <f t="shared" ca="1" si="37"/>
        <v>UYGUN</v>
      </c>
      <c r="N505" s="74" t="str">
        <f>IF($C505="","",IF($C505="TANIMSIZ MÜŞTERİ","—",INDEX(MUSTERILER!$C$7:$C$156,MATCH($C505,MUSTERILER!$B$7:$B$156,0))))</f>
        <v>ÇAYIRALAN LTD.ŞTİ.</v>
      </c>
      <c r="O505" s="2"/>
      <c r="P505" s="2"/>
      <c r="Q505" s="1" t="str">
        <f>IF($D505="","",$C505&amp;"|"&amp;COUNTIFS($C$7:$C505,$C505))</f>
        <v>M015|28</v>
      </c>
      <c r="R505" s="1" t="str">
        <f t="shared" si="38"/>
        <v>CAYIRALANLTDSTI</v>
      </c>
      <c r="S505" s="1" t="str">
        <f t="shared" si="39"/>
        <v>M015|46243|3000|</v>
      </c>
      <c r="T505" s="1">
        <f>IF($E505="",0,SUMPRODUCT((AY_SONU!$O$7:$O$42="Evet")*(AY_SONU!$B$7:$B$42=DATE(YEAR($E505),MONTH($E505),1))))</f>
        <v>0</v>
      </c>
      <c r="U505" s="1" t="str">
        <f>IF(OR($G505="",$H505="Mahsup"),"",$G505&amp;"|"&amp;COUNTIFS($G$7:$G505,$G505,$H$7:$H505,"&lt;&gt;Mahsup"))</f>
        <v>MERKEZ KASA|392</v>
      </c>
    </row>
    <row r="506" spans="1:21" ht="18" customHeight="1" x14ac:dyDescent="0.3">
      <c r="A506" s="2"/>
      <c r="B506" s="65" t="str">
        <f t="shared" si="35"/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M011</v>
      </c>
      <c r="D506" s="61" t="s">
        <v>730</v>
      </c>
      <c r="E506" s="66">
        <v>46243</v>
      </c>
      <c r="F506" s="67">
        <v>4000</v>
      </c>
      <c r="G506" s="60" t="s">
        <v>717</v>
      </c>
      <c r="H506" s="60" t="s">
        <v>572</v>
      </c>
      <c r="I506" s="61"/>
      <c r="J506" s="61" t="s">
        <v>720</v>
      </c>
      <c r="K506" s="61"/>
      <c r="L506" s="73">
        <f t="shared" si="36"/>
        <v>46235</v>
      </c>
      <c r="M506" s="65" t="str">
        <f t="shared" ca="1" si="37"/>
        <v>UYGUN</v>
      </c>
      <c r="N506" s="74" t="str">
        <f>IF($C506="","",IF($C506="TANIMSIZ MÜŞTERİ","—",INDEX(MUSTERILER!$C$7:$C$156,MATCH($C506,MUSTERILER!$B$7:$B$156,0))))</f>
        <v>EĞLENGÖR LTD.ŞTİ.</v>
      </c>
      <c r="O506" s="2"/>
      <c r="P506" s="2"/>
      <c r="Q506" s="1" t="str">
        <f>IF($D506="","",$C506&amp;"|"&amp;COUNTIFS($C$7:$C506,$C506))</f>
        <v>M011|30</v>
      </c>
      <c r="R506" s="1" t="str">
        <f t="shared" si="38"/>
        <v>EGLENGORLTDSTI</v>
      </c>
      <c r="S506" s="1" t="str">
        <f t="shared" si="39"/>
        <v>M011|46243|4000|</v>
      </c>
      <c r="T506" s="1">
        <f>IF($E506="",0,SUMPRODUCT((AY_SONU!$O$7:$O$42="Evet")*(AY_SONU!$B$7:$B$42=DATE(YEAR($E506),MONTH($E506),1))))</f>
        <v>0</v>
      </c>
      <c r="U506" s="1" t="str">
        <f>IF(OR($G506="",$H506="Mahsup"),"",$G506&amp;"|"&amp;COUNTIFS($G$7:$G506,$G506,$H$7:$H506,"&lt;&gt;Mahsup"))</f>
        <v>MERKEZ KASA|393</v>
      </c>
    </row>
    <row r="507" spans="1:21" ht="18" customHeight="1" x14ac:dyDescent="0.3">
      <c r="A507" s="2"/>
      <c r="B507" s="65" t="str">
        <f t="shared" si="35"/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M012</v>
      </c>
      <c r="D507" s="61" t="s">
        <v>721</v>
      </c>
      <c r="E507" s="66">
        <v>46243</v>
      </c>
      <c r="F507" s="67">
        <v>7000</v>
      </c>
      <c r="G507" s="60" t="s">
        <v>717</v>
      </c>
      <c r="H507" s="60" t="s">
        <v>572</v>
      </c>
      <c r="I507" s="61"/>
      <c r="J507" s="61" t="s">
        <v>720</v>
      </c>
      <c r="K507" s="61"/>
      <c r="L507" s="73">
        <f t="shared" si="36"/>
        <v>46235</v>
      </c>
      <c r="M507" s="65" t="str">
        <f t="shared" ca="1" si="37"/>
        <v>UYGUN</v>
      </c>
      <c r="N507" s="74" t="str">
        <f>IF($C507="","",IF($C507="TANIMSIZ MÜŞTERİ","—",INDEX(MUSTERILER!$C$7:$C$156,MATCH($C507,MUSTERILER!$B$7:$B$156,0))))</f>
        <v>İLDEŞ LTD.ŞTİ.</v>
      </c>
      <c r="O507" s="2"/>
      <c r="P507" s="2"/>
      <c r="Q507" s="1" t="str">
        <f>IF($D507="","",$C507&amp;"|"&amp;COUNTIFS($C$7:$C507,$C507))</f>
        <v>M012|28</v>
      </c>
      <c r="R507" s="1" t="str">
        <f t="shared" si="38"/>
        <v>ILDESLTDSTI</v>
      </c>
      <c r="S507" s="1" t="str">
        <f t="shared" si="39"/>
        <v>M012|46243|7000|</v>
      </c>
      <c r="T507" s="1">
        <f>IF($E507="",0,SUMPRODUCT((AY_SONU!$O$7:$O$42="Evet")*(AY_SONU!$B$7:$B$42=DATE(YEAR($E507),MONTH($E507),1))))</f>
        <v>0</v>
      </c>
      <c r="U507" s="1" t="str">
        <f>IF(OR($G507="",$H507="Mahsup"),"",$G507&amp;"|"&amp;COUNTIFS($G$7:$G507,$G507,$H$7:$H507,"&lt;&gt;Mahsup"))</f>
        <v>MERKEZ KASA|394</v>
      </c>
    </row>
    <row r="508" spans="1:21" ht="18" customHeight="1" x14ac:dyDescent="0.3">
      <c r="A508" s="2"/>
      <c r="B508" s="65" t="str">
        <f t="shared" si="35"/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M003</v>
      </c>
      <c r="D508" s="61" t="s">
        <v>666</v>
      </c>
      <c r="E508" s="66">
        <v>46243</v>
      </c>
      <c r="F508" s="67">
        <v>3000</v>
      </c>
      <c r="G508" s="60" t="s">
        <v>723</v>
      </c>
      <c r="H508" s="60" t="s">
        <v>572</v>
      </c>
      <c r="I508" s="61"/>
      <c r="J508" s="61" t="s">
        <v>720</v>
      </c>
      <c r="K508" s="61"/>
      <c r="L508" s="73">
        <f t="shared" si="36"/>
        <v>46235</v>
      </c>
      <c r="M508" s="65" t="str">
        <f t="shared" ca="1" si="37"/>
        <v>UYGUN</v>
      </c>
      <c r="N508" s="74" t="str">
        <f>IF($C508="","",IF($C508="TANIMSIZ MÜŞTERİ","—",INDEX(MUSTERILER!$C$7:$C$156,MATCH($C508,MUSTERILER!$B$7:$B$156,0))))</f>
        <v>TYANA LTD.ŞTİ.</v>
      </c>
      <c r="O508" s="2"/>
      <c r="P508" s="2"/>
      <c r="Q508" s="1" t="str">
        <f>IF($D508="","",$C508&amp;"|"&amp;COUNTIFS($C$7:$C508,$C508))</f>
        <v>M003|6</v>
      </c>
      <c r="R508" s="1" t="str">
        <f t="shared" si="38"/>
        <v>TYANALTDSTI</v>
      </c>
      <c r="S508" s="1" t="str">
        <f t="shared" si="39"/>
        <v>M003|46243|3000|</v>
      </c>
      <c r="T508" s="1">
        <f>IF($E508="",0,SUMPRODUCT((AY_SONU!$O$7:$O$42="Evet")*(AY_SONU!$B$7:$B$42=DATE(YEAR($E508),MONTH($E508),1))))</f>
        <v>0</v>
      </c>
      <c r="U508" s="1" t="str">
        <f>IF(OR($G508="",$H508="Mahsup"),"",$G508&amp;"|"&amp;COUNTIFS($G$7:$G508,$G508,$H$7:$H508,"&lt;&gt;Mahsup"))</f>
        <v>ÖMER KARTAL|108</v>
      </c>
    </row>
    <row r="509" spans="1:21" ht="18" customHeight="1" x14ac:dyDescent="0.3">
      <c r="A509" s="2"/>
      <c r="B509" s="65" t="str">
        <f t="shared" si="35"/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M009</v>
      </c>
      <c r="D509" s="61" t="s">
        <v>735</v>
      </c>
      <c r="E509" s="66">
        <v>46243</v>
      </c>
      <c r="F509" s="67">
        <v>8000</v>
      </c>
      <c r="G509" s="60" t="s">
        <v>717</v>
      </c>
      <c r="H509" s="60" t="s">
        <v>572</v>
      </c>
      <c r="I509" s="61"/>
      <c r="J509" s="61" t="s">
        <v>720</v>
      </c>
      <c r="K509" s="61"/>
      <c r="L509" s="73">
        <f t="shared" si="36"/>
        <v>46235</v>
      </c>
      <c r="M509" s="65" t="str">
        <f t="shared" ca="1" si="37"/>
        <v>UYGUN</v>
      </c>
      <c r="N509" s="74" t="str">
        <f>IF($C509="","",IF($C509="TANIMSIZ MÜŞTERİ","—",INDEX(MUSTERILER!$C$7:$C$156,MATCH($C509,MUSTERILER!$B$7:$B$156,0))))</f>
        <v>PAKYILDIZ LTD.ŞTİ.</v>
      </c>
      <c r="O509" s="2"/>
      <c r="P509" s="2"/>
      <c r="Q509" s="1" t="str">
        <f>IF($D509="","",$C509&amp;"|"&amp;COUNTIFS($C$7:$C509,$C509))</f>
        <v>M009|27</v>
      </c>
      <c r="R509" s="1" t="str">
        <f t="shared" si="38"/>
        <v>PAKYILDIZLTDSTI</v>
      </c>
      <c r="S509" s="1" t="str">
        <f t="shared" si="39"/>
        <v>M009|46243|8000|</v>
      </c>
      <c r="T509" s="1">
        <f>IF($E509="",0,SUMPRODUCT((AY_SONU!$O$7:$O$42="Evet")*(AY_SONU!$B$7:$B$42=DATE(YEAR($E509),MONTH($E509),1))))</f>
        <v>0</v>
      </c>
      <c r="U509" s="1" t="str">
        <f>IF(OR($G509="",$H509="Mahsup"),"",$G509&amp;"|"&amp;COUNTIFS($G$7:$G509,$G509,$H$7:$H509,"&lt;&gt;Mahsup"))</f>
        <v>MERKEZ KASA|395</v>
      </c>
    </row>
    <row r="510" spans="1:21" ht="18" customHeight="1" x14ac:dyDescent="0.3">
      <c r="A510" s="2"/>
      <c r="B510" s="65" t="str">
        <f t="shared" si="35"/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M047</v>
      </c>
      <c r="D510" s="61" t="s">
        <v>654</v>
      </c>
      <c r="E510" s="66">
        <v>46243</v>
      </c>
      <c r="F510" s="67">
        <v>9400</v>
      </c>
      <c r="G510" s="60" t="s">
        <v>717</v>
      </c>
      <c r="H510" s="60" t="s">
        <v>572</v>
      </c>
      <c r="I510" s="61"/>
      <c r="J510" s="61" t="s">
        <v>743</v>
      </c>
      <c r="K510" s="61"/>
      <c r="L510" s="73">
        <f t="shared" si="36"/>
        <v>46235</v>
      </c>
      <c r="M510" s="65" t="str">
        <f t="shared" ca="1" si="37"/>
        <v>UYGUN</v>
      </c>
      <c r="N510" s="74" t="str">
        <f>IF($C510="","",IF($C510="TANIMSIZ MÜŞTERİ","—",INDEX(MUSTERILER!$C$7:$C$156,MATCH($C510,MUSTERILER!$B$7:$B$156,0))))</f>
        <v>PALAOĞULLARI LTD.ŞTİ.</v>
      </c>
      <c r="O510" s="2"/>
      <c r="P510" s="2"/>
      <c r="Q510" s="1" t="str">
        <f>IF($D510="","",$C510&amp;"|"&amp;COUNTIFS($C$7:$C510,$C510))</f>
        <v>M047|20</v>
      </c>
      <c r="R510" s="1" t="str">
        <f t="shared" si="38"/>
        <v>PALAOGULLARILTDSTI</v>
      </c>
      <c r="S510" s="1" t="str">
        <f t="shared" si="39"/>
        <v>M047|46243|9400|</v>
      </c>
      <c r="T510" s="1">
        <f>IF($E510="",0,SUMPRODUCT((AY_SONU!$O$7:$O$42="Evet")*(AY_SONU!$B$7:$B$42=DATE(YEAR($E510),MONTH($E510),1))))</f>
        <v>0</v>
      </c>
      <c r="U510" s="1" t="str">
        <f>IF(OR($G510="",$H510="Mahsup"),"",$G510&amp;"|"&amp;COUNTIFS($G$7:$G510,$G510,$H$7:$H510,"&lt;&gt;Mahsup"))</f>
        <v>MERKEZ KASA|396</v>
      </c>
    </row>
    <row r="511" spans="1:21" ht="18" customHeight="1" x14ac:dyDescent="0.3">
      <c r="A511" s="2"/>
      <c r="B511" s="65" t="str">
        <f t="shared" si="35"/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M020</v>
      </c>
      <c r="D511" s="61" t="s">
        <v>623</v>
      </c>
      <c r="E511" s="66">
        <v>46243</v>
      </c>
      <c r="F511" s="67">
        <v>3000</v>
      </c>
      <c r="G511" s="60" t="s">
        <v>717</v>
      </c>
      <c r="H511" s="60" t="s">
        <v>572</v>
      </c>
      <c r="I511" s="61"/>
      <c r="J511" s="61" t="s">
        <v>720</v>
      </c>
      <c r="K511" s="61"/>
      <c r="L511" s="73">
        <f t="shared" si="36"/>
        <v>46235</v>
      </c>
      <c r="M511" s="65" t="str">
        <f t="shared" ca="1" si="37"/>
        <v>UYGUN</v>
      </c>
      <c r="N511" s="74" t="str">
        <f>IF($C511="","",IF($C511="TANIMSIZ MÜŞTERİ","—",INDEX(MUSTERILER!$C$7:$C$156,MATCH($C511,MUSTERILER!$B$7:$B$156,0))))</f>
        <v>KRİSTAL LTD.ŞTİ.</v>
      </c>
      <c r="O511" s="2"/>
      <c r="P511" s="2"/>
      <c r="Q511" s="1" t="str">
        <f>IF($D511="","",$C511&amp;"|"&amp;COUNTIFS($C$7:$C511,$C511))</f>
        <v>M020|30</v>
      </c>
      <c r="R511" s="1" t="str">
        <f t="shared" si="38"/>
        <v>KRISTALLTDSTI</v>
      </c>
      <c r="S511" s="1" t="str">
        <f t="shared" si="39"/>
        <v>M020|46243|3000|</v>
      </c>
      <c r="T511" s="1">
        <f>IF($E511="",0,SUMPRODUCT((AY_SONU!$O$7:$O$42="Evet")*(AY_SONU!$B$7:$B$42=DATE(YEAR($E511),MONTH($E511),1))))</f>
        <v>0</v>
      </c>
      <c r="U511" s="1" t="str">
        <f>IF(OR($G511="",$H511="Mahsup"),"",$G511&amp;"|"&amp;COUNTIFS($G$7:$G511,$G511,$H$7:$H511,"&lt;&gt;Mahsup"))</f>
        <v>MERKEZ KASA|397</v>
      </c>
    </row>
    <row r="512" spans="1:21" ht="18" customHeight="1" x14ac:dyDescent="0.3">
      <c r="A512" s="2"/>
      <c r="B512" s="65" t="str">
        <f t="shared" si="35"/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M049</v>
      </c>
      <c r="D512" s="61" t="s">
        <v>662</v>
      </c>
      <c r="E512" s="66">
        <v>46243</v>
      </c>
      <c r="F512" s="67">
        <v>6000</v>
      </c>
      <c r="G512" s="60" t="s">
        <v>717</v>
      </c>
      <c r="H512" s="60" t="s">
        <v>572</v>
      </c>
      <c r="I512" s="61"/>
      <c r="J512" s="61" t="s">
        <v>720</v>
      </c>
      <c r="K512" s="61"/>
      <c r="L512" s="73">
        <f t="shared" si="36"/>
        <v>46235</v>
      </c>
      <c r="M512" s="65" t="str">
        <f t="shared" ca="1" si="37"/>
        <v>UYGUN</v>
      </c>
      <c r="N512" s="74" t="str">
        <f>IF($C512="","",IF($C512="TANIMSIZ MÜŞTERİ","—",INDEX(MUSTERILER!$C$7:$C$156,MATCH($C512,MUSTERILER!$B$7:$B$156,0))))</f>
        <v>STAR ŞOW LTD.ŞTİ.</v>
      </c>
      <c r="O512" s="2"/>
      <c r="P512" s="2"/>
      <c r="Q512" s="1" t="str">
        <f>IF($D512="","",$C512&amp;"|"&amp;COUNTIFS($C$7:$C512,$C512))</f>
        <v>M049|1</v>
      </c>
      <c r="R512" s="1" t="str">
        <f t="shared" si="38"/>
        <v>STARSOWLTDSTI</v>
      </c>
      <c r="S512" s="1" t="str">
        <f t="shared" si="39"/>
        <v>M049|46243|6000|</v>
      </c>
      <c r="T512" s="1">
        <f>IF($E512="",0,SUMPRODUCT((AY_SONU!$O$7:$O$42="Evet")*(AY_SONU!$B$7:$B$42=DATE(YEAR($E512),MONTH($E512),1))))</f>
        <v>0</v>
      </c>
      <c r="U512" s="1" t="str">
        <f>IF(OR($G512="",$H512="Mahsup"),"",$G512&amp;"|"&amp;COUNTIFS($G$7:$G512,$G512,$H$7:$H512,"&lt;&gt;Mahsup"))</f>
        <v>MERKEZ KASA|398</v>
      </c>
    </row>
    <row r="513" spans="1:21" ht="18" customHeight="1" x14ac:dyDescent="0.3">
      <c r="A513" s="2"/>
      <c r="B513" s="65" t="str">
        <f t="shared" si="35"/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M024</v>
      </c>
      <c r="D513" s="61" t="s">
        <v>579</v>
      </c>
      <c r="E513" s="66">
        <v>46245</v>
      </c>
      <c r="F513" s="67">
        <v>23000</v>
      </c>
      <c r="G513" s="60" t="s">
        <v>717</v>
      </c>
      <c r="H513" s="60" t="s">
        <v>572</v>
      </c>
      <c r="I513" s="61"/>
      <c r="J513" s="61" t="s">
        <v>744</v>
      </c>
      <c r="K513" s="61"/>
      <c r="L513" s="73">
        <f t="shared" si="36"/>
        <v>46235</v>
      </c>
      <c r="M513" s="65" t="str">
        <f t="shared" ca="1" si="37"/>
        <v>UYGUN</v>
      </c>
      <c r="N513" s="74" t="str">
        <f>IF($C513="","",IF($C513="TANIMSIZ MÜŞTERİ","—",INDEX(MUSTERILER!$C$7:$C$156,MATCH($C513,MUSTERILER!$B$7:$B$156,0))))</f>
        <v>ARMAN DİK</v>
      </c>
      <c r="O513" s="2"/>
      <c r="P513" s="2"/>
      <c r="Q513" s="1" t="str">
        <f>IF($D513="","",$C513&amp;"|"&amp;COUNTIFS($C$7:$C513,$C513))</f>
        <v>M024|3</v>
      </c>
      <c r="R513" s="1" t="str">
        <f t="shared" si="38"/>
        <v>ARMANDIK</v>
      </c>
      <c r="S513" s="1" t="str">
        <f t="shared" si="39"/>
        <v>M024|46245|23000|</v>
      </c>
      <c r="T513" s="1">
        <f>IF($E513="",0,SUMPRODUCT((AY_SONU!$O$7:$O$42="Evet")*(AY_SONU!$B$7:$B$42=DATE(YEAR($E513),MONTH($E513),1))))</f>
        <v>0</v>
      </c>
      <c r="U513" s="1" t="str">
        <f>IF(OR($G513="",$H513="Mahsup"),"",$G513&amp;"|"&amp;COUNTIFS($G$7:$G513,$G513,$H$7:$H513,"&lt;&gt;Mahsup"))</f>
        <v>MERKEZ KASA|399</v>
      </c>
    </row>
    <row r="514" spans="1:21" ht="18" customHeight="1" x14ac:dyDescent="0.3">
      <c r="A514" s="2"/>
      <c r="B514" s="65" t="str">
        <f t="shared" si="35"/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M024</v>
      </c>
      <c r="D514" s="61" t="s">
        <v>579</v>
      </c>
      <c r="E514" s="66">
        <v>46245</v>
      </c>
      <c r="F514" s="67">
        <v>4000</v>
      </c>
      <c r="G514" s="60" t="s">
        <v>717</v>
      </c>
      <c r="H514" s="60" t="s">
        <v>572</v>
      </c>
      <c r="I514" s="61"/>
      <c r="J514" s="61" t="s">
        <v>745</v>
      </c>
      <c r="K514" s="61"/>
      <c r="L514" s="73">
        <f t="shared" si="36"/>
        <v>46235</v>
      </c>
      <c r="M514" s="65" t="str">
        <f t="shared" ca="1" si="37"/>
        <v>UYGUN</v>
      </c>
      <c r="N514" s="74" t="str">
        <f>IF($C514="","",IF($C514="TANIMSIZ MÜŞTERİ","—",INDEX(MUSTERILER!$C$7:$C$156,MATCH($C514,MUSTERILER!$B$7:$B$156,0))))</f>
        <v>ARMAN DİK</v>
      </c>
      <c r="O514" s="2"/>
      <c r="P514" s="2"/>
      <c r="Q514" s="1" t="str">
        <f>IF($D514="","",$C514&amp;"|"&amp;COUNTIFS($C$7:$C514,$C514))</f>
        <v>M024|4</v>
      </c>
      <c r="R514" s="1" t="str">
        <f t="shared" si="38"/>
        <v>ARMANDIK</v>
      </c>
      <c r="S514" s="1" t="str">
        <f t="shared" si="39"/>
        <v>M024|46245|4000|</v>
      </c>
      <c r="T514" s="1">
        <f>IF($E514="",0,SUMPRODUCT((AY_SONU!$O$7:$O$42="Evet")*(AY_SONU!$B$7:$B$42=DATE(YEAR($E514),MONTH($E514),1))))</f>
        <v>0</v>
      </c>
      <c r="U514" s="1" t="str">
        <f>IF(OR($G514="",$H514="Mahsup"),"",$G514&amp;"|"&amp;COUNTIFS($G$7:$G514,$G514,$H$7:$H514,"&lt;&gt;Mahsup"))</f>
        <v>MERKEZ KASA|400</v>
      </c>
    </row>
    <row r="515" spans="1:21" ht="18" customHeight="1" x14ac:dyDescent="0.3">
      <c r="A515" s="2"/>
      <c r="B515" s="65" t="str">
        <f t="shared" si="35"/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M019</v>
      </c>
      <c r="D515" s="61" t="s">
        <v>570</v>
      </c>
      <c r="E515" s="66">
        <v>46249</v>
      </c>
      <c r="F515" s="67">
        <v>5000</v>
      </c>
      <c r="G515" s="60" t="s">
        <v>717</v>
      </c>
      <c r="H515" s="60" t="s">
        <v>572</v>
      </c>
      <c r="I515" s="61"/>
      <c r="J515" s="61" t="s">
        <v>720</v>
      </c>
      <c r="K515" s="61"/>
      <c r="L515" s="73">
        <f t="shared" si="36"/>
        <v>46235</v>
      </c>
      <c r="M515" s="65" t="str">
        <f t="shared" ca="1" si="37"/>
        <v>UYGUN</v>
      </c>
      <c r="N515" s="74" t="str">
        <f>IF($C515="","",IF($C515="TANIMSIZ MÜŞTERİ","—",INDEX(MUSTERILER!$C$7:$C$156,MATCH($C515,MUSTERILER!$B$7:$B$156,0))))</f>
        <v>AC OTEL LTD.ŞTİ.</v>
      </c>
      <c r="O515" s="2"/>
      <c r="P515" s="2"/>
      <c r="Q515" s="1" t="str">
        <f>IF($D515="","",$C515&amp;"|"&amp;COUNTIFS($C$7:$C515,$C515))</f>
        <v>M019|5</v>
      </c>
      <c r="R515" s="1" t="str">
        <f t="shared" si="38"/>
        <v>ACOTELLTDSTI</v>
      </c>
      <c r="S515" s="1" t="str">
        <f t="shared" si="39"/>
        <v>M019|46249|5000|</v>
      </c>
      <c r="T515" s="1">
        <f>IF($E515="",0,SUMPRODUCT((AY_SONU!$O$7:$O$42="Evet")*(AY_SONU!$B$7:$B$42=DATE(YEAR($E515),MONTH($E515),1))))</f>
        <v>0</v>
      </c>
      <c r="U515" s="1" t="str">
        <f>IF(OR($G515="",$H515="Mahsup"),"",$G515&amp;"|"&amp;COUNTIFS($G$7:$G515,$G515,$H$7:$H515,"&lt;&gt;Mahsup"))</f>
        <v>MERKEZ KASA|401</v>
      </c>
    </row>
    <row r="516" spans="1:21" ht="18" customHeight="1" x14ac:dyDescent="0.3">
      <c r="A516" s="2"/>
      <c r="B516" s="65" t="str">
        <f t="shared" si="35"/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M001</v>
      </c>
      <c r="D516" s="61" t="s">
        <v>729</v>
      </c>
      <c r="E516" s="66">
        <v>46249</v>
      </c>
      <c r="F516" s="67">
        <v>4000</v>
      </c>
      <c r="G516" s="60" t="s">
        <v>717</v>
      </c>
      <c r="H516" s="60" t="s">
        <v>572</v>
      </c>
      <c r="I516" s="61"/>
      <c r="J516" s="61" t="s">
        <v>720</v>
      </c>
      <c r="K516" s="61"/>
      <c r="L516" s="73">
        <f t="shared" si="36"/>
        <v>46235</v>
      </c>
      <c r="M516" s="65" t="str">
        <f t="shared" ca="1" si="37"/>
        <v>UYGUN</v>
      </c>
      <c r="N516" s="74" t="str">
        <f>IF($C516="","",IF($C516="TANIMSIZ MÜŞTERİ","—",INDEX(MUSTERILER!$C$7:$C$156,MATCH($C516,MUSTERILER!$B$7:$B$156,0))))</f>
        <v>ANKARA HAVANA LTD.ŞTİ.</v>
      </c>
      <c r="O516" s="2"/>
      <c r="P516" s="2"/>
      <c r="Q516" s="1" t="str">
        <f>IF($D516="","",$C516&amp;"|"&amp;COUNTIFS($C$7:$C516,$C516))</f>
        <v>M001|16</v>
      </c>
      <c r="R516" s="1" t="str">
        <f t="shared" si="38"/>
        <v>ANKARAHAVANALTDSTI</v>
      </c>
      <c r="S516" s="1" t="str">
        <f t="shared" si="39"/>
        <v>M001|46249|4000|</v>
      </c>
      <c r="T516" s="1">
        <f>IF($E516="",0,SUMPRODUCT((AY_SONU!$O$7:$O$42="Evet")*(AY_SONU!$B$7:$B$42=DATE(YEAR($E516),MONTH($E516),1))))</f>
        <v>0</v>
      </c>
      <c r="U516" s="1" t="str">
        <f>IF(OR($G516="",$H516="Mahsup"),"",$G516&amp;"|"&amp;COUNTIFS($G$7:$G516,$G516,$H$7:$H516,"&lt;&gt;Mahsup"))</f>
        <v>MERKEZ KASA|402</v>
      </c>
    </row>
    <row r="517" spans="1:21" ht="18" customHeight="1" x14ac:dyDescent="0.3">
      <c r="A517" s="2"/>
      <c r="B517" s="65" t="str">
        <f t="shared" si="35"/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M025</v>
      </c>
      <c r="D517" s="61" t="s">
        <v>583</v>
      </c>
      <c r="E517" s="66">
        <v>46249</v>
      </c>
      <c r="F517" s="67">
        <v>2000</v>
      </c>
      <c r="G517" s="60" t="s">
        <v>717</v>
      </c>
      <c r="H517" s="60" t="s">
        <v>572</v>
      </c>
      <c r="I517" s="61"/>
      <c r="J517" s="61" t="s">
        <v>720</v>
      </c>
      <c r="K517" s="61"/>
      <c r="L517" s="73">
        <f t="shared" si="36"/>
        <v>46235</v>
      </c>
      <c r="M517" s="65" t="str">
        <f t="shared" ca="1" si="37"/>
        <v>UYGUN</v>
      </c>
      <c r="N517" s="74" t="str">
        <f>IF($C517="","",IF($C517="TANIMSIZ MÜŞTERİ","—",INDEX(MUSTERILER!$C$7:$C$156,MATCH($C517,MUSTERILER!$B$7:$B$156,0))))</f>
        <v>ASIM AÇIKGÖZ</v>
      </c>
      <c r="O517" s="2"/>
      <c r="P517" s="2"/>
      <c r="Q517" s="1" t="str">
        <f>IF($D517="","",$C517&amp;"|"&amp;COUNTIFS($C$7:$C517,$C517))</f>
        <v>M025|28</v>
      </c>
      <c r="R517" s="1" t="str">
        <f t="shared" si="38"/>
        <v>ASIMACIKGOZ</v>
      </c>
      <c r="S517" s="1" t="str">
        <f t="shared" si="39"/>
        <v>M025|46249|2000|</v>
      </c>
      <c r="T517" s="1">
        <f>IF($E517="",0,SUMPRODUCT((AY_SONU!$O$7:$O$42="Evet")*(AY_SONU!$B$7:$B$42=DATE(YEAR($E517),MONTH($E517),1))))</f>
        <v>0</v>
      </c>
      <c r="U517" s="1" t="str">
        <f>IF(OR($G517="",$H517="Mahsup"),"",$G517&amp;"|"&amp;COUNTIFS($G$7:$G517,$G517,$H$7:$H517,"&lt;&gt;Mahsup"))</f>
        <v>MERKEZ KASA|403</v>
      </c>
    </row>
    <row r="518" spans="1:21" ht="18" customHeight="1" x14ac:dyDescent="0.3">
      <c r="A518" s="2"/>
      <c r="B518" s="65" t="str">
        <f t="shared" si="35"/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M017</v>
      </c>
      <c r="D518" s="61" t="s">
        <v>585</v>
      </c>
      <c r="E518" s="66">
        <v>46249</v>
      </c>
      <c r="F518" s="67">
        <v>2500</v>
      </c>
      <c r="G518" s="60" t="s">
        <v>717</v>
      </c>
      <c r="H518" s="60" t="s">
        <v>572</v>
      </c>
      <c r="I518" s="61"/>
      <c r="J518" s="61" t="s">
        <v>720</v>
      </c>
      <c r="K518" s="61"/>
      <c r="L518" s="73">
        <f t="shared" si="36"/>
        <v>46235</v>
      </c>
      <c r="M518" s="65" t="str">
        <f t="shared" ca="1" si="37"/>
        <v>UYGUN</v>
      </c>
      <c r="N518" s="74" t="str">
        <f>IF($C518="","",IF($C518="TANIMSIZ MÜŞTERİ","—",INDEX(MUSTERILER!$C$7:$C$156,MATCH($C518,MUSTERILER!$B$7:$B$156,0))))</f>
        <v>ASM EĞLENCE LTD.ŞTİ.</v>
      </c>
      <c r="O518" s="2"/>
      <c r="P518" s="2"/>
      <c r="Q518" s="1" t="str">
        <f>IF($D518="","",$C518&amp;"|"&amp;COUNTIFS($C$7:$C518,$C518))</f>
        <v>M017|28</v>
      </c>
      <c r="R518" s="1" t="str">
        <f t="shared" si="38"/>
        <v>ASMEGLENCELTDSTI</v>
      </c>
      <c r="S518" s="1" t="str">
        <f t="shared" si="39"/>
        <v>M017|46249|2500|</v>
      </c>
      <c r="T518" s="1">
        <f>IF($E518="",0,SUMPRODUCT((AY_SONU!$O$7:$O$42="Evet")*(AY_SONU!$B$7:$B$42=DATE(YEAR($E518),MONTH($E518),1))))</f>
        <v>0</v>
      </c>
      <c r="U518" s="1" t="str">
        <f>IF(OR($G518="",$H518="Mahsup"),"",$G518&amp;"|"&amp;COUNTIFS($G$7:$G518,$G518,$H$7:$H518,"&lt;&gt;Mahsup"))</f>
        <v>MERKEZ KASA|404</v>
      </c>
    </row>
    <row r="519" spans="1:21" ht="18" customHeight="1" x14ac:dyDescent="0.3">
      <c r="A519" s="2"/>
      <c r="B519" s="65" t="str">
        <f t="shared" ref="B519:B582" si="40"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M011</v>
      </c>
      <c r="D519" s="61" t="s">
        <v>730</v>
      </c>
      <c r="E519" s="66">
        <v>46249</v>
      </c>
      <c r="F519" s="67">
        <v>4000</v>
      </c>
      <c r="G519" s="60" t="s">
        <v>717</v>
      </c>
      <c r="H519" s="60" t="s">
        <v>572</v>
      </c>
      <c r="I519" s="61"/>
      <c r="J519" s="61" t="s">
        <v>720</v>
      </c>
      <c r="K519" s="61"/>
      <c r="L519" s="73">
        <f t="shared" ref="L519:L582" si="41">IF($E519="","",DATE(YEAR($E519),MONTH($E519),1))</f>
        <v>46235</v>
      </c>
      <c r="M519" s="65" t="str">
        <f t="shared" ref="M519:M582" ca="1" si="42">IF($D519="","",IF($C519="TANIMSIZ MÜŞTERİ","HATA",IF(OR($E519="",$F519&lt;=0,$G519=""),"EKSİK",IF($E519&gt;TODAY(),"İLERİ TARİH",IF(COUNTIF($S$7:$S$2503,$S519)&gt;1,"MÜKERRER?",IF($T519&gt;0,"KAPALI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EĞLENGÖR LTD.ŞTİ.</v>
      </c>
      <c r="O519" s="2"/>
      <c r="P519" s="2"/>
      <c r="Q519" s="1" t="str">
        <f>IF($D519="","",$C519&amp;"|"&amp;COUNTIFS($C$7:$C519,$C519))</f>
        <v>M011|31</v>
      </c>
      <c r="R519" s="1" t="str">
        <f t="shared" ref="R519:R582" si="43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EGLENGORLTDSTI</v>
      </c>
      <c r="S519" s="1" t="str">
        <f t="shared" ref="S519:S582" si="44">IF($D519="","",$C519&amp;"|"&amp;TEXT($E519,"0")&amp;"|"&amp;TEXT($F519,"0")&amp;"|"&amp;$I519)</f>
        <v>M011|46249|4000|</v>
      </c>
      <c r="T519" s="1">
        <f>IF($E519="",0,SUMPRODUCT((AY_SONU!$O$7:$O$42="Evet")*(AY_SONU!$B$7:$B$42=DATE(YEAR($E519),MONTH($E519),1))))</f>
        <v>0</v>
      </c>
      <c r="U519" s="1" t="str">
        <f>IF(OR($G519="",$H519="Mahsup"),"",$G519&amp;"|"&amp;COUNTIFS($G$7:$G519,$G519,$H$7:$H519,"&lt;&gt;Mahsup"))</f>
        <v>MERKEZ KASA|405</v>
      </c>
    </row>
    <row r="520" spans="1:21" ht="18" customHeight="1" x14ac:dyDescent="0.3">
      <c r="A520" s="2"/>
      <c r="B520" s="65" t="str">
        <f t="shared" si="40"/>
        <v>T00514</v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>M014</v>
      </c>
      <c r="D520" s="61" t="s">
        <v>731</v>
      </c>
      <c r="E520" s="66">
        <v>46249</v>
      </c>
      <c r="F520" s="67">
        <v>12000</v>
      </c>
      <c r="G520" s="60" t="s">
        <v>717</v>
      </c>
      <c r="H520" s="60" t="s">
        <v>572</v>
      </c>
      <c r="I520" s="61"/>
      <c r="J520" s="61" t="s">
        <v>720</v>
      </c>
      <c r="K520" s="61"/>
      <c r="L520" s="73">
        <f t="shared" si="41"/>
        <v>46235</v>
      </c>
      <c r="M520" s="65" t="str">
        <f t="shared" ca="1" si="42"/>
        <v>UYGUN</v>
      </c>
      <c r="N520" s="74" t="str">
        <f>IF($C520="","",IF($C520="TANIMSIZ MÜŞTERİ","—",INDEX(MUSTERILER!$C$7:$C$156,MATCH($C520,MUSTERILER!$B$7:$B$156,0))))</f>
        <v>FİNAL SİYAH BEYAZ LTD.ŞTİ.</v>
      </c>
      <c r="O520" s="2"/>
      <c r="P520" s="2"/>
      <c r="Q520" s="1" t="str">
        <f>IF($D520="","",$C520&amp;"|"&amp;COUNTIFS($C$7:$C520,$C520))</f>
        <v>M014|29</v>
      </c>
      <c r="R520" s="1" t="str">
        <f t="shared" si="43"/>
        <v>FINALSIYAHBEYAZLTDSTI</v>
      </c>
      <c r="S520" s="1" t="str">
        <f t="shared" si="44"/>
        <v>M014|46249|12000|</v>
      </c>
      <c r="T520" s="1">
        <f>IF($E520="",0,SUMPRODUCT((AY_SONU!$O$7:$O$42="Evet")*(AY_SONU!$B$7:$B$42=DATE(YEAR($E520),MONTH($E520),1))))</f>
        <v>0</v>
      </c>
      <c r="U520" s="1" t="str">
        <f>IF(OR($G520="",$H520="Mahsup"),"",$G520&amp;"|"&amp;COUNTIFS($G$7:$G520,$G520,$H$7:$H520,"&lt;&gt;Mahsup"))</f>
        <v>MERKEZ KASA|406</v>
      </c>
    </row>
    <row r="521" spans="1:21" ht="18" customHeight="1" x14ac:dyDescent="0.3">
      <c r="A521" s="2"/>
      <c r="B521" s="65" t="str">
        <f t="shared" si="40"/>
        <v>T00515</v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>M012</v>
      </c>
      <c r="D521" s="61" t="s">
        <v>721</v>
      </c>
      <c r="E521" s="66">
        <v>46249</v>
      </c>
      <c r="F521" s="67">
        <v>4000</v>
      </c>
      <c r="G521" s="60" t="s">
        <v>717</v>
      </c>
      <c r="H521" s="60" t="s">
        <v>572</v>
      </c>
      <c r="I521" s="61"/>
      <c r="J521" s="61" t="s">
        <v>720</v>
      </c>
      <c r="K521" s="61"/>
      <c r="L521" s="73">
        <f t="shared" si="41"/>
        <v>46235</v>
      </c>
      <c r="M521" s="65" t="str">
        <f t="shared" ca="1" si="42"/>
        <v>UYGUN</v>
      </c>
      <c r="N521" s="74" t="str">
        <f>IF($C521="","",IF($C521="TANIMSIZ MÜŞTERİ","—",INDEX(MUSTERILER!$C$7:$C$156,MATCH($C521,MUSTERILER!$B$7:$B$156,0))))</f>
        <v>İLDEŞ LTD.ŞTİ.</v>
      </c>
      <c r="O521" s="2"/>
      <c r="P521" s="2"/>
      <c r="Q521" s="1" t="str">
        <f>IF($D521="","",$C521&amp;"|"&amp;COUNTIFS($C$7:$C521,$C521))</f>
        <v>M012|29</v>
      </c>
      <c r="R521" s="1" t="str">
        <f t="shared" si="43"/>
        <v>ILDESLTDSTI</v>
      </c>
      <c r="S521" s="1" t="str">
        <f t="shared" si="44"/>
        <v>M012|46249|4000|</v>
      </c>
      <c r="T521" s="1">
        <f>IF($E521="",0,SUMPRODUCT((AY_SONU!$O$7:$O$42="Evet")*(AY_SONU!$B$7:$B$42=DATE(YEAR($E521),MONTH($E521),1))))</f>
        <v>0</v>
      </c>
      <c r="U521" s="1" t="str">
        <f>IF(OR($G521="",$H521="Mahsup"),"",$G521&amp;"|"&amp;COUNTIFS($G$7:$G521,$G521,$H$7:$H521,"&lt;&gt;Mahsup"))</f>
        <v>MERKEZ KASA|407</v>
      </c>
    </row>
    <row r="522" spans="1:21" ht="18" customHeight="1" x14ac:dyDescent="0.3">
      <c r="A522" s="2"/>
      <c r="B522" s="65" t="str">
        <f t="shared" si="40"/>
        <v>T00516</v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>M007</v>
      </c>
      <c r="D522" s="61" t="s">
        <v>733</v>
      </c>
      <c r="E522" s="66">
        <v>46249</v>
      </c>
      <c r="F522" s="67">
        <v>3500</v>
      </c>
      <c r="G522" s="60" t="s">
        <v>717</v>
      </c>
      <c r="H522" s="60" t="s">
        <v>572</v>
      </c>
      <c r="I522" s="61"/>
      <c r="J522" s="61" t="s">
        <v>720</v>
      </c>
      <c r="K522" s="61"/>
      <c r="L522" s="73">
        <f t="shared" si="41"/>
        <v>46235</v>
      </c>
      <c r="M522" s="65" t="str">
        <f t="shared" ca="1" si="42"/>
        <v>UYGUN</v>
      </c>
      <c r="N522" s="74" t="str">
        <f>IF($C522="","",IF($C522="TANIMSIZ MÜŞTERİ","—",INDEX(MUSTERILER!$C$7:$C$156,MATCH($C522,MUSTERILER!$B$7:$B$156,0))))</f>
        <v>MONAMOUR LTD.ŞTİ.</v>
      </c>
      <c r="O522" s="2"/>
      <c r="P522" s="2"/>
      <c r="Q522" s="1" t="str">
        <f>IF($D522="","",$C522&amp;"|"&amp;COUNTIFS($C$7:$C522,$C522))</f>
        <v>M007|22</v>
      </c>
      <c r="R522" s="1" t="str">
        <f t="shared" si="43"/>
        <v>MONAMOURLTDSTI</v>
      </c>
      <c r="S522" s="1" t="str">
        <f t="shared" si="44"/>
        <v>M007|46249|3500|</v>
      </c>
      <c r="T522" s="1">
        <f>IF($E522="",0,SUMPRODUCT((AY_SONU!$O$7:$O$42="Evet")*(AY_SONU!$B$7:$B$42=DATE(YEAR($E522),MONTH($E522),1))))</f>
        <v>0</v>
      </c>
      <c r="U522" s="1" t="str">
        <f>IF(OR($G522="",$H522="Mahsup"),"",$G522&amp;"|"&amp;COUNTIFS($G$7:$G522,$G522,$H$7:$H522,"&lt;&gt;Mahsup"))</f>
        <v>MERKEZ KASA|408</v>
      </c>
    </row>
    <row r="523" spans="1:21" ht="18" customHeight="1" x14ac:dyDescent="0.3">
      <c r="A523" s="2"/>
      <c r="B523" s="65" t="str">
        <f t="shared" si="40"/>
        <v>T00517</v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>M013</v>
      </c>
      <c r="D523" s="61" t="s">
        <v>734</v>
      </c>
      <c r="E523" s="66">
        <v>46249</v>
      </c>
      <c r="F523" s="67">
        <v>4000</v>
      </c>
      <c r="G523" s="60" t="s">
        <v>717</v>
      </c>
      <c r="H523" s="60" t="s">
        <v>572</v>
      </c>
      <c r="I523" s="61"/>
      <c r="J523" s="61" t="s">
        <v>720</v>
      </c>
      <c r="K523" s="61"/>
      <c r="L523" s="73">
        <f t="shared" si="41"/>
        <v>46235</v>
      </c>
      <c r="M523" s="65" t="str">
        <f t="shared" ca="1" si="42"/>
        <v>UYGUN</v>
      </c>
      <c r="N523" s="74" t="str">
        <f>IF($C523="","",IF($C523="TANIMSIZ MÜŞTERİ","—",INDEX(MUSTERILER!$C$7:$C$156,MATCH($C523,MUSTERILER!$B$7:$B$156,0))))</f>
        <v>NAZ 1 GIDA LTD.ŞTİ.</v>
      </c>
      <c r="O523" s="2"/>
      <c r="P523" s="2"/>
      <c r="Q523" s="1" t="str">
        <f>IF($D523="","",$C523&amp;"|"&amp;COUNTIFS($C$7:$C523,$C523))</f>
        <v>M013|22</v>
      </c>
      <c r="R523" s="1" t="str">
        <f t="shared" si="43"/>
        <v>NAZ1GIDALTDSTI</v>
      </c>
      <c r="S523" s="1" t="str">
        <f t="shared" si="44"/>
        <v>M013|46249|4000|</v>
      </c>
      <c r="T523" s="1">
        <f>IF($E523="",0,SUMPRODUCT((AY_SONU!$O$7:$O$42="Evet")*(AY_SONU!$B$7:$B$42=DATE(YEAR($E523),MONTH($E523),1))))</f>
        <v>0</v>
      </c>
      <c r="U523" s="1" t="str">
        <f>IF(OR($G523="",$H523="Mahsup"),"",$G523&amp;"|"&amp;COUNTIFS($G$7:$G523,$G523,$H$7:$H523,"&lt;&gt;Mahsup"))</f>
        <v>MERKEZ KASA|409</v>
      </c>
    </row>
    <row r="524" spans="1:21" ht="18" customHeight="1" x14ac:dyDescent="0.3">
      <c r="A524" s="2"/>
      <c r="B524" s="65" t="str">
        <f t="shared" si="40"/>
        <v>T00518</v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>M009</v>
      </c>
      <c r="D524" s="61" t="s">
        <v>735</v>
      </c>
      <c r="E524" s="66">
        <v>46249</v>
      </c>
      <c r="F524" s="67">
        <v>4000</v>
      </c>
      <c r="G524" s="60" t="s">
        <v>717</v>
      </c>
      <c r="H524" s="60" t="s">
        <v>572</v>
      </c>
      <c r="I524" s="61"/>
      <c r="J524" s="61" t="s">
        <v>720</v>
      </c>
      <c r="K524" s="61"/>
      <c r="L524" s="73">
        <f t="shared" si="41"/>
        <v>46235</v>
      </c>
      <c r="M524" s="65" t="str">
        <f t="shared" ca="1" si="42"/>
        <v>UYGUN</v>
      </c>
      <c r="N524" s="74" t="str">
        <f>IF($C524="","",IF($C524="TANIMSIZ MÜŞTERİ","—",INDEX(MUSTERILER!$C$7:$C$156,MATCH($C524,MUSTERILER!$B$7:$B$156,0))))</f>
        <v>PAKYILDIZ LTD.ŞTİ.</v>
      </c>
      <c r="O524" s="2"/>
      <c r="P524" s="2"/>
      <c r="Q524" s="1" t="str">
        <f>IF($D524="","",$C524&amp;"|"&amp;COUNTIFS($C$7:$C524,$C524))</f>
        <v>M009|28</v>
      </c>
      <c r="R524" s="1" t="str">
        <f t="shared" si="43"/>
        <v>PAKYILDIZLTDSTI</v>
      </c>
      <c r="S524" s="1" t="str">
        <f t="shared" si="44"/>
        <v>M009|46249|4000|</v>
      </c>
      <c r="T524" s="1">
        <f>IF($E524="",0,SUMPRODUCT((AY_SONU!$O$7:$O$42="Evet")*(AY_SONU!$B$7:$B$42=DATE(YEAR($E524),MONTH($E524),1))))</f>
        <v>0</v>
      </c>
      <c r="U524" s="1" t="str">
        <f>IF(OR($G524="",$H524="Mahsup"),"",$G524&amp;"|"&amp;COUNTIFS($G$7:$G524,$G524,$H$7:$H524,"&lt;&gt;Mahsup"))</f>
        <v>MERKEZ KASA|410</v>
      </c>
    </row>
    <row r="525" spans="1:21" ht="18" customHeight="1" x14ac:dyDescent="0.3">
      <c r="A525" s="2"/>
      <c r="B525" s="65" t="str">
        <f t="shared" si="40"/>
        <v>T00519</v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>M016</v>
      </c>
      <c r="D525" s="61" t="s">
        <v>736</v>
      </c>
      <c r="E525" s="66">
        <v>46249</v>
      </c>
      <c r="F525" s="67">
        <v>3000</v>
      </c>
      <c r="G525" s="60" t="s">
        <v>717</v>
      </c>
      <c r="H525" s="60" t="s">
        <v>572</v>
      </c>
      <c r="I525" s="61"/>
      <c r="J525" s="61" t="s">
        <v>720</v>
      </c>
      <c r="K525" s="61"/>
      <c r="L525" s="73">
        <f t="shared" si="41"/>
        <v>46235</v>
      </c>
      <c r="M525" s="65" t="str">
        <f t="shared" ca="1" si="42"/>
        <v>UYGUN</v>
      </c>
      <c r="N525" s="74" t="str">
        <f>IF($C525="","",IF($C525="TANIMSIZ MÜŞTERİ","—",INDEX(MUSTERILER!$C$7:$C$156,MATCH($C525,MUSTERILER!$B$7:$B$156,0))))</f>
        <v>RİX ŞOW LTD.ŞTİ.</v>
      </c>
      <c r="O525" s="2"/>
      <c r="P525" s="2"/>
      <c r="Q525" s="1" t="str">
        <f>IF($D525="","",$C525&amp;"|"&amp;COUNTIFS($C$7:$C525,$C525))</f>
        <v>M016|29</v>
      </c>
      <c r="R525" s="1" t="str">
        <f t="shared" si="43"/>
        <v>RIXSOWLTDSTI</v>
      </c>
      <c r="S525" s="1" t="str">
        <f t="shared" si="44"/>
        <v>M016|46249|3000|</v>
      </c>
      <c r="T525" s="1">
        <f>IF($E525="",0,SUMPRODUCT((AY_SONU!$O$7:$O$42="Evet")*(AY_SONU!$B$7:$B$42=DATE(YEAR($E525),MONTH($E525),1))))</f>
        <v>0</v>
      </c>
      <c r="U525" s="1" t="str">
        <f>IF(OR($G525="",$H525="Mahsup"),"",$G525&amp;"|"&amp;COUNTIFS($G$7:$G525,$G525,$H$7:$H525,"&lt;&gt;Mahsup"))</f>
        <v>MERKEZ KASA|411</v>
      </c>
    </row>
    <row r="526" spans="1:21" ht="18" customHeight="1" x14ac:dyDescent="0.3">
      <c r="A526" s="2"/>
      <c r="B526" s="65" t="str">
        <f t="shared" si="40"/>
        <v>T00520</v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>M005</v>
      </c>
      <c r="D526" s="61" t="s">
        <v>722</v>
      </c>
      <c r="E526" s="66">
        <v>46249</v>
      </c>
      <c r="F526" s="67">
        <v>3500</v>
      </c>
      <c r="G526" s="60" t="s">
        <v>717</v>
      </c>
      <c r="H526" s="60" t="s">
        <v>572</v>
      </c>
      <c r="I526" s="61"/>
      <c r="J526" s="61" t="s">
        <v>720</v>
      </c>
      <c r="K526" s="61"/>
      <c r="L526" s="73">
        <f t="shared" si="41"/>
        <v>46235</v>
      </c>
      <c r="M526" s="65" t="str">
        <f t="shared" ca="1" si="42"/>
        <v>UYGUN</v>
      </c>
      <c r="N526" s="74" t="str">
        <f>IF($C526="","",IF($C526="TANIMSIZ MÜŞTERİ","—",INDEX(MUSTERILER!$C$7:$C$156,MATCH($C526,MUSTERILER!$B$7:$B$156,0))))</f>
        <v>ZÜMRÜT GRUP LTD.ŞTİ.</v>
      </c>
      <c r="O526" s="2"/>
      <c r="P526" s="2"/>
      <c r="Q526" s="1" t="str">
        <f>IF($D526="","",$C526&amp;"|"&amp;COUNTIFS($C$7:$C526,$C526))</f>
        <v>M005|23</v>
      </c>
      <c r="R526" s="1" t="str">
        <f t="shared" si="43"/>
        <v>ZUMRUTGRUPLTDSTI</v>
      </c>
      <c r="S526" s="1" t="str">
        <f t="shared" si="44"/>
        <v>M005|46249|3500|</v>
      </c>
      <c r="T526" s="1">
        <f>IF($E526="",0,SUMPRODUCT((AY_SONU!$O$7:$O$42="Evet")*(AY_SONU!$B$7:$B$42=DATE(YEAR($E526),MONTH($E526),1))))</f>
        <v>0</v>
      </c>
      <c r="U526" s="1" t="str">
        <f>IF(OR($G526="",$H526="Mahsup"),"",$G526&amp;"|"&amp;COUNTIFS($G$7:$G526,$G526,$H$7:$H526,"&lt;&gt;Mahsup"))</f>
        <v>MERKEZ KASA|412</v>
      </c>
    </row>
    <row r="527" spans="1:21" ht="18" customHeight="1" x14ac:dyDescent="0.3">
      <c r="A527" s="2"/>
      <c r="B527" s="65" t="str">
        <f t="shared" si="40"/>
        <v>T00521</v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>M018</v>
      </c>
      <c r="D527" s="61" t="s">
        <v>593</v>
      </c>
      <c r="E527" s="66">
        <v>46249</v>
      </c>
      <c r="F527" s="67">
        <v>3500</v>
      </c>
      <c r="G527" s="60" t="s">
        <v>717</v>
      </c>
      <c r="H527" s="60" t="s">
        <v>572</v>
      </c>
      <c r="I527" s="61"/>
      <c r="J527" s="61" t="s">
        <v>720</v>
      </c>
      <c r="K527" s="61"/>
      <c r="L527" s="73">
        <f t="shared" si="41"/>
        <v>46235</v>
      </c>
      <c r="M527" s="65" t="str">
        <f t="shared" ca="1" si="42"/>
        <v>UYGUN</v>
      </c>
      <c r="N527" s="74" t="str">
        <f>IF($C527="","",IF($C527="TANIMSIZ MÜŞTERİ","—",INDEX(MUSTERILER!$C$7:$C$156,MATCH($C527,MUSTERILER!$B$7:$B$156,0))))</f>
        <v>ÇINARHAN LTD.ŞTİ.</v>
      </c>
      <c r="O527" s="2"/>
      <c r="P527" s="2"/>
      <c r="Q527" s="1" t="str">
        <f>IF($D527="","",$C527&amp;"|"&amp;COUNTIFS($C$7:$C527,$C527))</f>
        <v>M018|22</v>
      </c>
      <c r="R527" s="1" t="str">
        <f t="shared" si="43"/>
        <v>CINARHANLTDSTI</v>
      </c>
      <c r="S527" s="1" t="str">
        <f t="shared" si="44"/>
        <v>M018|46249|3500|</v>
      </c>
      <c r="T527" s="1">
        <f>IF($E527="",0,SUMPRODUCT((AY_SONU!$O$7:$O$42="Evet")*(AY_SONU!$B$7:$B$42=DATE(YEAR($E527),MONTH($E527),1))))</f>
        <v>0</v>
      </c>
      <c r="U527" s="1" t="str">
        <f>IF(OR($G527="",$H527="Mahsup"),"",$G527&amp;"|"&amp;COUNTIFS($G$7:$G527,$G527,$H$7:$H527,"&lt;&gt;Mahsup"))</f>
        <v>MERKEZ KASA|413</v>
      </c>
    </row>
    <row r="528" spans="1:21" ht="18" customHeight="1" x14ac:dyDescent="0.3">
      <c r="A528" s="2"/>
      <c r="B528" s="65" t="str">
        <f t="shared" si="40"/>
        <v>T00522</v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>M020</v>
      </c>
      <c r="D528" s="61" t="s">
        <v>623</v>
      </c>
      <c r="E528" s="66">
        <v>46249</v>
      </c>
      <c r="F528" s="67">
        <v>3000</v>
      </c>
      <c r="G528" s="60" t="s">
        <v>717</v>
      </c>
      <c r="H528" s="60" t="s">
        <v>572</v>
      </c>
      <c r="I528" s="61"/>
      <c r="J528" s="61" t="s">
        <v>720</v>
      </c>
      <c r="K528" s="61"/>
      <c r="L528" s="73">
        <f t="shared" si="41"/>
        <v>46235</v>
      </c>
      <c r="M528" s="65" t="str">
        <f t="shared" ca="1" si="42"/>
        <v>UYGUN</v>
      </c>
      <c r="N528" s="74" t="str">
        <f>IF($C528="","",IF($C528="TANIMSIZ MÜŞTERİ","—",INDEX(MUSTERILER!$C$7:$C$156,MATCH($C528,MUSTERILER!$B$7:$B$156,0))))</f>
        <v>KRİSTAL LTD.ŞTİ.</v>
      </c>
      <c r="O528" s="2"/>
      <c r="P528" s="2"/>
      <c r="Q528" s="1" t="str">
        <f>IF($D528="","",$C528&amp;"|"&amp;COUNTIFS($C$7:$C528,$C528))</f>
        <v>M020|31</v>
      </c>
      <c r="R528" s="1" t="str">
        <f t="shared" si="43"/>
        <v>KRISTALLTDSTI</v>
      </c>
      <c r="S528" s="1" t="str">
        <f t="shared" si="44"/>
        <v>M020|46249|3000|</v>
      </c>
      <c r="T528" s="1">
        <f>IF($E528="",0,SUMPRODUCT((AY_SONU!$O$7:$O$42="Evet")*(AY_SONU!$B$7:$B$42=DATE(YEAR($E528),MONTH($E528),1))))</f>
        <v>0</v>
      </c>
      <c r="U528" s="1" t="str">
        <f>IF(OR($G528="",$H528="Mahsup"),"",$G528&amp;"|"&amp;COUNTIFS($G$7:$G528,$G528,$H$7:$H528,"&lt;&gt;Mahsup"))</f>
        <v>MERKEZ KASA|414</v>
      </c>
    </row>
    <row r="529" spans="1:21" ht="18" customHeight="1" x14ac:dyDescent="0.3">
      <c r="A529" s="2"/>
      <c r="B529" s="65" t="str">
        <f t="shared" si="40"/>
        <v>T00523</v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>M047</v>
      </c>
      <c r="D529" s="61" t="s">
        <v>654</v>
      </c>
      <c r="E529" s="66">
        <v>46249</v>
      </c>
      <c r="F529" s="67">
        <v>5000</v>
      </c>
      <c r="G529" s="60" t="s">
        <v>717</v>
      </c>
      <c r="H529" s="60" t="s">
        <v>572</v>
      </c>
      <c r="I529" s="61"/>
      <c r="J529" s="61" t="s">
        <v>720</v>
      </c>
      <c r="K529" s="61"/>
      <c r="L529" s="73">
        <f t="shared" si="41"/>
        <v>46235</v>
      </c>
      <c r="M529" s="65" t="str">
        <f t="shared" ca="1" si="42"/>
        <v>UYGUN</v>
      </c>
      <c r="N529" s="74" t="str">
        <f>IF($C529="","",IF($C529="TANIMSIZ MÜŞTERİ","—",INDEX(MUSTERILER!$C$7:$C$156,MATCH($C529,MUSTERILER!$B$7:$B$156,0))))</f>
        <v>PALAOĞULLARI LTD.ŞTİ.</v>
      </c>
      <c r="O529" s="2"/>
      <c r="P529" s="2"/>
      <c r="Q529" s="1" t="str">
        <f>IF($D529="","",$C529&amp;"|"&amp;COUNTIFS($C$7:$C529,$C529))</f>
        <v>M047|21</v>
      </c>
      <c r="R529" s="1" t="str">
        <f t="shared" si="43"/>
        <v>PALAOGULLARILTDSTI</v>
      </c>
      <c r="S529" s="1" t="str">
        <f t="shared" si="44"/>
        <v>M047|46249|5000|</v>
      </c>
      <c r="T529" s="1">
        <f>IF($E529="",0,SUMPRODUCT((AY_SONU!$O$7:$O$42="Evet")*(AY_SONU!$B$7:$B$42=DATE(YEAR($E529),MONTH($E529),1))))</f>
        <v>0</v>
      </c>
      <c r="U529" s="1" t="str">
        <f>IF(OR($G529="",$H529="Mahsup"),"",$G529&amp;"|"&amp;COUNTIFS($G$7:$G529,$G529,$H$7:$H529,"&lt;&gt;Mahsup"))</f>
        <v>MERKEZ KASA|415</v>
      </c>
    </row>
    <row r="530" spans="1:21" ht="18" customHeight="1" x14ac:dyDescent="0.3">
      <c r="A530" s="2"/>
      <c r="B530" s="65" t="str">
        <f t="shared" si="40"/>
        <v>T00524</v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>M049</v>
      </c>
      <c r="D530" s="61" t="s">
        <v>662</v>
      </c>
      <c r="E530" s="66">
        <v>46249</v>
      </c>
      <c r="F530" s="67">
        <v>3000</v>
      </c>
      <c r="G530" s="60" t="s">
        <v>717</v>
      </c>
      <c r="H530" s="60" t="s">
        <v>572</v>
      </c>
      <c r="I530" s="61"/>
      <c r="J530" s="61" t="s">
        <v>720</v>
      </c>
      <c r="K530" s="61"/>
      <c r="L530" s="73">
        <f t="shared" si="41"/>
        <v>46235</v>
      </c>
      <c r="M530" s="65" t="str">
        <f t="shared" ca="1" si="42"/>
        <v>UYGUN</v>
      </c>
      <c r="N530" s="74" t="str">
        <f>IF($C530="","",IF($C530="TANIMSIZ MÜŞTERİ","—",INDEX(MUSTERILER!$C$7:$C$156,MATCH($C530,MUSTERILER!$B$7:$B$156,0))))</f>
        <v>STAR ŞOW LTD.ŞTİ.</v>
      </c>
      <c r="O530" s="2"/>
      <c r="P530" s="2"/>
      <c r="Q530" s="1" t="str">
        <f>IF($D530="","",$C530&amp;"|"&amp;COUNTIFS($C$7:$C530,$C530))</f>
        <v>M049|2</v>
      </c>
      <c r="R530" s="1" t="str">
        <f t="shared" si="43"/>
        <v>STARSOWLTDSTI</v>
      </c>
      <c r="S530" s="1" t="str">
        <f t="shared" si="44"/>
        <v>M049|46249|3000|</v>
      </c>
      <c r="T530" s="1">
        <f>IF($E530="",0,SUMPRODUCT((AY_SONU!$O$7:$O$42="Evet")*(AY_SONU!$B$7:$B$42=DATE(YEAR($E530),MONTH($E530),1))))</f>
        <v>0</v>
      </c>
      <c r="U530" s="1" t="str">
        <f>IF(OR($G530="",$H530="Mahsup"),"",$G530&amp;"|"&amp;COUNTIFS($G$7:$G530,$G530,$H$7:$H530,"&lt;&gt;Mahsup"))</f>
        <v>MERKEZ KASA|416</v>
      </c>
    </row>
    <row r="531" spans="1:21" ht="18" customHeight="1" x14ac:dyDescent="0.3">
      <c r="A531" s="2"/>
      <c r="B531" s="65" t="str">
        <f t="shared" si="40"/>
        <v>T00525</v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>M051</v>
      </c>
      <c r="D531" s="61" t="s">
        <v>668</v>
      </c>
      <c r="E531" s="66">
        <v>46249</v>
      </c>
      <c r="F531" s="67">
        <v>3000</v>
      </c>
      <c r="G531" s="60" t="s">
        <v>723</v>
      </c>
      <c r="H531" s="60" t="s">
        <v>572</v>
      </c>
      <c r="I531" s="61"/>
      <c r="J531" s="61" t="s">
        <v>720</v>
      </c>
      <c r="K531" s="61"/>
      <c r="L531" s="73">
        <f t="shared" si="41"/>
        <v>46235</v>
      </c>
      <c r="M531" s="65" t="str">
        <f t="shared" ca="1" si="42"/>
        <v>UYGUN</v>
      </c>
      <c r="N531" s="74" t="str">
        <f>IF($C531="","",IF($C531="TANIMSIZ MÜŞTERİ","—",INDEX(MUSTERILER!$C$7:$C$156,MATCH($C531,MUSTERILER!$B$7:$B$156,0))))</f>
        <v>UFUK YILMAZ</v>
      </c>
      <c r="O531" s="2"/>
      <c r="P531" s="2"/>
      <c r="Q531" s="1" t="str">
        <f>IF($D531="","",$C531&amp;"|"&amp;COUNTIFS($C$7:$C531,$C531))</f>
        <v>M051|8</v>
      </c>
      <c r="R531" s="1" t="str">
        <f t="shared" si="43"/>
        <v>UFUKYILMAZ</v>
      </c>
      <c r="S531" s="1" t="str">
        <f t="shared" si="44"/>
        <v>M051|46249|3000|</v>
      </c>
      <c r="T531" s="1">
        <f>IF($E531="",0,SUMPRODUCT((AY_SONU!$O$7:$O$42="Evet")*(AY_SONU!$B$7:$B$42=DATE(YEAR($E531),MONTH($E531),1))))</f>
        <v>0</v>
      </c>
      <c r="U531" s="1" t="str">
        <f>IF(OR($G531="",$H531="Mahsup"),"",$G531&amp;"|"&amp;COUNTIFS($G$7:$G531,$G531,$H$7:$H531,"&lt;&gt;Mahsup"))</f>
        <v>ÖMER KARTAL|109</v>
      </c>
    </row>
    <row r="532" spans="1:21" ht="18" customHeight="1" x14ac:dyDescent="0.3">
      <c r="A532" s="2"/>
      <c r="B532" s="65" t="str">
        <f t="shared" si="40"/>
        <v>T00526</v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>M041</v>
      </c>
      <c r="D532" s="61" t="s">
        <v>633</v>
      </c>
      <c r="E532" s="66">
        <v>46251</v>
      </c>
      <c r="F532" s="67">
        <v>5000</v>
      </c>
      <c r="G532" s="60" t="s">
        <v>717</v>
      </c>
      <c r="H532" s="60" t="s">
        <v>572</v>
      </c>
      <c r="I532" s="61"/>
      <c r="J532" s="61" t="s">
        <v>720</v>
      </c>
      <c r="K532" s="61"/>
      <c r="L532" s="73">
        <f t="shared" si="41"/>
        <v>46235</v>
      </c>
      <c r="M532" s="65" t="str">
        <f t="shared" ca="1" si="42"/>
        <v>UYGUN</v>
      </c>
      <c r="N532" s="74" t="str">
        <f>IF($C532="","",IF($C532="TANIMSIZ MÜŞTERİ","—",INDEX(MUSTERILER!$C$7:$C$156,MATCH($C532,MUSTERILER!$B$7:$B$156,0))))</f>
        <v>MESUT KÖKLÜ</v>
      </c>
      <c r="O532" s="2"/>
      <c r="P532" s="2"/>
      <c r="Q532" s="1" t="str">
        <f>IF($D532="","",$C532&amp;"|"&amp;COUNTIFS($C$7:$C532,$C532))</f>
        <v>M041|2</v>
      </c>
      <c r="R532" s="1" t="str">
        <f t="shared" si="43"/>
        <v>MESUTKOKLU</v>
      </c>
      <c r="S532" s="1" t="str">
        <f t="shared" si="44"/>
        <v>M041|46251|5000|</v>
      </c>
      <c r="T532" s="1">
        <f>IF($E532="",0,SUMPRODUCT((AY_SONU!$O$7:$O$42="Evet")*(AY_SONU!$B$7:$B$42=DATE(YEAR($E532),MONTH($E532),1))))</f>
        <v>0</v>
      </c>
      <c r="U532" s="1" t="str">
        <f>IF(OR($G532="",$H532="Mahsup"),"",$G532&amp;"|"&amp;COUNTIFS($G$7:$G532,$G532,$H$7:$H532,"&lt;&gt;Mahsup"))</f>
        <v>MERKEZ KASA|417</v>
      </c>
    </row>
    <row r="533" spans="1:21" ht="18" customHeight="1" x14ac:dyDescent="0.3">
      <c r="A533" s="2"/>
      <c r="B533" s="65" t="str">
        <f t="shared" si="40"/>
        <v>T00527</v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>M021</v>
      </c>
      <c r="D533" s="61" t="s">
        <v>581</v>
      </c>
      <c r="E533" s="66">
        <v>46252</v>
      </c>
      <c r="F533" s="67">
        <v>10000</v>
      </c>
      <c r="G533" s="60" t="s">
        <v>717</v>
      </c>
      <c r="H533" s="60" t="s">
        <v>572</v>
      </c>
      <c r="I533" s="61"/>
      <c r="J533" s="61" t="s">
        <v>720</v>
      </c>
      <c r="K533" s="61"/>
      <c r="L533" s="73">
        <f t="shared" si="41"/>
        <v>46235</v>
      </c>
      <c r="M533" s="65" t="str">
        <f t="shared" ca="1" si="42"/>
        <v>UYGUN</v>
      </c>
      <c r="N533" s="74" t="str">
        <f>IF($C533="","",IF($C533="TANIMSIZ MÜŞTERİ","—",INDEX(MUSTERILER!$C$7:$C$156,MATCH($C533,MUSTERILER!$B$7:$B$156,0))))</f>
        <v>ARON TOPTAN LTD.ŞTİ.</v>
      </c>
      <c r="O533" s="2"/>
      <c r="P533" s="2"/>
      <c r="Q533" s="1" t="str">
        <f>IF($D533="","",$C533&amp;"|"&amp;COUNTIFS($C$7:$C533,$C533))</f>
        <v>M021|5</v>
      </c>
      <c r="R533" s="1" t="str">
        <f t="shared" si="43"/>
        <v>ARONTOPTANLTDSTI</v>
      </c>
      <c r="S533" s="1" t="str">
        <f t="shared" si="44"/>
        <v>M021|46252|10000|</v>
      </c>
      <c r="T533" s="1">
        <f>IF($E533="",0,SUMPRODUCT((AY_SONU!$O$7:$O$42="Evet")*(AY_SONU!$B$7:$B$42=DATE(YEAR($E533),MONTH($E533),1))))</f>
        <v>0</v>
      </c>
      <c r="U533" s="1" t="str">
        <f>IF(OR($G533="",$H533="Mahsup"),"",$G533&amp;"|"&amp;COUNTIFS($G$7:$G533,$G533,$H$7:$H533,"&lt;&gt;Mahsup"))</f>
        <v>MERKEZ KASA|418</v>
      </c>
    </row>
    <row r="534" spans="1:21" ht="18" customHeight="1" x14ac:dyDescent="0.3">
      <c r="A534" s="2"/>
      <c r="B534" s="65" t="str">
        <f t="shared" si="40"/>
        <v>T00528</v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>M029</v>
      </c>
      <c r="D534" s="61" t="s">
        <v>599</v>
      </c>
      <c r="E534" s="66">
        <v>46252</v>
      </c>
      <c r="F534" s="67">
        <v>6000</v>
      </c>
      <c r="G534" s="60" t="s">
        <v>717</v>
      </c>
      <c r="H534" s="60" t="s">
        <v>572</v>
      </c>
      <c r="I534" s="61"/>
      <c r="J534" s="61" t="s">
        <v>720</v>
      </c>
      <c r="K534" s="61"/>
      <c r="L534" s="73">
        <f t="shared" si="41"/>
        <v>46235</v>
      </c>
      <c r="M534" s="65" t="str">
        <f t="shared" ca="1" si="42"/>
        <v>UYGUN</v>
      </c>
      <c r="N534" s="74" t="str">
        <f>IF($C534="","",IF($C534="TANIMSIZ MÜŞTERİ","—",INDEX(MUSTERILER!$C$7:$C$156,MATCH($C534,MUSTERILER!$B$7:$B$156,0))))</f>
        <v>EMRAH SAVURKAN</v>
      </c>
      <c r="O534" s="2"/>
      <c r="P534" s="2"/>
      <c r="Q534" s="1" t="str">
        <f>IF($D534="","",$C534&amp;"|"&amp;COUNTIFS($C$7:$C534,$C534))</f>
        <v>M029|1</v>
      </c>
      <c r="R534" s="1" t="str">
        <f t="shared" si="43"/>
        <v>EMRAHSAVURKAN</v>
      </c>
      <c r="S534" s="1" t="str">
        <f t="shared" si="44"/>
        <v>M029|46252|6000|</v>
      </c>
      <c r="T534" s="1">
        <f>IF($E534="",0,SUMPRODUCT((AY_SONU!$O$7:$O$42="Evet")*(AY_SONU!$B$7:$B$42=DATE(YEAR($E534),MONTH($E534),1))))</f>
        <v>0</v>
      </c>
      <c r="U534" s="1" t="str">
        <f>IF(OR($G534="",$H534="Mahsup"),"",$G534&amp;"|"&amp;COUNTIFS($G$7:$G534,$G534,$H$7:$H534,"&lt;&gt;Mahsup"))</f>
        <v>MERKEZ KASA|419</v>
      </c>
    </row>
    <row r="535" spans="1:21" ht="18" customHeight="1" x14ac:dyDescent="0.3">
      <c r="A535" s="2"/>
      <c r="B535" s="65" t="str">
        <f t="shared" si="40"/>
        <v>T00529</v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>M044</v>
      </c>
      <c r="D535" s="61" t="s">
        <v>640</v>
      </c>
      <c r="E535" s="66">
        <v>46252</v>
      </c>
      <c r="F535" s="67">
        <v>15000</v>
      </c>
      <c r="G535" s="60" t="s">
        <v>717</v>
      </c>
      <c r="H535" s="60" t="s">
        <v>572</v>
      </c>
      <c r="I535" s="61"/>
      <c r="J535" s="61" t="s">
        <v>720</v>
      </c>
      <c r="K535" s="61"/>
      <c r="L535" s="73">
        <f t="shared" si="41"/>
        <v>46235</v>
      </c>
      <c r="M535" s="65" t="str">
        <f t="shared" ca="1" si="42"/>
        <v>UYGUN</v>
      </c>
      <c r="N535" s="74" t="str">
        <f>IF($C535="","",IF($C535="TANIMSIZ MÜŞTERİ","—",INDEX(MUSTERILER!$C$7:$C$156,MATCH($C535,MUSTERILER!$B$7:$B$156,0))))</f>
        <v>MUSTAFA KOLBAŞI</v>
      </c>
      <c r="O535" s="2"/>
      <c r="P535" s="2"/>
      <c r="Q535" s="1" t="str">
        <f>IF($D535="","",$C535&amp;"|"&amp;COUNTIFS($C$7:$C535,$C535))</f>
        <v>M044|1</v>
      </c>
      <c r="R535" s="1" t="str">
        <f t="shared" si="43"/>
        <v>MUSTAFAKOLBASI</v>
      </c>
      <c r="S535" s="1" t="str">
        <f t="shared" si="44"/>
        <v>M044|46252|15000|</v>
      </c>
      <c r="T535" s="1">
        <f>IF($E535="",0,SUMPRODUCT((AY_SONU!$O$7:$O$42="Evet")*(AY_SONU!$B$7:$B$42=DATE(YEAR($E535),MONTH($E535),1))))</f>
        <v>0</v>
      </c>
      <c r="U535" s="1" t="str">
        <f>IF(OR($G535="",$H535="Mahsup"),"",$G535&amp;"|"&amp;COUNTIFS($G$7:$G535,$G535,$H$7:$H535,"&lt;&gt;Mahsup"))</f>
        <v>MERKEZ KASA|420</v>
      </c>
    </row>
    <row r="536" spans="1:21" ht="18" customHeight="1" x14ac:dyDescent="0.3">
      <c r="A536" s="2"/>
      <c r="B536" s="65" t="str">
        <f t="shared" si="40"/>
        <v>T00530</v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>M036</v>
      </c>
      <c r="D536" s="61" t="s">
        <v>619</v>
      </c>
      <c r="E536" s="66">
        <v>46253</v>
      </c>
      <c r="F536" s="67">
        <v>10000</v>
      </c>
      <c r="G536" s="60" t="s">
        <v>717</v>
      </c>
      <c r="H536" s="60" t="s">
        <v>572</v>
      </c>
      <c r="I536" s="61"/>
      <c r="J536" s="61" t="s">
        <v>720</v>
      </c>
      <c r="K536" s="61"/>
      <c r="L536" s="73">
        <f t="shared" si="41"/>
        <v>46235</v>
      </c>
      <c r="M536" s="65" t="str">
        <f t="shared" ca="1" si="42"/>
        <v>UYGUN</v>
      </c>
      <c r="N536" s="74" t="str">
        <f>IF($C536="","",IF($C536="TANIMSIZ MÜŞTERİ","—",INDEX(MUSTERILER!$C$7:$C$156,MATCH($C536,MUSTERILER!$B$7:$B$156,0))))</f>
        <v>İSMAİL AKPINAR</v>
      </c>
      <c r="O536" s="2"/>
      <c r="P536" s="2"/>
      <c r="Q536" s="1" t="str">
        <f>IF($D536="","",$C536&amp;"|"&amp;COUNTIFS($C$7:$C536,$C536))</f>
        <v>M036|1</v>
      </c>
      <c r="R536" s="1" t="str">
        <f t="shared" si="43"/>
        <v>ISMAILAKPINAR</v>
      </c>
      <c r="S536" s="1" t="str">
        <f t="shared" si="44"/>
        <v>M036|46253|10000|</v>
      </c>
      <c r="T536" s="1">
        <f>IF($E536="",0,SUMPRODUCT((AY_SONU!$O$7:$O$42="Evet")*(AY_SONU!$B$7:$B$42=DATE(YEAR($E536),MONTH($E536),1))))</f>
        <v>0</v>
      </c>
      <c r="U536" s="1" t="str">
        <f>IF(OR($G536="",$H536="Mahsup"),"",$G536&amp;"|"&amp;COUNTIFS($G$7:$G536,$G536,$H$7:$H536,"&lt;&gt;Mahsup"))</f>
        <v>MERKEZ KASA|421</v>
      </c>
    </row>
    <row r="537" spans="1:21" ht="18" customHeight="1" x14ac:dyDescent="0.3">
      <c r="A537" s="2"/>
      <c r="B537" s="65" t="str">
        <f t="shared" si="40"/>
        <v>T00531</v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>M031</v>
      </c>
      <c r="D537" s="61" t="s">
        <v>607</v>
      </c>
      <c r="E537" s="66">
        <v>46254</v>
      </c>
      <c r="F537" s="67">
        <v>9000</v>
      </c>
      <c r="G537" s="60" t="s">
        <v>717</v>
      </c>
      <c r="H537" s="60" t="s">
        <v>572</v>
      </c>
      <c r="I537" s="61"/>
      <c r="J537" s="61" t="s">
        <v>720</v>
      </c>
      <c r="K537" s="61"/>
      <c r="L537" s="73">
        <f t="shared" si="41"/>
        <v>46235</v>
      </c>
      <c r="M537" s="65" t="str">
        <f t="shared" ca="1" si="42"/>
        <v>UYGUN</v>
      </c>
      <c r="N537" s="74" t="str">
        <f>IF($C537="","",IF($C537="TANIMSIZ MÜŞTERİ","—",INDEX(MUSTERILER!$C$7:$C$156,MATCH($C537,MUSTERILER!$B$7:$B$156,0))))</f>
        <v>HALİL AVŞAR</v>
      </c>
      <c r="O537" s="2"/>
      <c r="P537" s="2"/>
      <c r="Q537" s="1" t="str">
        <f>IF($D537="","",$C537&amp;"|"&amp;COUNTIFS($C$7:$C537,$C537))</f>
        <v>M031|3</v>
      </c>
      <c r="R537" s="1" t="str">
        <f t="shared" si="43"/>
        <v>HALILAVSAR</v>
      </c>
      <c r="S537" s="1" t="str">
        <f t="shared" si="44"/>
        <v>M031|46254|9000|</v>
      </c>
      <c r="T537" s="1">
        <f>IF($E537="",0,SUMPRODUCT((AY_SONU!$O$7:$O$42="Evet")*(AY_SONU!$B$7:$B$42=DATE(YEAR($E537),MONTH($E537),1))))</f>
        <v>0</v>
      </c>
      <c r="U537" s="1" t="str">
        <f>IF(OR($G537="",$H537="Mahsup"),"",$G537&amp;"|"&amp;COUNTIFS($G$7:$G537,$G537,$H$7:$H537,"&lt;&gt;Mahsup"))</f>
        <v>MERKEZ KASA|422</v>
      </c>
    </row>
    <row r="538" spans="1:21" ht="18" customHeight="1" x14ac:dyDescent="0.3">
      <c r="A538" s="2"/>
      <c r="B538" s="65" t="str">
        <f t="shared" si="40"/>
        <v>T00532</v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>M022</v>
      </c>
      <c r="D538" s="61" t="s">
        <v>574</v>
      </c>
      <c r="E538" s="66">
        <v>46254</v>
      </c>
      <c r="F538" s="67">
        <v>3000</v>
      </c>
      <c r="G538" s="60" t="s">
        <v>717</v>
      </c>
      <c r="H538" s="60" t="s">
        <v>572</v>
      </c>
      <c r="I538" s="61"/>
      <c r="J538" s="61" t="s">
        <v>720</v>
      </c>
      <c r="K538" s="61"/>
      <c r="L538" s="73">
        <f t="shared" si="41"/>
        <v>46235</v>
      </c>
      <c r="M538" s="65" t="str">
        <f t="shared" ca="1" si="42"/>
        <v>UYGUN</v>
      </c>
      <c r="N538" s="74" t="str">
        <f>IF($C538="","",IF($C538="TANIMSIZ MÜŞTERİ","—",INDEX(MUSTERILER!$C$7:$C$156,MATCH($C538,MUSTERILER!$B$7:$B$156,0))))</f>
        <v>ADEM KARABENLİ</v>
      </c>
      <c r="O538" s="2"/>
      <c r="P538" s="2"/>
      <c r="Q538" s="1" t="str">
        <f>IF($D538="","",$C538&amp;"|"&amp;COUNTIFS($C$7:$C538,$C538))</f>
        <v>M022|1</v>
      </c>
      <c r="R538" s="1" t="str">
        <f t="shared" si="43"/>
        <v>ADEMKARABENLI</v>
      </c>
      <c r="S538" s="1" t="str">
        <f t="shared" si="44"/>
        <v>M022|46254|3000|</v>
      </c>
      <c r="T538" s="1">
        <f>IF($E538="",0,SUMPRODUCT((AY_SONU!$O$7:$O$42="Evet")*(AY_SONU!$B$7:$B$42=DATE(YEAR($E538),MONTH($E538),1))))</f>
        <v>0</v>
      </c>
      <c r="U538" s="1" t="str">
        <f>IF(OR($G538="",$H538="Mahsup"),"",$G538&amp;"|"&amp;COUNTIFS($G$7:$G538,$G538,$H$7:$H538,"&lt;&gt;Mahsup"))</f>
        <v>MERKEZ KASA|423</v>
      </c>
    </row>
    <row r="539" spans="1:21" ht="18" customHeight="1" x14ac:dyDescent="0.3">
      <c r="A539" s="2"/>
      <c r="B539" s="65" t="str">
        <f t="shared" si="40"/>
        <v>T00533</v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>M038</v>
      </c>
      <c r="D539" s="61" t="s">
        <v>627</v>
      </c>
      <c r="E539" s="66">
        <v>46254</v>
      </c>
      <c r="F539" s="67">
        <v>12000</v>
      </c>
      <c r="G539" s="60" t="s">
        <v>717</v>
      </c>
      <c r="H539" s="60" t="s">
        <v>572</v>
      </c>
      <c r="I539" s="61"/>
      <c r="J539" s="61" t="s">
        <v>720</v>
      </c>
      <c r="K539" s="61"/>
      <c r="L539" s="73">
        <f t="shared" si="41"/>
        <v>46235</v>
      </c>
      <c r="M539" s="65" t="str">
        <f t="shared" ca="1" si="42"/>
        <v>UYGUN</v>
      </c>
      <c r="N539" s="74" t="str">
        <f>IF($C539="","",IF($C539="TANIMSIZ MÜŞTERİ","—",INDEX(MUSTERILER!$C$7:$C$156,MATCH($C539,MUSTERILER!$B$7:$B$156,0))))</f>
        <v>MELEK GÜLER</v>
      </c>
      <c r="O539" s="2"/>
      <c r="P539" s="2"/>
      <c r="Q539" s="1" t="str">
        <f>IF($D539="","",$C539&amp;"|"&amp;COUNTIFS($C$7:$C539,$C539))</f>
        <v>M038|2</v>
      </c>
      <c r="R539" s="1" t="str">
        <f t="shared" si="43"/>
        <v>MELEKGULER</v>
      </c>
      <c r="S539" s="1" t="str">
        <f t="shared" si="44"/>
        <v>M038|46254|12000|</v>
      </c>
      <c r="T539" s="1">
        <f>IF($E539="",0,SUMPRODUCT((AY_SONU!$O$7:$O$42="Evet")*(AY_SONU!$B$7:$B$42=DATE(YEAR($E539),MONTH($E539),1))))</f>
        <v>0</v>
      </c>
      <c r="U539" s="1" t="str">
        <f>IF(OR($G539="",$H539="Mahsup"),"",$G539&amp;"|"&amp;COUNTIFS($G$7:$G539,$G539,$H$7:$H539,"&lt;&gt;Mahsup"))</f>
        <v>MERKEZ KASA|424</v>
      </c>
    </row>
    <row r="540" spans="1:21" ht="18" customHeight="1" x14ac:dyDescent="0.3">
      <c r="A540" s="2"/>
      <c r="B540" s="65" t="str">
        <f t="shared" si="40"/>
        <v>T00534</v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>M011</v>
      </c>
      <c r="D540" s="61" t="s">
        <v>730</v>
      </c>
      <c r="E540" s="66">
        <v>46256</v>
      </c>
      <c r="F540" s="67">
        <v>4000</v>
      </c>
      <c r="G540" s="60" t="s">
        <v>717</v>
      </c>
      <c r="H540" s="60" t="s">
        <v>572</v>
      </c>
      <c r="I540" s="61"/>
      <c r="J540" s="61" t="s">
        <v>720</v>
      </c>
      <c r="K540" s="61"/>
      <c r="L540" s="73">
        <f t="shared" si="41"/>
        <v>46235</v>
      </c>
      <c r="M540" s="65" t="str">
        <f t="shared" ca="1" si="42"/>
        <v>UYGUN</v>
      </c>
      <c r="N540" s="74" t="str">
        <f>IF($C540="","",IF($C540="TANIMSIZ MÜŞTERİ","—",INDEX(MUSTERILER!$C$7:$C$156,MATCH($C540,MUSTERILER!$B$7:$B$156,0))))</f>
        <v>EĞLENGÖR LTD.ŞTİ.</v>
      </c>
      <c r="O540" s="2"/>
      <c r="P540" s="2"/>
      <c r="Q540" s="1" t="str">
        <f>IF($D540="","",$C540&amp;"|"&amp;COUNTIFS($C$7:$C540,$C540))</f>
        <v>M011|32</v>
      </c>
      <c r="R540" s="1" t="str">
        <f t="shared" si="43"/>
        <v>EGLENGORLTDSTI</v>
      </c>
      <c r="S540" s="1" t="str">
        <f t="shared" si="44"/>
        <v>M011|46256|4000|</v>
      </c>
      <c r="T540" s="1">
        <f>IF($E540="",0,SUMPRODUCT((AY_SONU!$O$7:$O$42="Evet")*(AY_SONU!$B$7:$B$42=DATE(YEAR($E540),MONTH($E540),1))))</f>
        <v>0</v>
      </c>
      <c r="U540" s="1" t="str">
        <f>IF(OR($G540="",$H540="Mahsup"),"",$G540&amp;"|"&amp;COUNTIFS($G$7:$G540,$G540,$H$7:$H540,"&lt;&gt;Mahsup"))</f>
        <v>MERKEZ KASA|425</v>
      </c>
    </row>
    <row r="541" spans="1:21" ht="18" customHeight="1" x14ac:dyDescent="0.3">
      <c r="A541" s="2"/>
      <c r="B541" s="65" t="str">
        <f t="shared" si="40"/>
        <v>T00535</v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>M009</v>
      </c>
      <c r="D541" s="61" t="s">
        <v>735</v>
      </c>
      <c r="E541" s="66">
        <v>46256</v>
      </c>
      <c r="F541" s="67">
        <v>4000</v>
      </c>
      <c r="G541" s="60" t="s">
        <v>717</v>
      </c>
      <c r="H541" s="60" t="s">
        <v>572</v>
      </c>
      <c r="I541" s="61"/>
      <c r="J541" s="61" t="s">
        <v>720</v>
      </c>
      <c r="K541" s="61"/>
      <c r="L541" s="73">
        <f t="shared" si="41"/>
        <v>46235</v>
      </c>
      <c r="M541" s="65" t="str">
        <f t="shared" ca="1" si="42"/>
        <v>UYGUN</v>
      </c>
      <c r="N541" s="74" t="str">
        <f>IF($C541="","",IF($C541="TANIMSIZ MÜŞTERİ","—",INDEX(MUSTERILER!$C$7:$C$156,MATCH($C541,MUSTERILER!$B$7:$B$156,0))))</f>
        <v>PAKYILDIZ LTD.ŞTİ.</v>
      </c>
      <c r="O541" s="2"/>
      <c r="P541" s="2"/>
      <c r="Q541" s="1" t="str">
        <f>IF($D541="","",$C541&amp;"|"&amp;COUNTIFS($C$7:$C541,$C541))</f>
        <v>M009|29</v>
      </c>
      <c r="R541" s="1" t="str">
        <f t="shared" si="43"/>
        <v>PAKYILDIZLTDSTI</v>
      </c>
      <c r="S541" s="1" t="str">
        <f t="shared" si="44"/>
        <v>M009|46256|4000|</v>
      </c>
      <c r="T541" s="1">
        <f>IF($E541="",0,SUMPRODUCT((AY_SONU!$O$7:$O$42="Evet")*(AY_SONU!$B$7:$B$42=DATE(YEAR($E541),MONTH($E541),1))))</f>
        <v>0</v>
      </c>
      <c r="U541" s="1" t="str">
        <f>IF(OR($G541="",$H541="Mahsup"),"",$G541&amp;"|"&amp;COUNTIFS($G$7:$G541,$G541,$H$7:$H541,"&lt;&gt;Mahsup"))</f>
        <v>MERKEZ KASA|426</v>
      </c>
    </row>
    <row r="542" spans="1:21" ht="18" customHeight="1" x14ac:dyDescent="0.3">
      <c r="A542" s="2"/>
      <c r="B542" s="65" t="str">
        <f t="shared" si="40"/>
        <v>T00536</v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>M012</v>
      </c>
      <c r="D542" s="61" t="s">
        <v>721</v>
      </c>
      <c r="E542" s="66">
        <v>46256</v>
      </c>
      <c r="F542" s="67">
        <v>5000</v>
      </c>
      <c r="G542" s="60" t="s">
        <v>717</v>
      </c>
      <c r="H542" s="60" t="s">
        <v>572</v>
      </c>
      <c r="I542" s="61"/>
      <c r="J542" s="61" t="s">
        <v>720</v>
      </c>
      <c r="K542" s="61"/>
      <c r="L542" s="73">
        <f t="shared" si="41"/>
        <v>46235</v>
      </c>
      <c r="M542" s="65" t="str">
        <f t="shared" ca="1" si="42"/>
        <v>UYGUN</v>
      </c>
      <c r="N542" s="74" t="str">
        <f>IF($C542="","",IF($C542="TANIMSIZ MÜŞTERİ","—",INDEX(MUSTERILER!$C$7:$C$156,MATCH($C542,MUSTERILER!$B$7:$B$156,0))))</f>
        <v>İLDEŞ LTD.ŞTİ.</v>
      </c>
      <c r="O542" s="2"/>
      <c r="P542" s="2"/>
      <c r="Q542" s="1" t="str">
        <f>IF($D542="","",$C542&amp;"|"&amp;COUNTIFS($C$7:$C542,$C542))</f>
        <v>M012|30</v>
      </c>
      <c r="R542" s="1" t="str">
        <f t="shared" si="43"/>
        <v>ILDESLTDSTI</v>
      </c>
      <c r="S542" s="1" t="str">
        <f t="shared" si="44"/>
        <v>M012|46256|5000|</v>
      </c>
      <c r="T542" s="1">
        <f>IF($E542="",0,SUMPRODUCT((AY_SONU!$O$7:$O$42="Evet")*(AY_SONU!$B$7:$B$42=DATE(YEAR($E542),MONTH($E542),1))))</f>
        <v>0</v>
      </c>
      <c r="U542" s="1" t="str">
        <f>IF(OR($G542="",$H542="Mahsup"),"",$G542&amp;"|"&amp;COUNTIFS($G$7:$G542,$G542,$H$7:$H542,"&lt;&gt;Mahsup"))</f>
        <v>MERKEZ KASA|427</v>
      </c>
    </row>
    <row r="543" spans="1:21" ht="18" customHeight="1" x14ac:dyDescent="0.3">
      <c r="A543" s="2"/>
      <c r="B543" s="65" t="str">
        <f t="shared" si="40"/>
        <v>T00537</v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>M013</v>
      </c>
      <c r="D543" s="61" t="s">
        <v>734</v>
      </c>
      <c r="E543" s="66">
        <v>46256</v>
      </c>
      <c r="F543" s="67">
        <v>2000</v>
      </c>
      <c r="G543" s="60" t="s">
        <v>717</v>
      </c>
      <c r="H543" s="60" t="s">
        <v>572</v>
      </c>
      <c r="I543" s="61"/>
      <c r="J543" s="61" t="s">
        <v>720</v>
      </c>
      <c r="K543" s="61"/>
      <c r="L543" s="73">
        <f t="shared" si="41"/>
        <v>46235</v>
      </c>
      <c r="M543" s="65" t="str">
        <f t="shared" ca="1" si="42"/>
        <v>UYGUN</v>
      </c>
      <c r="N543" s="74" t="str">
        <f>IF($C543="","",IF($C543="TANIMSIZ MÜŞTERİ","—",INDEX(MUSTERILER!$C$7:$C$156,MATCH($C543,MUSTERILER!$B$7:$B$156,0))))</f>
        <v>NAZ 1 GIDA LTD.ŞTİ.</v>
      </c>
      <c r="O543" s="2"/>
      <c r="P543" s="2"/>
      <c r="Q543" s="1" t="str">
        <f>IF($D543="","",$C543&amp;"|"&amp;COUNTIFS($C$7:$C543,$C543))</f>
        <v>M013|23</v>
      </c>
      <c r="R543" s="1" t="str">
        <f t="shared" si="43"/>
        <v>NAZ1GIDALTDSTI</v>
      </c>
      <c r="S543" s="1" t="str">
        <f t="shared" si="44"/>
        <v>M013|46256|2000|</v>
      </c>
      <c r="T543" s="1">
        <f>IF($E543="",0,SUMPRODUCT((AY_SONU!$O$7:$O$42="Evet")*(AY_SONU!$B$7:$B$42=DATE(YEAR($E543),MONTH($E543),1))))</f>
        <v>0</v>
      </c>
      <c r="U543" s="1" t="str">
        <f>IF(OR($G543="",$H543="Mahsup"),"",$G543&amp;"|"&amp;COUNTIFS($G$7:$G543,$G543,$H$7:$H543,"&lt;&gt;Mahsup"))</f>
        <v>MERKEZ KASA|428</v>
      </c>
    </row>
    <row r="544" spans="1:21" ht="18" customHeight="1" x14ac:dyDescent="0.3">
      <c r="A544" s="2"/>
      <c r="B544" s="65" t="str">
        <f t="shared" si="40"/>
        <v>T00538</v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>M014</v>
      </c>
      <c r="D544" s="61" t="s">
        <v>731</v>
      </c>
      <c r="E544" s="66">
        <v>46256</v>
      </c>
      <c r="F544" s="67">
        <v>4000</v>
      </c>
      <c r="G544" s="60" t="s">
        <v>717</v>
      </c>
      <c r="H544" s="60" t="s">
        <v>572</v>
      </c>
      <c r="I544" s="61"/>
      <c r="J544" s="61" t="s">
        <v>720</v>
      </c>
      <c r="K544" s="61"/>
      <c r="L544" s="73">
        <f t="shared" si="41"/>
        <v>46235</v>
      </c>
      <c r="M544" s="65" t="str">
        <f t="shared" ca="1" si="42"/>
        <v>UYGUN</v>
      </c>
      <c r="N544" s="74" t="str">
        <f>IF($C544="","",IF($C544="TANIMSIZ MÜŞTERİ","—",INDEX(MUSTERILER!$C$7:$C$156,MATCH($C544,MUSTERILER!$B$7:$B$156,0))))</f>
        <v>FİNAL SİYAH BEYAZ LTD.ŞTİ.</v>
      </c>
      <c r="O544" s="2"/>
      <c r="P544" s="2"/>
      <c r="Q544" s="1" t="str">
        <f>IF($D544="","",$C544&amp;"|"&amp;COUNTIFS($C$7:$C544,$C544))</f>
        <v>M014|30</v>
      </c>
      <c r="R544" s="1" t="str">
        <f t="shared" si="43"/>
        <v>FINALSIYAHBEYAZLTDSTI</v>
      </c>
      <c r="S544" s="1" t="str">
        <f t="shared" si="44"/>
        <v>M014|46256|4000|</v>
      </c>
      <c r="T544" s="1">
        <f>IF($E544="",0,SUMPRODUCT((AY_SONU!$O$7:$O$42="Evet")*(AY_SONU!$B$7:$B$42=DATE(YEAR($E544),MONTH($E544),1))))</f>
        <v>0</v>
      </c>
      <c r="U544" s="1" t="str">
        <f>IF(OR($G544="",$H544="Mahsup"),"",$G544&amp;"|"&amp;COUNTIFS($G$7:$G544,$G544,$H$7:$H544,"&lt;&gt;Mahsup"))</f>
        <v>MERKEZ KASA|429</v>
      </c>
    </row>
    <row r="545" spans="1:21" ht="18" customHeight="1" x14ac:dyDescent="0.3">
      <c r="A545" s="2"/>
      <c r="B545" s="65" t="str">
        <f t="shared" si="40"/>
        <v>T00539</v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>M001</v>
      </c>
      <c r="D545" s="61" t="s">
        <v>729</v>
      </c>
      <c r="E545" s="66">
        <v>46256</v>
      </c>
      <c r="F545" s="67">
        <v>4000</v>
      </c>
      <c r="G545" s="60" t="s">
        <v>717</v>
      </c>
      <c r="H545" s="60" t="s">
        <v>572</v>
      </c>
      <c r="I545" s="61"/>
      <c r="J545" s="61" t="s">
        <v>720</v>
      </c>
      <c r="K545" s="61"/>
      <c r="L545" s="73">
        <f t="shared" si="41"/>
        <v>46235</v>
      </c>
      <c r="M545" s="65" t="str">
        <f t="shared" ca="1" si="42"/>
        <v>UYGUN</v>
      </c>
      <c r="N545" s="74" t="str">
        <f>IF($C545="","",IF($C545="TANIMSIZ MÜŞTERİ","—",INDEX(MUSTERILER!$C$7:$C$156,MATCH($C545,MUSTERILER!$B$7:$B$156,0))))</f>
        <v>ANKARA HAVANA LTD.ŞTİ.</v>
      </c>
      <c r="O545" s="2"/>
      <c r="P545" s="2"/>
      <c r="Q545" s="1" t="str">
        <f>IF($D545="","",$C545&amp;"|"&amp;COUNTIFS($C$7:$C545,$C545))</f>
        <v>M001|17</v>
      </c>
      <c r="R545" s="1" t="str">
        <f t="shared" si="43"/>
        <v>ANKARAHAVANALTDSTI</v>
      </c>
      <c r="S545" s="1" t="str">
        <f t="shared" si="44"/>
        <v>M001|46256|4000|</v>
      </c>
      <c r="T545" s="1">
        <f>IF($E545="",0,SUMPRODUCT((AY_SONU!$O$7:$O$42="Evet")*(AY_SONU!$B$7:$B$42=DATE(YEAR($E545),MONTH($E545),1))))</f>
        <v>0</v>
      </c>
      <c r="U545" s="1" t="str">
        <f>IF(OR($G545="",$H545="Mahsup"),"",$G545&amp;"|"&amp;COUNTIFS($G$7:$G545,$G545,$H$7:$H545,"&lt;&gt;Mahsup"))</f>
        <v>MERKEZ KASA|430</v>
      </c>
    </row>
    <row r="546" spans="1:21" ht="18" customHeight="1" x14ac:dyDescent="0.3">
      <c r="A546" s="2"/>
      <c r="B546" s="65" t="str">
        <f t="shared" si="40"/>
        <v>T00540</v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>M005</v>
      </c>
      <c r="D546" s="61" t="s">
        <v>722</v>
      </c>
      <c r="E546" s="66">
        <v>46256</v>
      </c>
      <c r="F546" s="67">
        <v>1750</v>
      </c>
      <c r="G546" s="60" t="s">
        <v>717</v>
      </c>
      <c r="H546" s="60" t="s">
        <v>572</v>
      </c>
      <c r="I546" s="61"/>
      <c r="J546" s="61" t="s">
        <v>720</v>
      </c>
      <c r="K546" s="61"/>
      <c r="L546" s="73">
        <f t="shared" si="41"/>
        <v>46235</v>
      </c>
      <c r="M546" s="65" t="str">
        <f t="shared" ca="1" si="42"/>
        <v>UYGUN</v>
      </c>
      <c r="N546" s="74" t="str">
        <f>IF($C546="","",IF($C546="TANIMSIZ MÜŞTERİ","—",INDEX(MUSTERILER!$C$7:$C$156,MATCH($C546,MUSTERILER!$B$7:$B$156,0))))</f>
        <v>ZÜMRÜT GRUP LTD.ŞTİ.</v>
      </c>
      <c r="O546" s="2"/>
      <c r="P546" s="2"/>
      <c r="Q546" s="1" t="str">
        <f>IF($D546="","",$C546&amp;"|"&amp;COUNTIFS($C$7:$C546,$C546))</f>
        <v>M005|24</v>
      </c>
      <c r="R546" s="1" t="str">
        <f t="shared" si="43"/>
        <v>ZUMRUTGRUPLTDSTI</v>
      </c>
      <c r="S546" s="1" t="str">
        <f t="shared" si="44"/>
        <v>M005|46256|1750|</v>
      </c>
      <c r="T546" s="1">
        <f>IF($E546="",0,SUMPRODUCT((AY_SONU!$O$7:$O$42="Evet")*(AY_SONU!$B$7:$B$42=DATE(YEAR($E546),MONTH($E546),1))))</f>
        <v>0</v>
      </c>
      <c r="U546" s="1" t="str">
        <f>IF(OR($G546="",$H546="Mahsup"),"",$G546&amp;"|"&amp;COUNTIFS($G$7:$G546,$G546,$H$7:$H546,"&lt;&gt;Mahsup"))</f>
        <v>MERKEZ KASA|431</v>
      </c>
    </row>
    <row r="547" spans="1:21" ht="18" customHeight="1" x14ac:dyDescent="0.3">
      <c r="A547" s="2"/>
      <c r="B547" s="65" t="str">
        <f t="shared" si="40"/>
        <v>T00541</v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>M007</v>
      </c>
      <c r="D547" s="61" t="s">
        <v>733</v>
      </c>
      <c r="E547" s="66">
        <v>46256</v>
      </c>
      <c r="F547" s="67">
        <v>3500</v>
      </c>
      <c r="G547" s="60" t="s">
        <v>717</v>
      </c>
      <c r="H547" s="60" t="s">
        <v>572</v>
      </c>
      <c r="I547" s="61"/>
      <c r="J547" s="61" t="s">
        <v>720</v>
      </c>
      <c r="K547" s="61"/>
      <c r="L547" s="73">
        <f t="shared" si="41"/>
        <v>46235</v>
      </c>
      <c r="M547" s="65" t="str">
        <f t="shared" ca="1" si="42"/>
        <v>UYGUN</v>
      </c>
      <c r="N547" s="74" t="str">
        <f>IF($C547="","",IF($C547="TANIMSIZ MÜŞTERİ","—",INDEX(MUSTERILER!$C$7:$C$156,MATCH($C547,MUSTERILER!$B$7:$B$156,0))))</f>
        <v>MONAMOUR LTD.ŞTİ.</v>
      </c>
      <c r="O547" s="2"/>
      <c r="P547" s="2"/>
      <c r="Q547" s="1" t="str">
        <f>IF($D547="","",$C547&amp;"|"&amp;COUNTIFS($C$7:$C547,$C547))</f>
        <v>M007|23</v>
      </c>
      <c r="R547" s="1" t="str">
        <f t="shared" si="43"/>
        <v>MONAMOURLTDSTI</v>
      </c>
      <c r="S547" s="1" t="str">
        <f t="shared" si="44"/>
        <v>M007|46256|3500|</v>
      </c>
      <c r="T547" s="1">
        <f>IF($E547="",0,SUMPRODUCT((AY_SONU!$O$7:$O$42="Evet")*(AY_SONU!$B$7:$B$42=DATE(YEAR($E547),MONTH($E547),1))))</f>
        <v>0</v>
      </c>
      <c r="U547" s="1" t="str">
        <f>IF(OR($G547="",$H547="Mahsup"),"",$G547&amp;"|"&amp;COUNTIFS($G$7:$G547,$G547,$H$7:$H547,"&lt;&gt;Mahsup"))</f>
        <v>MERKEZ KASA|432</v>
      </c>
    </row>
    <row r="548" spans="1:21" ht="18" customHeight="1" x14ac:dyDescent="0.3">
      <c r="A548" s="2"/>
      <c r="B548" s="65" t="str">
        <f t="shared" si="40"/>
        <v>T00542</v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>M025</v>
      </c>
      <c r="D548" s="61" t="s">
        <v>746</v>
      </c>
      <c r="E548" s="66">
        <v>46256</v>
      </c>
      <c r="F548" s="67">
        <v>2000</v>
      </c>
      <c r="G548" s="60" t="s">
        <v>717</v>
      </c>
      <c r="H548" s="60" t="s">
        <v>572</v>
      </c>
      <c r="I548" s="61"/>
      <c r="J548" s="61" t="s">
        <v>720</v>
      </c>
      <c r="K548" s="61"/>
      <c r="L548" s="73">
        <f t="shared" si="41"/>
        <v>46235</v>
      </c>
      <c r="M548" s="65" t="str">
        <f t="shared" ca="1" si="42"/>
        <v>UYGUN</v>
      </c>
      <c r="N548" s="74" t="str">
        <f>IF($C548="","",IF($C548="TANIMSIZ MÜŞTERİ","—",INDEX(MUSTERILER!$C$7:$C$156,MATCH($C548,MUSTERILER!$B$7:$B$156,0))))</f>
        <v>ASIM AÇIKGÖZ</v>
      </c>
      <c r="O548" s="2"/>
      <c r="P548" s="2"/>
      <c r="Q548" s="1" t="str">
        <f>IF($D548="","",$C548&amp;"|"&amp;COUNTIFS($C$7:$C548,$C548))</f>
        <v>M025|29</v>
      </c>
      <c r="R548" s="1" t="str">
        <f t="shared" si="43"/>
        <v>ASIMACIKGOZ</v>
      </c>
      <c r="S548" s="1" t="str">
        <f t="shared" si="44"/>
        <v>M025|46256|2000|</v>
      </c>
      <c r="T548" s="1">
        <f>IF($E548="",0,SUMPRODUCT((AY_SONU!$O$7:$O$42="Evet")*(AY_SONU!$B$7:$B$42=DATE(YEAR($E548),MONTH($E548),1))))</f>
        <v>0</v>
      </c>
      <c r="U548" s="1" t="str">
        <f>IF(OR($G548="",$H548="Mahsup"),"",$G548&amp;"|"&amp;COUNTIFS($G$7:$G548,$G548,$H$7:$H548,"&lt;&gt;Mahsup"))</f>
        <v>MERKEZ KASA|433</v>
      </c>
    </row>
    <row r="549" spans="1:21" ht="18" customHeight="1" x14ac:dyDescent="0.3">
      <c r="A549" s="2"/>
      <c r="B549" s="65" t="str">
        <f t="shared" si="40"/>
        <v>T00543</v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>M020</v>
      </c>
      <c r="D549" s="61" t="s">
        <v>747</v>
      </c>
      <c r="E549" s="66">
        <v>46256</v>
      </c>
      <c r="F549" s="67">
        <v>3000</v>
      </c>
      <c r="G549" s="60" t="s">
        <v>717</v>
      </c>
      <c r="H549" s="60" t="s">
        <v>572</v>
      </c>
      <c r="I549" s="61"/>
      <c r="J549" s="61" t="s">
        <v>720</v>
      </c>
      <c r="K549" s="61"/>
      <c r="L549" s="73">
        <f t="shared" si="41"/>
        <v>46235</v>
      </c>
      <c r="M549" s="65" t="str">
        <f t="shared" ca="1" si="42"/>
        <v>UYGUN</v>
      </c>
      <c r="N549" s="74" t="str">
        <f>IF($C549="","",IF($C549="TANIMSIZ MÜŞTERİ","—",INDEX(MUSTERILER!$C$7:$C$156,MATCH($C549,MUSTERILER!$B$7:$B$156,0))))</f>
        <v>KRİSTAL LTD.ŞTİ.</v>
      </c>
      <c r="O549" s="2"/>
      <c r="P549" s="2"/>
      <c r="Q549" s="1" t="str">
        <f>IF($D549="","",$C549&amp;"|"&amp;COUNTIFS($C$7:$C549,$C549))</f>
        <v>M020|32</v>
      </c>
      <c r="R549" s="1" t="str">
        <f t="shared" si="43"/>
        <v>KRISTALLTDSTI</v>
      </c>
      <c r="S549" s="1" t="str">
        <f t="shared" si="44"/>
        <v>M020|46256|3000|</v>
      </c>
      <c r="T549" s="1">
        <f>IF($E549="",0,SUMPRODUCT((AY_SONU!$O$7:$O$42="Evet")*(AY_SONU!$B$7:$B$42=DATE(YEAR($E549),MONTH($E549),1))))</f>
        <v>0</v>
      </c>
      <c r="U549" s="1" t="str">
        <f>IF(OR($G549="",$H549="Mahsup"),"",$G549&amp;"|"&amp;COUNTIFS($G$7:$G549,$G549,$H$7:$H549,"&lt;&gt;Mahsup"))</f>
        <v>MERKEZ KASA|434</v>
      </c>
    </row>
    <row r="550" spans="1:21" ht="18" customHeight="1" x14ac:dyDescent="0.3">
      <c r="A550" s="2"/>
      <c r="B550" s="65" t="str">
        <f t="shared" si="40"/>
        <v>T00544</v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>M017</v>
      </c>
      <c r="D550" s="61" t="s">
        <v>748</v>
      </c>
      <c r="E550" s="66">
        <v>46256</v>
      </c>
      <c r="F550" s="67">
        <v>2500</v>
      </c>
      <c r="G550" s="60" t="s">
        <v>717</v>
      </c>
      <c r="H550" s="60" t="s">
        <v>572</v>
      </c>
      <c r="I550" s="61"/>
      <c r="J550" s="61" t="s">
        <v>720</v>
      </c>
      <c r="K550" s="61"/>
      <c r="L550" s="73">
        <f t="shared" si="41"/>
        <v>46235</v>
      </c>
      <c r="M550" s="65" t="str">
        <f t="shared" ca="1" si="42"/>
        <v>UYGUN</v>
      </c>
      <c r="N550" s="74" t="str">
        <f>IF($C550="","",IF($C550="TANIMSIZ MÜŞTERİ","—",INDEX(MUSTERILER!$C$7:$C$156,MATCH($C550,MUSTERILER!$B$7:$B$156,0))))</f>
        <v>ASM EĞLENCE LTD.ŞTİ.</v>
      </c>
      <c r="O550" s="2"/>
      <c r="P550" s="2"/>
      <c r="Q550" s="1" t="str">
        <f>IF($D550="","",$C550&amp;"|"&amp;COUNTIFS($C$7:$C550,$C550))</f>
        <v>M017|29</v>
      </c>
      <c r="R550" s="1" t="str">
        <f t="shared" si="43"/>
        <v>ASMEGLENCELTDSTI</v>
      </c>
      <c r="S550" s="1" t="str">
        <f t="shared" si="44"/>
        <v>M017|46256|2500|</v>
      </c>
      <c r="T550" s="1">
        <f>IF($E550="",0,SUMPRODUCT((AY_SONU!$O$7:$O$42="Evet")*(AY_SONU!$B$7:$B$42=DATE(YEAR($E550),MONTH($E550),1))))</f>
        <v>0</v>
      </c>
      <c r="U550" s="1" t="str">
        <f>IF(OR($G550="",$H550="Mahsup"),"",$G550&amp;"|"&amp;COUNTIFS($G$7:$G550,$G550,$H$7:$H550,"&lt;&gt;Mahsup"))</f>
        <v>MERKEZ KASA|435</v>
      </c>
    </row>
    <row r="551" spans="1:21" ht="18" customHeight="1" x14ac:dyDescent="0.3">
      <c r="A551" s="2"/>
      <c r="B551" s="65" t="str">
        <f t="shared" si="40"/>
        <v>T00545</v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>M016</v>
      </c>
      <c r="D551" s="61" t="s">
        <v>736</v>
      </c>
      <c r="E551" s="66">
        <v>46256</v>
      </c>
      <c r="F551" s="67">
        <v>3000</v>
      </c>
      <c r="G551" s="60" t="s">
        <v>717</v>
      </c>
      <c r="H551" s="60" t="s">
        <v>572</v>
      </c>
      <c r="I551" s="61"/>
      <c r="J551" s="61" t="s">
        <v>720</v>
      </c>
      <c r="K551" s="61"/>
      <c r="L551" s="73">
        <f t="shared" si="41"/>
        <v>46235</v>
      </c>
      <c r="M551" s="65" t="str">
        <f t="shared" ca="1" si="42"/>
        <v>UYGUN</v>
      </c>
      <c r="N551" s="74" t="str">
        <f>IF($C551="","",IF($C551="TANIMSIZ MÜŞTERİ","—",INDEX(MUSTERILER!$C$7:$C$156,MATCH($C551,MUSTERILER!$B$7:$B$156,0))))</f>
        <v>RİX ŞOW LTD.ŞTİ.</v>
      </c>
      <c r="O551" s="2"/>
      <c r="P551" s="2"/>
      <c r="Q551" s="1" t="str">
        <f>IF($D551="","",$C551&amp;"|"&amp;COUNTIFS($C$7:$C551,$C551))</f>
        <v>M016|30</v>
      </c>
      <c r="R551" s="1" t="str">
        <f t="shared" si="43"/>
        <v>RIXSOWLTDSTI</v>
      </c>
      <c r="S551" s="1" t="str">
        <f t="shared" si="44"/>
        <v>M016|46256|3000|</v>
      </c>
      <c r="T551" s="1">
        <f>IF($E551="",0,SUMPRODUCT((AY_SONU!$O$7:$O$42="Evet")*(AY_SONU!$B$7:$B$42=DATE(YEAR($E551),MONTH($E551),1))))</f>
        <v>0</v>
      </c>
      <c r="U551" s="1" t="str">
        <f>IF(OR($G551="",$H551="Mahsup"),"",$G551&amp;"|"&amp;COUNTIFS($G$7:$G551,$G551,$H$7:$H551,"&lt;&gt;Mahsup"))</f>
        <v>MERKEZ KASA|436</v>
      </c>
    </row>
    <row r="552" spans="1:21" ht="18" customHeight="1" x14ac:dyDescent="0.3">
      <c r="A552" s="2"/>
      <c r="B552" s="65" t="str">
        <f t="shared" si="40"/>
        <v>T00546</v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>M015</v>
      </c>
      <c r="D552" s="61" t="s">
        <v>719</v>
      </c>
      <c r="E552" s="66">
        <v>46256</v>
      </c>
      <c r="F552" s="67">
        <v>3000</v>
      </c>
      <c r="G552" s="60" t="s">
        <v>717</v>
      </c>
      <c r="H552" s="60" t="s">
        <v>572</v>
      </c>
      <c r="I552" s="61"/>
      <c r="J552" s="61" t="s">
        <v>720</v>
      </c>
      <c r="K552" s="61"/>
      <c r="L552" s="73">
        <f t="shared" si="41"/>
        <v>46235</v>
      </c>
      <c r="M552" s="65" t="str">
        <f t="shared" ca="1" si="42"/>
        <v>UYGUN</v>
      </c>
      <c r="N552" s="74" t="str">
        <f>IF($C552="","",IF($C552="TANIMSIZ MÜŞTERİ","—",INDEX(MUSTERILER!$C$7:$C$156,MATCH($C552,MUSTERILER!$B$7:$B$156,0))))</f>
        <v>ÇAYIRALAN LTD.ŞTİ.</v>
      </c>
      <c r="O552" s="2"/>
      <c r="P552" s="2"/>
      <c r="Q552" s="1" t="str">
        <f>IF($D552="","",$C552&amp;"|"&amp;COUNTIFS($C$7:$C552,$C552))</f>
        <v>M015|29</v>
      </c>
      <c r="R552" s="1" t="str">
        <f t="shared" si="43"/>
        <v>CAYIRALANLTDSTI</v>
      </c>
      <c r="S552" s="1" t="str">
        <f t="shared" si="44"/>
        <v>M015|46256|3000|</v>
      </c>
      <c r="T552" s="1">
        <f>IF($E552="",0,SUMPRODUCT((AY_SONU!$O$7:$O$42="Evet")*(AY_SONU!$B$7:$B$42=DATE(YEAR($E552),MONTH($E552),1))))</f>
        <v>0</v>
      </c>
      <c r="U552" s="1" t="str">
        <f>IF(OR($G552="",$H552="Mahsup"),"",$G552&amp;"|"&amp;COUNTIFS($G$7:$G552,$G552,$H$7:$H552,"&lt;&gt;Mahsup"))</f>
        <v>MERKEZ KASA|437</v>
      </c>
    </row>
    <row r="553" spans="1:21" ht="18" customHeight="1" x14ac:dyDescent="0.3">
      <c r="A553" s="2"/>
      <c r="B553" s="65" t="str">
        <f t="shared" si="40"/>
        <v>T00547</v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>M049</v>
      </c>
      <c r="D553" s="61" t="s">
        <v>749</v>
      </c>
      <c r="E553" s="66">
        <v>46256</v>
      </c>
      <c r="F553" s="67">
        <v>3000</v>
      </c>
      <c r="G553" s="60" t="s">
        <v>717</v>
      </c>
      <c r="H553" s="60" t="s">
        <v>572</v>
      </c>
      <c r="I553" s="61"/>
      <c r="J553" s="61" t="s">
        <v>720</v>
      </c>
      <c r="K553" s="61"/>
      <c r="L553" s="73">
        <f t="shared" si="41"/>
        <v>46235</v>
      </c>
      <c r="M553" s="65" t="str">
        <f t="shared" ca="1" si="42"/>
        <v>UYGUN</v>
      </c>
      <c r="N553" s="74" t="str">
        <f>IF($C553="","",IF($C553="TANIMSIZ MÜŞTERİ","—",INDEX(MUSTERILER!$C$7:$C$156,MATCH($C553,MUSTERILER!$B$7:$B$156,0))))</f>
        <v>STAR ŞOW LTD.ŞTİ.</v>
      </c>
      <c r="O553" s="2"/>
      <c r="P553" s="2"/>
      <c r="Q553" s="1" t="str">
        <f>IF($D553="","",$C553&amp;"|"&amp;COUNTIFS($C$7:$C553,$C553))</f>
        <v>M049|3</v>
      </c>
      <c r="R553" s="1" t="str">
        <f t="shared" si="43"/>
        <v>STARSOWLTDSTI</v>
      </c>
      <c r="S553" s="1" t="str">
        <f t="shared" si="44"/>
        <v>M049|46256|3000|</v>
      </c>
      <c r="T553" s="1">
        <f>IF($E553="",0,SUMPRODUCT((AY_SONU!$O$7:$O$42="Evet")*(AY_SONU!$B$7:$B$42=DATE(YEAR($E553),MONTH($E553),1))))</f>
        <v>0</v>
      </c>
      <c r="U553" s="1" t="str">
        <f>IF(OR($G553="",$H553="Mahsup"),"",$G553&amp;"|"&amp;COUNTIFS($G$7:$G553,$G553,$H$7:$H553,"&lt;&gt;Mahsup"))</f>
        <v>MERKEZ KASA|438</v>
      </c>
    </row>
    <row r="554" spans="1:21" ht="18" customHeight="1" x14ac:dyDescent="0.3">
      <c r="A554" s="2"/>
      <c r="B554" s="65" t="str">
        <f t="shared" si="40"/>
        <v>T00548</v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>M018</v>
      </c>
      <c r="D554" s="61" t="s">
        <v>750</v>
      </c>
      <c r="E554" s="66">
        <v>46256</v>
      </c>
      <c r="F554" s="67">
        <v>4000</v>
      </c>
      <c r="G554" s="60" t="s">
        <v>717</v>
      </c>
      <c r="H554" s="60" t="s">
        <v>572</v>
      </c>
      <c r="I554" s="61"/>
      <c r="J554" s="61" t="s">
        <v>720</v>
      </c>
      <c r="K554" s="61"/>
      <c r="L554" s="73">
        <f t="shared" si="41"/>
        <v>46235</v>
      </c>
      <c r="M554" s="65" t="str">
        <f t="shared" ca="1" si="42"/>
        <v>UYGUN</v>
      </c>
      <c r="N554" s="74" t="str">
        <f>IF($C554="","",IF($C554="TANIMSIZ MÜŞTERİ","—",INDEX(MUSTERILER!$C$7:$C$156,MATCH($C554,MUSTERILER!$B$7:$B$156,0))))</f>
        <v>ÇINARHAN LTD.ŞTİ.</v>
      </c>
      <c r="O554" s="2"/>
      <c r="P554" s="2"/>
      <c r="Q554" s="1" t="str">
        <f>IF($D554="","",$C554&amp;"|"&amp;COUNTIFS($C$7:$C554,$C554))</f>
        <v>M018|23</v>
      </c>
      <c r="R554" s="1" t="str">
        <f t="shared" si="43"/>
        <v>CINARHANLTDSTI</v>
      </c>
      <c r="S554" s="1" t="str">
        <f t="shared" si="44"/>
        <v>M018|46256|4000|</v>
      </c>
      <c r="T554" s="1">
        <f>IF($E554="",0,SUMPRODUCT((AY_SONU!$O$7:$O$42="Evet")*(AY_SONU!$B$7:$B$42=DATE(YEAR($E554),MONTH($E554),1))))</f>
        <v>0</v>
      </c>
      <c r="U554" s="1" t="str">
        <f>IF(OR($G554="",$H554="Mahsup"),"",$G554&amp;"|"&amp;COUNTIFS($G$7:$G554,$G554,$H$7:$H554,"&lt;&gt;Mahsup"))</f>
        <v>MERKEZ KASA|439</v>
      </c>
    </row>
    <row r="555" spans="1:21" ht="18" customHeight="1" x14ac:dyDescent="0.3">
      <c r="A555" s="2"/>
      <c r="B555" s="65" t="str">
        <f t="shared" si="40"/>
        <v>T00549</v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>M047</v>
      </c>
      <c r="D555" s="61" t="s">
        <v>751</v>
      </c>
      <c r="E555" s="66">
        <v>46256</v>
      </c>
      <c r="F555" s="67">
        <v>5000</v>
      </c>
      <c r="G555" s="60" t="s">
        <v>717</v>
      </c>
      <c r="H555" s="60" t="s">
        <v>572</v>
      </c>
      <c r="I555" s="61"/>
      <c r="J555" s="61" t="s">
        <v>720</v>
      </c>
      <c r="K555" s="61"/>
      <c r="L555" s="73">
        <f t="shared" si="41"/>
        <v>46235</v>
      </c>
      <c r="M555" s="65" t="str">
        <f t="shared" ca="1" si="42"/>
        <v>UYGUN</v>
      </c>
      <c r="N555" s="74" t="str">
        <f>IF($C555="","",IF($C555="TANIMSIZ MÜŞTERİ","—",INDEX(MUSTERILER!$C$7:$C$156,MATCH($C555,MUSTERILER!$B$7:$B$156,0))))</f>
        <v>PALAOĞULLARI LTD.ŞTİ.</v>
      </c>
      <c r="O555" s="2"/>
      <c r="P555" s="2"/>
      <c r="Q555" s="1" t="str">
        <f>IF($D555="","",$C555&amp;"|"&amp;COUNTIFS($C$7:$C555,$C555))</f>
        <v>M047|22</v>
      </c>
      <c r="R555" s="1" t="str">
        <f t="shared" si="43"/>
        <v>PALAOGULLARILTDSTI</v>
      </c>
      <c r="S555" s="1" t="str">
        <f t="shared" si="44"/>
        <v>M047|46256|5000|</v>
      </c>
      <c r="T555" s="1">
        <f>IF($E555="",0,SUMPRODUCT((AY_SONU!$O$7:$O$42="Evet")*(AY_SONU!$B$7:$B$42=DATE(YEAR($E555),MONTH($E555),1))))</f>
        <v>0</v>
      </c>
      <c r="U555" s="1" t="str">
        <f>IF(OR($G555="",$H555="Mahsup"),"",$G555&amp;"|"&amp;COUNTIFS($G$7:$G555,$G555,$H$7:$H555,"&lt;&gt;Mahsup"))</f>
        <v>MERKEZ KASA|440</v>
      </c>
    </row>
    <row r="556" spans="1:21" ht="18" customHeight="1" x14ac:dyDescent="0.3">
      <c r="A556" s="2"/>
      <c r="B556" s="65" t="str">
        <f t="shared" si="40"/>
        <v>T00550</v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>M037</v>
      </c>
      <c r="D556" s="61" t="s">
        <v>625</v>
      </c>
      <c r="E556" s="66">
        <v>46258</v>
      </c>
      <c r="F556" s="67">
        <v>2000</v>
      </c>
      <c r="G556" s="60" t="s">
        <v>717</v>
      </c>
      <c r="H556" s="60" t="s">
        <v>572</v>
      </c>
      <c r="I556" s="61"/>
      <c r="J556" s="61" t="s">
        <v>720</v>
      </c>
      <c r="K556" s="61"/>
      <c r="L556" s="73">
        <f t="shared" si="41"/>
        <v>46235</v>
      </c>
      <c r="M556" s="65" t="str">
        <f t="shared" ca="1" si="42"/>
        <v>UYGUN</v>
      </c>
      <c r="N556" s="74" t="str">
        <f>IF($C556="","",IF($C556="TANIMSIZ MÜŞTERİ","—",INDEX(MUSTERILER!$C$7:$C$156,MATCH($C556,MUSTERILER!$B$7:$B$156,0))))</f>
        <v>MEHMET EVREN KILINÇ</v>
      </c>
      <c r="O556" s="2"/>
      <c r="P556" s="2"/>
      <c r="Q556" s="1" t="str">
        <f>IF($D556="","",$C556&amp;"|"&amp;COUNTIFS($C$7:$C556,$C556))</f>
        <v>M037|7</v>
      </c>
      <c r="R556" s="1" t="str">
        <f t="shared" si="43"/>
        <v>MEHMETEVRENKILINC</v>
      </c>
      <c r="S556" s="1" t="str">
        <f t="shared" si="44"/>
        <v>M037|46258|2000|</v>
      </c>
      <c r="T556" s="1">
        <f>IF($E556="",0,SUMPRODUCT((AY_SONU!$O$7:$O$42="Evet")*(AY_SONU!$B$7:$B$42=DATE(YEAR($E556),MONTH($E556),1))))</f>
        <v>0</v>
      </c>
      <c r="U556" s="1" t="str">
        <f>IF(OR($G556="",$H556="Mahsup"),"",$G556&amp;"|"&amp;COUNTIFS($G$7:$G556,$G556,$H$7:$H556,"&lt;&gt;Mahsup"))</f>
        <v>MERKEZ KASA|441</v>
      </c>
    </row>
    <row r="557" spans="1:21" ht="18" customHeight="1" x14ac:dyDescent="0.3">
      <c r="A557" s="2"/>
      <c r="B557" s="65" t="str">
        <f t="shared" si="40"/>
        <v>T00551</v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>M006</v>
      </c>
      <c r="D557" s="61" t="s">
        <v>672</v>
      </c>
      <c r="E557" s="66">
        <v>46260</v>
      </c>
      <c r="F557" s="67">
        <v>6000</v>
      </c>
      <c r="G557" s="60" t="s">
        <v>717</v>
      </c>
      <c r="H557" s="60" t="s">
        <v>572</v>
      </c>
      <c r="I557" s="61"/>
      <c r="J557" s="61" t="s">
        <v>720</v>
      </c>
      <c r="K557" s="61"/>
      <c r="L557" s="73">
        <f t="shared" si="41"/>
        <v>46235</v>
      </c>
      <c r="M557" s="65" t="str">
        <f t="shared" ca="1" si="42"/>
        <v>UYGUN</v>
      </c>
      <c r="N557" s="74" t="str">
        <f>IF($C557="","",IF($C557="TANIMSIZ MÜŞTERİ","—",INDEX(MUSTERILER!$C$7:$C$156,MATCH($C557,MUSTERILER!$B$7:$B$156,0))))</f>
        <v>VOLKAN AÇIK</v>
      </c>
      <c r="O557" s="2"/>
      <c r="P557" s="2"/>
      <c r="Q557" s="1" t="str">
        <f>IF($D557="","",$C557&amp;"|"&amp;COUNTIFS($C$7:$C557,$C557))</f>
        <v>M006|4</v>
      </c>
      <c r="R557" s="1" t="str">
        <f t="shared" si="43"/>
        <v>VOLKANACIK</v>
      </c>
      <c r="S557" s="1" t="str">
        <f t="shared" si="44"/>
        <v>M006|46260|6000|</v>
      </c>
      <c r="T557" s="1">
        <f>IF($E557="",0,SUMPRODUCT((AY_SONU!$O$7:$O$42="Evet")*(AY_SONU!$B$7:$B$42=DATE(YEAR($E557),MONTH($E557),1))))</f>
        <v>0</v>
      </c>
      <c r="U557" s="1" t="str">
        <f>IF(OR($G557="",$H557="Mahsup"),"",$G557&amp;"|"&amp;COUNTIFS($G$7:$G557,$G557,$H$7:$H557,"&lt;&gt;Mahsup"))</f>
        <v>MERKEZ KASA|442</v>
      </c>
    </row>
    <row r="558" spans="1:21" ht="18" customHeight="1" x14ac:dyDescent="0.3">
      <c r="A558" s="2"/>
      <c r="B558" s="65" t="str">
        <f t="shared" si="40"/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 t="shared" si="41"/>
        <v/>
      </c>
      <c r="M558" s="65" t="str">
        <f t="shared" ca="1" si="42"/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43"/>
        <v/>
      </c>
      <c r="S558" s="1" t="str">
        <f t="shared" si="44"/>
        <v/>
      </c>
      <c r="T558" s="1">
        <f>IF($E558="",0,SUMPRODUCT((AY_SONU!$O$7:$O$42="Evet")*(AY_SONU!$B$7:$B$42=DATE(YEAR($E558),MONTH($E558),1))))</f>
        <v>0</v>
      </c>
      <c r="U558" s="1" t="str">
        <f>IF(OR($G558="",$H558="Mahsup"),"",$G558&amp;"|"&amp;COUNTIFS($G$7:$G558,$G558,$H$7:$H558,"&lt;&gt;Mahsup"))</f>
        <v/>
      </c>
    </row>
    <row r="559" spans="1:21" ht="18" customHeight="1" x14ac:dyDescent="0.3">
      <c r="A559" s="2"/>
      <c r="B559" s="65" t="str">
        <f t="shared" si="40"/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 t="shared" si="41"/>
        <v/>
      </c>
      <c r="M559" s="65" t="str">
        <f t="shared" ca="1" si="42"/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43"/>
        <v/>
      </c>
      <c r="S559" s="1" t="str">
        <f t="shared" si="44"/>
        <v/>
      </c>
      <c r="T559" s="1">
        <f>IF($E559="",0,SUMPRODUCT((AY_SONU!$O$7:$O$42="Evet")*(AY_SONU!$B$7:$B$42=DATE(YEAR($E559),MONTH($E559),1))))</f>
        <v>0</v>
      </c>
      <c r="U559" s="1" t="str">
        <f>IF(OR($G559="",$H559="Mahsup"),"",$G559&amp;"|"&amp;COUNTIFS($G$7:$G559,$G559,$H$7:$H559,"&lt;&gt;Mahsup"))</f>
        <v/>
      </c>
    </row>
    <row r="560" spans="1:21" ht="18" customHeight="1" x14ac:dyDescent="0.3">
      <c r="A560" s="2"/>
      <c r="B560" s="65" t="str">
        <f t="shared" si="40"/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 t="shared" si="41"/>
        <v/>
      </c>
      <c r="M560" s="65" t="str">
        <f t="shared" ca="1" si="42"/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43"/>
        <v/>
      </c>
      <c r="S560" s="1" t="str">
        <f t="shared" si="44"/>
        <v/>
      </c>
      <c r="T560" s="1">
        <f>IF($E560="",0,SUMPRODUCT((AY_SONU!$O$7:$O$42="Evet")*(AY_SONU!$B$7:$B$42=DATE(YEAR($E560),MONTH($E560),1))))</f>
        <v>0</v>
      </c>
      <c r="U560" s="1" t="str">
        <f>IF(OR($G560="",$H560="Mahsup"),"",$G560&amp;"|"&amp;COUNTIFS($G$7:$G560,$G560,$H$7:$H560,"&lt;&gt;Mahsup"))</f>
        <v/>
      </c>
    </row>
    <row r="561" spans="1:21" ht="18" customHeight="1" x14ac:dyDescent="0.3">
      <c r="A561" s="2"/>
      <c r="B561" s="65" t="str">
        <f t="shared" si="40"/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 t="shared" si="41"/>
        <v/>
      </c>
      <c r="M561" s="65" t="str">
        <f t="shared" ca="1" si="42"/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43"/>
        <v/>
      </c>
      <c r="S561" s="1" t="str">
        <f t="shared" si="44"/>
        <v/>
      </c>
      <c r="T561" s="1">
        <f>IF($E561="",0,SUMPRODUCT((AY_SONU!$O$7:$O$42="Evet")*(AY_SONU!$B$7:$B$42=DATE(YEAR($E561),MONTH($E561),1))))</f>
        <v>0</v>
      </c>
      <c r="U561" s="1" t="str">
        <f>IF(OR($G561="",$H561="Mahsup"),"",$G561&amp;"|"&amp;COUNTIFS($G$7:$G561,$G561,$H$7:$H561,"&lt;&gt;Mahsup"))</f>
        <v/>
      </c>
    </row>
    <row r="562" spans="1:21" ht="18" customHeight="1" x14ac:dyDescent="0.3">
      <c r="A562" s="2"/>
      <c r="B562" s="65" t="str">
        <f t="shared" si="40"/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 t="shared" si="41"/>
        <v/>
      </c>
      <c r="M562" s="65" t="str">
        <f t="shared" ca="1" si="42"/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43"/>
        <v/>
      </c>
      <c r="S562" s="1" t="str">
        <f t="shared" si="44"/>
        <v/>
      </c>
      <c r="T562" s="1">
        <f>IF($E562="",0,SUMPRODUCT((AY_SONU!$O$7:$O$42="Evet")*(AY_SONU!$B$7:$B$42=DATE(YEAR($E562),MONTH($E562),1))))</f>
        <v>0</v>
      </c>
      <c r="U562" s="1" t="str">
        <f>IF(OR($G562="",$H562="Mahsup"),"",$G562&amp;"|"&amp;COUNTIFS($G$7:$G562,$G562,$H$7:$H562,"&lt;&gt;Mahsup"))</f>
        <v/>
      </c>
    </row>
    <row r="563" spans="1:21" ht="18" customHeight="1" x14ac:dyDescent="0.3">
      <c r="A563" s="2"/>
      <c r="B563" s="65" t="str">
        <f t="shared" si="40"/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 t="shared" si="41"/>
        <v/>
      </c>
      <c r="M563" s="65" t="str">
        <f t="shared" ca="1" si="42"/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43"/>
        <v/>
      </c>
      <c r="S563" s="1" t="str">
        <f t="shared" si="44"/>
        <v/>
      </c>
      <c r="T563" s="1">
        <f>IF($E563="",0,SUMPRODUCT((AY_SONU!$O$7:$O$42="Evet")*(AY_SONU!$B$7:$B$42=DATE(YEAR($E563),MONTH($E563),1))))</f>
        <v>0</v>
      </c>
      <c r="U563" s="1" t="str">
        <f>IF(OR($G563="",$H563="Mahsup"),"",$G563&amp;"|"&amp;COUNTIFS($G$7:$G563,$G563,$H$7:$H563,"&lt;&gt;Mahsup"))</f>
        <v/>
      </c>
    </row>
    <row r="564" spans="1:21" ht="18" customHeight="1" x14ac:dyDescent="0.3">
      <c r="A564" s="2"/>
      <c r="B564" s="65" t="str">
        <f t="shared" si="40"/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 t="shared" si="41"/>
        <v/>
      </c>
      <c r="M564" s="65" t="str">
        <f t="shared" ca="1" si="42"/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43"/>
        <v/>
      </c>
      <c r="S564" s="1" t="str">
        <f t="shared" si="44"/>
        <v/>
      </c>
      <c r="T564" s="1">
        <f>IF($E564="",0,SUMPRODUCT((AY_SONU!$O$7:$O$42="Evet")*(AY_SONU!$B$7:$B$42=DATE(YEAR($E564),MONTH($E564),1))))</f>
        <v>0</v>
      </c>
      <c r="U564" s="1" t="str">
        <f>IF(OR($G564="",$H564="Mahsup"),"",$G564&amp;"|"&amp;COUNTIFS($G$7:$G564,$G564,$H$7:$H564,"&lt;&gt;Mahsup"))</f>
        <v/>
      </c>
    </row>
    <row r="565" spans="1:21" ht="18" customHeight="1" x14ac:dyDescent="0.3">
      <c r="A565" s="2"/>
      <c r="B565" s="65" t="str">
        <f t="shared" si="40"/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 t="shared" si="41"/>
        <v/>
      </c>
      <c r="M565" s="65" t="str">
        <f t="shared" ca="1" si="42"/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43"/>
        <v/>
      </c>
      <c r="S565" s="1" t="str">
        <f t="shared" si="44"/>
        <v/>
      </c>
      <c r="T565" s="1">
        <f>IF($E565="",0,SUMPRODUCT((AY_SONU!$O$7:$O$42="Evet")*(AY_SONU!$B$7:$B$42=DATE(YEAR($E565),MONTH($E565),1))))</f>
        <v>0</v>
      </c>
      <c r="U565" s="1" t="str">
        <f>IF(OR($G565="",$H565="Mahsup"),"",$G565&amp;"|"&amp;COUNTIFS($G$7:$G565,$G565,$H$7:$H565,"&lt;&gt;Mahsup"))</f>
        <v/>
      </c>
    </row>
    <row r="566" spans="1:21" ht="18" customHeight="1" x14ac:dyDescent="0.3">
      <c r="A566" s="2"/>
      <c r="B566" s="65" t="str">
        <f t="shared" si="40"/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 t="shared" si="41"/>
        <v/>
      </c>
      <c r="M566" s="65" t="str">
        <f t="shared" ca="1" si="42"/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43"/>
        <v/>
      </c>
      <c r="S566" s="1" t="str">
        <f t="shared" si="44"/>
        <v/>
      </c>
      <c r="T566" s="1">
        <f>IF($E566="",0,SUMPRODUCT((AY_SONU!$O$7:$O$42="Evet")*(AY_SONU!$B$7:$B$42=DATE(YEAR($E566),MONTH($E566),1))))</f>
        <v>0</v>
      </c>
      <c r="U566" s="1" t="str">
        <f>IF(OR($G566="",$H566="Mahsup"),"",$G566&amp;"|"&amp;COUNTIFS($G$7:$G566,$G566,$H$7:$H566,"&lt;&gt;Mahsup"))</f>
        <v/>
      </c>
    </row>
    <row r="567" spans="1:21" ht="18" customHeight="1" x14ac:dyDescent="0.3">
      <c r="A567" s="2"/>
      <c r="B567" s="65" t="str">
        <f t="shared" si="40"/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 t="shared" si="41"/>
        <v/>
      </c>
      <c r="M567" s="65" t="str">
        <f t="shared" ca="1" si="42"/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43"/>
        <v/>
      </c>
      <c r="S567" s="1" t="str">
        <f t="shared" si="44"/>
        <v/>
      </c>
      <c r="T567" s="1">
        <f>IF($E567="",0,SUMPRODUCT((AY_SONU!$O$7:$O$42="Evet")*(AY_SONU!$B$7:$B$42=DATE(YEAR($E567),MONTH($E567),1))))</f>
        <v>0</v>
      </c>
      <c r="U567" s="1" t="str">
        <f>IF(OR($G567="",$H567="Mahsup"),"",$G567&amp;"|"&amp;COUNTIFS($G$7:$G567,$G567,$H$7:$H567,"&lt;&gt;Mahsup"))</f>
        <v/>
      </c>
    </row>
    <row r="568" spans="1:21" ht="18" customHeight="1" x14ac:dyDescent="0.3">
      <c r="A568" s="2"/>
      <c r="B568" s="65" t="str">
        <f t="shared" si="40"/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 t="shared" si="41"/>
        <v/>
      </c>
      <c r="M568" s="65" t="str">
        <f t="shared" ca="1" si="42"/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43"/>
        <v/>
      </c>
      <c r="S568" s="1" t="str">
        <f t="shared" si="44"/>
        <v/>
      </c>
      <c r="T568" s="1">
        <f>IF($E568="",0,SUMPRODUCT((AY_SONU!$O$7:$O$42="Evet")*(AY_SONU!$B$7:$B$42=DATE(YEAR($E568),MONTH($E568),1))))</f>
        <v>0</v>
      </c>
      <c r="U568" s="1" t="str">
        <f>IF(OR($G568="",$H568="Mahsup"),"",$G568&amp;"|"&amp;COUNTIFS($G$7:$G568,$G568,$H$7:$H568,"&lt;&gt;Mahsup"))</f>
        <v/>
      </c>
    </row>
    <row r="569" spans="1:21" ht="18" customHeight="1" x14ac:dyDescent="0.3">
      <c r="A569" s="2"/>
      <c r="B569" s="65" t="str">
        <f t="shared" si="40"/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 t="shared" si="41"/>
        <v/>
      </c>
      <c r="M569" s="65" t="str">
        <f t="shared" ca="1" si="42"/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43"/>
        <v/>
      </c>
      <c r="S569" s="1" t="str">
        <f t="shared" si="44"/>
        <v/>
      </c>
      <c r="T569" s="1">
        <f>IF($E569="",0,SUMPRODUCT((AY_SONU!$O$7:$O$42="Evet")*(AY_SONU!$B$7:$B$42=DATE(YEAR($E569),MONTH($E569),1))))</f>
        <v>0</v>
      </c>
      <c r="U569" s="1" t="str">
        <f>IF(OR($G569="",$H569="Mahsup"),"",$G569&amp;"|"&amp;COUNTIFS($G$7:$G569,$G569,$H$7:$H569,"&lt;&gt;Mahsup"))</f>
        <v/>
      </c>
    </row>
    <row r="570" spans="1:21" ht="18" customHeight="1" x14ac:dyDescent="0.3">
      <c r="A570" s="2"/>
      <c r="B570" s="65" t="str">
        <f t="shared" si="40"/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 t="shared" si="41"/>
        <v/>
      </c>
      <c r="M570" s="65" t="str">
        <f t="shared" ca="1" si="42"/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43"/>
        <v/>
      </c>
      <c r="S570" s="1" t="str">
        <f t="shared" si="44"/>
        <v/>
      </c>
      <c r="T570" s="1">
        <f>IF($E570="",0,SUMPRODUCT((AY_SONU!$O$7:$O$42="Evet")*(AY_SONU!$B$7:$B$42=DATE(YEAR($E570),MONTH($E570),1))))</f>
        <v>0</v>
      </c>
      <c r="U570" s="1" t="str">
        <f>IF(OR($G570="",$H570="Mahsup"),"",$G570&amp;"|"&amp;COUNTIFS($G$7:$G570,$G570,$H$7:$H570,"&lt;&gt;Mahsup"))</f>
        <v/>
      </c>
    </row>
    <row r="571" spans="1:21" ht="18" customHeight="1" x14ac:dyDescent="0.3">
      <c r="A571" s="2"/>
      <c r="B571" s="65" t="str">
        <f t="shared" si="40"/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 t="shared" si="41"/>
        <v/>
      </c>
      <c r="M571" s="65" t="str">
        <f t="shared" ca="1" si="42"/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43"/>
        <v/>
      </c>
      <c r="S571" s="1" t="str">
        <f t="shared" si="44"/>
        <v/>
      </c>
      <c r="T571" s="1">
        <f>IF($E571="",0,SUMPRODUCT((AY_SONU!$O$7:$O$42="Evet")*(AY_SONU!$B$7:$B$42=DATE(YEAR($E571),MONTH($E571),1))))</f>
        <v>0</v>
      </c>
      <c r="U571" s="1" t="str">
        <f>IF(OR($G571="",$H571="Mahsup"),"",$G571&amp;"|"&amp;COUNTIFS($G$7:$G571,$G571,$H$7:$H571,"&lt;&gt;Mahsup"))</f>
        <v/>
      </c>
    </row>
    <row r="572" spans="1:21" ht="18" customHeight="1" x14ac:dyDescent="0.3">
      <c r="A572" s="2"/>
      <c r="B572" s="65" t="str">
        <f t="shared" si="40"/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 t="shared" si="41"/>
        <v/>
      </c>
      <c r="M572" s="65" t="str">
        <f t="shared" ca="1" si="42"/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43"/>
        <v/>
      </c>
      <c r="S572" s="1" t="str">
        <f t="shared" si="44"/>
        <v/>
      </c>
      <c r="T572" s="1">
        <f>IF($E572="",0,SUMPRODUCT((AY_SONU!$O$7:$O$42="Evet")*(AY_SONU!$B$7:$B$42=DATE(YEAR($E572),MONTH($E572),1))))</f>
        <v>0</v>
      </c>
      <c r="U572" s="1" t="str">
        <f>IF(OR($G572="",$H572="Mahsup"),"",$G572&amp;"|"&amp;COUNTIFS($G$7:$G572,$G572,$H$7:$H572,"&lt;&gt;Mahsup"))</f>
        <v/>
      </c>
    </row>
    <row r="573" spans="1:21" ht="18" customHeight="1" x14ac:dyDescent="0.3">
      <c r="A573" s="2"/>
      <c r="B573" s="65" t="str">
        <f t="shared" si="40"/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 t="shared" si="41"/>
        <v/>
      </c>
      <c r="M573" s="65" t="str">
        <f t="shared" ca="1" si="42"/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43"/>
        <v/>
      </c>
      <c r="S573" s="1" t="str">
        <f t="shared" si="44"/>
        <v/>
      </c>
      <c r="T573" s="1">
        <f>IF($E573="",0,SUMPRODUCT((AY_SONU!$O$7:$O$42="Evet")*(AY_SONU!$B$7:$B$42=DATE(YEAR($E573),MONTH($E573),1))))</f>
        <v>0</v>
      </c>
      <c r="U573" s="1" t="str">
        <f>IF(OR($G573="",$H573="Mahsup"),"",$G573&amp;"|"&amp;COUNTIFS($G$7:$G573,$G573,$H$7:$H573,"&lt;&gt;Mahsup"))</f>
        <v/>
      </c>
    </row>
    <row r="574" spans="1:21" ht="18" customHeight="1" x14ac:dyDescent="0.3">
      <c r="A574" s="2"/>
      <c r="B574" s="65" t="str">
        <f t="shared" si="40"/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 t="shared" si="41"/>
        <v/>
      </c>
      <c r="M574" s="65" t="str">
        <f t="shared" ca="1" si="42"/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43"/>
        <v/>
      </c>
      <c r="S574" s="1" t="str">
        <f t="shared" si="44"/>
        <v/>
      </c>
      <c r="T574" s="1">
        <f>IF($E574="",0,SUMPRODUCT((AY_SONU!$O$7:$O$42="Evet")*(AY_SONU!$B$7:$B$42=DATE(YEAR($E574),MONTH($E574),1))))</f>
        <v>0</v>
      </c>
      <c r="U574" s="1" t="str">
        <f>IF(OR($G574="",$H574="Mahsup"),"",$G574&amp;"|"&amp;COUNTIFS($G$7:$G574,$G574,$H$7:$H574,"&lt;&gt;Mahsup"))</f>
        <v/>
      </c>
    </row>
    <row r="575" spans="1:21" ht="18" customHeight="1" x14ac:dyDescent="0.3">
      <c r="A575" s="2"/>
      <c r="B575" s="65" t="str">
        <f t="shared" si="40"/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 t="shared" si="41"/>
        <v/>
      </c>
      <c r="M575" s="65" t="str">
        <f t="shared" ca="1" si="42"/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43"/>
        <v/>
      </c>
      <c r="S575" s="1" t="str">
        <f t="shared" si="44"/>
        <v/>
      </c>
      <c r="T575" s="1">
        <f>IF($E575="",0,SUMPRODUCT((AY_SONU!$O$7:$O$42="Evet")*(AY_SONU!$B$7:$B$42=DATE(YEAR($E575),MONTH($E575),1))))</f>
        <v>0</v>
      </c>
      <c r="U575" s="1" t="str">
        <f>IF(OR($G575="",$H575="Mahsup"),"",$G575&amp;"|"&amp;COUNTIFS($G$7:$G575,$G575,$H$7:$H575,"&lt;&gt;Mahsup"))</f>
        <v/>
      </c>
    </row>
    <row r="576" spans="1:21" ht="18" customHeight="1" x14ac:dyDescent="0.3">
      <c r="A576" s="2"/>
      <c r="B576" s="65" t="str">
        <f t="shared" si="40"/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 t="shared" si="41"/>
        <v/>
      </c>
      <c r="M576" s="65" t="str">
        <f t="shared" ca="1" si="42"/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43"/>
        <v/>
      </c>
      <c r="S576" s="1" t="str">
        <f t="shared" si="44"/>
        <v/>
      </c>
      <c r="T576" s="1">
        <f>IF($E576="",0,SUMPRODUCT((AY_SONU!$O$7:$O$42="Evet")*(AY_SONU!$B$7:$B$42=DATE(YEAR($E576),MONTH($E576),1))))</f>
        <v>0</v>
      </c>
      <c r="U576" s="1" t="str">
        <f>IF(OR($G576="",$H576="Mahsup"),"",$G576&amp;"|"&amp;COUNTIFS($G$7:$G576,$G576,$H$7:$H576,"&lt;&gt;Mahsup"))</f>
        <v/>
      </c>
    </row>
    <row r="577" spans="1:21" ht="18" customHeight="1" x14ac:dyDescent="0.3">
      <c r="A577" s="2"/>
      <c r="B577" s="65" t="str">
        <f t="shared" si="40"/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 t="shared" si="41"/>
        <v/>
      </c>
      <c r="M577" s="65" t="str">
        <f t="shared" ca="1" si="42"/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43"/>
        <v/>
      </c>
      <c r="S577" s="1" t="str">
        <f t="shared" si="44"/>
        <v/>
      </c>
      <c r="T577" s="1">
        <f>IF($E577="",0,SUMPRODUCT((AY_SONU!$O$7:$O$42="Evet")*(AY_SONU!$B$7:$B$42=DATE(YEAR($E577),MONTH($E577),1))))</f>
        <v>0</v>
      </c>
      <c r="U577" s="1" t="str">
        <f>IF(OR($G577="",$H577="Mahsup"),"",$G577&amp;"|"&amp;COUNTIFS($G$7:$G577,$G577,$H$7:$H577,"&lt;&gt;Mahsup"))</f>
        <v/>
      </c>
    </row>
    <row r="578" spans="1:21" ht="18" customHeight="1" x14ac:dyDescent="0.3">
      <c r="A578" s="2"/>
      <c r="B578" s="65" t="str">
        <f t="shared" si="40"/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 t="shared" si="41"/>
        <v/>
      </c>
      <c r="M578" s="65" t="str">
        <f t="shared" ca="1" si="42"/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43"/>
        <v/>
      </c>
      <c r="S578" s="1" t="str">
        <f t="shared" si="44"/>
        <v/>
      </c>
      <c r="T578" s="1">
        <f>IF($E578="",0,SUMPRODUCT((AY_SONU!$O$7:$O$42="Evet")*(AY_SONU!$B$7:$B$42=DATE(YEAR($E578),MONTH($E578),1))))</f>
        <v>0</v>
      </c>
      <c r="U578" s="1" t="str">
        <f>IF(OR($G578="",$H578="Mahsup"),"",$G578&amp;"|"&amp;COUNTIFS($G$7:$G578,$G578,$H$7:$H578,"&lt;&gt;Mahsup"))</f>
        <v/>
      </c>
    </row>
    <row r="579" spans="1:21" ht="18" customHeight="1" x14ac:dyDescent="0.3">
      <c r="A579" s="2"/>
      <c r="B579" s="65" t="str">
        <f t="shared" si="40"/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 t="shared" si="41"/>
        <v/>
      </c>
      <c r="M579" s="65" t="str">
        <f t="shared" ca="1" si="42"/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43"/>
        <v/>
      </c>
      <c r="S579" s="1" t="str">
        <f t="shared" si="44"/>
        <v/>
      </c>
      <c r="T579" s="1">
        <f>IF($E579="",0,SUMPRODUCT((AY_SONU!$O$7:$O$42="Evet")*(AY_SONU!$B$7:$B$42=DATE(YEAR($E579),MONTH($E579),1))))</f>
        <v>0</v>
      </c>
      <c r="U579" s="1" t="str">
        <f>IF(OR($G579="",$H579="Mahsup"),"",$G579&amp;"|"&amp;COUNTIFS($G$7:$G579,$G579,$H$7:$H579,"&lt;&gt;Mahsup"))</f>
        <v/>
      </c>
    </row>
    <row r="580" spans="1:21" ht="18" customHeight="1" x14ac:dyDescent="0.3">
      <c r="A580" s="2"/>
      <c r="B580" s="65" t="str">
        <f t="shared" si="40"/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 t="shared" si="41"/>
        <v/>
      </c>
      <c r="M580" s="65" t="str">
        <f t="shared" ca="1" si="42"/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43"/>
        <v/>
      </c>
      <c r="S580" s="1" t="str">
        <f t="shared" si="44"/>
        <v/>
      </c>
      <c r="T580" s="1">
        <f>IF($E580="",0,SUMPRODUCT((AY_SONU!$O$7:$O$42="Evet")*(AY_SONU!$B$7:$B$42=DATE(YEAR($E580),MONTH($E580),1))))</f>
        <v>0</v>
      </c>
      <c r="U580" s="1" t="str">
        <f>IF(OR($G580="",$H580="Mahsup"),"",$G580&amp;"|"&amp;COUNTIFS($G$7:$G580,$G580,$H$7:$H580,"&lt;&gt;Mahsup"))</f>
        <v/>
      </c>
    </row>
    <row r="581" spans="1:21" ht="18" customHeight="1" x14ac:dyDescent="0.3">
      <c r="A581" s="2"/>
      <c r="B581" s="65" t="str">
        <f t="shared" si="40"/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 t="shared" si="41"/>
        <v/>
      </c>
      <c r="M581" s="65" t="str">
        <f t="shared" ca="1" si="42"/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43"/>
        <v/>
      </c>
      <c r="S581" s="1" t="str">
        <f t="shared" si="44"/>
        <v/>
      </c>
      <c r="T581" s="1">
        <f>IF($E581="",0,SUMPRODUCT((AY_SONU!$O$7:$O$42="Evet")*(AY_SONU!$B$7:$B$42=DATE(YEAR($E581),MONTH($E581),1))))</f>
        <v>0</v>
      </c>
      <c r="U581" s="1" t="str">
        <f>IF(OR($G581="",$H581="Mahsup"),"",$G581&amp;"|"&amp;COUNTIFS($G$7:$G581,$G581,$H$7:$H581,"&lt;&gt;Mahsup"))</f>
        <v/>
      </c>
    </row>
    <row r="582" spans="1:21" ht="18" customHeight="1" x14ac:dyDescent="0.3">
      <c r="A582" s="2"/>
      <c r="B582" s="65" t="str">
        <f t="shared" si="40"/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 t="shared" si="41"/>
        <v/>
      </c>
      <c r="M582" s="65" t="str">
        <f t="shared" ca="1" si="42"/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43"/>
        <v/>
      </c>
      <c r="S582" s="1" t="str">
        <f t="shared" si="44"/>
        <v/>
      </c>
      <c r="T582" s="1">
        <f>IF($E582="",0,SUMPRODUCT((AY_SONU!$O$7:$O$42="Evet")*(AY_SONU!$B$7:$B$42=DATE(YEAR($E582),MONTH($E582),1))))</f>
        <v>0</v>
      </c>
      <c r="U582" s="1" t="str">
        <f>IF(OR($G582="",$H582="Mahsup"),"",$G582&amp;"|"&amp;COUNTIFS($G$7:$G582,$G582,$H$7:$H582,"&lt;&gt;Mahsup"))</f>
        <v/>
      </c>
    </row>
    <row r="583" spans="1:21" ht="18" customHeight="1" x14ac:dyDescent="0.3">
      <c r="A583" s="2"/>
      <c r="B583" s="65" t="str">
        <f t="shared" ref="B583:B646" si="45"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 t="shared" ref="L583:L646" si="46">IF($E583="","",DATE(YEAR($E583),MONTH($E583),1))</f>
        <v/>
      </c>
      <c r="M583" s="65" t="str">
        <f t="shared" ref="M583:M646" ca="1" si="47"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4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4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  <c r="U583" s="1" t="str">
        <f>IF(OR($G583="",$H583="Mahsup"),"",$G583&amp;"|"&amp;COUNTIFS($G$7:$G583,$G583,$H$7:$H583,"&lt;&gt;Mahsup"))</f>
        <v/>
      </c>
    </row>
    <row r="584" spans="1:21" ht="18" customHeight="1" x14ac:dyDescent="0.3">
      <c r="A584" s="2"/>
      <c r="B584" s="65" t="str">
        <f t="shared" si="45"/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 t="shared" si="46"/>
        <v/>
      </c>
      <c r="M584" s="65" t="str">
        <f t="shared" ca="1" si="47"/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48"/>
        <v/>
      </c>
      <c r="S584" s="1" t="str">
        <f t="shared" si="49"/>
        <v/>
      </c>
      <c r="T584" s="1">
        <f>IF($E584="",0,SUMPRODUCT((AY_SONU!$O$7:$O$42="Evet")*(AY_SONU!$B$7:$B$42=DATE(YEAR($E584),MONTH($E584),1))))</f>
        <v>0</v>
      </c>
      <c r="U584" s="1" t="str">
        <f>IF(OR($G584="",$H584="Mahsup"),"",$G584&amp;"|"&amp;COUNTIFS($G$7:$G584,$G584,$H$7:$H584,"&lt;&gt;Mahsup"))</f>
        <v/>
      </c>
    </row>
    <row r="585" spans="1:21" ht="18" customHeight="1" x14ac:dyDescent="0.3">
      <c r="A585" s="2"/>
      <c r="B585" s="65" t="str">
        <f t="shared" si="45"/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 t="shared" si="46"/>
        <v/>
      </c>
      <c r="M585" s="65" t="str">
        <f t="shared" ca="1" si="47"/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48"/>
        <v/>
      </c>
      <c r="S585" s="1" t="str">
        <f t="shared" si="49"/>
        <v/>
      </c>
      <c r="T585" s="1">
        <f>IF($E585="",0,SUMPRODUCT((AY_SONU!$O$7:$O$42="Evet")*(AY_SONU!$B$7:$B$42=DATE(YEAR($E585),MONTH($E585),1))))</f>
        <v>0</v>
      </c>
      <c r="U585" s="1" t="str">
        <f>IF(OR($G585="",$H585="Mahsup"),"",$G585&amp;"|"&amp;COUNTIFS($G$7:$G585,$G585,$H$7:$H585,"&lt;&gt;Mahsup"))</f>
        <v/>
      </c>
    </row>
    <row r="586" spans="1:21" ht="18" customHeight="1" x14ac:dyDescent="0.3">
      <c r="A586" s="2"/>
      <c r="B586" s="65" t="str">
        <f t="shared" si="45"/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 t="shared" si="46"/>
        <v/>
      </c>
      <c r="M586" s="65" t="str">
        <f t="shared" ca="1" si="47"/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48"/>
        <v/>
      </c>
      <c r="S586" s="1" t="str">
        <f t="shared" si="49"/>
        <v/>
      </c>
      <c r="T586" s="1">
        <f>IF($E586="",0,SUMPRODUCT((AY_SONU!$O$7:$O$42="Evet")*(AY_SONU!$B$7:$B$42=DATE(YEAR($E586),MONTH($E586),1))))</f>
        <v>0</v>
      </c>
      <c r="U586" s="1" t="str">
        <f>IF(OR($G586="",$H586="Mahsup"),"",$G586&amp;"|"&amp;COUNTIFS($G$7:$G586,$G586,$H$7:$H586,"&lt;&gt;Mahsup"))</f>
        <v/>
      </c>
    </row>
    <row r="587" spans="1:21" ht="18" customHeight="1" x14ac:dyDescent="0.3">
      <c r="A587" s="2"/>
      <c r="B587" s="65" t="str">
        <f t="shared" si="45"/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 t="shared" si="46"/>
        <v/>
      </c>
      <c r="M587" s="65" t="str">
        <f t="shared" ca="1" si="47"/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48"/>
        <v/>
      </c>
      <c r="S587" s="1" t="str">
        <f t="shared" si="49"/>
        <v/>
      </c>
      <c r="T587" s="1">
        <f>IF($E587="",0,SUMPRODUCT((AY_SONU!$O$7:$O$42="Evet")*(AY_SONU!$B$7:$B$42=DATE(YEAR($E587),MONTH($E587),1))))</f>
        <v>0</v>
      </c>
      <c r="U587" s="1" t="str">
        <f>IF(OR($G587="",$H587="Mahsup"),"",$G587&amp;"|"&amp;COUNTIFS($G$7:$G587,$G587,$H$7:$H587,"&lt;&gt;Mahsup"))</f>
        <v/>
      </c>
    </row>
    <row r="588" spans="1:21" ht="18" customHeight="1" x14ac:dyDescent="0.3">
      <c r="A588" s="2"/>
      <c r="B588" s="65" t="str">
        <f t="shared" si="45"/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 t="shared" si="46"/>
        <v/>
      </c>
      <c r="M588" s="65" t="str">
        <f t="shared" ca="1" si="47"/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48"/>
        <v/>
      </c>
      <c r="S588" s="1" t="str">
        <f t="shared" si="49"/>
        <v/>
      </c>
      <c r="T588" s="1">
        <f>IF($E588="",0,SUMPRODUCT((AY_SONU!$O$7:$O$42="Evet")*(AY_SONU!$B$7:$B$42=DATE(YEAR($E588),MONTH($E588),1))))</f>
        <v>0</v>
      </c>
      <c r="U588" s="1" t="str">
        <f>IF(OR($G588="",$H588="Mahsup"),"",$G588&amp;"|"&amp;COUNTIFS($G$7:$G588,$G588,$H$7:$H588,"&lt;&gt;Mahsup"))</f>
        <v/>
      </c>
    </row>
    <row r="589" spans="1:21" ht="18" customHeight="1" x14ac:dyDescent="0.3">
      <c r="A589" s="2"/>
      <c r="B589" s="65" t="str">
        <f t="shared" si="45"/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 t="shared" si="46"/>
        <v/>
      </c>
      <c r="M589" s="65" t="str">
        <f t="shared" ca="1" si="47"/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48"/>
        <v/>
      </c>
      <c r="S589" s="1" t="str">
        <f t="shared" si="49"/>
        <v/>
      </c>
      <c r="T589" s="1">
        <f>IF($E589="",0,SUMPRODUCT((AY_SONU!$O$7:$O$42="Evet")*(AY_SONU!$B$7:$B$42=DATE(YEAR($E589),MONTH($E589),1))))</f>
        <v>0</v>
      </c>
      <c r="U589" s="1" t="str">
        <f>IF(OR($G589="",$H589="Mahsup"),"",$G589&amp;"|"&amp;COUNTIFS($G$7:$G589,$G589,$H$7:$H589,"&lt;&gt;Mahsup"))</f>
        <v/>
      </c>
    </row>
    <row r="590" spans="1:21" ht="18" customHeight="1" x14ac:dyDescent="0.3">
      <c r="A590" s="2"/>
      <c r="B590" s="65" t="str">
        <f t="shared" si="45"/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 t="shared" si="46"/>
        <v/>
      </c>
      <c r="M590" s="65" t="str">
        <f t="shared" ca="1" si="47"/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48"/>
        <v/>
      </c>
      <c r="S590" s="1" t="str">
        <f t="shared" si="49"/>
        <v/>
      </c>
      <c r="T590" s="1">
        <f>IF($E590="",0,SUMPRODUCT((AY_SONU!$O$7:$O$42="Evet")*(AY_SONU!$B$7:$B$42=DATE(YEAR($E590),MONTH($E590),1))))</f>
        <v>0</v>
      </c>
      <c r="U590" s="1" t="str">
        <f>IF(OR($G590="",$H590="Mahsup"),"",$G590&amp;"|"&amp;COUNTIFS($G$7:$G590,$G590,$H$7:$H590,"&lt;&gt;Mahsup"))</f>
        <v/>
      </c>
    </row>
    <row r="591" spans="1:21" ht="18" customHeight="1" x14ac:dyDescent="0.3">
      <c r="A591" s="2"/>
      <c r="B591" s="65" t="str">
        <f t="shared" si="45"/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 t="shared" si="46"/>
        <v/>
      </c>
      <c r="M591" s="65" t="str">
        <f t="shared" ca="1" si="47"/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48"/>
        <v/>
      </c>
      <c r="S591" s="1" t="str">
        <f t="shared" si="49"/>
        <v/>
      </c>
      <c r="T591" s="1">
        <f>IF($E591="",0,SUMPRODUCT((AY_SONU!$O$7:$O$42="Evet")*(AY_SONU!$B$7:$B$42=DATE(YEAR($E591),MONTH($E591),1))))</f>
        <v>0</v>
      </c>
      <c r="U591" s="1" t="str">
        <f>IF(OR($G591="",$H591="Mahsup"),"",$G591&amp;"|"&amp;COUNTIFS($G$7:$G591,$G591,$H$7:$H591,"&lt;&gt;Mahsup"))</f>
        <v/>
      </c>
    </row>
    <row r="592" spans="1:21" ht="18" customHeight="1" x14ac:dyDescent="0.3">
      <c r="A592" s="2"/>
      <c r="B592" s="65" t="str">
        <f t="shared" si="45"/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 t="shared" si="46"/>
        <v/>
      </c>
      <c r="M592" s="65" t="str">
        <f t="shared" ca="1" si="47"/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48"/>
        <v/>
      </c>
      <c r="S592" s="1" t="str">
        <f t="shared" si="49"/>
        <v/>
      </c>
      <c r="T592" s="1">
        <f>IF($E592="",0,SUMPRODUCT((AY_SONU!$O$7:$O$42="Evet")*(AY_SONU!$B$7:$B$42=DATE(YEAR($E592),MONTH($E592),1))))</f>
        <v>0</v>
      </c>
      <c r="U592" s="1" t="str">
        <f>IF(OR($G592="",$H592="Mahsup"),"",$G592&amp;"|"&amp;COUNTIFS($G$7:$G592,$G592,$H$7:$H592,"&lt;&gt;Mahsup"))</f>
        <v/>
      </c>
    </row>
    <row r="593" spans="1:21" ht="18" customHeight="1" x14ac:dyDescent="0.3">
      <c r="A593" s="2"/>
      <c r="B593" s="65" t="str">
        <f t="shared" si="45"/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 t="shared" si="46"/>
        <v/>
      </c>
      <c r="M593" s="65" t="str">
        <f t="shared" ca="1" si="47"/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48"/>
        <v/>
      </c>
      <c r="S593" s="1" t="str">
        <f t="shared" si="49"/>
        <v/>
      </c>
      <c r="T593" s="1">
        <f>IF($E593="",0,SUMPRODUCT((AY_SONU!$O$7:$O$42="Evet")*(AY_SONU!$B$7:$B$42=DATE(YEAR($E593),MONTH($E593),1))))</f>
        <v>0</v>
      </c>
      <c r="U593" s="1" t="str">
        <f>IF(OR($G593="",$H593="Mahsup"),"",$G593&amp;"|"&amp;COUNTIFS($G$7:$G593,$G593,$H$7:$H593,"&lt;&gt;Mahsup"))</f>
        <v/>
      </c>
    </row>
    <row r="594" spans="1:21" ht="18" customHeight="1" x14ac:dyDescent="0.3">
      <c r="A594" s="2"/>
      <c r="B594" s="65" t="str">
        <f t="shared" si="45"/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 t="shared" si="46"/>
        <v/>
      </c>
      <c r="M594" s="65" t="str">
        <f t="shared" ca="1" si="47"/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48"/>
        <v/>
      </c>
      <c r="S594" s="1" t="str">
        <f t="shared" si="49"/>
        <v/>
      </c>
      <c r="T594" s="1">
        <f>IF($E594="",0,SUMPRODUCT((AY_SONU!$O$7:$O$42="Evet")*(AY_SONU!$B$7:$B$42=DATE(YEAR($E594),MONTH($E594),1))))</f>
        <v>0</v>
      </c>
      <c r="U594" s="1" t="str">
        <f>IF(OR($G594="",$H594="Mahsup"),"",$G594&amp;"|"&amp;COUNTIFS($G$7:$G594,$G594,$H$7:$H594,"&lt;&gt;Mahsup"))</f>
        <v/>
      </c>
    </row>
    <row r="595" spans="1:21" ht="18" customHeight="1" x14ac:dyDescent="0.3">
      <c r="A595" s="2"/>
      <c r="B595" s="65" t="str">
        <f t="shared" si="45"/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 t="shared" si="46"/>
        <v/>
      </c>
      <c r="M595" s="65" t="str">
        <f t="shared" ca="1" si="47"/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48"/>
        <v/>
      </c>
      <c r="S595" s="1" t="str">
        <f t="shared" si="49"/>
        <v/>
      </c>
      <c r="T595" s="1">
        <f>IF($E595="",0,SUMPRODUCT((AY_SONU!$O$7:$O$42="Evet")*(AY_SONU!$B$7:$B$42=DATE(YEAR($E595),MONTH($E595),1))))</f>
        <v>0</v>
      </c>
      <c r="U595" s="1" t="str">
        <f>IF(OR($G595="",$H595="Mahsup"),"",$G595&amp;"|"&amp;COUNTIFS($G$7:$G595,$G595,$H$7:$H595,"&lt;&gt;Mahsup"))</f>
        <v/>
      </c>
    </row>
    <row r="596" spans="1:21" ht="18" customHeight="1" x14ac:dyDescent="0.3">
      <c r="A596" s="2"/>
      <c r="B596" s="65" t="str">
        <f t="shared" si="45"/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 t="shared" si="46"/>
        <v/>
      </c>
      <c r="M596" s="65" t="str">
        <f t="shared" ca="1" si="47"/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48"/>
        <v/>
      </c>
      <c r="S596" s="1" t="str">
        <f t="shared" si="49"/>
        <v/>
      </c>
      <c r="T596" s="1">
        <f>IF($E596="",0,SUMPRODUCT((AY_SONU!$O$7:$O$42="Evet")*(AY_SONU!$B$7:$B$42=DATE(YEAR($E596),MONTH($E596),1))))</f>
        <v>0</v>
      </c>
      <c r="U596" s="1" t="str">
        <f>IF(OR($G596="",$H596="Mahsup"),"",$G596&amp;"|"&amp;COUNTIFS($G$7:$G596,$G596,$H$7:$H596,"&lt;&gt;Mahsup"))</f>
        <v/>
      </c>
    </row>
    <row r="597" spans="1:21" ht="18" customHeight="1" x14ac:dyDescent="0.3">
      <c r="A597" s="2"/>
      <c r="B597" s="65" t="str">
        <f t="shared" si="45"/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 t="shared" si="46"/>
        <v/>
      </c>
      <c r="M597" s="65" t="str">
        <f t="shared" ca="1" si="47"/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48"/>
        <v/>
      </c>
      <c r="S597" s="1" t="str">
        <f t="shared" si="49"/>
        <v/>
      </c>
      <c r="T597" s="1">
        <f>IF($E597="",0,SUMPRODUCT((AY_SONU!$O$7:$O$42="Evet")*(AY_SONU!$B$7:$B$42=DATE(YEAR($E597),MONTH($E597),1))))</f>
        <v>0</v>
      </c>
      <c r="U597" s="1" t="str">
        <f>IF(OR($G597="",$H597="Mahsup"),"",$G597&amp;"|"&amp;COUNTIFS($G$7:$G597,$G597,$H$7:$H597,"&lt;&gt;Mahsup"))</f>
        <v/>
      </c>
    </row>
    <row r="598" spans="1:21" ht="18" customHeight="1" x14ac:dyDescent="0.3">
      <c r="A598" s="2"/>
      <c r="B598" s="65" t="str">
        <f t="shared" si="45"/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 t="shared" si="46"/>
        <v/>
      </c>
      <c r="M598" s="65" t="str">
        <f t="shared" ca="1" si="47"/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48"/>
        <v/>
      </c>
      <c r="S598" s="1" t="str">
        <f t="shared" si="49"/>
        <v/>
      </c>
      <c r="T598" s="1">
        <f>IF($E598="",0,SUMPRODUCT((AY_SONU!$O$7:$O$42="Evet")*(AY_SONU!$B$7:$B$42=DATE(YEAR($E598),MONTH($E598),1))))</f>
        <v>0</v>
      </c>
      <c r="U598" s="1" t="str">
        <f>IF(OR($G598="",$H598="Mahsup"),"",$G598&amp;"|"&amp;COUNTIFS($G$7:$G598,$G598,$H$7:$H598,"&lt;&gt;Mahsup"))</f>
        <v/>
      </c>
    </row>
    <row r="599" spans="1:21" ht="18" customHeight="1" x14ac:dyDescent="0.3">
      <c r="A599" s="2"/>
      <c r="B599" s="65" t="str">
        <f t="shared" si="45"/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 t="shared" si="46"/>
        <v/>
      </c>
      <c r="M599" s="65" t="str">
        <f t="shared" ca="1" si="47"/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48"/>
        <v/>
      </c>
      <c r="S599" s="1" t="str">
        <f t="shared" si="49"/>
        <v/>
      </c>
      <c r="T599" s="1">
        <f>IF($E599="",0,SUMPRODUCT((AY_SONU!$O$7:$O$42="Evet")*(AY_SONU!$B$7:$B$42=DATE(YEAR($E599),MONTH($E599),1))))</f>
        <v>0</v>
      </c>
      <c r="U599" s="1" t="str">
        <f>IF(OR($G599="",$H599="Mahsup"),"",$G599&amp;"|"&amp;COUNTIFS($G$7:$G599,$G599,$H$7:$H599,"&lt;&gt;Mahsup"))</f>
        <v/>
      </c>
    </row>
    <row r="600" spans="1:21" ht="18" customHeight="1" x14ac:dyDescent="0.3">
      <c r="A600" s="2"/>
      <c r="B600" s="65" t="str">
        <f t="shared" si="45"/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 t="shared" si="46"/>
        <v/>
      </c>
      <c r="M600" s="65" t="str">
        <f t="shared" ca="1" si="47"/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48"/>
        <v/>
      </c>
      <c r="S600" s="1" t="str">
        <f t="shared" si="49"/>
        <v/>
      </c>
      <c r="T600" s="1">
        <f>IF($E600="",0,SUMPRODUCT((AY_SONU!$O$7:$O$42="Evet")*(AY_SONU!$B$7:$B$42=DATE(YEAR($E600),MONTH($E600),1))))</f>
        <v>0</v>
      </c>
      <c r="U600" s="1" t="str">
        <f>IF(OR($G600="",$H600="Mahsup"),"",$G600&amp;"|"&amp;COUNTIFS($G$7:$G600,$G600,$H$7:$H600,"&lt;&gt;Mahsup"))</f>
        <v/>
      </c>
    </row>
    <row r="601" spans="1:21" ht="18" customHeight="1" x14ac:dyDescent="0.3">
      <c r="A601" s="2"/>
      <c r="B601" s="65" t="str">
        <f t="shared" si="45"/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 t="shared" si="46"/>
        <v/>
      </c>
      <c r="M601" s="65" t="str">
        <f t="shared" ca="1" si="47"/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48"/>
        <v/>
      </c>
      <c r="S601" s="1" t="str">
        <f t="shared" si="49"/>
        <v/>
      </c>
      <c r="T601" s="1">
        <f>IF($E601="",0,SUMPRODUCT((AY_SONU!$O$7:$O$42="Evet")*(AY_SONU!$B$7:$B$42=DATE(YEAR($E601),MONTH($E601),1))))</f>
        <v>0</v>
      </c>
      <c r="U601" s="1" t="str">
        <f>IF(OR($G601="",$H601="Mahsup"),"",$G601&amp;"|"&amp;COUNTIFS($G$7:$G601,$G601,$H$7:$H601,"&lt;&gt;Mahsup"))</f>
        <v/>
      </c>
    </row>
    <row r="602" spans="1:21" ht="18" customHeight="1" x14ac:dyDescent="0.3">
      <c r="A602" s="2"/>
      <c r="B602" s="65" t="str">
        <f t="shared" si="45"/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 t="shared" si="46"/>
        <v/>
      </c>
      <c r="M602" s="65" t="str">
        <f t="shared" ca="1" si="47"/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48"/>
        <v/>
      </c>
      <c r="S602" s="1" t="str">
        <f t="shared" si="49"/>
        <v/>
      </c>
      <c r="T602" s="1">
        <f>IF($E602="",0,SUMPRODUCT((AY_SONU!$O$7:$O$42="Evet")*(AY_SONU!$B$7:$B$42=DATE(YEAR($E602),MONTH($E602),1))))</f>
        <v>0</v>
      </c>
      <c r="U602" s="1" t="str">
        <f>IF(OR($G602="",$H602="Mahsup"),"",$G602&amp;"|"&amp;COUNTIFS($G$7:$G602,$G602,$H$7:$H602,"&lt;&gt;Mahsup"))</f>
        <v/>
      </c>
    </row>
    <row r="603" spans="1:21" ht="18" customHeight="1" x14ac:dyDescent="0.3">
      <c r="A603" s="2"/>
      <c r="B603" s="65" t="str">
        <f t="shared" si="45"/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 t="shared" si="46"/>
        <v/>
      </c>
      <c r="M603" s="65" t="str">
        <f t="shared" ca="1" si="47"/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48"/>
        <v/>
      </c>
      <c r="S603" s="1" t="str">
        <f t="shared" si="49"/>
        <v/>
      </c>
      <c r="T603" s="1">
        <f>IF($E603="",0,SUMPRODUCT((AY_SONU!$O$7:$O$42="Evet")*(AY_SONU!$B$7:$B$42=DATE(YEAR($E603),MONTH($E603),1))))</f>
        <v>0</v>
      </c>
      <c r="U603" s="1" t="str">
        <f>IF(OR($G603="",$H603="Mahsup"),"",$G603&amp;"|"&amp;COUNTIFS($G$7:$G603,$G603,$H$7:$H603,"&lt;&gt;Mahsup"))</f>
        <v/>
      </c>
    </row>
    <row r="604" spans="1:21" ht="18" customHeight="1" x14ac:dyDescent="0.3">
      <c r="A604" s="2"/>
      <c r="B604" s="65" t="str">
        <f t="shared" si="45"/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 t="shared" si="46"/>
        <v/>
      </c>
      <c r="M604" s="65" t="str">
        <f t="shared" ca="1" si="47"/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48"/>
        <v/>
      </c>
      <c r="S604" s="1" t="str">
        <f t="shared" si="49"/>
        <v/>
      </c>
      <c r="T604" s="1">
        <f>IF($E604="",0,SUMPRODUCT((AY_SONU!$O$7:$O$42="Evet")*(AY_SONU!$B$7:$B$42=DATE(YEAR($E604),MONTH($E604),1))))</f>
        <v>0</v>
      </c>
      <c r="U604" s="1" t="str">
        <f>IF(OR($G604="",$H604="Mahsup"),"",$G604&amp;"|"&amp;COUNTIFS($G$7:$G604,$G604,$H$7:$H604,"&lt;&gt;Mahsup"))</f>
        <v/>
      </c>
    </row>
    <row r="605" spans="1:21" ht="18" customHeight="1" x14ac:dyDescent="0.3">
      <c r="A605" s="2"/>
      <c r="B605" s="65" t="str">
        <f t="shared" si="45"/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 t="shared" si="46"/>
        <v/>
      </c>
      <c r="M605" s="65" t="str">
        <f t="shared" ca="1" si="47"/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48"/>
        <v/>
      </c>
      <c r="S605" s="1" t="str">
        <f t="shared" si="49"/>
        <v/>
      </c>
      <c r="T605" s="1">
        <f>IF($E605="",0,SUMPRODUCT((AY_SONU!$O$7:$O$42="Evet")*(AY_SONU!$B$7:$B$42=DATE(YEAR($E605),MONTH($E605),1))))</f>
        <v>0</v>
      </c>
      <c r="U605" s="1" t="str">
        <f>IF(OR($G605="",$H605="Mahsup"),"",$G605&amp;"|"&amp;COUNTIFS($G$7:$G605,$G605,$H$7:$H605,"&lt;&gt;Mahsup"))</f>
        <v/>
      </c>
    </row>
    <row r="606" spans="1:21" ht="18" customHeight="1" x14ac:dyDescent="0.3">
      <c r="A606" s="2"/>
      <c r="B606" s="65" t="str">
        <f t="shared" si="45"/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 t="shared" si="46"/>
        <v/>
      </c>
      <c r="M606" s="65" t="str">
        <f t="shared" ca="1" si="47"/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48"/>
        <v/>
      </c>
      <c r="S606" s="1" t="str">
        <f t="shared" si="49"/>
        <v/>
      </c>
      <c r="T606" s="1">
        <f>IF($E606="",0,SUMPRODUCT((AY_SONU!$O$7:$O$42="Evet")*(AY_SONU!$B$7:$B$42=DATE(YEAR($E606),MONTH($E606),1))))</f>
        <v>0</v>
      </c>
      <c r="U606" s="1" t="str">
        <f>IF(OR($G606="",$H606="Mahsup"),"",$G606&amp;"|"&amp;COUNTIFS($G$7:$G606,$G606,$H$7:$H606,"&lt;&gt;Mahsup"))</f>
        <v/>
      </c>
    </row>
    <row r="607" spans="1:21" ht="18" customHeight="1" x14ac:dyDescent="0.3">
      <c r="A607" s="2"/>
      <c r="B607" s="65" t="str">
        <f t="shared" si="45"/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 t="shared" si="46"/>
        <v/>
      </c>
      <c r="M607" s="65" t="str">
        <f t="shared" ca="1" si="47"/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48"/>
        <v/>
      </c>
      <c r="S607" s="1" t="str">
        <f t="shared" si="49"/>
        <v/>
      </c>
      <c r="T607" s="1">
        <f>IF($E607="",0,SUMPRODUCT((AY_SONU!$O$7:$O$42="Evet")*(AY_SONU!$B$7:$B$42=DATE(YEAR($E607),MONTH($E607),1))))</f>
        <v>0</v>
      </c>
      <c r="U607" s="1" t="str">
        <f>IF(OR($G607="",$H607="Mahsup"),"",$G607&amp;"|"&amp;COUNTIFS($G$7:$G607,$G607,$H$7:$H607,"&lt;&gt;Mahsup"))</f>
        <v/>
      </c>
    </row>
    <row r="608" spans="1:21" ht="18" customHeight="1" x14ac:dyDescent="0.3">
      <c r="A608" s="2"/>
      <c r="B608" s="65" t="str">
        <f t="shared" si="45"/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 t="shared" si="46"/>
        <v/>
      </c>
      <c r="M608" s="65" t="str">
        <f t="shared" ca="1" si="47"/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48"/>
        <v/>
      </c>
      <c r="S608" s="1" t="str">
        <f t="shared" si="49"/>
        <v/>
      </c>
      <c r="T608" s="1">
        <f>IF($E608="",0,SUMPRODUCT((AY_SONU!$O$7:$O$42="Evet")*(AY_SONU!$B$7:$B$42=DATE(YEAR($E608),MONTH($E608),1))))</f>
        <v>0</v>
      </c>
      <c r="U608" s="1" t="str">
        <f>IF(OR($G608="",$H608="Mahsup"),"",$G608&amp;"|"&amp;COUNTIFS($G$7:$G608,$G608,$H$7:$H608,"&lt;&gt;Mahsup"))</f>
        <v/>
      </c>
    </row>
    <row r="609" spans="1:21" ht="18" customHeight="1" x14ac:dyDescent="0.3">
      <c r="A609" s="2"/>
      <c r="B609" s="65" t="str">
        <f t="shared" si="45"/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 t="shared" si="46"/>
        <v/>
      </c>
      <c r="M609" s="65" t="str">
        <f t="shared" ca="1" si="47"/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48"/>
        <v/>
      </c>
      <c r="S609" s="1" t="str">
        <f t="shared" si="49"/>
        <v/>
      </c>
      <c r="T609" s="1">
        <f>IF($E609="",0,SUMPRODUCT((AY_SONU!$O$7:$O$42="Evet")*(AY_SONU!$B$7:$B$42=DATE(YEAR($E609),MONTH($E609),1))))</f>
        <v>0</v>
      </c>
      <c r="U609" s="1" t="str">
        <f>IF(OR($G609="",$H609="Mahsup"),"",$G609&amp;"|"&amp;COUNTIFS($G$7:$G609,$G609,$H$7:$H609,"&lt;&gt;Mahsup"))</f>
        <v/>
      </c>
    </row>
    <row r="610" spans="1:21" ht="18" customHeight="1" x14ac:dyDescent="0.3">
      <c r="A610" s="2"/>
      <c r="B610" s="65" t="str">
        <f t="shared" si="45"/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 t="shared" si="46"/>
        <v/>
      </c>
      <c r="M610" s="65" t="str">
        <f t="shared" ca="1" si="47"/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48"/>
        <v/>
      </c>
      <c r="S610" s="1" t="str">
        <f t="shared" si="49"/>
        <v/>
      </c>
      <c r="T610" s="1">
        <f>IF($E610="",0,SUMPRODUCT((AY_SONU!$O$7:$O$42="Evet")*(AY_SONU!$B$7:$B$42=DATE(YEAR($E610),MONTH($E610),1))))</f>
        <v>0</v>
      </c>
      <c r="U610" s="1" t="str">
        <f>IF(OR($G610="",$H610="Mahsup"),"",$G610&amp;"|"&amp;COUNTIFS($G$7:$G610,$G610,$H$7:$H610,"&lt;&gt;Mahsup"))</f>
        <v/>
      </c>
    </row>
    <row r="611" spans="1:21" ht="18" customHeight="1" x14ac:dyDescent="0.3">
      <c r="A611" s="2"/>
      <c r="B611" s="65" t="str">
        <f t="shared" si="45"/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 t="shared" si="46"/>
        <v/>
      </c>
      <c r="M611" s="65" t="str">
        <f t="shared" ca="1" si="47"/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48"/>
        <v/>
      </c>
      <c r="S611" s="1" t="str">
        <f t="shared" si="49"/>
        <v/>
      </c>
      <c r="T611" s="1">
        <f>IF($E611="",0,SUMPRODUCT((AY_SONU!$O$7:$O$42="Evet")*(AY_SONU!$B$7:$B$42=DATE(YEAR($E611),MONTH($E611),1))))</f>
        <v>0</v>
      </c>
      <c r="U611" s="1" t="str">
        <f>IF(OR($G611="",$H611="Mahsup"),"",$G611&amp;"|"&amp;COUNTIFS($G$7:$G611,$G611,$H$7:$H611,"&lt;&gt;Mahsup"))</f>
        <v/>
      </c>
    </row>
    <row r="612" spans="1:21" ht="18" customHeight="1" x14ac:dyDescent="0.3">
      <c r="A612" s="2"/>
      <c r="B612" s="65" t="str">
        <f t="shared" si="45"/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 t="shared" si="46"/>
        <v/>
      </c>
      <c r="M612" s="65" t="str">
        <f t="shared" ca="1" si="47"/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48"/>
        <v/>
      </c>
      <c r="S612" s="1" t="str">
        <f t="shared" si="49"/>
        <v/>
      </c>
      <c r="T612" s="1">
        <f>IF($E612="",0,SUMPRODUCT((AY_SONU!$O$7:$O$42="Evet")*(AY_SONU!$B$7:$B$42=DATE(YEAR($E612),MONTH($E612),1))))</f>
        <v>0</v>
      </c>
      <c r="U612" s="1" t="str">
        <f>IF(OR($G612="",$H612="Mahsup"),"",$G612&amp;"|"&amp;COUNTIFS($G$7:$G612,$G612,$H$7:$H612,"&lt;&gt;Mahsup"))</f>
        <v/>
      </c>
    </row>
    <row r="613" spans="1:21" ht="18" customHeight="1" x14ac:dyDescent="0.3">
      <c r="A613" s="2"/>
      <c r="B613" s="65" t="str">
        <f t="shared" si="45"/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 t="shared" si="46"/>
        <v/>
      </c>
      <c r="M613" s="65" t="str">
        <f t="shared" ca="1" si="47"/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48"/>
        <v/>
      </c>
      <c r="S613" s="1" t="str">
        <f t="shared" si="49"/>
        <v/>
      </c>
      <c r="T613" s="1">
        <f>IF($E613="",0,SUMPRODUCT((AY_SONU!$O$7:$O$42="Evet")*(AY_SONU!$B$7:$B$42=DATE(YEAR($E613),MONTH($E613),1))))</f>
        <v>0</v>
      </c>
      <c r="U613" s="1" t="str">
        <f>IF(OR($G613="",$H613="Mahsup"),"",$G613&amp;"|"&amp;COUNTIFS($G$7:$G613,$G613,$H$7:$H613,"&lt;&gt;Mahsup"))</f>
        <v/>
      </c>
    </row>
    <row r="614" spans="1:21" ht="18" customHeight="1" x14ac:dyDescent="0.3">
      <c r="A614" s="2"/>
      <c r="B614" s="65" t="str">
        <f t="shared" si="45"/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 t="shared" si="46"/>
        <v/>
      </c>
      <c r="M614" s="65" t="str">
        <f t="shared" ca="1" si="47"/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48"/>
        <v/>
      </c>
      <c r="S614" s="1" t="str">
        <f t="shared" si="49"/>
        <v/>
      </c>
      <c r="T614" s="1">
        <f>IF($E614="",0,SUMPRODUCT((AY_SONU!$O$7:$O$42="Evet")*(AY_SONU!$B$7:$B$42=DATE(YEAR($E614),MONTH($E614),1))))</f>
        <v>0</v>
      </c>
      <c r="U614" s="1" t="str">
        <f>IF(OR($G614="",$H614="Mahsup"),"",$G614&amp;"|"&amp;COUNTIFS($G$7:$G614,$G614,$H$7:$H614,"&lt;&gt;Mahsup"))</f>
        <v/>
      </c>
    </row>
    <row r="615" spans="1:21" ht="18" customHeight="1" x14ac:dyDescent="0.3">
      <c r="A615" s="2"/>
      <c r="B615" s="65" t="str">
        <f t="shared" si="45"/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 t="shared" si="46"/>
        <v/>
      </c>
      <c r="M615" s="65" t="str">
        <f t="shared" ca="1" si="47"/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48"/>
        <v/>
      </c>
      <c r="S615" s="1" t="str">
        <f t="shared" si="49"/>
        <v/>
      </c>
      <c r="T615" s="1">
        <f>IF($E615="",0,SUMPRODUCT((AY_SONU!$O$7:$O$42="Evet")*(AY_SONU!$B$7:$B$42=DATE(YEAR($E615),MONTH($E615),1))))</f>
        <v>0</v>
      </c>
      <c r="U615" s="1" t="str">
        <f>IF(OR($G615="",$H615="Mahsup"),"",$G615&amp;"|"&amp;COUNTIFS($G$7:$G615,$G615,$H$7:$H615,"&lt;&gt;Mahsup"))</f>
        <v/>
      </c>
    </row>
    <row r="616" spans="1:21" ht="18" customHeight="1" x14ac:dyDescent="0.3">
      <c r="A616" s="2"/>
      <c r="B616" s="65" t="str">
        <f t="shared" si="45"/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 t="shared" si="46"/>
        <v/>
      </c>
      <c r="M616" s="65" t="str">
        <f t="shared" ca="1" si="47"/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48"/>
        <v/>
      </c>
      <c r="S616" s="1" t="str">
        <f t="shared" si="49"/>
        <v/>
      </c>
      <c r="T616" s="1">
        <f>IF($E616="",0,SUMPRODUCT((AY_SONU!$O$7:$O$42="Evet")*(AY_SONU!$B$7:$B$42=DATE(YEAR($E616),MONTH($E616),1))))</f>
        <v>0</v>
      </c>
      <c r="U616" s="1" t="str">
        <f>IF(OR($G616="",$H616="Mahsup"),"",$G616&amp;"|"&amp;COUNTIFS($G$7:$G616,$G616,$H$7:$H616,"&lt;&gt;Mahsup"))</f>
        <v/>
      </c>
    </row>
    <row r="617" spans="1:21" ht="18" customHeight="1" x14ac:dyDescent="0.3">
      <c r="A617" s="2"/>
      <c r="B617" s="65" t="str">
        <f t="shared" si="45"/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 t="shared" si="46"/>
        <v/>
      </c>
      <c r="M617" s="65" t="str">
        <f t="shared" ca="1" si="47"/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48"/>
        <v/>
      </c>
      <c r="S617" s="1" t="str">
        <f t="shared" si="49"/>
        <v/>
      </c>
      <c r="T617" s="1">
        <f>IF($E617="",0,SUMPRODUCT((AY_SONU!$O$7:$O$42="Evet")*(AY_SONU!$B$7:$B$42=DATE(YEAR($E617),MONTH($E617),1))))</f>
        <v>0</v>
      </c>
      <c r="U617" s="1" t="str">
        <f>IF(OR($G617="",$H617="Mahsup"),"",$G617&amp;"|"&amp;COUNTIFS($G$7:$G617,$G617,$H$7:$H617,"&lt;&gt;Mahsup"))</f>
        <v/>
      </c>
    </row>
    <row r="618" spans="1:21" ht="18" customHeight="1" x14ac:dyDescent="0.3">
      <c r="A618" s="2"/>
      <c r="B618" s="65" t="str">
        <f t="shared" si="45"/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 t="shared" si="46"/>
        <v/>
      </c>
      <c r="M618" s="65" t="str">
        <f t="shared" ca="1" si="47"/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48"/>
        <v/>
      </c>
      <c r="S618" s="1" t="str">
        <f t="shared" si="49"/>
        <v/>
      </c>
      <c r="T618" s="1">
        <f>IF($E618="",0,SUMPRODUCT((AY_SONU!$O$7:$O$42="Evet")*(AY_SONU!$B$7:$B$42=DATE(YEAR($E618),MONTH($E618),1))))</f>
        <v>0</v>
      </c>
      <c r="U618" s="1" t="str">
        <f>IF(OR($G618="",$H618="Mahsup"),"",$G618&amp;"|"&amp;COUNTIFS($G$7:$G618,$G618,$H$7:$H618,"&lt;&gt;Mahsup"))</f>
        <v/>
      </c>
    </row>
    <row r="619" spans="1:21" ht="18" customHeight="1" x14ac:dyDescent="0.3">
      <c r="A619" s="2"/>
      <c r="B619" s="65" t="str">
        <f t="shared" si="45"/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 t="shared" si="46"/>
        <v/>
      </c>
      <c r="M619" s="65" t="str">
        <f t="shared" ca="1" si="47"/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48"/>
        <v/>
      </c>
      <c r="S619" s="1" t="str">
        <f t="shared" si="49"/>
        <v/>
      </c>
      <c r="T619" s="1">
        <f>IF($E619="",0,SUMPRODUCT((AY_SONU!$O$7:$O$42="Evet")*(AY_SONU!$B$7:$B$42=DATE(YEAR($E619),MONTH($E619),1))))</f>
        <v>0</v>
      </c>
      <c r="U619" s="1" t="str">
        <f>IF(OR($G619="",$H619="Mahsup"),"",$G619&amp;"|"&amp;COUNTIFS($G$7:$G619,$G619,$H$7:$H619,"&lt;&gt;Mahsup"))</f>
        <v/>
      </c>
    </row>
    <row r="620" spans="1:21" ht="18" customHeight="1" x14ac:dyDescent="0.3">
      <c r="A620" s="2"/>
      <c r="B620" s="65" t="str">
        <f t="shared" si="45"/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 t="shared" si="46"/>
        <v/>
      </c>
      <c r="M620" s="65" t="str">
        <f t="shared" ca="1" si="47"/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48"/>
        <v/>
      </c>
      <c r="S620" s="1" t="str">
        <f t="shared" si="49"/>
        <v/>
      </c>
      <c r="T620" s="1">
        <f>IF($E620="",0,SUMPRODUCT((AY_SONU!$O$7:$O$42="Evet")*(AY_SONU!$B$7:$B$42=DATE(YEAR($E620),MONTH($E620),1))))</f>
        <v>0</v>
      </c>
      <c r="U620" s="1" t="str">
        <f>IF(OR($G620="",$H620="Mahsup"),"",$G620&amp;"|"&amp;COUNTIFS($G$7:$G620,$G620,$H$7:$H620,"&lt;&gt;Mahsup"))</f>
        <v/>
      </c>
    </row>
    <row r="621" spans="1:21" ht="18" customHeight="1" x14ac:dyDescent="0.3">
      <c r="A621" s="2"/>
      <c r="B621" s="65" t="str">
        <f t="shared" si="45"/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 t="shared" si="46"/>
        <v/>
      </c>
      <c r="M621" s="65" t="str">
        <f t="shared" ca="1" si="47"/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48"/>
        <v/>
      </c>
      <c r="S621" s="1" t="str">
        <f t="shared" si="49"/>
        <v/>
      </c>
      <c r="T621" s="1">
        <f>IF($E621="",0,SUMPRODUCT((AY_SONU!$O$7:$O$42="Evet")*(AY_SONU!$B$7:$B$42=DATE(YEAR($E621),MONTH($E621),1))))</f>
        <v>0</v>
      </c>
      <c r="U621" s="1" t="str">
        <f>IF(OR($G621="",$H621="Mahsup"),"",$G621&amp;"|"&amp;COUNTIFS($G$7:$G621,$G621,$H$7:$H621,"&lt;&gt;Mahsup"))</f>
        <v/>
      </c>
    </row>
    <row r="622" spans="1:21" ht="18" customHeight="1" x14ac:dyDescent="0.3">
      <c r="A622" s="2"/>
      <c r="B622" s="65" t="str">
        <f t="shared" si="45"/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 t="shared" si="46"/>
        <v/>
      </c>
      <c r="M622" s="65" t="str">
        <f t="shared" ca="1" si="47"/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48"/>
        <v/>
      </c>
      <c r="S622" s="1" t="str">
        <f t="shared" si="49"/>
        <v/>
      </c>
      <c r="T622" s="1">
        <f>IF($E622="",0,SUMPRODUCT((AY_SONU!$O$7:$O$42="Evet")*(AY_SONU!$B$7:$B$42=DATE(YEAR($E622),MONTH($E622),1))))</f>
        <v>0</v>
      </c>
      <c r="U622" s="1" t="str">
        <f>IF(OR($G622="",$H622="Mahsup"),"",$G622&amp;"|"&amp;COUNTIFS($G$7:$G622,$G622,$H$7:$H622,"&lt;&gt;Mahsup"))</f>
        <v/>
      </c>
    </row>
    <row r="623" spans="1:21" ht="18" customHeight="1" x14ac:dyDescent="0.3">
      <c r="A623" s="2"/>
      <c r="B623" s="65" t="str">
        <f t="shared" si="45"/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 t="shared" si="46"/>
        <v/>
      </c>
      <c r="M623" s="65" t="str">
        <f t="shared" ca="1" si="47"/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48"/>
        <v/>
      </c>
      <c r="S623" s="1" t="str">
        <f t="shared" si="49"/>
        <v/>
      </c>
      <c r="T623" s="1">
        <f>IF($E623="",0,SUMPRODUCT((AY_SONU!$O$7:$O$42="Evet")*(AY_SONU!$B$7:$B$42=DATE(YEAR($E623),MONTH($E623),1))))</f>
        <v>0</v>
      </c>
      <c r="U623" s="1" t="str">
        <f>IF(OR($G623="",$H623="Mahsup"),"",$G623&amp;"|"&amp;COUNTIFS($G$7:$G623,$G623,$H$7:$H623,"&lt;&gt;Mahsup"))</f>
        <v/>
      </c>
    </row>
    <row r="624" spans="1:21" ht="18" customHeight="1" x14ac:dyDescent="0.3">
      <c r="A624" s="2"/>
      <c r="B624" s="65" t="str">
        <f t="shared" si="45"/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 t="shared" si="46"/>
        <v/>
      </c>
      <c r="M624" s="65" t="str">
        <f t="shared" ca="1" si="47"/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48"/>
        <v/>
      </c>
      <c r="S624" s="1" t="str">
        <f t="shared" si="49"/>
        <v/>
      </c>
      <c r="T624" s="1">
        <f>IF($E624="",0,SUMPRODUCT((AY_SONU!$O$7:$O$42="Evet")*(AY_SONU!$B$7:$B$42=DATE(YEAR($E624),MONTH($E624),1))))</f>
        <v>0</v>
      </c>
      <c r="U624" s="1" t="str">
        <f>IF(OR($G624="",$H624="Mahsup"),"",$G624&amp;"|"&amp;COUNTIFS($G$7:$G624,$G624,$H$7:$H624,"&lt;&gt;Mahsup"))</f>
        <v/>
      </c>
    </row>
    <row r="625" spans="1:21" ht="18" customHeight="1" x14ac:dyDescent="0.3">
      <c r="A625" s="2"/>
      <c r="B625" s="65" t="str">
        <f t="shared" si="45"/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 t="shared" si="46"/>
        <v/>
      </c>
      <c r="M625" s="65" t="str">
        <f t="shared" ca="1" si="47"/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48"/>
        <v/>
      </c>
      <c r="S625" s="1" t="str">
        <f t="shared" si="49"/>
        <v/>
      </c>
      <c r="T625" s="1">
        <f>IF($E625="",0,SUMPRODUCT((AY_SONU!$O$7:$O$42="Evet")*(AY_SONU!$B$7:$B$42=DATE(YEAR($E625),MONTH($E625),1))))</f>
        <v>0</v>
      </c>
      <c r="U625" s="1" t="str">
        <f>IF(OR($G625="",$H625="Mahsup"),"",$G625&amp;"|"&amp;COUNTIFS($G$7:$G625,$G625,$H$7:$H625,"&lt;&gt;Mahsup"))</f>
        <v/>
      </c>
    </row>
    <row r="626" spans="1:21" ht="18" customHeight="1" x14ac:dyDescent="0.3">
      <c r="A626" s="2"/>
      <c r="B626" s="65" t="str">
        <f t="shared" si="45"/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 t="shared" si="46"/>
        <v/>
      </c>
      <c r="M626" s="65" t="str">
        <f t="shared" ca="1" si="47"/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48"/>
        <v/>
      </c>
      <c r="S626" s="1" t="str">
        <f t="shared" si="49"/>
        <v/>
      </c>
      <c r="T626" s="1">
        <f>IF($E626="",0,SUMPRODUCT((AY_SONU!$O$7:$O$42="Evet")*(AY_SONU!$B$7:$B$42=DATE(YEAR($E626),MONTH($E626),1))))</f>
        <v>0</v>
      </c>
      <c r="U626" s="1" t="str">
        <f>IF(OR($G626="",$H626="Mahsup"),"",$G626&amp;"|"&amp;COUNTIFS($G$7:$G626,$G626,$H$7:$H626,"&lt;&gt;Mahsup"))</f>
        <v/>
      </c>
    </row>
    <row r="627" spans="1:21" ht="18" customHeight="1" x14ac:dyDescent="0.3">
      <c r="A627" s="2"/>
      <c r="B627" s="65" t="str">
        <f t="shared" si="45"/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 t="shared" si="46"/>
        <v/>
      </c>
      <c r="M627" s="65" t="str">
        <f t="shared" ca="1" si="47"/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48"/>
        <v/>
      </c>
      <c r="S627" s="1" t="str">
        <f t="shared" si="49"/>
        <v/>
      </c>
      <c r="T627" s="1">
        <f>IF($E627="",0,SUMPRODUCT((AY_SONU!$O$7:$O$42="Evet")*(AY_SONU!$B$7:$B$42=DATE(YEAR($E627),MONTH($E627),1))))</f>
        <v>0</v>
      </c>
      <c r="U627" s="1" t="str">
        <f>IF(OR($G627="",$H627="Mahsup"),"",$G627&amp;"|"&amp;COUNTIFS($G$7:$G627,$G627,$H$7:$H627,"&lt;&gt;Mahsup"))</f>
        <v/>
      </c>
    </row>
    <row r="628" spans="1:21" ht="18" customHeight="1" x14ac:dyDescent="0.3">
      <c r="A628" s="2"/>
      <c r="B628" s="65" t="str">
        <f t="shared" si="45"/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 t="shared" si="46"/>
        <v/>
      </c>
      <c r="M628" s="65" t="str">
        <f t="shared" ca="1" si="47"/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48"/>
        <v/>
      </c>
      <c r="S628" s="1" t="str">
        <f t="shared" si="49"/>
        <v/>
      </c>
      <c r="T628" s="1">
        <f>IF($E628="",0,SUMPRODUCT((AY_SONU!$O$7:$O$42="Evet")*(AY_SONU!$B$7:$B$42=DATE(YEAR($E628),MONTH($E628),1))))</f>
        <v>0</v>
      </c>
      <c r="U628" s="1" t="str">
        <f>IF(OR($G628="",$H628="Mahsup"),"",$G628&amp;"|"&amp;COUNTIFS($G$7:$G628,$G628,$H$7:$H628,"&lt;&gt;Mahsup"))</f>
        <v/>
      </c>
    </row>
    <row r="629" spans="1:21" ht="18" customHeight="1" x14ac:dyDescent="0.3">
      <c r="A629" s="2"/>
      <c r="B629" s="65" t="str">
        <f t="shared" si="45"/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 t="shared" si="46"/>
        <v/>
      </c>
      <c r="M629" s="65" t="str">
        <f t="shared" ca="1" si="47"/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48"/>
        <v/>
      </c>
      <c r="S629" s="1" t="str">
        <f t="shared" si="49"/>
        <v/>
      </c>
      <c r="T629" s="1">
        <f>IF($E629="",0,SUMPRODUCT((AY_SONU!$O$7:$O$42="Evet")*(AY_SONU!$B$7:$B$42=DATE(YEAR($E629),MONTH($E629),1))))</f>
        <v>0</v>
      </c>
      <c r="U629" s="1" t="str">
        <f>IF(OR($G629="",$H629="Mahsup"),"",$G629&amp;"|"&amp;COUNTIFS($G$7:$G629,$G629,$H$7:$H629,"&lt;&gt;Mahsup"))</f>
        <v/>
      </c>
    </row>
    <row r="630" spans="1:21" ht="18" customHeight="1" x14ac:dyDescent="0.3">
      <c r="A630" s="2"/>
      <c r="B630" s="65" t="str">
        <f t="shared" si="45"/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 t="shared" si="46"/>
        <v/>
      </c>
      <c r="M630" s="65" t="str">
        <f t="shared" ca="1" si="47"/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48"/>
        <v/>
      </c>
      <c r="S630" s="1" t="str">
        <f t="shared" si="49"/>
        <v/>
      </c>
      <c r="T630" s="1">
        <f>IF($E630="",0,SUMPRODUCT((AY_SONU!$O$7:$O$42="Evet")*(AY_SONU!$B$7:$B$42=DATE(YEAR($E630),MONTH($E630),1))))</f>
        <v>0</v>
      </c>
      <c r="U630" s="1" t="str">
        <f>IF(OR($G630="",$H630="Mahsup"),"",$G630&amp;"|"&amp;COUNTIFS($G$7:$G630,$G630,$H$7:$H630,"&lt;&gt;Mahsup"))</f>
        <v/>
      </c>
    </row>
    <row r="631" spans="1:21" ht="18" customHeight="1" x14ac:dyDescent="0.3">
      <c r="A631" s="2"/>
      <c r="B631" s="65" t="str">
        <f t="shared" si="45"/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 t="shared" si="46"/>
        <v/>
      </c>
      <c r="M631" s="65" t="str">
        <f t="shared" ca="1" si="47"/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48"/>
        <v/>
      </c>
      <c r="S631" s="1" t="str">
        <f t="shared" si="49"/>
        <v/>
      </c>
      <c r="T631" s="1">
        <f>IF($E631="",0,SUMPRODUCT((AY_SONU!$O$7:$O$42="Evet")*(AY_SONU!$B$7:$B$42=DATE(YEAR($E631),MONTH($E631),1))))</f>
        <v>0</v>
      </c>
      <c r="U631" s="1" t="str">
        <f>IF(OR($G631="",$H631="Mahsup"),"",$G631&amp;"|"&amp;COUNTIFS($G$7:$G631,$G631,$H$7:$H631,"&lt;&gt;Mahsup"))</f>
        <v/>
      </c>
    </row>
    <row r="632" spans="1:21" ht="18" customHeight="1" x14ac:dyDescent="0.3">
      <c r="A632" s="2"/>
      <c r="B632" s="65" t="str">
        <f t="shared" si="45"/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 t="shared" si="46"/>
        <v/>
      </c>
      <c r="M632" s="65" t="str">
        <f t="shared" ca="1" si="47"/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48"/>
        <v/>
      </c>
      <c r="S632" s="1" t="str">
        <f t="shared" si="49"/>
        <v/>
      </c>
      <c r="T632" s="1">
        <f>IF($E632="",0,SUMPRODUCT((AY_SONU!$O$7:$O$42="Evet")*(AY_SONU!$B$7:$B$42=DATE(YEAR($E632),MONTH($E632),1))))</f>
        <v>0</v>
      </c>
      <c r="U632" s="1" t="str">
        <f>IF(OR($G632="",$H632="Mahsup"),"",$G632&amp;"|"&amp;COUNTIFS($G$7:$G632,$G632,$H$7:$H632,"&lt;&gt;Mahsup"))</f>
        <v/>
      </c>
    </row>
    <row r="633" spans="1:21" ht="18" customHeight="1" x14ac:dyDescent="0.3">
      <c r="A633" s="2"/>
      <c r="B633" s="65" t="str">
        <f t="shared" si="45"/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 t="shared" si="46"/>
        <v/>
      </c>
      <c r="M633" s="65" t="str">
        <f t="shared" ca="1" si="47"/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48"/>
        <v/>
      </c>
      <c r="S633" s="1" t="str">
        <f t="shared" si="49"/>
        <v/>
      </c>
      <c r="T633" s="1">
        <f>IF($E633="",0,SUMPRODUCT((AY_SONU!$O$7:$O$42="Evet")*(AY_SONU!$B$7:$B$42=DATE(YEAR($E633),MONTH($E633),1))))</f>
        <v>0</v>
      </c>
      <c r="U633" s="1" t="str">
        <f>IF(OR($G633="",$H633="Mahsup"),"",$G633&amp;"|"&amp;COUNTIFS($G$7:$G633,$G633,$H$7:$H633,"&lt;&gt;Mahsup"))</f>
        <v/>
      </c>
    </row>
    <row r="634" spans="1:21" ht="18" customHeight="1" x14ac:dyDescent="0.3">
      <c r="A634" s="2"/>
      <c r="B634" s="65" t="str">
        <f t="shared" si="45"/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 t="shared" si="46"/>
        <v/>
      </c>
      <c r="M634" s="65" t="str">
        <f t="shared" ca="1" si="47"/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48"/>
        <v/>
      </c>
      <c r="S634" s="1" t="str">
        <f t="shared" si="49"/>
        <v/>
      </c>
      <c r="T634" s="1">
        <f>IF($E634="",0,SUMPRODUCT((AY_SONU!$O$7:$O$42="Evet")*(AY_SONU!$B$7:$B$42=DATE(YEAR($E634),MONTH($E634),1))))</f>
        <v>0</v>
      </c>
      <c r="U634" s="1" t="str">
        <f>IF(OR($G634="",$H634="Mahsup"),"",$G634&amp;"|"&amp;COUNTIFS($G$7:$G634,$G634,$H$7:$H634,"&lt;&gt;Mahsup"))</f>
        <v/>
      </c>
    </row>
    <row r="635" spans="1:21" ht="18" customHeight="1" x14ac:dyDescent="0.3">
      <c r="A635" s="2"/>
      <c r="B635" s="65" t="str">
        <f t="shared" si="45"/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 t="shared" si="46"/>
        <v/>
      </c>
      <c r="M635" s="65" t="str">
        <f t="shared" ca="1" si="47"/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48"/>
        <v/>
      </c>
      <c r="S635" s="1" t="str">
        <f t="shared" si="49"/>
        <v/>
      </c>
      <c r="T635" s="1">
        <f>IF($E635="",0,SUMPRODUCT((AY_SONU!$O$7:$O$42="Evet")*(AY_SONU!$B$7:$B$42=DATE(YEAR($E635),MONTH($E635),1))))</f>
        <v>0</v>
      </c>
      <c r="U635" s="1" t="str">
        <f>IF(OR($G635="",$H635="Mahsup"),"",$G635&amp;"|"&amp;COUNTIFS($G$7:$G635,$G635,$H$7:$H635,"&lt;&gt;Mahsup"))</f>
        <v/>
      </c>
    </row>
    <row r="636" spans="1:21" ht="18" customHeight="1" x14ac:dyDescent="0.3">
      <c r="A636" s="2"/>
      <c r="B636" s="65" t="str">
        <f t="shared" si="45"/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 t="shared" si="46"/>
        <v/>
      </c>
      <c r="M636" s="65" t="str">
        <f t="shared" ca="1" si="47"/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48"/>
        <v/>
      </c>
      <c r="S636" s="1" t="str">
        <f t="shared" si="49"/>
        <v/>
      </c>
      <c r="T636" s="1">
        <f>IF($E636="",0,SUMPRODUCT((AY_SONU!$O$7:$O$42="Evet")*(AY_SONU!$B$7:$B$42=DATE(YEAR($E636),MONTH($E636),1))))</f>
        <v>0</v>
      </c>
      <c r="U636" s="1" t="str">
        <f>IF(OR($G636="",$H636="Mahsup"),"",$G636&amp;"|"&amp;COUNTIFS($G$7:$G636,$G636,$H$7:$H636,"&lt;&gt;Mahsup"))</f>
        <v/>
      </c>
    </row>
    <row r="637" spans="1:21" ht="18" customHeight="1" x14ac:dyDescent="0.3">
      <c r="A637" s="2"/>
      <c r="B637" s="65" t="str">
        <f t="shared" si="45"/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 t="shared" si="46"/>
        <v/>
      </c>
      <c r="M637" s="65" t="str">
        <f t="shared" ca="1" si="47"/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48"/>
        <v/>
      </c>
      <c r="S637" s="1" t="str">
        <f t="shared" si="49"/>
        <v/>
      </c>
      <c r="T637" s="1">
        <f>IF($E637="",0,SUMPRODUCT((AY_SONU!$O$7:$O$42="Evet")*(AY_SONU!$B$7:$B$42=DATE(YEAR($E637),MONTH($E637),1))))</f>
        <v>0</v>
      </c>
      <c r="U637" s="1" t="str">
        <f>IF(OR($G637="",$H637="Mahsup"),"",$G637&amp;"|"&amp;COUNTIFS($G$7:$G637,$G637,$H$7:$H637,"&lt;&gt;Mahsup"))</f>
        <v/>
      </c>
    </row>
    <row r="638" spans="1:21" ht="18" customHeight="1" x14ac:dyDescent="0.3">
      <c r="A638" s="2"/>
      <c r="B638" s="65" t="str">
        <f t="shared" si="45"/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 t="shared" si="46"/>
        <v/>
      </c>
      <c r="M638" s="65" t="str">
        <f t="shared" ca="1" si="47"/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48"/>
        <v/>
      </c>
      <c r="S638" s="1" t="str">
        <f t="shared" si="49"/>
        <v/>
      </c>
      <c r="T638" s="1">
        <f>IF($E638="",0,SUMPRODUCT((AY_SONU!$O$7:$O$42="Evet")*(AY_SONU!$B$7:$B$42=DATE(YEAR($E638),MONTH($E638),1))))</f>
        <v>0</v>
      </c>
      <c r="U638" s="1" t="str">
        <f>IF(OR($G638="",$H638="Mahsup"),"",$G638&amp;"|"&amp;COUNTIFS($G$7:$G638,$G638,$H$7:$H638,"&lt;&gt;Mahsup"))</f>
        <v/>
      </c>
    </row>
    <row r="639" spans="1:21" ht="18" customHeight="1" x14ac:dyDescent="0.3">
      <c r="A639" s="2"/>
      <c r="B639" s="65" t="str">
        <f t="shared" si="45"/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 t="shared" si="46"/>
        <v/>
      </c>
      <c r="M639" s="65" t="str">
        <f t="shared" ca="1" si="47"/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48"/>
        <v/>
      </c>
      <c r="S639" s="1" t="str">
        <f t="shared" si="49"/>
        <v/>
      </c>
      <c r="T639" s="1">
        <f>IF($E639="",0,SUMPRODUCT((AY_SONU!$O$7:$O$42="Evet")*(AY_SONU!$B$7:$B$42=DATE(YEAR($E639),MONTH($E639),1))))</f>
        <v>0</v>
      </c>
      <c r="U639" s="1" t="str">
        <f>IF(OR($G639="",$H639="Mahsup"),"",$G639&amp;"|"&amp;COUNTIFS($G$7:$G639,$G639,$H$7:$H639,"&lt;&gt;Mahsup"))</f>
        <v/>
      </c>
    </row>
    <row r="640" spans="1:21" ht="18" customHeight="1" x14ac:dyDescent="0.3">
      <c r="A640" s="2"/>
      <c r="B640" s="65" t="str">
        <f t="shared" si="45"/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 t="shared" si="46"/>
        <v/>
      </c>
      <c r="M640" s="65" t="str">
        <f t="shared" ca="1" si="47"/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48"/>
        <v/>
      </c>
      <c r="S640" s="1" t="str">
        <f t="shared" si="49"/>
        <v/>
      </c>
      <c r="T640" s="1">
        <f>IF($E640="",0,SUMPRODUCT((AY_SONU!$O$7:$O$42="Evet")*(AY_SONU!$B$7:$B$42=DATE(YEAR($E640),MONTH($E640),1))))</f>
        <v>0</v>
      </c>
      <c r="U640" s="1" t="str">
        <f>IF(OR($G640="",$H640="Mahsup"),"",$G640&amp;"|"&amp;COUNTIFS($G$7:$G640,$G640,$H$7:$H640,"&lt;&gt;Mahsup"))</f>
        <v/>
      </c>
    </row>
    <row r="641" spans="1:21" ht="18" customHeight="1" x14ac:dyDescent="0.3">
      <c r="A641" s="2"/>
      <c r="B641" s="65" t="str">
        <f t="shared" si="45"/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 t="shared" si="46"/>
        <v/>
      </c>
      <c r="M641" s="65" t="str">
        <f t="shared" ca="1" si="47"/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48"/>
        <v/>
      </c>
      <c r="S641" s="1" t="str">
        <f t="shared" si="49"/>
        <v/>
      </c>
      <c r="T641" s="1">
        <f>IF($E641="",0,SUMPRODUCT((AY_SONU!$O$7:$O$42="Evet")*(AY_SONU!$B$7:$B$42=DATE(YEAR($E641),MONTH($E641),1))))</f>
        <v>0</v>
      </c>
      <c r="U641" s="1" t="str">
        <f>IF(OR($G641="",$H641="Mahsup"),"",$G641&amp;"|"&amp;COUNTIFS($G$7:$G641,$G641,$H$7:$H641,"&lt;&gt;Mahsup"))</f>
        <v/>
      </c>
    </row>
    <row r="642" spans="1:21" ht="18" customHeight="1" x14ac:dyDescent="0.3">
      <c r="A642" s="2"/>
      <c r="B642" s="65" t="str">
        <f t="shared" si="45"/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 t="shared" si="46"/>
        <v/>
      </c>
      <c r="M642" s="65" t="str">
        <f t="shared" ca="1" si="47"/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48"/>
        <v/>
      </c>
      <c r="S642" s="1" t="str">
        <f t="shared" si="49"/>
        <v/>
      </c>
      <c r="T642" s="1">
        <f>IF($E642="",0,SUMPRODUCT((AY_SONU!$O$7:$O$42="Evet")*(AY_SONU!$B$7:$B$42=DATE(YEAR($E642),MONTH($E642),1))))</f>
        <v>0</v>
      </c>
      <c r="U642" s="1" t="str">
        <f>IF(OR($G642="",$H642="Mahsup"),"",$G642&amp;"|"&amp;COUNTIFS($G$7:$G642,$G642,$H$7:$H642,"&lt;&gt;Mahsup"))</f>
        <v/>
      </c>
    </row>
    <row r="643" spans="1:21" ht="18" customHeight="1" x14ac:dyDescent="0.3">
      <c r="A643" s="2"/>
      <c r="B643" s="65" t="str">
        <f t="shared" si="45"/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 t="shared" si="46"/>
        <v/>
      </c>
      <c r="M643" s="65" t="str">
        <f t="shared" ca="1" si="47"/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48"/>
        <v/>
      </c>
      <c r="S643" s="1" t="str">
        <f t="shared" si="49"/>
        <v/>
      </c>
      <c r="T643" s="1">
        <f>IF($E643="",0,SUMPRODUCT((AY_SONU!$O$7:$O$42="Evet")*(AY_SONU!$B$7:$B$42=DATE(YEAR($E643),MONTH($E643),1))))</f>
        <v>0</v>
      </c>
      <c r="U643" s="1" t="str">
        <f>IF(OR($G643="",$H643="Mahsup"),"",$G643&amp;"|"&amp;COUNTIFS($G$7:$G643,$G643,$H$7:$H643,"&lt;&gt;Mahsup"))</f>
        <v/>
      </c>
    </row>
    <row r="644" spans="1:21" ht="18" customHeight="1" x14ac:dyDescent="0.3">
      <c r="A644" s="2"/>
      <c r="B644" s="65" t="str">
        <f t="shared" si="45"/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 t="shared" si="46"/>
        <v/>
      </c>
      <c r="M644" s="65" t="str">
        <f t="shared" ca="1" si="47"/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48"/>
        <v/>
      </c>
      <c r="S644" s="1" t="str">
        <f t="shared" si="49"/>
        <v/>
      </c>
      <c r="T644" s="1">
        <f>IF($E644="",0,SUMPRODUCT((AY_SONU!$O$7:$O$42="Evet")*(AY_SONU!$B$7:$B$42=DATE(YEAR($E644),MONTH($E644),1))))</f>
        <v>0</v>
      </c>
      <c r="U644" s="1" t="str">
        <f>IF(OR($G644="",$H644="Mahsup"),"",$G644&amp;"|"&amp;COUNTIFS($G$7:$G644,$G644,$H$7:$H644,"&lt;&gt;Mahsup"))</f>
        <v/>
      </c>
    </row>
    <row r="645" spans="1:21" ht="18" customHeight="1" x14ac:dyDescent="0.3">
      <c r="A645" s="2"/>
      <c r="B645" s="65" t="str">
        <f t="shared" si="45"/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 t="shared" si="46"/>
        <v/>
      </c>
      <c r="M645" s="65" t="str">
        <f t="shared" ca="1" si="47"/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48"/>
        <v/>
      </c>
      <c r="S645" s="1" t="str">
        <f t="shared" si="49"/>
        <v/>
      </c>
      <c r="T645" s="1">
        <f>IF($E645="",0,SUMPRODUCT((AY_SONU!$O$7:$O$42="Evet")*(AY_SONU!$B$7:$B$42=DATE(YEAR($E645),MONTH($E645),1))))</f>
        <v>0</v>
      </c>
      <c r="U645" s="1" t="str">
        <f>IF(OR($G645="",$H645="Mahsup"),"",$G645&amp;"|"&amp;COUNTIFS($G$7:$G645,$G645,$H$7:$H645,"&lt;&gt;Mahsup"))</f>
        <v/>
      </c>
    </row>
    <row r="646" spans="1:21" ht="18" customHeight="1" x14ac:dyDescent="0.3">
      <c r="A646" s="2"/>
      <c r="B646" s="65" t="str">
        <f t="shared" si="45"/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 t="shared" si="46"/>
        <v/>
      </c>
      <c r="M646" s="65" t="str">
        <f t="shared" ca="1" si="47"/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48"/>
        <v/>
      </c>
      <c r="S646" s="1" t="str">
        <f t="shared" si="49"/>
        <v/>
      </c>
      <c r="T646" s="1">
        <f>IF($E646="",0,SUMPRODUCT((AY_SONU!$O$7:$O$42="Evet")*(AY_SONU!$B$7:$B$42=DATE(YEAR($E646),MONTH($E646),1))))</f>
        <v>0</v>
      </c>
      <c r="U646" s="1" t="str">
        <f>IF(OR($G646="",$H646="Mahsup"),"",$G646&amp;"|"&amp;COUNTIFS($G$7:$G646,$G646,$H$7:$H646,"&lt;&gt;Mahsup"))</f>
        <v/>
      </c>
    </row>
    <row r="647" spans="1:21" ht="18" customHeight="1" x14ac:dyDescent="0.3">
      <c r="A647" s="2"/>
      <c r="B647" s="65" t="str">
        <f t="shared" ref="B647:B710" si="50"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 t="shared" ref="L647:L710" si="51">IF($E647="","",DATE(YEAR($E647),MONTH($E647),1))</f>
        <v/>
      </c>
      <c r="M647" s="65" t="str">
        <f t="shared" ref="M647:M710" ca="1" si="52"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53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54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  <c r="U647" s="1" t="str">
        <f>IF(OR($G647="",$H647="Mahsup"),"",$G647&amp;"|"&amp;COUNTIFS($G$7:$G647,$G647,$H$7:$H647,"&lt;&gt;Mahsup"))</f>
        <v/>
      </c>
    </row>
    <row r="648" spans="1:21" ht="18" customHeight="1" x14ac:dyDescent="0.3">
      <c r="A648" s="2"/>
      <c r="B648" s="65" t="str">
        <f t="shared" si="50"/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 t="shared" si="51"/>
        <v/>
      </c>
      <c r="M648" s="65" t="str">
        <f t="shared" ca="1" si="52"/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53"/>
        <v/>
      </c>
      <c r="S648" s="1" t="str">
        <f t="shared" si="54"/>
        <v/>
      </c>
      <c r="T648" s="1">
        <f>IF($E648="",0,SUMPRODUCT((AY_SONU!$O$7:$O$42="Evet")*(AY_SONU!$B$7:$B$42=DATE(YEAR($E648),MONTH($E648),1))))</f>
        <v>0</v>
      </c>
      <c r="U648" s="1" t="str">
        <f>IF(OR($G648="",$H648="Mahsup"),"",$G648&amp;"|"&amp;COUNTIFS($G$7:$G648,$G648,$H$7:$H648,"&lt;&gt;Mahsup"))</f>
        <v/>
      </c>
    </row>
    <row r="649" spans="1:21" ht="18" customHeight="1" x14ac:dyDescent="0.3">
      <c r="A649" s="2"/>
      <c r="B649" s="65" t="str">
        <f t="shared" si="50"/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 t="shared" si="51"/>
        <v/>
      </c>
      <c r="M649" s="65" t="str">
        <f t="shared" ca="1" si="52"/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53"/>
        <v/>
      </c>
      <c r="S649" s="1" t="str">
        <f t="shared" si="54"/>
        <v/>
      </c>
      <c r="T649" s="1">
        <f>IF($E649="",0,SUMPRODUCT((AY_SONU!$O$7:$O$42="Evet")*(AY_SONU!$B$7:$B$42=DATE(YEAR($E649),MONTH($E649),1))))</f>
        <v>0</v>
      </c>
      <c r="U649" s="1" t="str">
        <f>IF(OR($G649="",$H649="Mahsup"),"",$G649&amp;"|"&amp;COUNTIFS($G$7:$G649,$G649,$H$7:$H649,"&lt;&gt;Mahsup"))</f>
        <v/>
      </c>
    </row>
    <row r="650" spans="1:21" ht="18" customHeight="1" x14ac:dyDescent="0.3">
      <c r="A650" s="2"/>
      <c r="B650" s="65" t="str">
        <f t="shared" si="50"/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 t="shared" si="51"/>
        <v/>
      </c>
      <c r="M650" s="65" t="str">
        <f t="shared" ca="1" si="52"/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53"/>
        <v/>
      </c>
      <c r="S650" s="1" t="str">
        <f t="shared" si="54"/>
        <v/>
      </c>
      <c r="T650" s="1">
        <f>IF($E650="",0,SUMPRODUCT((AY_SONU!$O$7:$O$42="Evet")*(AY_SONU!$B$7:$B$42=DATE(YEAR($E650),MONTH($E650),1))))</f>
        <v>0</v>
      </c>
      <c r="U650" s="1" t="str">
        <f>IF(OR($G650="",$H650="Mahsup"),"",$G650&amp;"|"&amp;COUNTIFS($G$7:$G650,$G650,$H$7:$H650,"&lt;&gt;Mahsup"))</f>
        <v/>
      </c>
    </row>
    <row r="651" spans="1:21" ht="18" customHeight="1" x14ac:dyDescent="0.3">
      <c r="A651" s="2"/>
      <c r="B651" s="65" t="str">
        <f t="shared" si="50"/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 t="shared" si="51"/>
        <v/>
      </c>
      <c r="M651" s="65" t="str">
        <f t="shared" ca="1" si="52"/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53"/>
        <v/>
      </c>
      <c r="S651" s="1" t="str">
        <f t="shared" si="54"/>
        <v/>
      </c>
      <c r="T651" s="1">
        <f>IF($E651="",0,SUMPRODUCT((AY_SONU!$O$7:$O$42="Evet")*(AY_SONU!$B$7:$B$42=DATE(YEAR($E651),MONTH($E651),1))))</f>
        <v>0</v>
      </c>
      <c r="U651" s="1" t="str">
        <f>IF(OR($G651="",$H651="Mahsup"),"",$G651&amp;"|"&amp;COUNTIFS($G$7:$G651,$G651,$H$7:$H651,"&lt;&gt;Mahsup"))</f>
        <v/>
      </c>
    </row>
    <row r="652" spans="1:21" ht="18" customHeight="1" x14ac:dyDescent="0.3">
      <c r="A652" s="2"/>
      <c r="B652" s="65" t="str">
        <f t="shared" si="50"/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 t="shared" si="51"/>
        <v/>
      </c>
      <c r="M652" s="65" t="str">
        <f t="shared" ca="1" si="52"/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53"/>
        <v/>
      </c>
      <c r="S652" s="1" t="str">
        <f t="shared" si="54"/>
        <v/>
      </c>
      <c r="T652" s="1">
        <f>IF($E652="",0,SUMPRODUCT((AY_SONU!$O$7:$O$42="Evet")*(AY_SONU!$B$7:$B$42=DATE(YEAR($E652),MONTH($E652),1))))</f>
        <v>0</v>
      </c>
      <c r="U652" s="1" t="str">
        <f>IF(OR($G652="",$H652="Mahsup"),"",$G652&amp;"|"&amp;COUNTIFS($G$7:$G652,$G652,$H$7:$H652,"&lt;&gt;Mahsup"))</f>
        <v/>
      </c>
    </row>
    <row r="653" spans="1:21" ht="18" customHeight="1" x14ac:dyDescent="0.3">
      <c r="A653" s="2"/>
      <c r="B653" s="65" t="str">
        <f t="shared" si="50"/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 t="shared" si="51"/>
        <v/>
      </c>
      <c r="M653" s="65" t="str">
        <f t="shared" ca="1" si="52"/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53"/>
        <v/>
      </c>
      <c r="S653" s="1" t="str">
        <f t="shared" si="54"/>
        <v/>
      </c>
      <c r="T653" s="1">
        <f>IF($E653="",0,SUMPRODUCT((AY_SONU!$O$7:$O$42="Evet")*(AY_SONU!$B$7:$B$42=DATE(YEAR($E653),MONTH($E653),1))))</f>
        <v>0</v>
      </c>
      <c r="U653" s="1" t="str">
        <f>IF(OR($G653="",$H653="Mahsup"),"",$G653&amp;"|"&amp;COUNTIFS($G$7:$G653,$G653,$H$7:$H653,"&lt;&gt;Mahsup"))</f>
        <v/>
      </c>
    </row>
    <row r="654" spans="1:21" ht="18" customHeight="1" x14ac:dyDescent="0.3">
      <c r="A654" s="2"/>
      <c r="B654" s="65" t="str">
        <f t="shared" si="50"/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 t="shared" si="51"/>
        <v/>
      </c>
      <c r="M654" s="65" t="str">
        <f t="shared" ca="1" si="52"/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53"/>
        <v/>
      </c>
      <c r="S654" s="1" t="str">
        <f t="shared" si="54"/>
        <v/>
      </c>
      <c r="T654" s="1">
        <f>IF($E654="",0,SUMPRODUCT((AY_SONU!$O$7:$O$42="Evet")*(AY_SONU!$B$7:$B$42=DATE(YEAR($E654),MONTH($E654),1))))</f>
        <v>0</v>
      </c>
      <c r="U654" s="1" t="str">
        <f>IF(OR($G654="",$H654="Mahsup"),"",$G654&amp;"|"&amp;COUNTIFS($G$7:$G654,$G654,$H$7:$H654,"&lt;&gt;Mahsup"))</f>
        <v/>
      </c>
    </row>
    <row r="655" spans="1:21" ht="18" customHeight="1" x14ac:dyDescent="0.3">
      <c r="A655" s="2"/>
      <c r="B655" s="65" t="str">
        <f t="shared" si="50"/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 t="shared" si="51"/>
        <v/>
      </c>
      <c r="M655" s="65" t="str">
        <f t="shared" ca="1" si="52"/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53"/>
        <v/>
      </c>
      <c r="S655" s="1" t="str">
        <f t="shared" si="54"/>
        <v/>
      </c>
      <c r="T655" s="1">
        <f>IF($E655="",0,SUMPRODUCT((AY_SONU!$O$7:$O$42="Evet")*(AY_SONU!$B$7:$B$42=DATE(YEAR($E655),MONTH($E655),1))))</f>
        <v>0</v>
      </c>
      <c r="U655" s="1" t="str">
        <f>IF(OR($G655="",$H655="Mahsup"),"",$G655&amp;"|"&amp;COUNTIFS($G$7:$G655,$G655,$H$7:$H655,"&lt;&gt;Mahsup"))</f>
        <v/>
      </c>
    </row>
    <row r="656" spans="1:21" ht="18" customHeight="1" x14ac:dyDescent="0.3">
      <c r="A656" s="2"/>
      <c r="B656" s="65" t="str">
        <f t="shared" si="50"/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 t="shared" si="51"/>
        <v/>
      </c>
      <c r="M656" s="65" t="str">
        <f t="shared" ca="1" si="52"/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53"/>
        <v/>
      </c>
      <c r="S656" s="1" t="str">
        <f t="shared" si="54"/>
        <v/>
      </c>
      <c r="T656" s="1">
        <f>IF($E656="",0,SUMPRODUCT((AY_SONU!$O$7:$O$42="Evet")*(AY_SONU!$B$7:$B$42=DATE(YEAR($E656),MONTH($E656),1))))</f>
        <v>0</v>
      </c>
      <c r="U656" s="1" t="str">
        <f>IF(OR($G656="",$H656="Mahsup"),"",$G656&amp;"|"&amp;COUNTIFS($G$7:$G656,$G656,$H$7:$H656,"&lt;&gt;Mahsup"))</f>
        <v/>
      </c>
    </row>
    <row r="657" spans="1:21" ht="18" customHeight="1" x14ac:dyDescent="0.3">
      <c r="A657" s="2"/>
      <c r="B657" s="65" t="str">
        <f t="shared" si="50"/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 t="shared" si="51"/>
        <v/>
      </c>
      <c r="M657" s="65" t="str">
        <f t="shared" ca="1" si="52"/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53"/>
        <v/>
      </c>
      <c r="S657" s="1" t="str">
        <f t="shared" si="54"/>
        <v/>
      </c>
      <c r="T657" s="1">
        <f>IF($E657="",0,SUMPRODUCT((AY_SONU!$O$7:$O$42="Evet")*(AY_SONU!$B$7:$B$42=DATE(YEAR($E657),MONTH($E657),1))))</f>
        <v>0</v>
      </c>
      <c r="U657" s="1" t="str">
        <f>IF(OR($G657="",$H657="Mahsup"),"",$G657&amp;"|"&amp;COUNTIFS($G$7:$G657,$G657,$H$7:$H657,"&lt;&gt;Mahsup"))</f>
        <v/>
      </c>
    </row>
    <row r="658" spans="1:21" ht="18" customHeight="1" x14ac:dyDescent="0.3">
      <c r="A658" s="2"/>
      <c r="B658" s="65" t="str">
        <f t="shared" si="50"/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 t="shared" si="51"/>
        <v/>
      </c>
      <c r="M658" s="65" t="str">
        <f t="shared" ca="1" si="52"/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53"/>
        <v/>
      </c>
      <c r="S658" s="1" t="str">
        <f t="shared" si="54"/>
        <v/>
      </c>
      <c r="T658" s="1">
        <f>IF($E658="",0,SUMPRODUCT((AY_SONU!$O$7:$O$42="Evet")*(AY_SONU!$B$7:$B$42=DATE(YEAR($E658),MONTH($E658),1))))</f>
        <v>0</v>
      </c>
      <c r="U658" s="1" t="str">
        <f>IF(OR($G658="",$H658="Mahsup"),"",$G658&amp;"|"&amp;COUNTIFS($G$7:$G658,$G658,$H$7:$H658,"&lt;&gt;Mahsup"))</f>
        <v/>
      </c>
    </row>
    <row r="659" spans="1:21" ht="18" customHeight="1" x14ac:dyDescent="0.3">
      <c r="A659" s="2"/>
      <c r="B659" s="65" t="str">
        <f t="shared" si="50"/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 t="shared" si="51"/>
        <v/>
      </c>
      <c r="M659" s="65" t="str">
        <f t="shared" ca="1" si="52"/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53"/>
        <v/>
      </c>
      <c r="S659" s="1" t="str">
        <f t="shared" si="54"/>
        <v/>
      </c>
      <c r="T659" s="1">
        <f>IF($E659="",0,SUMPRODUCT((AY_SONU!$O$7:$O$42="Evet")*(AY_SONU!$B$7:$B$42=DATE(YEAR($E659),MONTH($E659),1))))</f>
        <v>0</v>
      </c>
      <c r="U659" s="1" t="str">
        <f>IF(OR($G659="",$H659="Mahsup"),"",$G659&amp;"|"&amp;COUNTIFS($G$7:$G659,$G659,$H$7:$H659,"&lt;&gt;Mahsup"))</f>
        <v/>
      </c>
    </row>
    <row r="660" spans="1:21" ht="18" customHeight="1" x14ac:dyDescent="0.3">
      <c r="A660" s="2"/>
      <c r="B660" s="65" t="str">
        <f t="shared" si="50"/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 t="shared" si="51"/>
        <v/>
      </c>
      <c r="M660" s="65" t="str">
        <f t="shared" ca="1" si="52"/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53"/>
        <v/>
      </c>
      <c r="S660" s="1" t="str">
        <f t="shared" si="54"/>
        <v/>
      </c>
      <c r="T660" s="1">
        <f>IF($E660="",0,SUMPRODUCT((AY_SONU!$O$7:$O$42="Evet")*(AY_SONU!$B$7:$B$42=DATE(YEAR($E660),MONTH($E660),1))))</f>
        <v>0</v>
      </c>
      <c r="U660" s="1" t="str">
        <f>IF(OR($G660="",$H660="Mahsup"),"",$G660&amp;"|"&amp;COUNTIFS($G$7:$G660,$G660,$H$7:$H660,"&lt;&gt;Mahsup"))</f>
        <v/>
      </c>
    </row>
    <row r="661" spans="1:21" ht="18" customHeight="1" x14ac:dyDescent="0.3">
      <c r="A661" s="2"/>
      <c r="B661" s="65" t="str">
        <f t="shared" si="50"/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 t="shared" si="51"/>
        <v/>
      </c>
      <c r="M661" s="65" t="str">
        <f t="shared" ca="1" si="52"/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53"/>
        <v/>
      </c>
      <c r="S661" s="1" t="str">
        <f t="shared" si="54"/>
        <v/>
      </c>
      <c r="T661" s="1">
        <f>IF($E661="",0,SUMPRODUCT((AY_SONU!$O$7:$O$42="Evet")*(AY_SONU!$B$7:$B$42=DATE(YEAR($E661),MONTH($E661),1))))</f>
        <v>0</v>
      </c>
      <c r="U661" s="1" t="str">
        <f>IF(OR($G661="",$H661="Mahsup"),"",$G661&amp;"|"&amp;COUNTIFS($G$7:$G661,$G661,$H$7:$H661,"&lt;&gt;Mahsup"))</f>
        <v/>
      </c>
    </row>
    <row r="662" spans="1:21" ht="18" customHeight="1" x14ac:dyDescent="0.3">
      <c r="A662" s="2"/>
      <c r="B662" s="65" t="str">
        <f t="shared" si="50"/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 t="shared" si="51"/>
        <v/>
      </c>
      <c r="M662" s="65" t="str">
        <f t="shared" ca="1" si="52"/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53"/>
        <v/>
      </c>
      <c r="S662" s="1" t="str">
        <f t="shared" si="54"/>
        <v/>
      </c>
      <c r="T662" s="1">
        <f>IF($E662="",0,SUMPRODUCT((AY_SONU!$O$7:$O$42="Evet")*(AY_SONU!$B$7:$B$42=DATE(YEAR($E662),MONTH($E662),1))))</f>
        <v>0</v>
      </c>
      <c r="U662" s="1" t="str">
        <f>IF(OR($G662="",$H662="Mahsup"),"",$G662&amp;"|"&amp;COUNTIFS($G$7:$G662,$G662,$H$7:$H662,"&lt;&gt;Mahsup"))</f>
        <v/>
      </c>
    </row>
    <row r="663" spans="1:21" ht="18" customHeight="1" x14ac:dyDescent="0.3">
      <c r="A663" s="2"/>
      <c r="B663" s="65" t="str">
        <f t="shared" si="50"/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 t="shared" si="51"/>
        <v/>
      </c>
      <c r="M663" s="65" t="str">
        <f t="shared" ca="1" si="52"/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53"/>
        <v/>
      </c>
      <c r="S663" s="1" t="str">
        <f t="shared" si="54"/>
        <v/>
      </c>
      <c r="T663" s="1">
        <f>IF($E663="",0,SUMPRODUCT((AY_SONU!$O$7:$O$42="Evet")*(AY_SONU!$B$7:$B$42=DATE(YEAR($E663),MONTH($E663),1))))</f>
        <v>0</v>
      </c>
      <c r="U663" s="1" t="str">
        <f>IF(OR($G663="",$H663="Mahsup"),"",$G663&amp;"|"&amp;COUNTIFS($G$7:$G663,$G663,$H$7:$H663,"&lt;&gt;Mahsup"))</f>
        <v/>
      </c>
    </row>
    <row r="664" spans="1:21" ht="18" customHeight="1" x14ac:dyDescent="0.3">
      <c r="A664" s="2"/>
      <c r="B664" s="65" t="str">
        <f t="shared" si="50"/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 t="shared" si="51"/>
        <v/>
      </c>
      <c r="M664" s="65" t="str">
        <f t="shared" ca="1" si="52"/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53"/>
        <v/>
      </c>
      <c r="S664" s="1" t="str">
        <f t="shared" si="54"/>
        <v/>
      </c>
      <c r="T664" s="1">
        <f>IF($E664="",0,SUMPRODUCT((AY_SONU!$O$7:$O$42="Evet")*(AY_SONU!$B$7:$B$42=DATE(YEAR($E664),MONTH($E664),1))))</f>
        <v>0</v>
      </c>
      <c r="U664" s="1" t="str">
        <f>IF(OR($G664="",$H664="Mahsup"),"",$G664&amp;"|"&amp;COUNTIFS($G$7:$G664,$G664,$H$7:$H664,"&lt;&gt;Mahsup"))</f>
        <v/>
      </c>
    </row>
    <row r="665" spans="1:21" ht="18" customHeight="1" x14ac:dyDescent="0.3">
      <c r="A665" s="2"/>
      <c r="B665" s="65" t="str">
        <f t="shared" si="50"/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 t="shared" si="51"/>
        <v/>
      </c>
      <c r="M665" s="65" t="str">
        <f t="shared" ca="1" si="52"/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53"/>
        <v/>
      </c>
      <c r="S665" s="1" t="str">
        <f t="shared" si="54"/>
        <v/>
      </c>
      <c r="T665" s="1">
        <f>IF($E665="",0,SUMPRODUCT((AY_SONU!$O$7:$O$42="Evet")*(AY_SONU!$B$7:$B$42=DATE(YEAR($E665),MONTH($E665),1))))</f>
        <v>0</v>
      </c>
      <c r="U665" s="1" t="str">
        <f>IF(OR($G665="",$H665="Mahsup"),"",$G665&amp;"|"&amp;COUNTIFS($G$7:$G665,$G665,$H$7:$H665,"&lt;&gt;Mahsup"))</f>
        <v/>
      </c>
    </row>
    <row r="666" spans="1:21" ht="18" customHeight="1" x14ac:dyDescent="0.3">
      <c r="A666" s="2"/>
      <c r="B666" s="65" t="str">
        <f t="shared" si="50"/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 t="shared" si="51"/>
        <v/>
      </c>
      <c r="M666" s="65" t="str">
        <f t="shared" ca="1" si="52"/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53"/>
        <v/>
      </c>
      <c r="S666" s="1" t="str">
        <f t="shared" si="54"/>
        <v/>
      </c>
      <c r="T666" s="1">
        <f>IF($E666="",0,SUMPRODUCT((AY_SONU!$O$7:$O$42="Evet")*(AY_SONU!$B$7:$B$42=DATE(YEAR($E666),MONTH($E666),1))))</f>
        <v>0</v>
      </c>
      <c r="U666" s="1" t="str">
        <f>IF(OR($G666="",$H666="Mahsup"),"",$G666&amp;"|"&amp;COUNTIFS($G$7:$G666,$G666,$H$7:$H666,"&lt;&gt;Mahsup"))</f>
        <v/>
      </c>
    </row>
    <row r="667" spans="1:21" ht="18" customHeight="1" x14ac:dyDescent="0.3">
      <c r="A667" s="2"/>
      <c r="B667" s="65" t="str">
        <f t="shared" si="50"/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 t="shared" si="51"/>
        <v/>
      </c>
      <c r="M667" s="65" t="str">
        <f t="shared" ca="1" si="52"/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53"/>
        <v/>
      </c>
      <c r="S667" s="1" t="str">
        <f t="shared" si="54"/>
        <v/>
      </c>
      <c r="T667" s="1">
        <f>IF($E667="",0,SUMPRODUCT((AY_SONU!$O$7:$O$42="Evet")*(AY_SONU!$B$7:$B$42=DATE(YEAR($E667),MONTH($E667),1))))</f>
        <v>0</v>
      </c>
      <c r="U667" s="1" t="str">
        <f>IF(OR($G667="",$H667="Mahsup"),"",$G667&amp;"|"&amp;COUNTIFS($G$7:$G667,$G667,$H$7:$H667,"&lt;&gt;Mahsup"))</f>
        <v/>
      </c>
    </row>
    <row r="668" spans="1:21" ht="18" customHeight="1" x14ac:dyDescent="0.3">
      <c r="A668" s="2"/>
      <c r="B668" s="65" t="str">
        <f t="shared" si="50"/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 t="shared" si="51"/>
        <v/>
      </c>
      <c r="M668" s="65" t="str">
        <f t="shared" ca="1" si="52"/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53"/>
        <v/>
      </c>
      <c r="S668" s="1" t="str">
        <f t="shared" si="54"/>
        <v/>
      </c>
      <c r="T668" s="1">
        <f>IF($E668="",0,SUMPRODUCT((AY_SONU!$O$7:$O$42="Evet")*(AY_SONU!$B$7:$B$42=DATE(YEAR($E668),MONTH($E668),1))))</f>
        <v>0</v>
      </c>
      <c r="U668" s="1" t="str">
        <f>IF(OR($G668="",$H668="Mahsup"),"",$G668&amp;"|"&amp;COUNTIFS($G$7:$G668,$G668,$H$7:$H668,"&lt;&gt;Mahsup"))</f>
        <v/>
      </c>
    </row>
    <row r="669" spans="1:21" ht="18" customHeight="1" x14ac:dyDescent="0.3">
      <c r="A669" s="2"/>
      <c r="B669" s="65" t="str">
        <f t="shared" si="50"/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 t="shared" si="51"/>
        <v/>
      </c>
      <c r="M669" s="65" t="str">
        <f t="shared" ca="1" si="52"/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53"/>
        <v/>
      </c>
      <c r="S669" s="1" t="str">
        <f t="shared" si="54"/>
        <v/>
      </c>
      <c r="T669" s="1">
        <f>IF($E669="",0,SUMPRODUCT((AY_SONU!$O$7:$O$42="Evet")*(AY_SONU!$B$7:$B$42=DATE(YEAR($E669),MONTH($E669),1))))</f>
        <v>0</v>
      </c>
      <c r="U669" s="1" t="str">
        <f>IF(OR($G669="",$H669="Mahsup"),"",$G669&amp;"|"&amp;COUNTIFS($G$7:$G669,$G669,$H$7:$H669,"&lt;&gt;Mahsup"))</f>
        <v/>
      </c>
    </row>
    <row r="670" spans="1:21" ht="18" customHeight="1" x14ac:dyDescent="0.3">
      <c r="A670" s="2"/>
      <c r="B670" s="65" t="str">
        <f t="shared" si="50"/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 t="shared" si="51"/>
        <v/>
      </c>
      <c r="M670" s="65" t="str">
        <f t="shared" ca="1" si="52"/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53"/>
        <v/>
      </c>
      <c r="S670" s="1" t="str">
        <f t="shared" si="54"/>
        <v/>
      </c>
      <c r="T670" s="1">
        <f>IF($E670="",0,SUMPRODUCT((AY_SONU!$O$7:$O$42="Evet")*(AY_SONU!$B$7:$B$42=DATE(YEAR($E670),MONTH($E670),1))))</f>
        <v>0</v>
      </c>
      <c r="U670" s="1" t="str">
        <f>IF(OR($G670="",$H670="Mahsup"),"",$G670&amp;"|"&amp;COUNTIFS($G$7:$G670,$G670,$H$7:$H670,"&lt;&gt;Mahsup"))</f>
        <v/>
      </c>
    </row>
    <row r="671" spans="1:21" ht="18" customHeight="1" x14ac:dyDescent="0.3">
      <c r="A671" s="2"/>
      <c r="B671" s="65" t="str">
        <f t="shared" si="50"/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 t="shared" si="51"/>
        <v/>
      </c>
      <c r="M671" s="65" t="str">
        <f t="shared" ca="1" si="52"/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53"/>
        <v/>
      </c>
      <c r="S671" s="1" t="str">
        <f t="shared" si="54"/>
        <v/>
      </c>
      <c r="T671" s="1">
        <f>IF($E671="",0,SUMPRODUCT((AY_SONU!$O$7:$O$42="Evet")*(AY_SONU!$B$7:$B$42=DATE(YEAR($E671),MONTH($E671),1))))</f>
        <v>0</v>
      </c>
      <c r="U671" s="1" t="str">
        <f>IF(OR($G671="",$H671="Mahsup"),"",$G671&amp;"|"&amp;COUNTIFS($G$7:$G671,$G671,$H$7:$H671,"&lt;&gt;Mahsup"))</f>
        <v/>
      </c>
    </row>
    <row r="672" spans="1:21" ht="18" customHeight="1" x14ac:dyDescent="0.3">
      <c r="A672" s="2"/>
      <c r="B672" s="65" t="str">
        <f t="shared" si="50"/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 t="shared" si="51"/>
        <v/>
      </c>
      <c r="M672" s="65" t="str">
        <f t="shared" ca="1" si="52"/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53"/>
        <v/>
      </c>
      <c r="S672" s="1" t="str">
        <f t="shared" si="54"/>
        <v/>
      </c>
      <c r="T672" s="1">
        <f>IF($E672="",0,SUMPRODUCT((AY_SONU!$O$7:$O$42="Evet")*(AY_SONU!$B$7:$B$42=DATE(YEAR($E672),MONTH($E672),1))))</f>
        <v>0</v>
      </c>
      <c r="U672" s="1" t="str">
        <f>IF(OR($G672="",$H672="Mahsup"),"",$G672&amp;"|"&amp;COUNTIFS($G$7:$G672,$G672,$H$7:$H672,"&lt;&gt;Mahsup"))</f>
        <v/>
      </c>
    </row>
    <row r="673" spans="1:21" ht="18" customHeight="1" x14ac:dyDescent="0.3">
      <c r="A673" s="2"/>
      <c r="B673" s="65" t="str">
        <f t="shared" si="50"/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 t="shared" si="51"/>
        <v/>
      </c>
      <c r="M673" s="65" t="str">
        <f t="shared" ca="1" si="52"/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53"/>
        <v/>
      </c>
      <c r="S673" s="1" t="str">
        <f t="shared" si="54"/>
        <v/>
      </c>
      <c r="T673" s="1">
        <f>IF($E673="",0,SUMPRODUCT((AY_SONU!$O$7:$O$42="Evet")*(AY_SONU!$B$7:$B$42=DATE(YEAR($E673),MONTH($E673),1))))</f>
        <v>0</v>
      </c>
      <c r="U673" s="1" t="str">
        <f>IF(OR($G673="",$H673="Mahsup"),"",$G673&amp;"|"&amp;COUNTIFS($G$7:$G673,$G673,$H$7:$H673,"&lt;&gt;Mahsup"))</f>
        <v/>
      </c>
    </row>
    <row r="674" spans="1:21" ht="18" customHeight="1" x14ac:dyDescent="0.3">
      <c r="A674" s="2"/>
      <c r="B674" s="65" t="str">
        <f t="shared" si="50"/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 t="shared" si="51"/>
        <v/>
      </c>
      <c r="M674" s="65" t="str">
        <f t="shared" ca="1" si="52"/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53"/>
        <v/>
      </c>
      <c r="S674" s="1" t="str">
        <f t="shared" si="54"/>
        <v/>
      </c>
      <c r="T674" s="1">
        <f>IF($E674="",0,SUMPRODUCT((AY_SONU!$O$7:$O$42="Evet")*(AY_SONU!$B$7:$B$42=DATE(YEAR($E674),MONTH($E674),1))))</f>
        <v>0</v>
      </c>
      <c r="U674" s="1" t="str">
        <f>IF(OR($G674="",$H674="Mahsup"),"",$G674&amp;"|"&amp;COUNTIFS($G$7:$G674,$G674,$H$7:$H674,"&lt;&gt;Mahsup"))</f>
        <v/>
      </c>
    </row>
    <row r="675" spans="1:21" ht="18" customHeight="1" x14ac:dyDescent="0.3">
      <c r="A675" s="2"/>
      <c r="B675" s="65" t="str">
        <f t="shared" si="50"/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 t="shared" si="51"/>
        <v/>
      </c>
      <c r="M675" s="65" t="str">
        <f t="shared" ca="1" si="52"/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53"/>
        <v/>
      </c>
      <c r="S675" s="1" t="str">
        <f t="shared" si="54"/>
        <v/>
      </c>
      <c r="T675" s="1">
        <f>IF($E675="",0,SUMPRODUCT((AY_SONU!$O$7:$O$42="Evet")*(AY_SONU!$B$7:$B$42=DATE(YEAR($E675),MONTH($E675),1))))</f>
        <v>0</v>
      </c>
      <c r="U675" s="1" t="str">
        <f>IF(OR($G675="",$H675="Mahsup"),"",$G675&amp;"|"&amp;COUNTIFS($G$7:$G675,$G675,$H$7:$H675,"&lt;&gt;Mahsup"))</f>
        <v/>
      </c>
    </row>
    <row r="676" spans="1:21" ht="18" customHeight="1" x14ac:dyDescent="0.3">
      <c r="A676" s="2"/>
      <c r="B676" s="65" t="str">
        <f t="shared" si="50"/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 t="shared" si="51"/>
        <v/>
      </c>
      <c r="M676" s="65" t="str">
        <f t="shared" ca="1" si="52"/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53"/>
        <v/>
      </c>
      <c r="S676" s="1" t="str">
        <f t="shared" si="54"/>
        <v/>
      </c>
      <c r="T676" s="1">
        <f>IF($E676="",0,SUMPRODUCT((AY_SONU!$O$7:$O$42="Evet")*(AY_SONU!$B$7:$B$42=DATE(YEAR($E676),MONTH($E676),1))))</f>
        <v>0</v>
      </c>
      <c r="U676" s="1" t="str">
        <f>IF(OR($G676="",$H676="Mahsup"),"",$G676&amp;"|"&amp;COUNTIFS($G$7:$G676,$G676,$H$7:$H676,"&lt;&gt;Mahsup"))</f>
        <v/>
      </c>
    </row>
    <row r="677" spans="1:21" ht="18" customHeight="1" x14ac:dyDescent="0.3">
      <c r="A677" s="2"/>
      <c r="B677" s="65" t="str">
        <f t="shared" si="50"/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 t="shared" si="51"/>
        <v/>
      </c>
      <c r="M677" s="65" t="str">
        <f t="shared" ca="1" si="52"/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53"/>
        <v/>
      </c>
      <c r="S677" s="1" t="str">
        <f t="shared" si="54"/>
        <v/>
      </c>
      <c r="T677" s="1">
        <f>IF($E677="",0,SUMPRODUCT((AY_SONU!$O$7:$O$42="Evet")*(AY_SONU!$B$7:$B$42=DATE(YEAR($E677),MONTH($E677),1))))</f>
        <v>0</v>
      </c>
      <c r="U677" s="1" t="str">
        <f>IF(OR($G677="",$H677="Mahsup"),"",$G677&amp;"|"&amp;COUNTIFS($G$7:$G677,$G677,$H$7:$H677,"&lt;&gt;Mahsup"))</f>
        <v/>
      </c>
    </row>
    <row r="678" spans="1:21" ht="18" customHeight="1" x14ac:dyDescent="0.3">
      <c r="A678" s="2"/>
      <c r="B678" s="65" t="str">
        <f t="shared" si="50"/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 t="shared" si="51"/>
        <v/>
      </c>
      <c r="M678" s="65" t="str">
        <f t="shared" ca="1" si="52"/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53"/>
        <v/>
      </c>
      <c r="S678" s="1" t="str">
        <f t="shared" si="54"/>
        <v/>
      </c>
      <c r="T678" s="1">
        <f>IF($E678="",0,SUMPRODUCT((AY_SONU!$O$7:$O$42="Evet")*(AY_SONU!$B$7:$B$42=DATE(YEAR($E678),MONTH($E678),1))))</f>
        <v>0</v>
      </c>
      <c r="U678" s="1" t="str">
        <f>IF(OR($G678="",$H678="Mahsup"),"",$G678&amp;"|"&amp;COUNTIFS($G$7:$G678,$G678,$H$7:$H678,"&lt;&gt;Mahsup"))</f>
        <v/>
      </c>
    </row>
    <row r="679" spans="1:21" ht="18" customHeight="1" x14ac:dyDescent="0.3">
      <c r="A679" s="2"/>
      <c r="B679" s="65" t="str">
        <f t="shared" si="50"/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 t="shared" si="51"/>
        <v/>
      </c>
      <c r="M679" s="65" t="str">
        <f t="shared" ca="1" si="52"/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53"/>
        <v/>
      </c>
      <c r="S679" s="1" t="str">
        <f t="shared" si="54"/>
        <v/>
      </c>
      <c r="T679" s="1">
        <f>IF($E679="",0,SUMPRODUCT((AY_SONU!$O$7:$O$42="Evet")*(AY_SONU!$B$7:$B$42=DATE(YEAR($E679),MONTH($E679),1))))</f>
        <v>0</v>
      </c>
      <c r="U679" s="1" t="str">
        <f>IF(OR($G679="",$H679="Mahsup"),"",$G679&amp;"|"&amp;COUNTIFS($G$7:$G679,$G679,$H$7:$H679,"&lt;&gt;Mahsup"))</f>
        <v/>
      </c>
    </row>
    <row r="680" spans="1:21" ht="18" customHeight="1" x14ac:dyDescent="0.3">
      <c r="A680" s="2"/>
      <c r="B680" s="65" t="str">
        <f t="shared" si="50"/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 t="shared" si="51"/>
        <v/>
      </c>
      <c r="M680" s="65" t="str">
        <f t="shared" ca="1" si="52"/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53"/>
        <v/>
      </c>
      <c r="S680" s="1" t="str">
        <f t="shared" si="54"/>
        <v/>
      </c>
      <c r="T680" s="1">
        <f>IF($E680="",0,SUMPRODUCT((AY_SONU!$O$7:$O$42="Evet")*(AY_SONU!$B$7:$B$42=DATE(YEAR($E680),MONTH($E680),1))))</f>
        <v>0</v>
      </c>
      <c r="U680" s="1" t="str">
        <f>IF(OR($G680="",$H680="Mahsup"),"",$G680&amp;"|"&amp;COUNTIFS($G$7:$G680,$G680,$H$7:$H680,"&lt;&gt;Mahsup"))</f>
        <v/>
      </c>
    </row>
    <row r="681" spans="1:21" ht="18" customHeight="1" x14ac:dyDescent="0.3">
      <c r="A681" s="2"/>
      <c r="B681" s="65" t="str">
        <f t="shared" si="50"/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 t="shared" si="51"/>
        <v/>
      </c>
      <c r="M681" s="65" t="str">
        <f t="shared" ca="1" si="52"/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53"/>
        <v/>
      </c>
      <c r="S681" s="1" t="str">
        <f t="shared" si="54"/>
        <v/>
      </c>
      <c r="T681" s="1">
        <f>IF($E681="",0,SUMPRODUCT((AY_SONU!$O$7:$O$42="Evet")*(AY_SONU!$B$7:$B$42=DATE(YEAR($E681),MONTH($E681),1))))</f>
        <v>0</v>
      </c>
      <c r="U681" s="1" t="str">
        <f>IF(OR($G681="",$H681="Mahsup"),"",$G681&amp;"|"&amp;COUNTIFS($G$7:$G681,$G681,$H$7:$H681,"&lt;&gt;Mahsup"))</f>
        <v/>
      </c>
    </row>
    <row r="682" spans="1:21" ht="18" customHeight="1" x14ac:dyDescent="0.3">
      <c r="A682" s="2"/>
      <c r="B682" s="65" t="str">
        <f t="shared" si="50"/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 t="shared" si="51"/>
        <v/>
      </c>
      <c r="M682" s="65" t="str">
        <f t="shared" ca="1" si="52"/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53"/>
        <v/>
      </c>
      <c r="S682" s="1" t="str">
        <f t="shared" si="54"/>
        <v/>
      </c>
      <c r="T682" s="1">
        <f>IF($E682="",0,SUMPRODUCT((AY_SONU!$O$7:$O$42="Evet")*(AY_SONU!$B$7:$B$42=DATE(YEAR($E682),MONTH($E682),1))))</f>
        <v>0</v>
      </c>
      <c r="U682" s="1" t="str">
        <f>IF(OR($G682="",$H682="Mahsup"),"",$G682&amp;"|"&amp;COUNTIFS($G$7:$G682,$G682,$H$7:$H682,"&lt;&gt;Mahsup"))</f>
        <v/>
      </c>
    </row>
    <row r="683" spans="1:21" ht="18" customHeight="1" x14ac:dyDescent="0.3">
      <c r="A683" s="2"/>
      <c r="B683" s="65" t="str">
        <f t="shared" si="50"/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 t="shared" si="51"/>
        <v/>
      </c>
      <c r="M683" s="65" t="str">
        <f t="shared" ca="1" si="52"/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53"/>
        <v/>
      </c>
      <c r="S683" s="1" t="str">
        <f t="shared" si="54"/>
        <v/>
      </c>
      <c r="T683" s="1">
        <f>IF($E683="",0,SUMPRODUCT((AY_SONU!$O$7:$O$42="Evet")*(AY_SONU!$B$7:$B$42=DATE(YEAR($E683),MONTH($E683),1))))</f>
        <v>0</v>
      </c>
      <c r="U683" s="1" t="str">
        <f>IF(OR($G683="",$H683="Mahsup"),"",$G683&amp;"|"&amp;COUNTIFS($G$7:$G683,$G683,$H$7:$H683,"&lt;&gt;Mahsup"))</f>
        <v/>
      </c>
    </row>
    <row r="684" spans="1:21" ht="18" customHeight="1" x14ac:dyDescent="0.3">
      <c r="A684" s="2"/>
      <c r="B684" s="65" t="str">
        <f t="shared" si="50"/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 t="shared" si="51"/>
        <v/>
      </c>
      <c r="M684" s="65" t="str">
        <f t="shared" ca="1" si="52"/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53"/>
        <v/>
      </c>
      <c r="S684" s="1" t="str">
        <f t="shared" si="54"/>
        <v/>
      </c>
      <c r="T684" s="1">
        <f>IF($E684="",0,SUMPRODUCT((AY_SONU!$O$7:$O$42="Evet")*(AY_SONU!$B$7:$B$42=DATE(YEAR($E684),MONTH($E684),1))))</f>
        <v>0</v>
      </c>
      <c r="U684" s="1" t="str">
        <f>IF(OR($G684="",$H684="Mahsup"),"",$G684&amp;"|"&amp;COUNTIFS($G$7:$G684,$G684,$H$7:$H684,"&lt;&gt;Mahsup"))</f>
        <v/>
      </c>
    </row>
    <row r="685" spans="1:21" ht="18" customHeight="1" x14ac:dyDescent="0.3">
      <c r="A685" s="2"/>
      <c r="B685" s="65" t="str">
        <f t="shared" si="50"/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 t="shared" si="51"/>
        <v/>
      </c>
      <c r="M685" s="65" t="str">
        <f t="shared" ca="1" si="52"/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53"/>
        <v/>
      </c>
      <c r="S685" s="1" t="str">
        <f t="shared" si="54"/>
        <v/>
      </c>
      <c r="T685" s="1">
        <f>IF($E685="",0,SUMPRODUCT((AY_SONU!$O$7:$O$42="Evet")*(AY_SONU!$B$7:$B$42=DATE(YEAR($E685),MONTH($E685),1))))</f>
        <v>0</v>
      </c>
      <c r="U685" s="1" t="str">
        <f>IF(OR($G685="",$H685="Mahsup"),"",$G685&amp;"|"&amp;COUNTIFS($G$7:$G685,$G685,$H$7:$H685,"&lt;&gt;Mahsup"))</f>
        <v/>
      </c>
    </row>
    <row r="686" spans="1:21" ht="18" customHeight="1" x14ac:dyDescent="0.3">
      <c r="A686" s="2"/>
      <c r="B686" s="65" t="str">
        <f t="shared" si="50"/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 t="shared" si="51"/>
        <v/>
      </c>
      <c r="M686" s="65" t="str">
        <f t="shared" ca="1" si="52"/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53"/>
        <v/>
      </c>
      <c r="S686" s="1" t="str">
        <f t="shared" si="54"/>
        <v/>
      </c>
      <c r="T686" s="1">
        <f>IF($E686="",0,SUMPRODUCT((AY_SONU!$O$7:$O$42="Evet")*(AY_SONU!$B$7:$B$42=DATE(YEAR($E686),MONTH($E686),1))))</f>
        <v>0</v>
      </c>
      <c r="U686" s="1" t="str">
        <f>IF(OR($G686="",$H686="Mahsup"),"",$G686&amp;"|"&amp;COUNTIFS($G$7:$G686,$G686,$H$7:$H686,"&lt;&gt;Mahsup"))</f>
        <v/>
      </c>
    </row>
    <row r="687" spans="1:21" ht="18" customHeight="1" x14ac:dyDescent="0.3">
      <c r="A687" s="2"/>
      <c r="B687" s="65" t="str">
        <f t="shared" si="50"/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 t="shared" si="51"/>
        <v/>
      </c>
      <c r="M687" s="65" t="str">
        <f t="shared" ca="1" si="52"/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53"/>
        <v/>
      </c>
      <c r="S687" s="1" t="str">
        <f t="shared" si="54"/>
        <v/>
      </c>
      <c r="T687" s="1">
        <f>IF($E687="",0,SUMPRODUCT((AY_SONU!$O$7:$O$42="Evet")*(AY_SONU!$B$7:$B$42=DATE(YEAR($E687),MONTH($E687),1))))</f>
        <v>0</v>
      </c>
      <c r="U687" s="1" t="str">
        <f>IF(OR($G687="",$H687="Mahsup"),"",$G687&amp;"|"&amp;COUNTIFS($G$7:$G687,$G687,$H$7:$H687,"&lt;&gt;Mahsup"))</f>
        <v/>
      </c>
    </row>
    <row r="688" spans="1:21" ht="18" customHeight="1" x14ac:dyDescent="0.3">
      <c r="A688" s="2"/>
      <c r="B688" s="65" t="str">
        <f t="shared" si="50"/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 t="shared" si="51"/>
        <v/>
      </c>
      <c r="M688" s="65" t="str">
        <f t="shared" ca="1" si="52"/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53"/>
        <v/>
      </c>
      <c r="S688" s="1" t="str">
        <f t="shared" si="54"/>
        <v/>
      </c>
      <c r="T688" s="1">
        <f>IF($E688="",0,SUMPRODUCT((AY_SONU!$O$7:$O$42="Evet")*(AY_SONU!$B$7:$B$42=DATE(YEAR($E688),MONTH($E688),1))))</f>
        <v>0</v>
      </c>
      <c r="U688" s="1" t="str">
        <f>IF(OR($G688="",$H688="Mahsup"),"",$G688&amp;"|"&amp;COUNTIFS($G$7:$G688,$G688,$H$7:$H688,"&lt;&gt;Mahsup"))</f>
        <v/>
      </c>
    </row>
    <row r="689" spans="1:21" ht="18" customHeight="1" x14ac:dyDescent="0.3">
      <c r="A689" s="2"/>
      <c r="B689" s="65" t="str">
        <f t="shared" si="50"/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 t="shared" si="51"/>
        <v/>
      </c>
      <c r="M689" s="65" t="str">
        <f t="shared" ca="1" si="52"/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53"/>
        <v/>
      </c>
      <c r="S689" s="1" t="str">
        <f t="shared" si="54"/>
        <v/>
      </c>
      <c r="T689" s="1">
        <f>IF($E689="",0,SUMPRODUCT((AY_SONU!$O$7:$O$42="Evet")*(AY_SONU!$B$7:$B$42=DATE(YEAR($E689),MONTH($E689),1))))</f>
        <v>0</v>
      </c>
      <c r="U689" s="1" t="str">
        <f>IF(OR($G689="",$H689="Mahsup"),"",$G689&amp;"|"&amp;COUNTIFS($G$7:$G689,$G689,$H$7:$H689,"&lt;&gt;Mahsup"))</f>
        <v/>
      </c>
    </row>
    <row r="690" spans="1:21" ht="18" customHeight="1" x14ac:dyDescent="0.3">
      <c r="A690" s="2"/>
      <c r="B690" s="65" t="str">
        <f t="shared" si="50"/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 t="shared" si="51"/>
        <v/>
      </c>
      <c r="M690" s="65" t="str">
        <f t="shared" ca="1" si="52"/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53"/>
        <v/>
      </c>
      <c r="S690" s="1" t="str">
        <f t="shared" si="54"/>
        <v/>
      </c>
      <c r="T690" s="1">
        <f>IF($E690="",0,SUMPRODUCT((AY_SONU!$O$7:$O$42="Evet")*(AY_SONU!$B$7:$B$42=DATE(YEAR($E690),MONTH($E690),1))))</f>
        <v>0</v>
      </c>
      <c r="U690" s="1" t="str">
        <f>IF(OR($G690="",$H690="Mahsup"),"",$G690&amp;"|"&amp;COUNTIFS($G$7:$G690,$G690,$H$7:$H690,"&lt;&gt;Mahsup"))</f>
        <v/>
      </c>
    </row>
    <row r="691" spans="1:21" ht="18" customHeight="1" x14ac:dyDescent="0.3">
      <c r="A691" s="2"/>
      <c r="B691" s="65" t="str">
        <f t="shared" si="50"/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 t="shared" si="51"/>
        <v/>
      </c>
      <c r="M691" s="65" t="str">
        <f t="shared" ca="1" si="52"/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53"/>
        <v/>
      </c>
      <c r="S691" s="1" t="str">
        <f t="shared" si="54"/>
        <v/>
      </c>
      <c r="T691" s="1">
        <f>IF($E691="",0,SUMPRODUCT((AY_SONU!$O$7:$O$42="Evet")*(AY_SONU!$B$7:$B$42=DATE(YEAR($E691),MONTH($E691),1))))</f>
        <v>0</v>
      </c>
      <c r="U691" s="1" t="str">
        <f>IF(OR($G691="",$H691="Mahsup"),"",$G691&amp;"|"&amp;COUNTIFS($G$7:$G691,$G691,$H$7:$H691,"&lt;&gt;Mahsup"))</f>
        <v/>
      </c>
    </row>
    <row r="692" spans="1:21" ht="18" customHeight="1" x14ac:dyDescent="0.3">
      <c r="A692" s="2"/>
      <c r="B692" s="65" t="str">
        <f t="shared" si="50"/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 t="shared" si="51"/>
        <v/>
      </c>
      <c r="M692" s="65" t="str">
        <f t="shared" ca="1" si="52"/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53"/>
        <v/>
      </c>
      <c r="S692" s="1" t="str">
        <f t="shared" si="54"/>
        <v/>
      </c>
      <c r="T692" s="1">
        <f>IF($E692="",0,SUMPRODUCT((AY_SONU!$O$7:$O$42="Evet")*(AY_SONU!$B$7:$B$42=DATE(YEAR($E692),MONTH($E692),1))))</f>
        <v>0</v>
      </c>
      <c r="U692" s="1" t="str">
        <f>IF(OR($G692="",$H692="Mahsup"),"",$G692&amp;"|"&amp;COUNTIFS($G$7:$G692,$G692,$H$7:$H692,"&lt;&gt;Mahsup"))</f>
        <v/>
      </c>
    </row>
    <row r="693" spans="1:21" ht="18" customHeight="1" x14ac:dyDescent="0.3">
      <c r="A693" s="2"/>
      <c r="B693" s="65" t="str">
        <f t="shared" si="50"/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 t="shared" si="51"/>
        <v/>
      </c>
      <c r="M693" s="65" t="str">
        <f t="shared" ca="1" si="52"/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53"/>
        <v/>
      </c>
      <c r="S693" s="1" t="str">
        <f t="shared" si="54"/>
        <v/>
      </c>
      <c r="T693" s="1">
        <f>IF($E693="",0,SUMPRODUCT((AY_SONU!$O$7:$O$42="Evet")*(AY_SONU!$B$7:$B$42=DATE(YEAR($E693),MONTH($E693),1))))</f>
        <v>0</v>
      </c>
      <c r="U693" s="1" t="str">
        <f>IF(OR($G693="",$H693="Mahsup"),"",$G693&amp;"|"&amp;COUNTIFS($G$7:$G693,$G693,$H$7:$H693,"&lt;&gt;Mahsup"))</f>
        <v/>
      </c>
    </row>
    <row r="694" spans="1:21" ht="18" customHeight="1" x14ac:dyDescent="0.3">
      <c r="A694" s="2"/>
      <c r="B694" s="65" t="str">
        <f t="shared" si="50"/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 t="shared" si="51"/>
        <v/>
      </c>
      <c r="M694" s="65" t="str">
        <f t="shared" ca="1" si="52"/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53"/>
        <v/>
      </c>
      <c r="S694" s="1" t="str">
        <f t="shared" si="54"/>
        <v/>
      </c>
      <c r="T694" s="1">
        <f>IF($E694="",0,SUMPRODUCT((AY_SONU!$O$7:$O$42="Evet")*(AY_SONU!$B$7:$B$42=DATE(YEAR($E694),MONTH($E694),1))))</f>
        <v>0</v>
      </c>
      <c r="U694" s="1" t="str">
        <f>IF(OR($G694="",$H694="Mahsup"),"",$G694&amp;"|"&amp;COUNTIFS($G$7:$G694,$G694,$H$7:$H694,"&lt;&gt;Mahsup"))</f>
        <v/>
      </c>
    </row>
    <row r="695" spans="1:21" ht="18" customHeight="1" x14ac:dyDescent="0.3">
      <c r="A695" s="2"/>
      <c r="B695" s="65" t="str">
        <f t="shared" si="50"/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 t="shared" si="51"/>
        <v/>
      </c>
      <c r="M695" s="65" t="str">
        <f t="shared" ca="1" si="52"/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53"/>
        <v/>
      </c>
      <c r="S695" s="1" t="str">
        <f t="shared" si="54"/>
        <v/>
      </c>
      <c r="T695" s="1">
        <f>IF($E695="",0,SUMPRODUCT((AY_SONU!$O$7:$O$42="Evet")*(AY_SONU!$B$7:$B$42=DATE(YEAR($E695),MONTH($E695),1))))</f>
        <v>0</v>
      </c>
      <c r="U695" s="1" t="str">
        <f>IF(OR($G695="",$H695="Mahsup"),"",$G695&amp;"|"&amp;COUNTIFS($G$7:$G695,$G695,$H$7:$H695,"&lt;&gt;Mahsup"))</f>
        <v/>
      </c>
    </row>
    <row r="696" spans="1:21" ht="18" customHeight="1" x14ac:dyDescent="0.3">
      <c r="A696" s="2"/>
      <c r="B696" s="65" t="str">
        <f t="shared" si="50"/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 t="shared" si="51"/>
        <v/>
      </c>
      <c r="M696" s="65" t="str">
        <f t="shared" ca="1" si="52"/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53"/>
        <v/>
      </c>
      <c r="S696" s="1" t="str">
        <f t="shared" si="54"/>
        <v/>
      </c>
      <c r="T696" s="1">
        <f>IF($E696="",0,SUMPRODUCT((AY_SONU!$O$7:$O$42="Evet")*(AY_SONU!$B$7:$B$42=DATE(YEAR($E696),MONTH($E696),1))))</f>
        <v>0</v>
      </c>
      <c r="U696" s="1" t="str">
        <f>IF(OR($G696="",$H696="Mahsup"),"",$G696&amp;"|"&amp;COUNTIFS($G$7:$G696,$G696,$H$7:$H696,"&lt;&gt;Mahsup"))</f>
        <v/>
      </c>
    </row>
    <row r="697" spans="1:21" ht="18" customHeight="1" x14ac:dyDescent="0.3">
      <c r="A697" s="2"/>
      <c r="B697" s="65" t="str">
        <f t="shared" si="50"/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 t="shared" si="51"/>
        <v/>
      </c>
      <c r="M697" s="65" t="str">
        <f t="shared" ca="1" si="52"/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53"/>
        <v/>
      </c>
      <c r="S697" s="1" t="str">
        <f t="shared" si="54"/>
        <v/>
      </c>
      <c r="T697" s="1">
        <f>IF($E697="",0,SUMPRODUCT((AY_SONU!$O$7:$O$42="Evet")*(AY_SONU!$B$7:$B$42=DATE(YEAR($E697),MONTH($E697),1))))</f>
        <v>0</v>
      </c>
      <c r="U697" s="1" t="str">
        <f>IF(OR($G697="",$H697="Mahsup"),"",$G697&amp;"|"&amp;COUNTIFS($G$7:$G697,$G697,$H$7:$H697,"&lt;&gt;Mahsup"))</f>
        <v/>
      </c>
    </row>
    <row r="698" spans="1:21" ht="18" customHeight="1" x14ac:dyDescent="0.3">
      <c r="A698" s="2"/>
      <c r="B698" s="65" t="str">
        <f t="shared" si="50"/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 t="shared" si="51"/>
        <v/>
      </c>
      <c r="M698" s="65" t="str">
        <f t="shared" ca="1" si="52"/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53"/>
        <v/>
      </c>
      <c r="S698" s="1" t="str">
        <f t="shared" si="54"/>
        <v/>
      </c>
      <c r="T698" s="1">
        <f>IF($E698="",0,SUMPRODUCT((AY_SONU!$O$7:$O$42="Evet")*(AY_SONU!$B$7:$B$42=DATE(YEAR($E698),MONTH($E698),1))))</f>
        <v>0</v>
      </c>
      <c r="U698" s="1" t="str">
        <f>IF(OR($G698="",$H698="Mahsup"),"",$G698&amp;"|"&amp;COUNTIFS($G$7:$G698,$G698,$H$7:$H698,"&lt;&gt;Mahsup"))</f>
        <v/>
      </c>
    </row>
    <row r="699" spans="1:21" ht="18" customHeight="1" x14ac:dyDescent="0.3">
      <c r="A699" s="2"/>
      <c r="B699" s="65" t="str">
        <f t="shared" si="50"/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 t="shared" si="51"/>
        <v/>
      </c>
      <c r="M699" s="65" t="str">
        <f t="shared" ca="1" si="52"/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53"/>
        <v/>
      </c>
      <c r="S699" s="1" t="str">
        <f t="shared" si="54"/>
        <v/>
      </c>
      <c r="T699" s="1">
        <f>IF($E699="",0,SUMPRODUCT((AY_SONU!$O$7:$O$42="Evet")*(AY_SONU!$B$7:$B$42=DATE(YEAR($E699),MONTH($E699),1))))</f>
        <v>0</v>
      </c>
      <c r="U699" s="1" t="str">
        <f>IF(OR($G699="",$H699="Mahsup"),"",$G699&amp;"|"&amp;COUNTIFS($G$7:$G699,$G699,$H$7:$H699,"&lt;&gt;Mahsup"))</f>
        <v/>
      </c>
    </row>
    <row r="700" spans="1:21" ht="18" customHeight="1" x14ac:dyDescent="0.3">
      <c r="A700" s="2"/>
      <c r="B700" s="65" t="str">
        <f t="shared" si="50"/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 t="shared" si="51"/>
        <v/>
      </c>
      <c r="M700" s="65" t="str">
        <f t="shared" ca="1" si="52"/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53"/>
        <v/>
      </c>
      <c r="S700" s="1" t="str">
        <f t="shared" si="54"/>
        <v/>
      </c>
      <c r="T700" s="1">
        <f>IF($E700="",0,SUMPRODUCT((AY_SONU!$O$7:$O$42="Evet")*(AY_SONU!$B$7:$B$42=DATE(YEAR($E700),MONTH($E700),1))))</f>
        <v>0</v>
      </c>
      <c r="U700" s="1" t="str">
        <f>IF(OR($G700="",$H700="Mahsup"),"",$G700&amp;"|"&amp;COUNTIFS($G$7:$G700,$G700,$H$7:$H700,"&lt;&gt;Mahsup"))</f>
        <v/>
      </c>
    </row>
    <row r="701" spans="1:21" ht="18" customHeight="1" x14ac:dyDescent="0.3">
      <c r="A701" s="2"/>
      <c r="B701" s="65" t="str">
        <f t="shared" si="50"/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 t="shared" si="51"/>
        <v/>
      </c>
      <c r="M701" s="65" t="str">
        <f t="shared" ca="1" si="52"/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53"/>
        <v/>
      </c>
      <c r="S701" s="1" t="str">
        <f t="shared" si="54"/>
        <v/>
      </c>
      <c r="T701" s="1">
        <f>IF($E701="",0,SUMPRODUCT((AY_SONU!$O$7:$O$42="Evet")*(AY_SONU!$B$7:$B$42=DATE(YEAR($E701),MONTH($E701),1))))</f>
        <v>0</v>
      </c>
      <c r="U701" s="1" t="str">
        <f>IF(OR($G701="",$H701="Mahsup"),"",$G701&amp;"|"&amp;COUNTIFS($G$7:$G701,$G701,$H$7:$H701,"&lt;&gt;Mahsup"))</f>
        <v/>
      </c>
    </row>
    <row r="702" spans="1:21" ht="18" customHeight="1" x14ac:dyDescent="0.3">
      <c r="A702" s="2"/>
      <c r="B702" s="65" t="str">
        <f t="shared" si="50"/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 t="shared" si="51"/>
        <v/>
      </c>
      <c r="M702" s="65" t="str">
        <f t="shared" ca="1" si="52"/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53"/>
        <v/>
      </c>
      <c r="S702" s="1" t="str">
        <f t="shared" si="54"/>
        <v/>
      </c>
      <c r="T702" s="1">
        <f>IF($E702="",0,SUMPRODUCT((AY_SONU!$O$7:$O$42="Evet")*(AY_SONU!$B$7:$B$42=DATE(YEAR($E702),MONTH($E702),1))))</f>
        <v>0</v>
      </c>
      <c r="U702" s="1" t="str">
        <f>IF(OR($G702="",$H702="Mahsup"),"",$G702&amp;"|"&amp;COUNTIFS($G$7:$G702,$G702,$H$7:$H702,"&lt;&gt;Mahsup"))</f>
        <v/>
      </c>
    </row>
    <row r="703" spans="1:21" ht="18" customHeight="1" x14ac:dyDescent="0.3">
      <c r="A703" s="2"/>
      <c r="B703" s="65" t="str">
        <f t="shared" si="50"/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 t="shared" si="51"/>
        <v/>
      </c>
      <c r="M703" s="65" t="str">
        <f t="shared" ca="1" si="52"/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53"/>
        <v/>
      </c>
      <c r="S703" s="1" t="str">
        <f t="shared" si="54"/>
        <v/>
      </c>
      <c r="T703" s="1">
        <f>IF($E703="",0,SUMPRODUCT((AY_SONU!$O$7:$O$42="Evet")*(AY_SONU!$B$7:$B$42=DATE(YEAR($E703),MONTH($E703),1))))</f>
        <v>0</v>
      </c>
      <c r="U703" s="1" t="str">
        <f>IF(OR($G703="",$H703="Mahsup"),"",$G703&amp;"|"&amp;COUNTIFS($G$7:$G703,$G703,$H$7:$H703,"&lt;&gt;Mahsup"))</f>
        <v/>
      </c>
    </row>
    <row r="704" spans="1:21" ht="18" customHeight="1" x14ac:dyDescent="0.3">
      <c r="A704" s="2"/>
      <c r="B704" s="65" t="str">
        <f t="shared" si="50"/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 t="shared" si="51"/>
        <v/>
      </c>
      <c r="M704" s="65" t="str">
        <f t="shared" ca="1" si="52"/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53"/>
        <v/>
      </c>
      <c r="S704" s="1" t="str">
        <f t="shared" si="54"/>
        <v/>
      </c>
      <c r="T704" s="1">
        <f>IF($E704="",0,SUMPRODUCT((AY_SONU!$O$7:$O$42="Evet")*(AY_SONU!$B$7:$B$42=DATE(YEAR($E704),MONTH($E704),1))))</f>
        <v>0</v>
      </c>
      <c r="U704" s="1" t="str">
        <f>IF(OR($G704="",$H704="Mahsup"),"",$G704&amp;"|"&amp;COUNTIFS($G$7:$G704,$G704,$H$7:$H704,"&lt;&gt;Mahsup"))</f>
        <v/>
      </c>
    </row>
    <row r="705" spans="1:21" ht="18" customHeight="1" x14ac:dyDescent="0.3">
      <c r="A705" s="2"/>
      <c r="B705" s="65" t="str">
        <f t="shared" si="50"/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 t="shared" si="51"/>
        <v/>
      </c>
      <c r="M705" s="65" t="str">
        <f t="shared" ca="1" si="52"/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53"/>
        <v/>
      </c>
      <c r="S705" s="1" t="str">
        <f t="shared" si="54"/>
        <v/>
      </c>
      <c r="T705" s="1">
        <f>IF($E705="",0,SUMPRODUCT((AY_SONU!$O$7:$O$42="Evet")*(AY_SONU!$B$7:$B$42=DATE(YEAR($E705),MONTH($E705),1))))</f>
        <v>0</v>
      </c>
      <c r="U705" s="1" t="str">
        <f>IF(OR($G705="",$H705="Mahsup"),"",$G705&amp;"|"&amp;COUNTIFS($G$7:$G705,$G705,$H$7:$H705,"&lt;&gt;Mahsup"))</f>
        <v/>
      </c>
    </row>
    <row r="706" spans="1:21" ht="18" customHeight="1" x14ac:dyDescent="0.3">
      <c r="A706" s="2"/>
      <c r="B706" s="65" t="str">
        <f t="shared" si="50"/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 t="shared" si="51"/>
        <v/>
      </c>
      <c r="M706" s="65" t="str">
        <f t="shared" ca="1" si="52"/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53"/>
        <v/>
      </c>
      <c r="S706" s="1" t="str">
        <f t="shared" si="54"/>
        <v/>
      </c>
      <c r="T706" s="1">
        <f>IF($E706="",0,SUMPRODUCT((AY_SONU!$O$7:$O$42="Evet")*(AY_SONU!$B$7:$B$42=DATE(YEAR($E706),MONTH($E706),1))))</f>
        <v>0</v>
      </c>
      <c r="U706" s="1" t="str">
        <f>IF(OR($G706="",$H706="Mahsup"),"",$G706&amp;"|"&amp;COUNTIFS($G$7:$G706,$G706,$H$7:$H706,"&lt;&gt;Mahsup"))</f>
        <v/>
      </c>
    </row>
    <row r="707" spans="1:21" ht="18" customHeight="1" x14ac:dyDescent="0.3">
      <c r="A707" s="2"/>
      <c r="B707" s="65" t="str">
        <f t="shared" si="50"/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 t="shared" si="51"/>
        <v/>
      </c>
      <c r="M707" s="65" t="str">
        <f t="shared" ca="1" si="52"/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53"/>
        <v/>
      </c>
      <c r="S707" s="1" t="str">
        <f t="shared" si="54"/>
        <v/>
      </c>
      <c r="T707" s="1">
        <f>IF($E707="",0,SUMPRODUCT((AY_SONU!$O$7:$O$42="Evet")*(AY_SONU!$B$7:$B$42=DATE(YEAR($E707),MONTH($E707),1))))</f>
        <v>0</v>
      </c>
      <c r="U707" s="1" t="str">
        <f>IF(OR($G707="",$H707="Mahsup"),"",$G707&amp;"|"&amp;COUNTIFS($G$7:$G707,$G707,$H$7:$H707,"&lt;&gt;Mahsup"))</f>
        <v/>
      </c>
    </row>
    <row r="708" spans="1:21" ht="18" customHeight="1" x14ac:dyDescent="0.3">
      <c r="A708" s="2"/>
      <c r="B708" s="65" t="str">
        <f t="shared" si="50"/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 t="shared" si="51"/>
        <v/>
      </c>
      <c r="M708" s="65" t="str">
        <f t="shared" ca="1" si="52"/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53"/>
        <v/>
      </c>
      <c r="S708" s="1" t="str">
        <f t="shared" si="54"/>
        <v/>
      </c>
      <c r="T708" s="1">
        <f>IF($E708="",0,SUMPRODUCT((AY_SONU!$O$7:$O$42="Evet")*(AY_SONU!$B$7:$B$42=DATE(YEAR($E708),MONTH($E708),1))))</f>
        <v>0</v>
      </c>
      <c r="U708" s="1" t="str">
        <f>IF(OR($G708="",$H708="Mahsup"),"",$G708&amp;"|"&amp;COUNTIFS($G$7:$G708,$G708,$H$7:$H708,"&lt;&gt;Mahsup"))</f>
        <v/>
      </c>
    </row>
    <row r="709" spans="1:21" ht="18" customHeight="1" x14ac:dyDescent="0.3">
      <c r="A709" s="2"/>
      <c r="B709" s="65" t="str">
        <f t="shared" si="50"/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 t="shared" si="51"/>
        <v/>
      </c>
      <c r="M709" s="65" t="str">
        <f t="shared" ca="1" si="52"/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53"/>
        <v/>
      </c>
      <c r="S709" s="1" t="str">
        <f t="shared" si="54"/>
        <v/>
      </c>
      <c r="T709" s="1">
        <f>IF($E709="",0,SUMPRODUCT((AY_SONU!$O$7:$O$42="Evet")*(AY_SONU!$B$7:$B$42=DATE(YEAR($E709),MONTH($E709),1))))</f>
        <v>0</v>
      </c>
      <c r="U709" s="1" t="str">
        <f>IF(OR($G709="",$H709="Mahsup"),"",$G709&amp;"|"&amp;COUNTIFS($G$7:$G709,$G709,$H$7:$H709,"&lt;&gt;Mahsup"))</f>
        <v/>
      </c>
    </row>
    <row r="710" spans="1:21" ht="18" customHeight="1" x14ac:dyDescent="0.3">
      <c r="A710" s="2"/>
      <c r="B710" s="65" t="str">
        <f t="shared" si="50"/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 t="shared" si="51"/>
        <v/>
      </c>
      <c r="M710" s="65" t="str">
        <f t="shared" ca="1" si="52"/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53"/>
        <v/>
      </c>
      <c r="S710" s="1" t="str">
        <f t="shared" si="54"/>
        <v/>
      </c>
      <c r="T710" s="1">
        <f>IF($E710="",0,SUMPRODUCT((AY_SONU!$O$7:$O$42="Evet")*(AY_SONU!$B$7:$B$42=DATE(YEAR($E710),MONTH($E710),1))))</f>
        <v>0</v>
      </c>
      <c r="U710" s="1" t="str">
        <f>IF(OR($G710="",$H710="Mahsup"),"",$G710&amp;"|"&amp;COUNTIFS($G$7:$G710,$G710,$H$7:$H710,"&lt;&gt;Mahsup"))</f>
        <v/>
      </c>
    </row>
    <row r="711" spans="1:21" ht="18" customHeight="1" x14ac:dyDescent="0.3">
      <c r="A711" s="2"/>
      <c r="B711" s="65" t="str">
        <f t="shared" ref="B711:B774" si="55"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 t="shared" ref="L711:L774" si="56">IF($E711="","",DATE(YEAR($E711),MONTH($E711),1))</f>
        <v/>
      </c>
      <c r="M711" s="65" t="str">
        <f t="shared" ref="M711:M774" ca="1" si="57"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58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59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  <c r="U711" s="1" t="str">
        <f>IF(OR($G711="",$H711="Mahsup"),"",$G711&amp;"|"&amp;COUNTIFS($G$7:$G711,$G711,$H$7:$H711,"&lt;&gt;Mahsup"))</f>
        <v/>
      </c>
    </row>
    <row r="712" spans="1:21" ht="18" customHeight="1" x14ac:dyDescent="0.3">
      <c r="A712" s="2"/>
      <c r="B712" s="65" t="str">
        <f t="shared" si="55"/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 t="shared" si="56"/>
        <v/>
      </c>
      <c r="M712" s="65" t="str">
        <f t="shared" ca="1" si="57"/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58"/>
        <v/>
      </c>
      <c r="S712" s="1" t="str">
        <f t="shared" si="59"/>
        <v/>
      </c>
      <c r="T712" s="1">
        <f>IF($E712="",0,SUMPRODUCT((AY_SONU!$O$7:$O$42="Evet")*(AY_SONU!$B$7:$B$42=DATE(YEAR($E712),MONTH($E712),1))))</f>
        <v>0</v>
      </c>
      <c r="U712" s="1" t="str">
        <f>IF(OR($G712="",$H712="Mahsup"),"",$G712&amp;"|"&amp;COUNTIFS($G$7:$G712,$G712,$H$7:$H712,"&lt;&gt;Mahsup"))</f>
        <v/>
      </c>
    </row>
    <row r="713" spans="1:21" ht="18" customHeight="1" x14ac:dyDescent="0.3">
      <c r="A713" s="2"/>
      <c r="B713" s="65" t="str">
        <f t="shared" si="55"/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 t="shared" si="56"/>
        <v/>
      </c>
      <c r="M713" s="65" t="str">
        <f t="shared" ca="1" si="57"/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58"/>
        <v/>
      </c>
      <c r="S713" s="1" t="str">
        <f t="shared" si="59"/>
        <v/>
      </c>
      <c r="T713" s="1">
        <f>IF($E713="",0,SUMPRODUCT((AY_SONU!$O$7:$O$42="Evet")*(AY_SONU!$B$7:$B$42=DATE(YEAR($E713),MONTH($E713),1))))</f>
        <v>0</v>
      </c>
      <c r="U713" s="1" t="str">
        <f>IF(OR($G713="",$H713="Mahsup"),"",$G713&amp;"|"&amp;COUNTIFS($G$7:$G713,$G713,$H$7:$H713,"&lt;&gt;Mahsup"))</f>
        <v/>
      </c>
    </row>
    <row r="714" spans="1:21" ht="18" customHeight="1" x14ac:dyDescent="0.3">
      <c r="A714" s="2"/>
      <c r="B714" s="65" t="str">
        <f t="shared" si="55"/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 t="shared" si="56"/>
        <v/>
      </c>
      <c r="M714" s="65" t="str">
        <f t="shared" ca="1" si="57"/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58"/>
        <v/>
      </c>
      <c r="S714" s="1" t="str">
        <f t="shared" si="59"/>
        <v/>
      </c>
      <c r="T714" s="1">
        <f>IF($E714="",0,SUMPRODUCT((AY_SONU!$O$7:$O$42="Evet")*(AY_SONU!$B$7:$B$42=DATE(YEAR($E714),MONTH($E714),1))))</f>
        <v>0</v>
      </c>
      <c r="U714" s="1" t="str">
        <f>IF(OR($G714="",$H714="Mahsup"),"",$G714&amp;"|"&amp;COUNTIFS($G$7:$G714,$G714,$H$7:$H714,"&lt;&gt;Mahsup"))</f>
        <v/>
      </c>
    </row>
    <row r="715" spans="1:21" ht="18" customHeight="1" x14ac:dyDescent="0.3">
      <c r="A715" s="2"/>
      <c r="B715" s="65" t="str">
        <f t="shared" si="55"/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 t="shared" si="56"/>
        <v/>
      </c>
      <c r="M715" s="65" t="str">
        <f t="shared" ca="1" si="57"/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58"/>
        <v/>
      </c>
      <c r="S715" s="1" t="str">
        <f t="shared" si="59"/>
        <v/>
      </c>
      <c r="T715" s="1">
        <f>IF($E715="",0,SUMPRODUCT((AY_SONU!$O$7:$O$42="Evet")*(AY_SONU!$B$7:$B$42=DATE(YEAR($E715),MONTH($E715),1))))</f>
        <v>0</v>
      </c>
      <c r="U715" s="1" t="str">
        <f>IF(OR($G715="",$H715="Mahsup"),"",$G715&amp;"|"&amp;COUNTIFS($G$7:$G715,$G715,$H$7:$H715,"&lt;&gt;Mahsup"))</f>
        <v/>
      </c>
    </row>
    <row r="716" spans="1:21" ht="18" customHeight="1" x14ac:dyDescent="0.3">
      <c r="A716" s="2"/>
      <c r="B716" s="65" t="str">
        <f t="shared" si="55"/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 t="shared" si="56"/>
        <v/>
      </c>
      <c r="M716" s="65" t="str">
        <f t="shared" ca="1" si="57"/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58"/>
        <v/>
      </c>
      <c r="S716" s="1" t="str">
        <f t="shared" si="59"/>
        <v/>
      </c>
      <c r="T716" s="1">
        <f>IF($E716="",0,SUMPRODUCT((AY_SONU!$O$7:$O$42="Evet")*(AY_SONU!$B$7:$B$42=DATE(YEAR($E716),MONTH($E716),1))))</f>
        <v>0</v>
      </c>
      <c r="U716" s="1" t="str">
        <f>IF(OR($G716="",$H716="Mahsup"),"",$G716&amp;"|"&amp;COUNTIFS($G$7:$G716,$G716,$H$7:$H716,"&lt;&gt;Mahsup"))</f>
        <v/>
      </c>
    </row>
    <row r="717" spans="1:21" ht="18" customHeight="1" x14ac:dyDescent="0.3">
      <c r="A717" s="2"/>
      <c r="B717" s="65" t="str">
        <f t="shared" si="55"/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 t="shared" si="56"/>
        <v/>
      </c>
      <c r="M717" s="65" t="str">
        <f t="shared" ca="1" si="57"/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58"/>
        <v/>
      </c>
      <c r="S717" s="1" t="str">
        <f t="shared" si="59"/>
        <v/>
      </c>
      <c r="T717" s="1">
        <f>IF($E717="",0,SUMPRODUCT((AY_SONU!$O$7:$O$42="Evet")*(AY_SONU!$B$7:$B$42=DATE(YEAR($E717),MONTH($E717),1))))</f>
        <v>0</v>
      </c>
      <c r="U717" s="1" t="str">
        <f>IF(OR($G717="",$H717="Mahsup"),"",$G717&amp;"|"&amp;COUNTIFS($G$7:$G717,$G717,$H$7:$H717,"&lt;&gt;Mahsup"))</f>
        <v/>
      </c>
    </row>
    <row r="718" spans="1:21" ht="18" customHeight="1" x14ac:dyDescent="0.3">
      <c r="A718" s="2"/>
      <c r="B718" s="65" t="str">
        <f t="shared" si="55"/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 t="shared" si="56"/>
        <v/>
      </c>
      <c r="M718" s="65" t="str">
        <f t="shared" ca="1" si="57"/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58"/>
        <v/>
      </c>
      <c r="S718" s="1" t="str">
        <f t="shared" si="59"/>
        <v/>
      </c>
      <c r="T718" s="1">
        <f>IF($E718="",0,SUMPRODUCT((AY_SONU!$O$7:$O$42="Evet")*(AY_SONU!$B$7:$B$42=DATE(YEAR($E718),MONTH($E718),1))))</f>
        <v>0</v>
      </c>
      <c r="U718" s="1" t="str">
        <f>IF(OR($G718="",$H718="Mahsup"),"",$G718&amp;"|"&amp;COUNTIFS($G$7:$G718,$G718,$H$7:$H718,"&lt;&gt;Mahsup"))</f>
        <v/>
      </c>
    </row>
    <row r="719" spans="1:21" ht="18" customHeight="1" x14ac:dyDescent="0.3">
      <c r="A719" s="2"/>
      <c r="B719" s="65" t="str">
        <f t="shared" si="55"/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 t="shared" si="56"/>
        <v/>
      </c>
      <c r="M719" s="65" t="str">
        <f t="shared" ca="1" si="57"/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58"/>
        <v/>
      </c>
      <c r="S719" s="1" t="str">
        <f t="shared" si="59"/>
        <v/>
      </c>
      <c r="T719" s="1">
        <f>IF($E719="",0,SUMPRODUCT((AY_SONU!$O$7:$O$42="Evet")*(AY_SONU!$B$7:$B$42=DATE(YEAR($E719),MONTH($E719),1))))</f>
        <v>0</v>
      </c>
      <c r="U719" s="1" t="str">
        <f>IF(OR($G719="",$H719="Mahsup"),"",$G719&amp;"|"&amp;COUNTIFS($G$7:$G719,$G719,$H$7:$H719,"&lt;&gt;Mahsup"))</f>
        <v/>
      </c>
    </row>
    <row r="720" spans="1:21" ht="18" customHeight="1" x14ac:dyDescent="0.3">
      <c r="A720" s="2"/>
      <c r="B720" s="65" t="str">
        <f t="shared" si="55"/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 t="shared" si="56"/>
        <v/>
      </c>
      <c r="M720" s="65" t="str">
        <f t="shared" ca="1" si="57"/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58"/>
        <v/>
      </c>
      <c r="S720" s="1" t="str">
        <f t="shared" si="59"/>
        <v/>
      </c>
      <c r="T720" s="1">
        <f>IF($E720="",0,SUMPRODUCT((AY_SONU!$O$7:$O$42="Evet")*(AY_SONU!$B$7:$B$42=DATE(YEAR($E720),MONTH($E720),1))))</f>
        <v>0</v>
      </c>
      <c r="U720" s="1" t="str">
        <f>IF(OR($G720="",$H720="Mahsup"),"",$G720&amp;"|"&amp;COUNTIFS($G$7:$G720,$G720,$H$7:$H720,"&lt;&gt;Mahsup"))</f>
        <v/>
      </c>
    </row>
    <row r="721" spans="1:21" ht="18" customHeight="1" x14ac:dyDescent="0.3">
      <c r="A721" s="2"/>
      <c r="B721" s="65" t="str">
        <f t="shared" si="55"/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 t="shared" si="56"/>
        <v/>
      </c>
      <c r="M721" s="65" t="str">
        <f t="shared" ca="1" si="57"/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58"/>
        <v/>
      </c>
      <c r="S721" s="1" t="str">
        <f t="shared" si="59"/>
        <v/>
      </c>
      <c r="T721" s="1">
        <f>IF($E721="",0,SUMPRODUCT((AY_SONU!$O$7:$O$42="Evet")*(AY_SONU!$B$7:$B$42=DATE(YEAR($E721),MONTH($E721),1))))</f>
        <v>0</v>
      </c>
      <c r="U721" s="1" t="str">
        <f>IF(OR($G721="",$H721="Mahsup"),"",$G721&amp;"|"&amp;COUNTIFS($G$7:$G721,$G721,$H$7:$H721,"&lt;&gt;Mahsup"))</f>
        <v/>
      </c>
    </row>
    <row r="722" spans="1:21" ht="18" customHeight="1" x14ac:dyDescent="0.3">
      <c r="A722" s="2"/>
      <c r="B722" s="65" t="str">
        <f t="shared" si="55"/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 t="shared" si="56"/>
        <v/>
      </c>
      <c r="M722" s="65" t="str">
        <f t="shared" ca="1" si="57"/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58"/>
        <v/>
      </c>
      <c r="S722" s="1" t="str">
        <f t="shared" si="59"/>
        <v/>
      </c>
      <c r="T722" s="1">
        <f>IF($E722="",0,SUMPRODUCT((AY_SONU!$O$7:$O$42="Evet")*(AY_SONU!$B$7:$B$42=DATE(YEAR($E722),MONTH($E722),1))))</f>
        <v>0</v>
      </c>
      <c r="U722" s="1" t="str">
        <f>IF(OR($G722="",$H722="Mahsup"),"",$G722&amp;"|"&amp;COUNTIFS($G$7:$G722,$G722,$H$7:$H722,"&lt;&gt;Mahsup"))</f>
        <v/>
      </c>
    </row>
    <row r="723" spans="1:21" ht="18" customHeight="1" x14ac:dyDescent="0.3">
      <c r="A723" s="2"/>
      <c r="B723" s="65" t="str">
        <f t="shared" si="55"/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 t="shared" si="56"/>
        <v/>
      </c>
      <c r="M723" s="65" t="str">
        <f t="shared" ca="1" si="57"/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58"/>
        <v/>
      </c>
      <c r="S723" s="1" t="str">
        <f t="shared" si="59"/>
        <v/>
      </c>
      <c r="T723" s="1">
        <f>IF($E723="",0,SUMPRODUCT((AY_SONU!$O$7:$O$42="Evet")*(AY_SONU!$B$7:$B$42=DATE(YEAR($E723),MONTH($E723),1))))</f>
        <v>0</v>
      </c>
      <c r="U723" s="1" t="str">
        <f>IF(OR($G723="",$H723="Mahsup"),"",$G723&amp;"|"&amp;COUNTIFS($G$7:$G723,$G723,$H$7:$H723,"&lt;&gt;Mahsup"))</f>
        <v/>
      </c>
    </row>
    <row r="724" spans="1:21" ht="18" customHeight="1" x14ac:dyDescent="0.3">
      <c r="A724" s="2"/>
      <c r="B724" s="65" t="str">
        <f t="shared" si="55"/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 t="shared" si="56"/>
        <v/>
      </c>
      <c r="M724" s="65" t="str">
        <f t="shared" ca="1" si="57"/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58"/>
        <v/>
      </c>
      <c r="S724" s="1" t="str">
        <f t="shared" si="59"/>
        <v/>
      </c>
      <c r="T724" s="1">
        <f>IF($E724="",0,SUMPRODUCT((AY_SONU!$O$7:$O$42="Evet")*(AY_SONU!$B$7:$B$42=DATE(YEAR($E724),MONTH($E724),1))))</f>
        <v>0</v>
      </c>
      <c r="U724" s="1" t="str">
        <f>IF(OR($G724="",$H724="Mahsup"),"",$G724&amp;"|"&amp;COUNTIFS($G$7:$G724,$G724,$H$7:$H724,"&lt;&gt;Mahsup"))</f>
        <v/>
      </c>
    </row>
    <row r="725" spans="1:21" ht="18" customHeight="1" x14ac:dyDescent="0.3">
      <c r="A725" s="2"/>
      <c r="B725" s="65" t="str">
        <f t="shared" si="55"/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 t="shared" si="56"/>
        <v/>
      </c>
      <c r="M725" s="65" t="str">
        <f t="shared" ca="1" si="57"/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58"/>
        <v/>
      </c>
      <c r="S725" s="1" t="str">
        <f t="shared" si="59"/>
        <v/>
      </c>
      <c r="T725" s="1">
        <f>IF($E725="",0,SUMPRODUCT((AY_SONU!$O$7:$O$42="Evet")*(AY_SONU!$B$7:$B$42=DATE(YEAR($E725),MONTH($E725),1))))</f>
        <v>0</v>
      </c>
      <c r="U725" s="1" t="str">
        <f>IF(OR($G725="",$H725="Mahsup"),"",$G725&amp;"|"&amp;COUNTIFS($G$7:$G725,$G725,$H$7:$H725,"&lt;&gt;Mahsup"))</f>
        <v/>
      </c>
    </row>
    <row r="726" spans="1:21" ht="18" customHeight="1" x14ac:dyDescent="0.3">
      <c r="A726" s="2"/>
      <c r="B726" s="65" t="str">
        <f t="shared" si="55"/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 t="shared" si="56"/>
        <v/>
      </c>
      <c r="M726" s="65" t="str">
        <f t="shared" ca="1" si="57"/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58"/>
        <v/>
      </c>
      <c r="S726" s="1" t="str">
        <f t="shared" si="59"/>
        <v/>
      </c>
      <c r="T726" s="1">
        <f>IF($E726="",0,SUMPRODUCT((AY_SONU!$O$7:$O$42="Evet")*(AY_SONU!$B$7:$B$42=DATE(YEAR($E726),MONTH($E726),1))))</f>
        <v>0</v>
      </c>
      <c r="U726" s="1" t="str">
        <f>IF(OR($G726="",$H726="Mahsup"),"",$G726&amp;"|"&amp;COUNTIFS($G$7:$G726,$G726,$H$7:$H726,"&lt;&gt;Mahsup"))</f>
        <v/>
      </c>
    </row>
    <row r="727" spans="1:21" ht="18" customHeight="1" x14ac:dyDescent="0.3">
      <c r="A727" s="2"/>
      <c r="B727" s="65" t="str">
        <f t="shared" si="55"/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 t="shared" si="56"/>
        <v/>
      </c>
      <c r="M727" s="65" t="str">
        <f t="shared" ca="1" si="57"/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58"/>
        <v/>
      </c>
      <c r="S727" s="1" t="str">
        <f t="shared" si="59"/>
        <v/>
      </c>
      <c r="T727" s="1">
        <f>IF($E727="",0,SUMPRODUCT((AY_SONU!$O$7:$O$42="Evet")*(AY_SONU!$B$7:$B$42=DATE(YEAR($E727),MONTH($E727),1))))</f>
        <v>0</v>
      </c>
      <c r="U727" s="1" t="str">
        <f>IF(OR($G727="",$H727="Mahsup"),"",$G727&amp;"|"&amp;COUNTIFS($G$7:$G727,$G727,$H$7:$H727,"&lt;&gt;Mahsup"))</f>
        <v/>
      </c>
    </row>
    <row r="728" spans="1:21" ht="18" customHeight="1" x14ac:dyDescent="0.3">
      <c r="A728" s="2"/>
      <c r="B728" s="65" t="str">
        <f t="shared" si="55"/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 t="shared" si="56"/>
        <v/>
      </c>
      <c r="M728" s="65" t="str">
        <f t="shared" ca="1" si="57"/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58"/>
        <v/>
      </c>
      <c r="S728" s="1" t="str">
        <f t="shared" si="59"/>
        <v/>
      </c>
      <c r="T728" s="1">
        <f>IF($E728="",0,SUMPRODUCT((AY_SONU!$O$7:$O$42="Evet")*(AY_SONU!$B$7:$B$42=DATE(YEAR($E728),MONTH($E728),1))))</f>
        <v>0</v>
      </c>
      <c r="U728" s="1" t="str">
        <f>IF(OR($G728="",$H728="Mahsup"),"",$G728&amp;"|"&amp;COUNTIFS($G$7:$G728,$G728,$H$7:$H728,"&lt;&gt;Mahsup"))</f>
        <v/>
      </c>
    </row>
    <row r="729" spans="1:21" ht="18" customHeight="1" x14ac:dyDescent="0.3">
      <c r="A729" s="2"/>
      <c r="B729" s="65" t="str">
        <f t="shared" si="55"/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 t="shared" si="56"/>
        <v/>
      </c>
      <c r="M729" s="65" t="str">
        <f t="shared" ca="1" si="57"/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58"/>
        <v/>
      </c>
      <c r="S729" s="1" t="str">
        <f t="shared" si="59"/>
        <v/>
      </c>
      <c r="T729" s="1">
        <f>IF($E729="",0,SUMPRODUCT((AY_SONU!$O$7:$O$42="Evet")*(AY_SONU!$B$7:$B$42=DATE(YEAR($E729),MONTH($E729),1))))</f>
        <v>0</v>
      </c>
      <c r="U729" s="1" t="str">
        <f>IF(OR($G729="",$H729="Mahsup"),"",$G729&amp;"|"&amp;COUNTIFS($G$7:$G729,$G729,$H$7:$H729,"&lt;&gt;Mahsup"))</f>
        <v/>
      </c>
    </row>
    <row r="730" spans="1:21" ht="18" customHeight="1" x14ac:dyDescent="0.3">
      <c r="A730" s="2"/>
      <c r="B730" s="65" t="str">
        <f t="shared" si="55"/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 t="shared" si="56"/>
        <v/>
      </c>
      <c r="M730" s="65" t="str">
        <f t="shared" ca="1" si="57"/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58"/>
        <v/>
      </c>
      <c r="S730" s="1" t="str">
        <f t="shared" si="59"/>
        <v/>
      </c>
      <c r="T730" s="1">
        <f>IF($E730="",0,SUMPRODUCT((AY_SONU!$O$7:$O$42="Evet")*(AY_SONU!$B$7:$B$42=DATE(YEAR($E730),MONTH($E730),1))))</f>
        <v>0</v>
      </c>
      <c r="U730" s="1" t="str">
        <f>IF(OR($G730="",$H730="Mahsup"),"",$G730&amp;"|"&amp;COUNTIFS($G$7:$G730,$G730,$H$7:$H730,"&lt;&gt;Mahsup"))</f>
        <v/>
      </c>
    </row>
    <row r="731" spans="1:21" ht="18" customHeight="1" x14ac:dyDescent="0.3">
      <c r="A731" s="2"/>
      <c r="B731" s="65" t="str">
        <f t="shared" si="55"/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 t="shared" si="56"/>
        <v/>
      </c>
      <c r="M731" s="65" t="str">
        <f t="shared" ca="1" si="57"/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58"/>
        <v/>
      </c>
      <c r="S731" s="1" t="str">
        <f t="shared" si="59"/>
        <v/>
      </c>
      <c r="T731" s="1">
        <f>IF($E731="",0,SUMPRODUCT((AY_SONU!$O$7:$O$42="Evet")*(AY_SONU!$B$7:$B$42=DATE(YEAR($E731),MONTH($E731),1))))</f>
        <v>0</v>
      </c>
      <c r="U731" s="1" t="str">
        <f>IF(OR($G731="",$H731="Mahsup"),"",$G731&amp;"|"&amp;COUNTIFS($G$7:$G731,$G731,$H$7:$H731,"&lt;&gt;Mahsup"))</f>
        <v/>
      </c>
    </row>
    <row r="732" spans="1:21" ht="18" customHeight="1" x14ac:dyDescent="0.3">
      <c r="A732" s="2"/>
      <c r="B732" s="65" t="str">
        <f t="shared" si="55"/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 t="shared" si="56"/>
        <v/>
      </c>
      <c r="M732" s="65" t="str">
        <f t="shared" ca="1" si="57"/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58"/>
        <v/>
      </c>
      <c r="S732" s="1" t="str">
        <f t="shared" si="59"/>
        <v/>
      </c>
      <c r="T732" s="1">
        <f>IF($E732="",0,SUMPRODUCT((AY_SONU!$O$7:$O$42="Evet")*(AY_SONU!$B$7:$B$42=DATE(YEAR($E732),MONTH($E732),1))))</f>
        <v>0</v>
      </c>
      <c r="U732" s="1" t="str">
        <f>IF(OR($G732="",$H732="Mahsup"),"",$G732&amp;"|"&amp;COUNTIFS($G$7:$G732,$G732,$H$7:$H732,"&lt;&gt;Mahsup"))</f>
        <v/>
      </c>
    </row>
    <row r="733" spans="1:21" ht="18" customHeight="1" x14ac:dyDescent="0.3">
      <c r="A733" s="2"/>
      <c r="B733" s="65" t="str">
        <f t="shared" si="55"/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 t="shared" si="56"/>
        <v/>
      </c>
      <c r="M733" s="65" t="str">
        <f t="shared" ca="1" si="57"/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58"/>
        <v/>
      </c>
      <c r="S733" s="1" t="str">
        <f t="shared" si="59"/>
        <v/>
      </c>
      <c r="T733" s="1">
        <f>IF($E733="",0,SUMPRODUCT((AY_SONU!$O$7:$O$42="Evet")*(AY_SONU!$B$7:$B$42=DATE(YEAR($E733),MONTH($E733),1))))</f>
        <v>0</v>
      </c>
      <c r="U733" s="1" t="str">
        <f>IF(OR($G733="",$H733="Mahsup"),"",$G733&amp;"|"&amp;COUNTIFS($G$7:$G733,$G733,$H$7:$H733,"&lt;&gt;Mahsup"))</f>
        <v/>
      </c>
    </row>
    <row r="734" spans="1:21" ht="18" customHeight="1" x14ac:dyDescent="0.3">
      <c r="A734" s="2"/>
      <c r="B734" s="65" t="str">
        <f t="shared" si="55"/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 t="shared" si="56"/>
        <v/>
      </c>
      <c r="M734" s="65" t="str">
        <f t="shared" ca="1" si="57"/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58"/>
        <v/>
      </c>
      <c r="S734" s="1" t="str">
        <f t="shared" si="59"/>
        <v/>
      </c>
      <c r="T734" s="1">
        <f>IF($E734="",0,SUMPRODUCT((AY_SONU!$O$7:$O$42="Evet")*(AY_SONU!$B$7:$B$42=DATE(YEAR($E734),MONTH($E734),1))))</f>
        <v>0</v>
      </c>
      <c r="U734" s="1" t="str">
        <f>IF(OR($G734="",$H734="Mahsup"),"",$G734&amp;"|"&amp;COUNTIFS($G$7:$G734,$G734,$H$7:$H734,"&lt;&gt;Mahsup"))</f>
        <v/>
      </c>
    </row>
    <row r="735" spans="1:21" ht="18" customHeight="1" x14ac:dyDescent="0.3">
      <c r="A735" s="2"/>
      <c r="B735" s="65" t="str">
        <f t="shared" si="55"/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 t="shared" si="56"/>
        <v/>
      </c>
      <c r="M735" s="65" t="str">
        <f t="shared" ca="1" si="57"/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58"/>
        <v/>
      </c>
      <c r="S735" s="1" t="str">
        <f t="shared" si="59"/>
        <v/>
      </c>
      <c r="T735" s="1">
        <f>IF($E735="",0,SUMPRODUCT((AY_SONU!$O$7:$O$42="Evet")*(AY_SONU!$B$7:$B$42=DATE(YEAR($E735),MONTH($E735),1))))</f>
        <v>0</v>
      </c>
      <c r="U735" s="1" t="str">
        <f>IF(OR($G735="",$H735="Mahsup"),"",$G735&amp;"|"&amp;COUNTIFS($G$7:$G735,$G735,$H$7:$H735,"&lt;&gt;Mahsup"))</f>
        <v/>
      </c>
    </row>
    <row r="736" spans="1:21" ht="18" customHeight="1" x14ac:dyDescent="0.3">
      <c r="A736" s="2"/>
      <c r="B736" s="65" t="str">
        <f t="shared" si="55"/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 t="shared" si="56"/>
        <v/>
      </c>
      <c r="M736" s="65" t="str">
        <f t="shared" ca="1" si="57"/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58"/>
        <v/>
      </c>
      <c r="S736" s="1" t="str">
        <f t="shared" si="59"/>
        <v/>
      </c>
      <c r="T736" s="1">
        <f>IF($E736="",0,SUMPRODUCT((AY_SONU!$O$7:$O$42="Evet")*(AY_SONU!$B$7:$B$42=DATE(YEAR($E736),MONTH($E736),1))))</f>
        <v>0</v>
      </c>
      <c r="U736" s="1" t="str">
        <f>IF(OR($G736="",$H736="Mahsup"),"",$G736&amp;"|"&amp;COUNTIFS($G$7:$G736,$G736,$H$7:$H736,"&lt;&gt;Mahsup"))</f>
        <v/>
      </c>
    </row>
    <row r="737" spans="1:21" ht="18" customHeight="1" x14ac:dyDescent="0.3">
      <c r="A737" s="2"/>
      <c r="B737" s="65" t="str">
        <f t="shared" si="55"/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 t="shared" si="56"/>
        <v/>
      </c>
      <c r="M737" s="65" t="str">
        <f t="shared" ca="1" si="57"/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58"/>
        <v/>
      </c>
      <c r="S737" s="1" t="str">
        <f t="shared" si="59"/>
        <v/>
      </c>
      <c r="T737" s="1">
        <f>IF($E737="",0,SUMPRODUCT((AY_SONU!$O$7:$O$42="Evet")*(AY_SONU!$B$7:$B$42=DATE(YEAR($E737),MONTH($E737),1))))</f>
        <v>0</v>
      </c>
      <c r="U737" s="1" t="str">
        <f>IF(OR($G737="",$H737="Mahsup"),"",$G737&amp;"|"&amp;COUNTIFS($G$7:$G737,$G737,$H$7:$H737,"&lt;&gt;Mahsup"))</f>
        <v/>
      </c>
    </row>
    <row r="738" spans="1:21" ht="18" customHeight="1" x14ac:dyDescent="0.3">
      <c r="A738" s="2"/>
      <c r="B738" s="65" t="str">
        <f t="shared" si="55"/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 t="shared" si="56"/>
        <v/>
      </c>
      <c r="M738" s="65" t="str">
        <f t="shared" ca="1" si="57"/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58"/>
        <v/>
      </c>
      <c r="S738" s="1" t="str">
        <f t="shared" si="59"/>
        <v/>
      </c>
      <c r="T738" s="1">
        <f>IF($E738="",0,SUMPRODUCT((AY_SONU!$O$7:$O$42="Evet")*(AY_SONU!$B$7:$B$42=DATE(YEAR($E738),MONTH($E738),1))))</f>
        <v>0</v>
      </c>
      <c r="U738" s="1" t="str">
        <f>IF(OR($G738="",$H738="Mahsup"),"",$G738&amp;"|"&amp;COUNTIFS($G$7:$G738,$G738,$H$7:$H738,"&lt;&gt;Mahsup"))</f>
        <v/>
      </c>
    </row>
    <row r="739" spans="1:21" ht="18" customHeight="1" x14ac:dyDescent="0.3">
      <c r="A739" s="2"/>
      <c r="B739" s="65" t="str">
        <f t="shared" si="55"/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 t="shared" si="56"/>
        <v/>
      </c>
      <c r="M739" s="65" t="str">
        <f t="shared" ca="1" si="57"/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58"/>
        <v/>
      </c>
      <c r="S739" s="1" t="str">
        <f t="shared" si="59"/>
        <v/>
      </c>
      <c r="T739" s="1">
        <f>IF($E739="",0,SUMPRODUCT((AY_SONU!$O$7:$O$42="Evet")*(AY_SONU!$B$7:$B$42=DATE(YEAR($E739),MONTH($E739),1))))</f>
        <v>0</v>
      </c>
      <c r="U739" s="1" t="str">
        <f>IF(OR($G739="",$H739="Mahsup"),"",$G739&amp;"|"&amp;COUNTIFS($G$7:$G739,$G739,$H$7:$H739,"&lt;&gt;Mahsup"))</f>
        <v/>
      </c>
    </row>
    <row r="740" spans="1:21" ht="18" customHeight="1" x14ac:dyDescent="0.3">
      <c r="A740" s="2"/>
      <c r="B740" s="65" t="str">
        <f t="shared" si="55"/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 t="shared" si="56"/>
        <v/>
      </c>
      <c r="M740" s="65" t="str">
        <f t="shared" ca="1" si="57"/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58"/>
        <v/>
      </c>
      <c r="S740" s="1" t="str">
        <f t="shared" si="59"/>
        <v/>
      </c>
      <c r="T740" s="1">
        <f>IF($E740="",0,SUMPRODUCT((AY_SONU!$O$7:$O$42="Evet")*(AY_SONU!$B$7:$B$42=DATE(YEAR($E740),MONTH($E740),1))))</f>
        <v>0</v>
      </c>
      <c r="U740" s="1" t="str">
        <f>IF(OR($G740="",$H740="Mahsup"),"",$G740&amp;"|"&amp;COUNTIFS($G$7:$G740,$G740,$H$7:$H740,"&lt;&gt;Mahsup"))</f>
        <v/>
      </c>
    </row>
    <row r="741" spans="1:21" ht="18" customHeight="1" x14ac:dyDescent="0.3">
      <c r="A741" s="2"/>
      <c r="B741" s="65" t="str">
        <f t="shared" si="55"/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 t="shared" si="56"/>
        <v/>
      </c>
      <c r="M741" s="65" t="str">
        <f t="shared" ca="1" si="57"/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58"/>
        <v/>
      </c>
      <c r="S741" s="1" t="str">
        <f t="shared" si="59"/>
        <v/>
      </c>
      <c r="T741" s="1">
        <f>IF($E741="",0,SUMPRODUCT((AY_SONU!$O$7:$O$42="Evet")*(AY_SONU!$B$7:$B$42=DATE(YEAR($E741),MONTH($E741),1))))</f>
        <v>0</v>
      </c>
      <c r="U741" s="1" t="str">
        <f>IF(OR($G741="",$H741="Mahsup"),"",$G741&amp;"|"&amp;COUNTIFS($G$7:$G741,$G741,$H$7:$H741,"&lt;&gt;Mahsup"))</f>
        <v/>
      </c>
    </row>
    <row r="742" spans="1:21" ht="18" customHeight="1" x14ac:dyDescent="0.3">
      <c r="A742" s="2"/>
      <c r="B742" s="65" t="str">
        <f t="shared" si="55"/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 t="shared" si="56"/>
        <v/>
      </c>
      <c r="M742" s="65" t="str">
        <f t="shared" ca="1" si="57"/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58"/>
        <v/>
      </c>
      <c r="S742" s="1" t="str">
        <f t="shared" si="59"/>
        <v/>
      </c>
      <c r="T742" s="1">
        <f>IF($E742="",0,SUMPRODUCT((AY_SONU!$O$7:$O$42="Evet")*(AY_SONU!$B$7:$B$42=DATE(YEAR($E742),MONTH($E742),1))))</f>
        <v>0</v>
      </c>
      <c r="U742" s="1" t="str">
        <f>IF(OR($G742="",$H742="Mahsup"),"",$G742&amp;"|"&amp;COUNTIFS($G$7:$G742,$G742,$H$7:$H742,"&lt;&gt;Mahsup"))</f>
        <v/>
      </c>
    </row>
    <row r="743" spans="1:21" ht="18" customHeight="1" x14ac:dyDescent="0.3">
      <c r="A743" s="2"/>
      <c r="B743" s="65" t="str">
        <f t="shared" si="55"/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 t="shared" si="56"/>
        <v/>
      </c>
      <c r="M743" s="65" t="str">
        <f t="shared" ca="1" si="57"/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58"/>
        <v/>
      </c>
      <c r="S743" s="1" t="str">
        <f t="shared" si="59"/>
        <v/>
      </c>
      <c r="T743" s="1">
        <f>IF($E743="",0,SUMPRODUCT((AY_SONU!$O$7:$O$42="Evet")*(AY_SONU!$B$7:$B$42=DATE(YEAR($E743),MONTH($E743),1))))</f>
        <v>0</v>
      </c>
      <c r="U743" s="1" t="str">
        <f>IF(OR($G743="",$H743="Mahsup"),"",$G743&amp;"|"&amp;COUNTIFS($G$7:$G743,$G743,$H$7:$H743,"&lt;&gt;Mahsup"))</f>
        <v/>
      </c>
    </row>
    <row r="744" spans="1:21" ht="18" customHeight="1" x14ac:dyDescent="0.3">
      <c r="A744" s="2"/>
      <c r="B744" s="65" t="str">
        <f t="shared" si="55"/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 t="shared" si="56"/>
        <v/>
      </c>
      <c r="M744" s="65" t="str">
        <f t="shared" ca="1" si="57"/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58"/>
        <v/>
      </c>
      <c r="S744" s="1" t="str">
        <f t="shared" si="59"/>
        <v/>
      </c>
      <c r="T744" s="1">
        <f>IF($E744="",0,SUMPRODUCT((AY_SONU!$O$7:$O$42="Evet")*(AY_SONU!$B$7:$B$42=DATE(YEAR($E744),MONTH($E744),1))))</f>
        <v>0</v>
      </c>
      <c r="U744" s="1" t="str">
        <f>IF(OR($G744="",$H744="Mahsup"),"",$G744&amp;"|"&amp;COUNTIFS($G$7:$G744,$G744,$H$7:$H744,"&lt;&gt;Mahsup"))</f>
        <v/>
      </c>
    </row>
    <row r="745" spans="1:21" ht="18" customHeight="1" x14ac:dyDescent="0.3">
      <c r="A745" s="2"/>
      <c r="B745" s="65" t="str">
        <f t="shared" si="55"/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 t="shared" si="56"/>
        <v/>
      </c>
      <c r="M745" s="65" t="str">
        <f t="shared" ca="1" si="57"/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58"/>
        <v/>
      </c>
      <c r="S745" s="1" t="str">
        <f t="shared" si="59"/>
        <v/>
      </c>
      <c r="T745" s="1">
        <f>IF($E745="",0,SUMPRODUCT((AY_SONU!$O$7:$O$42="Evet")*(AY_SONU!$B$7:$B$42=DATE(YEAR($E745),MONTH($E745),1))))</f>
        <v>0</v>
      </c>
      <c r="U745" s="1" t="str">
        <f>IF(OR($G745="",$H745="Mahsup"),"",$G745&amp;"|"&amp;COUNTIFS($G$7:$G745,$G745,$H$7:$H745,"&lt;&gt;Mahsup"))</f>
        <v/>
      </c>
    </row>
    <row r="746" spans="1:21" ht="18" customHeight="1" x14ac:dyDescent="0.3">
      <c r="A746" s="2"/>
      <c r="B746" s="65" t="str">
        <f t="shared" si="55"/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 t="shared" si="56"/>
        <v/>
      </c>
      <c r="M746" s="65" t="str">
        <f t="shared" ca="1" si="57"/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58"/>
        <v/>
      </c>
      <c r="S746" s="1" t="str">
        <f t="shared" si="59"/>
        <v/>
      </c>
      <c r="T746" s="1">
        <f>IF($E746="",0,SUMPRODUCT((AY_SONU!$O$7:$O$42="Evet")*(AY_SONU!$B$7:$B$42=DATE(YEAR($E746),MONTH($E746),1))))</f>
        <v>0</v>
      </c>
      <c r="U746" s="1" t="str">
        <f>IF(OR($G746="",$H746="Mahsup"),"",$G746&amp;"|"&amp;COUNTIFS($G$7:$G746,$G746,$H$7:$H746,"&lt;&gt;Mahsup"))</f>
        <v/>
      </c>
    </row>
    <row r="747" spans="1:21" ht="18" customHeight="1" x14ac:dyDescent="0.3">
      <c r="A747" s="2"/>
      <c r="B747" s="65" t="str">
        <f t="shared" si="55"/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 t="shared" si="56"/>
        <v/>
      </c>
      <c r="M747" s="65" t="str">
        <f t="shared" ca="1" si="57"/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58"/>
        <v/>
      </c>
      <c r="S747" s="1" t="str">
        <f t="shared" si="59"/>
        <v/>
      </c>
      <c r="T747" s="1">
        <f>IF($E747="",0,SUMPRODUCT((AY_SONU!$O$7:$O$42="Evet")*(AY_SONU!$B$7:$B$42=DATE(YEAR($E747),MONTH($E747),1))))</f>
        <v>0</v>
      </c>
      <c r="U747" s="1" t="str">
        <f>IF(OR($G747="",$H747="Mahsup"),"",$G747&amp;"|"&amp;COUNTIFS($G$7:$G747,$G747,$H$7:$H747,"&lt;&gt;Mahsup"))</f>
        <v/>
      </c>
    </row>
    <row r="748" spans="1:21" ht="18" customHeight="1" x14ac:dyDescent="0.3">
      <c r="A748" s="2"/>
      <c r="B748" s="65" t="str">
        <f t="shared" si="55"/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 t="shared" si="56"/>
        <v/>
      </c>
      <c r="M748" s="65" t="str">
        <f t="shared" ca="1" si="57"/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58"/>
        <v/>
      </c>
      <c r="S748" s="1" t="str">
        <f t="shared" si="59"/>
        <v/>
      </c>
      <c r="T748" s="1">
        <f>IF($E748="",0,SUMPRODUCT((AY_SONU!$O$7:$O$42="Evet")*(AY_SONU!$B$7:$B$42=DATE(YEAR($E748),MONTH($E748),1))))</f>
        <v>0</v>
      </c>
      <c r="U748" s="1" t="str">
        <f>IF(OR($G748="",$H748="Mahsup"),"",$G748&amp;"|"&amp;COUNTIFS($G$7:$G748,$G748,$H$7:$H748,"&lt;&gt;Mahsup"))</f>
        <v/>
      </c>
    </row>
    <row r="749" spans="1:21" ht="18" customHeight="1" x14ac:dyDescent="0.3">
      <c r="A749" s="2"/>
      <c r="B749" s="65" t="str">
        <f t="shared" si="55"/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 t="shared" si="56"/>
        <v/>
      </c>
      <c r="M749" s="65" t="str">
        <f t="shared" ca="1" si="57"/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58"/>
        <v/>
      </c>
      <c r="S749" s="1" t="str">
        <f t="shared" si="59"/>
        <v/>
      </c>
      <c r="T749" s="1">
        <f>IF($E749="",0,SUMPRODUCT((AY_SONU!$O$7:$O$42="Evet")*(AY_SONU!$B$7:$B$42=DATE(YEAR($E749),MONTH($E749),1))))</f>
        <v>0</v>
      </c>
      <c r="U749" s="1" t="str">
        <f>IF(OR($G749="",$H749="Mahsup"),"",$G749&amp;"|"&amp;COUNTIFS($G$7:$G749,$G749,$H$7:$H749,"&lt;&gt;Mahsup"))</f>
        <v/>
      </c>
    </row>
    <row r="750" spans="1:21" ht="18" customHeight="1" x14ac:dyDescent="0.3">
      <c r="A750" s="2"/>
      <c r="B750" s="65" t="str">
        <f t="shared" si="55"/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 t="shared" si="56"/>
        <v/>
      </c>
      <c r="M750" s="65" t="str">
        <f t="shared" ca="1" si="57"/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58"/>
        <v/>
      </c>
      <c r="S750" s="1" t="str">
        <f t="shared" si="59"/>
        <v/>
      </c>
      <c r="T750" s="1">
        <f>IF($E750="",0,SUMPRODUCT((AY_SONU!$O$7:$O$42="Evet")*(AY_SONU!$B$7:$B$42=DATE(YEAR($E750),MONTH($E750),1))))</f>
        <v>0</v>
      </c>
      <c r="U750" s="1" t="str">
        <f>IF(OR($G750="",$H750="Mahsup"),"",$G750&amp;"|"&amp;COUNTIFS($G$7:$G750,$G750,$H$7:$H750,"&lt;&gt;Mahsup"))</f>
        <v/>
      </c>
    </row>
    <row r="751" spans="1:21" ht="18" customHeight="1" x14ac:dyDescent="0.3">
      <c r="A751" s="2"/>
      <c r="B751" s="65" t="str">
        <f t="shared" si="55"/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 t="shared" si="56"/>
        <v/>
      </c>
      <c r="M751" s="65" t="str">
        <f t="shared" ca="1" si="57"/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58"/>
        <v/>
      </c>
      <c r="S751" s="1" t="str">
        <f t="shared" si="59"/>
        <v/>
      </c>
      <c r="T751" s="1">
        <f>IF($E751="",0,SUMPRODUCT((AY_SONU!$O$7:$O$42="Evet")*(AY_SONU!$B$7:$B$42=DATE(YEAR($E751),MONTH($E751),1))))</f>
        <v>0</v>
      </c>
      <c r="U751" s="1" t="str">
        <f>IF(OR($G751="",$H751="Mahsup"),"",$G751&amp;"|"&amp;COUNTIFS($G$7:$G751,$G751,$H$7:$H751,"&lt;&gt;Mahsup"))</f>
        <v/>
      </c>
    </row>
    <row r="752" spans="1:21" ht="18" customHeight="1" x14ac:dyDescent="0.3">
      <c r="A752" s="2"/>
      <c r="B752" s="65" t="str">
        <f t="shared" si="55"/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 t="shared" si="56"/>
        <v/>
      </c>
      <c r="M752" s="65" t="str">
        <f t="shared" ca="1" si="57"/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58"/>
        <v/>
      </c>
      <c r="S752" s="1" t="str">
        <f t="shared" si="59"/>
        <v/>
      </c>
      <c r="T752" s="1">
        <f>IF($E752="",0,SUMPRODUCT((AY_SONU!$O$7:$O$42="Evet")*(AY_SONU!$B$7:$B$42=DATE(YEAR($E752),MONTH($E752),1))))</f>
        <v>0</v>
      </c>
      <c r="U752" s="1" t="str">
        <f>IF(OR($G752="",$H752="Mahsup"),"",$G752&amp;"|"&amp;COUNTIFS($G$7:$G752,$G752,$H$7:$H752,"&lt;&gt;Mahsup"))</f>
        <v/>
      </c>
    </row>
    <row r="753" spans="1:21" ht="18" customHeight="1" x14ac:dyDescent="0.3">
      <c r="A753" s="2"/>
      <c r="B753" s="65" t="str">
        <f t="shared" si="55"/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 t="shared" si="56"/>
        <v/>
      </c>
      <c r="M753" s="65" t="str">
        <f t="shared" ca="1" si="57"/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58"/>
        <v/>
      </c>
      <c r="S753" s="1" t="str">
        <f t="shared" si="59"/>
        <v/>
      </c>
      <c r="T753" s="1">
        <f>IF($E753="",0,SUMPRODUCT((AY_SONU!$O$7:$O$42="Evet")*(AY_SONU!$B$7:$B$42=DATE(YEAR($E753),MONTH($E753),1))))</f>
        <v>0</v>
      </c>
      <c r="U753" s="1" t="str">
        <f>IF(OR($G753="",$H753="Mahsup"),"",$G753&amp;"|"&amp;COUNTIFS($G$7:$G753,$G753,$H$7:$H753,"&lt;&gt;Mahsup"))</f>
        <v/>
      </c>
    </row>
    <row r="754" spans="1:21" ht="18" customHeight="1" x14ac:dyDescent="0.3">
      <c r="A754" s="2"/>
      <c r="B754" s="65" t="str">
        <f t="shared" si="55"/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 t="shared" si="56"/>
        <v/>
      </c>
      <c r="M754" s="65" t="str">
        <f t="shared" ca="1" si="57"/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58"/>
        <v/>
      </c>
      <c r="S754" s="1" t="str">
        <f t="shared" si="59"/>
        <v/>
      </c>
      <c r="T754" s="1">
        <f>IF($E754="",0,SUMPRODUCT((AY_SONU!$O$7:$O$42="Evet")*(AY_SONU!$B$7:$B$42=DATE(YEAR($E754),MONTH($E754),1))))</f>
        <v>0</v>
      </c>
      <c r="U754" s="1" t="str">
        <f>IF(OR($G754="",$H754="Mahsup"),"",$G754&amp;"|"&amp;COUNTIFS($G$7:$G754,$G754,$H$7:$H754,"&lt;&gt;Mahsup"))</f>
        <v/>
      </c>
    </row>
    <row r="755" spans="1:21" ht="18" customHeight="1" x14ac:dyDescent="0.3">
      <c r="A755" s="2"/>
      <c r="B755" s="65" t="str">
        <f t="shared" si="55"/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 t="shared" si="56"/>
        <v/>
      </c>
      <c r="M755" s="65" t="str">
        <f t="shared" ca="1" si="57"/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58"/>
        <v/>
      </c>
      <c r="S755" s="1" t="str">
        <f t="shared" si="59"/>
        <v/>
      </c>
      <c r="T755" s="1">
        <f>IF($E755="",0,SUMPRODUCT((AY_SONU!$O$7:$O$42="Evet")*(AY_SONU!$B$7:$B$42=DATE(YEAR($E755),MONTH($E755),1))))</f>
        <v>0</v>
      </c>
      <c r="U755" s="1" t="str">
        <f>IF(OR($G755="",$H755="Mahsup"),"",$G755&amp;"|"&amp;COUNTIFS($G$7:$G755,$G755,$H$7:$H755,"&lt;&gt;Mahsup"))</f>
        <v/>
      </c>
    </row>
    <row r="756" spans="1:21" ht="18" customHeight="1" x14ac:dyDescent="0.3">
      <c r="A756" s="2"/>
      <c r="B756" s="65" t="str">
        <f t="shared" si="55"/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 t="shared" si="56"/>
        <v/>
      </c>
      <c r="M756" s="65" t="str">
        <f t="shared" ca="1" si="57"/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58"/>
        <v/>
      </c>
      <c r="S756" s="1" t="str">
        <f t="shared" si="59"/>
        <v/>
      </c>
      <c r="T756" s="1">
        <f>IF($E756="",0,SUMPRODUCT((AY_SONU!$O$7:$O$42="Evet")*(AY_SONU!$B$7:$B$42=DATE(YEAR($E756),MONTH($E756),1))))</f>
        <v>0</v>
      </c>
      <c r="U756" s="1" t="str">
        <f>IF(OR($G756="",$H756="Mahsup"),"",$G756&amp;"|"&amp;COUNTIFS($G$7:$G756,$G756,$H$7:$H756,"&lt;&gt;Mahsup"))</f>
        <v/>
      </c>
    </row>
    <row r="757" spans="1:21" ht="18" customHeight="1" x14ac:dyDescent="0.3">
      <c r="A757" s="2"/>
      <c r="B757" s="65" t="str">
        <f t="shared" si="55"/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 t="shared" si="56"/>
        <v/>
      </c>
      <c r="M757" s="65" t="str">
        <f t="shared" ca="1" si="57"/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58"/>
        <v/>
      </c>
      <c r="S757" s="1" t="str">
        <f t="shared" si="59"/>
        <v/>
      </c>
      <c r="T757" s="1">
        <f>IF($E757="",0,SUMPRODUCT((AY_SONU!$O$7:$O$42="Evet")*(AY_SONU!$B$7:$B$42=DATE(YEAR($E757),MONTH($E757),1))))</f>
        <v>0</v>
      </c>
      <c r="U757" s="1" t="str">
        <f>IF(OR($G757="",$H757="Mahsup"),"",$G757&amp;"|"&amp;COUNTIFS($G$7:$G757,$G757,$H$7:$H757,"&lt;&gt;Mahsup"))</f>
        <v/>
      </c>
    </row>
    <row r="758" spans="1:21" ht="18" customHeight="1" x14ac:dyDescent="0.3">
      <c r="A758" s="2"/>
      <c r="B758" s="65" t="str">
        <f t="shared" si="55"/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 t="shared" si="56"/>
        <v/>
      </c>
      <c r="M758" s="65" t="str">
        <f t="shared" ca="1" si="57"/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58"/>
        <v/>
      </c>
      <c r="S758" s="1" t="str">
        <f t="shared" si="59"/>
        <v/>
      </c>
      <c r="T758" s="1">
        <f>IF($E758="",0,SUMPRODUCT((AY_SONU!$O$7:$O$42="Evet")*(AY_SONU!$B$7:$B$42=DATE(YEAR($E758),MONTH($E758),1))))</f>
        <v>0</v>
      </c>
      <c r="U758" s="1" t="str">
        <f>IF(OR($G758="",$H758="Mahsup"),"",$G758&amp;"|"&amp;COUNTIFS($G$7:$G758,$G758,$H$7:$H758,"&lt;&gt;Mahsup"))</f>
        <v/>
      </c>
    </row>
    <row r="759" spans="1:21" ht="18" customHeight="1" x14ac:dyDescent="0.3">
      <c r="A759" s="2"/>
      <c r="B759" s="65" t="str">
        <f t="shared" si="55"/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 t="shared" si="56"/>
        <v/>
      </c>
      <c r="M759" s="65" t="str">
        <f t="shared" ca="1" si="57"/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58"/>
        <v/>
      </c>
      <c r="S759" s="1" t="str">
        <f t="shared" si="59"/>
        <v/>
      </c>
      <c r="T759" s="1">
        <f>IF($E759="",0,SUMPRODUCT((AY_SONU!$O$7:$O$42="Evet")*(AY_SONU!$B$7:$B$42=DATE(YEAR($E759),MONTH($E759),1))))</f>
        <v>0</v>
      </c>
      <c r="U759" s="1" t="str">
        <f>IF(OR($G759="",$H759="Mahsup"),"",$G759&amp;"|"&amp;COUNTIFS($G$7:$G759,$G759,$H$7:$H759,"&lt;&gt;Mahsup"))</f>
        <v/>
      </c>
    </row>
    <row r="760" spans="1:21" ht="18" customHeight="1" x14ac:dyDescent="0.3">
      <c r="A760" s="2"/>
      <c r="B760" s="65" t="str">
        <f t="shared" si="55"/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 t="shared" si="56"/>
        <v/>
      </c>
      <c r="M760" s="65" t="str">
        <f t="shared" ca="1" si="57"/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58"/>
        <v/>
      </c>
      <c r="S760" s="1" t="str">
        <f t="shared" si="59"/>
        <v/>
      </c>
      <c r="T760" s="1">
        <f>IF($E760="",0,SUMPRODUCT((AY_SONU!$O$7:$O$42="Evet")*(AY_SONU!$B$7:$B$42=DATE(YEAR($E760),MONTH($E760),1))))</f>
        <v>0</v>
      </c>
      <c r="U760" s="1" t="str">
        <f>IF(OR($G760="",$H760="Mahsup"),"",$G760&amp;"|"&amp;COUNTIFS($G$7:$G760,$G760,$H$7:$H760,"&lt;&gt;Mahsup"))</f>
        <v/>
      </c>
    </row>
    <row r="761" spans="1:21" ht="18" customHeight="1" x14ac:dyDescent="0.3">
      <c r="A761" s="2"/>
      <c r="B761" s="65" t="str">
        <f t="shared" si="55"/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 t="shared" si="56"/>
        <v/>
      </c>
      <c r="M761" s="65" t="str">
        <f t="shared" ca="1" si="57"/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58"/>
        <v/>
      </c>
      <c r="S761" s="1" t="str">
        <f t="shared" si="59"/>
        <v/>
      </c>
      <c r="T761" s="1">
        <f>IF($E761="",0,SUMPRODUCT((AY_SONU!$O$7:$O$42="Evet")*(AY_SONU!$B$7:$B$42=DATE(YEAR($E761),MONTH($E761),1))))</f>
        <v>0</v>
      </c>
      <c r="U761" s="1" t="str">
        <f>IF(OR($G761="",$H761="Mahsup"),"",$G761&amp;"|"&amp;COUNTIFS($G$7:$G761,$G761,$H$7:$H761,"&lt;&gt;Mahsup"))</f>
        <v/>
      </c>
    </row>
    <row r="762" spans="1:21" ht="18" customHeight="1" x14ac:dyDescent="0.3">
      <c r="A762" s="2"/>
      <c r="B762" s="65" t="str">
        <f t="shared" si="55"/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 t="shared" si="56"/>
        <v/>
      </c>
      <c r="M762" s="65" t="str">
        <f t="shared" ca="1" si="57"/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58"/>
        <v/>
      </c>
      <c r="S762" s="1" t="str">
        <f t="shared" si="59"/>
        <v/>
      </c>
      <c r="T762" s="1">
        <f>IF($E762="",0,SUMPRODUCT((AY_SONU!$O$7:$O$42="Evet")*(AY_SONU!$B$7:$B$42=DATE(YEAR($E762),MONTH($E762),1))))</f>
        <v>0</v>
      </c>
      <c r="U762" s="1" t="str">
        <f>IF(OR($G762="",$H762="Mahsup"),"",$G762&amp;"|"&amp;COUNTIFS($G$7:$G762,$G762,$H$7:$H762,"&lt;&gt;Mahsup"))</f>
        <v/>
      </c>
    </row>
    <row r="763" spans="1:21" ht="18" customHeight="1" x14ac:dyDescent="0.3">
      <c r="A763" s="2"/>
      <c r="B763" s="65" t="str">
        <f t="shared" si="55"/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 t="shared" si="56"/>
        <v/>
      </c>
      <c r="M763" s="65" t="str">
        <f t="shared" ca="1" si="57"/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58"/>
        <v/>
      </c>
      <c r="S763" s="1" t="str">
        <f t="shared" si="59"/>
        <v/>
      </c>
      <c r="T763" s="1">
        <f>IF($E763="",0,SUMPRODUCT((AY_SONU!$O$7:$O$42="Evet")*(AY_SONU!$B$7:$B$42=DATE(YEAR($E763),MONTH($E763),1))))</f>
        <v>0</v>
      </c>
      <c r="U763" s="1" t="str">
        <f>IF(OR($G763="",$H763="Mahsup"),"",$G763&amp;"|"&amp;COUNTIFS($G$7:$G763,$G763,$H$7:$H763,"&lt;&gt;Mahsup"))</f>
        <v/>
      </c>
    </row>
    <row r="764" spans="1:21" ht="18" customHeight="1" x14ac:dyDescent="0.3">
      <c r="A764" s="2"/>
      <c r="B764" s="65" t="str">
        <f t="shared" si="55"/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 t="shared" si="56"/>
        <v/>
      </c>
      <c r="M764" s="65" t="str">
        <f t="shared" ca="1" si="57"/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58"/>
        <v/>
      </c>
      <c r="S764" s="1" t="str">
        <f t="shared" si="59"/>
        <v/>
      </c>
      <c r="T764" s="1">
        <f>IF($E764="",0,SUMPRODUCT((AY_SONU!$O$7:$O$42="Evet")*(AY_SONU!$B$7:$B$42=DATE(YEAR($E764),MONTH($E764),1))))</f>
        <v>0</v>
      </c>
      <c r="U764" s="1" t="str">
        <f>IF(OR($G764="",$H764="Mahsup"),"",$G764&amp;"|"&amp;COUNTIFS($G$7:$G764,$G764,$H$7:$H764,"&lt;&gt;Mahsup"))</f>
        <v/>
      </c>
    </row>
    <row r="765" spans="1:21" ht="18" customHeight="1" x14ac:dyDescent="0.3">
      <c r="A765" s="2"/>
      <c r="B765" s="65" t="str">
        <f t="shared" si="55"/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 t="shared" si="56"/>
        <v/>
      </c>
      <c r="M765" s="65" t="str">
        <f t="shared" ca="1" si="57"/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58"/>
        <v/>
      </c>
      <c r="S765" s="1" t="str">
        <f t="shared" si="59"/>
        <v/>
      </c>
      <c r="T765" s="1">
        <f>IF($E765="",0,SUMPRODUCT((AY_SONU!$O$7:$O$42="Evet")*(AY_SONU!$B$7:$B$42=DATE(YEAR($E765),MONTH($E765),1))))</f>
        <v>0</v>
      </c>
      <c r="U765" s="1" t="str">
        <f>IF(OR($G765="",$H765="Mahsup"),"",$G765&amp;"|"&amp;COUNTIFS($G$7:$G765,$G765,$H$7:$H765,"&lt;&gt;Mahsup"))</f>
        <v/>
      </c>
    </row>
    <row r="766" spans="1:21" ht="18" customHeight="1" x14ac:dyDescent="0.3">
      <c r="A766" s="2"/>
      <c r="B766" s="65" t="str">
        <f t="shared" si="55"/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 t="shared" si="56"/>
        <v/>
      </c>
      <c r="M766" s="65" t="str">
        <f t="shared" ca="1" si="57"/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58"/>
        <v/>
      </c>
      <c r="S766" s="1" t="str">
        <f t="shared" si="59"/>
        <v/>
      </c>
      <c r="T766" s="1">
        <f>IF($E766="",0,SUMPRODUCT((AY_SONU!$O$7:$O$42="Evet")*(AY_SONU!$B$7:$B$42=DATE(YEAR($E766),MONTH($E766),1))))</f>
        <v>0</v>
      </c>
      <c r="U766" s="1" t="str">
        <f>IF(OR($G766="",$H766="Mahsup"),"",$G766&amp;"|"&amp;COUNTIFS($G$7:$G766,$G766,$H$7:$H766,"&lt;&gt;Mahsup"))</f>
        <v/>
      </c>
    </row>
    <row r="767" spans="1:21" ht="18" customHeight="1" x14ac:dyDescent="0.3">
      <c r="A767" s="2"/>
      <c r="B767" s="65" t="str">
        <f t="shared" si="55"/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 t="shared" si="56"/>
        <v/>
      </c>
      <c r="M767" s="65" t="str">
        <f t="shared" ca="1" si="57"/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58"/>
        <v/>
      </c>
      <c r="S767" s="1" t="str">
        <f t="shared" si="59"/>
        <v/>
      </c>
      <c r="T767" s="1">
        <f>IF($E767="",0,SUMPRODUCT((AY_SONU!$O$7:$O$42="Evet")*(AY_SONU!$B$7:$B$42=DATE(YEAR($E767),MONTH($E767),1))))</f>
        <v>0</v>
      </c>
      <c r="U767" s="1" t="str">
        <f>IF(OR($G767="",$H767="Mahsup"),"",$G767&amp;"|"&amp;COUNTIFS($G$7:$G767,$G767,$H$7:$H767,"&lt;&gt;Mahsup"))</f>
        <v/>
      </c>
    </row>
    <row r="768" spans="1:21" ht="18" customHeight="1" x14ac:dyDescent="0.3">
      <c r="A768" s="2"/>
      <c r="B768" s="65" t="str">
        <f t="shared" si="55"/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 t="shared" si="56"/>
        <v/>
      </c>
      <c r="M768" s="65" t="str">
        <f t="shared" ca="1" si="57"/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58"/>
        <v/>
      </c>
      <c r="S768" s="1" t="str">
        <f t="shared" si="59"/>
        <v/>
      </c>
      <c r="T768" s="1">
        <f>IF($E768="",0,SUMPRODUCT((AY_SONU!$O$7:$O$42="Evet")*(AY_SONU!$B$7:$B$42=DATE(YEAR($E768),MONTH($E768),1))))</f>
        <v>0</v>
      </c>
      <c r="U768" s="1" t="str">
        <f>IF(OR($G768="",$H768="Mahsup"),"",$G768&amp;"|"&amp;COUNTIFS($G$7:$G768,$G768,$H$7:$H768,"&lt;&gt;Mahsup"))</f>
        <v/>
      </c>
    </row>
    <row r="769" spans="1:21" ht="18" customHeight="1" x14ac:dyDescent="0.3">
      <c r="A769" s="2"/>
      <c r="B769" s="65" t="str">
        <f t="shared" si="55"/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 t="shared" si="56"/>
        <v/>
      </c>
      <c r="M769" s="65" t="str">
        <f t="shared" ca="1" si="57"/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58"/>
        <v/>
      </c>
      <c r="S769" s="1" t="str">
        <f t="shared" si="59"/>
        <v/>
      </c>
      <c r="T769" s="1">
        <f>IF($E769="",0,SUMPRODUCT((AY_SONU!$O$7:$O$42="Evet")*(AY_SONU!$B$7:$B$42=DATE(YEAR($E769),MONTH($E769),1))))</f>
        <v>0</v>
      </c>
      <c r="U769" s="1" t="str">
        <f>IF(OR($G769="",$H769="Mahsup"),"",$G769&amp;"|"&amp;COUNTIFS($G$7:$G769,$G769,$H$7:$H769,"&lt;&gt;Mahsup"))</f>
        <v/>
      </c>
    </row>
    <row r="770" spans="1:21" ht="18" customHeight="1" x14ac:dyDescent="0.3">
      <c r="A770" s="2"/>
      <c r="B770" s="65" t="str">
        <f t="shared" si="55"/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 t="shared" si="56"/>
        <v/>
      </c>
      <c r="M770" s="65" t="str">
        <f t="shared" ca="1" si="57"/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58"/>
        <v/>
      </c>
      <c r="S770" s="1" t="str">
        <f t="shared" si="59"/>
        <v/>
      </c>
      <c r="T770" s="1">
        <f>IF($E770="",0,SUMPRODUCT((AY_SONU!$O$7:$O$42="Evet")*(AY_SONU!$B$7:$B$42=DATE(YEAR($E770),MONTH($E770),1))))</f>
        <v>0</v>
      </c>
      <c r="U770" s="1" t="str">
        <f>IF(OR($G770="",$H770="Mahsup"),"",$G770&amp;"|"&amp;COUNTIFS($G$7:$G770,$G770,$H$7:$H770,"&lt;&gt;Mahsup"))</f>
        <v/>
      </c>
    </row>
    <row r="771" spans="1:21" ht="18" customHeight="1" x14ac:dyDescent="0.3">
      <c r="A771" s="2"/>
      <c r="B771" s="65" t="str">
        <f t="shared" si="55"/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 t="shared" si="56"/>
        <v/>
      </c>
      <c r="M771" s="65" t="str">
        <f t="shared" ca="1" si="57"/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58"/>
        <v/>
      </c>
      <c r="S771" s="1" t="str">
        <f t="shared" si="59"/>
        <v/>
      </c>
      <c r="T771" s="1">
        <f>IF($E771="",0,SUMPRODUCT((AY_SONU!$O$7:$O$42="Evet")*(AY_SONU!$B$7:$B$42=DATE(YEAR($E771),MONTH($E771),1))))</f>
        <v>0</v>
      </c>
      <c r="U771" s="1" t="str">
        <f>IF(OR($G771="",$H771="Mahsup"),"",$G771&amp;"|"&amp;COUNTIFS($G$7:$G771,$G771,$H$7:$H771,"&lt;&gt;Mahsup"))</f>
        <v/>
      </c>
    </row>
    <row r="772" spans="1:21" ht="18" customHeight="1" x14ac:dyDescent="0.3">
      <c r="A772" s="2"/>
      <c r="B772" s="65" t="str">
        <f t="shared" si="55"/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 t="shared" si="56"/>
        <v/>
      </c>
      <c r="M772" s="65" t="str">
        <f t="shared" ca="1" si="57"/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58"/>
        <v/>
      </c>
      <c r="S772" s="1" t="str">
        <f t="shared" si="59"/>
        <v/>
      </c>
      <c r="T772" s="1">
        <f>IF($E772="",0,SUMPRODUCT((AY_SONU!$O$7:$O$42="Evet")*(AY_SONU!$B$7:$B$42=DATE(YEAR($E772),MONTH($E772),1))))</f>
        <v>0</v>
      </c>
      <c r="U772" s="1" t="str">
        <f>IF(OR($G772="",$H772="Mahsup"),"",$G772&amp;"|"&amp;COUNTIFS($G$7:$G772,$G772,$H$7:$H772,"&lt;&gt;Mahsup"))</f>
        <v/>
      </c>
    </row>
    <row r="773" spans="1:21" ht="18" customHeight="1" x14ac:dyDescent="0.3">
      <c r="A773" s="2"/>
      <c r="B773" s="65" t="str">
        <f t="shared" si="55"/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 t="shared" si="56"/>
        <v/>
      </c>
      <c r="M773" s="65" t="str">
        <f t="shared" ca="1" si="57"/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58"/>
        <v/>
      </c>
      <c r="S773" s="1" t="str">
        <f t="shared" si="59"/>
        <v/>
      </c>
      <c r="T773" s="1">
        <f>IF($E773="",0,SUMPRODUCT((AY_SONU!$O$7:$O$42="Evet")*(AY_SONU!$B$7:$B$42=DATE(YEAR($E773),MONTH($E773),1))))</f>
        <v>0</v>
      </c>
      <c r="U773" s="1" t="str">
        <f>IF(OR($G773="",$H773="Mahsup"),"",$G773&amp;"|"&amp;COUNTIFS($G$7:$G773,$G773,$H$7:$H773,"&lt;&gt;Mahsup"))</f>
        <v/>
      </c>
    </row>
    <row r="774" spans="1:21" ht="18" customHeight="1" x14ac:dyDescent="0.3">
      <c r="A774" s="2"/>
      <c r="B774" s="65" t="str">
        <f t="shared" si="55"/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 t="shared" si="56"/>
        <v/>
      </c>
      <c r="M774" s="65" t="str">
        <f t="shared" ca="1" si="57"/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58"/>
        <v/>
      </c>
      <c r="S774" s="1" t="str">
        <f t="shared" si="59"/>
        <v/>
      </c>
      <c r="T774" s="1">
        <f>IF($E774="",0,SUMPRODUCT((AY_SONU!$O$7:$O$42="Evet")*(AY_SONU!$B$7:$B$42=DATE(YEAR($E774),MONTH($E774),1))))</f>
        <v>0</v>
      </c>
      <c r="U774" s="1" t="str">
        <f>IF(OR($G774="",$H774="Mahsup"),"",$G774&amp;"|"&amp;COUNTIFS($G$7:$G774,$G774,$H$7:$H774,"&lt;&gt;Mahsup"))</f>
        <v/>
      </c>
    </row>
    <row r="775" spans="1:21" ht="18" customHeight="1" x14ac:dyDescent="0.3">
      <c r="A775" s="2"/>
      <c r="B775" s="65" t="str">
        <f t="shared" ref="B775:B838" si="60"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 t="shared" ref="L775:L838" si="61">IF($E775="","",DATE(YEAR($E775),MONTH($E775),1))</f>
        <v/>
      </c>
      <c r="M775" s="65" t="str">
        <f t="shared" ref="M775:M838" ca="1" si="62"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63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64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  <c r="U775" s="1" t="str">
        <f>IF(OR($G775="",$H775="Mahsup"),"",$G775&amp;"|"&amp;COUNTIFS($G$7:$G775,$G775,$H$7:$H775,"&lt;&gt;Mahsup"))</f>
        <v/>
      </c>
    </row>
    <row r="776" spans="1:21" ht="18" customHeight="1" x14ac:dyDescent="0.3">
      <c r="A776" s="2"/>
      <c r="B776" s="65" t="str">
        <f t="shared" si="60"/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 t="shared" si="61"/>
        <v/>
      </c>
      <c r="M776" s="65" t="str">
        <f t="shared" ca="1" si="62"/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63"/>
        <v/>
      </c>
      <c r="S776" s="1" t="str">
        <f t="shared" si="64"/>
        <v/>
      </c>
      <c r="T776" s="1">
        <f>IF($E776="",0,SUMPRODUCT((AY_SONU!$O$7:$O$42="Evet")*(AY_SONU!$B$7:$B$42=DATE(YEAR($E776),MONTH($E776),1))))</f>
        <v>0</v>
      </c>
      <c r="U776" s="1" t="str">
        <f>IF(OR($G776="",$H776="Mahsup"),"",$G776&amp;"|"&amp;COUNTIFS($G$7:$G776,$G776,$H$7:$H776,"&lt;&gt;Mahsup"))</f>
        <v/>
      </c>
    </row>
    <row r="777" spans="1:21" ht="18" customHeight="1" x14ac:dyDescent="0.3">
      <c r="A777" s="2"/>
      <c r="B777" s="65" t="str">
        <f t="shared" si="60"/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 t="shared" si="61"/>
        <v/>
      </c>
      <c r="M777" s="65" t="str">
        <f t="shared" ca="1" si="62"/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63"/>
        <v/>
      </c>
      <c r="S777" s="1" t="str">
        <f t="shared" si="64"/>
        <v/>
      </c>
      <c r="T777" s="1">
        <f>IF($E777="",0,SUMPRODUCT((AY_SONU!$O$7:$O$42="Evet")*(AY_SONU!$B$7:$B$42=DATE(YEAR($E777),MONTH($E777),1))))</f>
        <v>0</v>
      </c>
      <c r="U777" s="1" t="str">
        <f>IF(OR($G777="",$H777="Mahsup"),"",$G777&amp;"|"&amp;COUNTIFS($G$7:$G777,$G777,$H$7:$H777,"&lt;&gt;Mahsup"))</f>
        <v/>
      </c>
    </row>
    <row r="778" spans="1:21" ht="18" customHeight="1" x14ac:dyDescent="0.3">
      <c r="A778" s="2"/>
      <c r="B778" s="65" t="str">
        <f t="shared" si="60"/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 t="shared" si="61"/>
        <v/>
      </c>
      <c r="M778" s="65" t="str">
        <f t="shared" ca="1" si="62"/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63"/>
        <v/>
      </c>
      <c r="S778" s="1" t="str">
        <f t="shared" si="64"/>
        <v/>
      </c>
      <c r="T778" s="1">
        <f>IF($E778="",0,SUMPRODUCT((AY_SONU!$O$7:$O$42="Evet")*(AY_SONU!$B$7:$B$42=DATE(YEAR($E778),MONTH($E778),1))))</f>
        <v>0</v>
      </c>
      <c r="U778" s="1" t="str">
        <f>IF(OR($G778="",$H778="Mahsup"),"",$G778&amp;"|"&amp;COUNTIFS($G$7:$G778,$G778,$H$7:$H778,"&lt;&gt;Mahsup"))</f>
        <v/>
      </c>
    </row>
    <row r="779" spans="1:21" ht="18" customHeight="1" x14ac:dyDescent="0.3">
      <c r="A779" s="2"/>
      <c r="B779" s="65" t="str">
        <f t="shared" si="60"/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 t="shared" si="61"/>
        <v/>
      </c>
      <c r="M779" s="65" t="str">
        <f t="shared" ca="1" si="62"/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63"/>
        <v/>
      </c>
      <c r="S779" s="1" t="str">
        <f t="shared" si="64"/>
        <v/>
      </c>
      <c r="T779" s="1">
        <f>IF($E779="",0,SUMPRODUCT((AY_SONU!$O$7:$O$42="Evet")*(AY_SONU!$B$7:$B$42=DATE(YEAR($E779),MONTH($E779),1))))</f>
        <v>0</v>
      </c>
      <c r="U779" s="1" t="str">
        <f>IF(OR($G779="",$H779="Mahsup"),"",$G779&amp;"|"&amp;COUNTIFS($G$7:$G779,$G779,$H$7:$H779,"&lt;&gt;Mahsup"))</f>
        <v/>
      </c>
    </row>
    <row r="780" spans="1:21" ht="18" customHeight="1" x14ac:dyDescent="0.3">
      <c r="A780" s="2"/>
      <c r="B780" s="65" t="str">
        <f t="shared" si="60"/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 t="shared" si="61"/>
        <v/>
      </c>
      <c r="M780" s="65" t="str">
        <f t="shared" ca="1" si="62"/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63"/>
        <v/>
      </c>
      <c r="S780" s="1" t="str">
        <f t="shared" si="64"/>
        <v/>
      </c>
      <c r="T780" s="1">
        <f>IF($E780="",0,SUMPRODUCT((AY_SONU!$O$7:$O$42="Evet")*(AY_SONU!$B$7:$B$42=DATE(YEAR($E780),MONTH($E780),1))))</f>
        <v>0</v>
      </c>
      <c r="U780" s="1" t="str">
        <f>IF(OR($G780="",$H780="Mahsup"),"",$G780&amp;"|"&amp;COUNTIFS($G$7:$G780,$G780,$H$7:$H780,"&lt;&gt;Mahsup"))</f>
        <v/>
      </c>
    </row>
    <row r="781" spans="1:21" ht="18" customHeight="1" x14ac:dyDescent="0.3">
      <c r="A781" s="2"/>
      <c r="B781" s="65" t="str">
        <f t="shared" si="60"/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 t="shared" si="61"/>
        <v/>
      </c>
      <c r="M781" s="65" t="str">
        <f t="shared" ca="1" si="62"/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63"/>
        <v/>
      </c>
      <c r="S781" s="1" t="str">
        <f t="shared" si="64"/>
        <v/>
      </c>
      <c r="T781" s="1">
        <f>IF($E781="",0,SUMPRODUCT((AY_SONU!$O$7:$O$42="Evet")*(AY_SONU!$B$7:$B$42=DATE(YEAR($E781),MONTH($E781),1))))</f>
        <v>0</v>
      </c>
      <c r="U781" s="1" t="str">
        <f>IF(OR($G781="",$H781="Mahsup"),"",$G781&amp;"|"&amp;COUNTIFS($G$7:$G781,$G781,$H$7:$H781,"&lt;&gt;Mahsup"))</f>
        <v/>
      </c>
    </row>
    <row r="782" spans="1:21" ht="18" customHeight="1" x14ac:dyDescent="0.3">
      <c r="A782" s="2"/>
      <c r="B782" s="65" t="str">
        <f t="shared" si="60"/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 t="shared" si="61"/>
        <v/>
      </c>
      <c r="M782" s="65" t="str">
        <f t="shared" ca="1" si="62"/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63"/>
        <v/>
      </c>
      <c r="S782" s="1" t="str">
        <f t="shared" si="64"/>
        <v/>
      </c>
      <c r="T782" s="1">
        <f>IF($E782="",0,SUMPRODUCT((AY_SONU!$O$7:$O$42="Evet")*(AY_SONU!$B$7:$B$42=DATE(YEAR($E782),MONTH($E782),1))))</f>
        <v>0</v>
      </c>
      <c r="U782" s="1" t="str">
        <f>IF(OR($G782="",$H782="Mahsup"),"",$G782&amp;"|"&amp;COUNTIFS($G$7:$G782,$G782,$H$7:$H782,"&lt;&gt;Mahsup"))</f>
        <v/>
      </c>
    </row>
    <row r="783" spans="1:21" ht="18" customHeight="1" x14ac:dyDescent="0.3">
      <c r="A783" s="2"/>
      <c r="B783" s="65" t="str">
        <f t="shared" si="60"/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 t="shared" si="61"/>
        <v/>
      </c>
      <c r="M783" s="65" t="str">
        <f t="shared" ca="1" si="62"/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63"/>
        <v/>
      </c>
      <c r="S783" s="1" t="str">
        <f t="shared" si="64"/>
        <v/>
      </c>
      <c r="T783" s="1">
        <f>IF($E783="",0,SUMPRODUCT((AY_SONU!$O$7:$O$42="Evet")*(AY_SONU!$B$7:$B$42=DATE(YEAR($E783),MONTH($E783),1))))</f>
        <v>0</v>
      </c>
      <c r="U783" s="1" t="str">
        <f>IF(OR($G783="",$H783="Mahsup"),"",$G783&amp;"|"&amp;COUNTIFS($G$7:$G783,$G783,$H$7:$H783,"&lt;&gt;Mahsup"))</f>
        <v/>
      </c>
    </row>
    <row r="784" spans="1:21" ht="18" customHeight="1" x14ac:dyDescent="0.3">
      <c r="A784" s="2"/>
      <c r="B784" s="65" t="str">
        <f t="shared" si="60"/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 t="shared" si="61"/>
        <v/>
      </c>
      <c r="M784" s="65" t="str">
        <f t="shared" ca="1" si="62"/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63"/>
        <v/>
      </c>
      <c r="S784" s="1" t="str">
        <f t="shared" si="64"/>
        <v/>
      </c>
      <c r="T784" s="1">
        <f>IF($E784="",0,SUMPRODUCT((AY_SONU!$O$7:$O$42="Evet")*(AY_SONU!$B$7:$B$42=DATE(YEAR($E784),MONTH($E784),1))))</f>
        <v>0</v>
      </c>
      <c r="U784" s="1" t="str">
        <f>IF(OR($G784="",$H784="Mahsup"),"",$G784&amp;"|"&amp;COUNTIFS($G$7:$G784,$G784,$H$7:$H784,"&lt;&gt;Mahsup"))</f>
        <v/>
      </c>
    </row>
    <row r="785" spans="1:21" ht="18" customHeight="1" x14ac:dyDescent="0.3">
      <c r="A785" s="2"/>
      <c r="B785" s="65" t="str">
        <f t="shared" si="60"/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 t="shared" si="61"/>
        <v/>
      </c>
      <c r="M785" s="65" t="str">
        <f t="shared" ca="1" si="62"/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63"/>
        <v/>
      </c>
      <c r="S785" s="1" t="str">
        <f t="shared" si="64"/>
        <v/>
      </c>
      <c r="T785" s="1">
        <f>IF($E785="",0,SUMPRODUCT((AY_SONU!$O$7:$O$42="Evet")*(AY_SONU!$B$7:$B$42=DATE(YEAR($E785),MONTH($E785),1))))</f>
        <v>0</v>
      </c>
      <c r="U785" s="1" t="str">
        <f>IF(OR($G785="",$H785="Mahsup"),"",$G785&amp;"|"&amp;COUNTIFS($G$7:$G785,$G785,$H$7:$H785,"&lt;&gt;Mahsup"))</f>
        <v/>
      </c>
    </row>
    <row r="786" spans="1:21" ht="18" customHeight="1" x14ac:dyDescent="0.3">
      <c r="A786" s="2"/>
      <c r="B786" s="65" t="str">
        <f t="shared" si="60"/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 t="shared" si="61"/>
        <v/>
      </c>
      <c r="M786" s="65" t="str">
        <f t="shared" ca="1" si="62"/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63"/>
        <v/>
      </c>
      <c r="S786" s="1" t="str">
        <f t="shared" si="64"/>
        <v/>
      </c>
      <c r="T786" s="1">
        <f>IF($E786="",0,SUMPRODUCT((AY_SONU!$O$7:$O$42="Evet")*(AY_SONU!$B$7:$B$42=DATE(YEAR($E786),MONTH($E786),1))))</f>
        <v>0</v>
      </c>
      <c r="U786" s="1" t="str">
        <f>IF(OR($G786="",$H786="Mahsup"),"",$G786&amp;"|"&amp;COUNTIFS($G$7:$G786,$G786,$H$7:$H786,"&lt;&gt;Mahsup"))</f>
        <v/>
      </c>
    </row>
    <row r="787" spans="1:21" ht="18" customHeight="1" x14ac:dyDescent="0.3">
      <c r="A787" s="2"/>
      <c r="B787" s="65" t="str">
        <f t="shared" si="60"/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 t="shared" si="61"/>
        <v/>
      </c>
      <c r="M787" s="65" t="str">
        <f t="shared" ca="1" si="62"/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63"/>
        <v/>
      </c>
      <c r="S787" s="1" t="str">
        <f t="shared" si="64"/>
        <v/>
      </c>
      <c r="T787" s="1">
        <f>IF($E787="",0,SUMPRODUCT((AY_SONU!$O$7:$O$42="Evet")*(AY_SONU!$B$7:$B$42=DATE(YEAR($E787),MONTH($E787),1))))</f>
        <v>0</v>
      </c>
      <c r="U787" s="1" t="str">
        <f>IF(OR($G787="",$H787="Mahsup"),"",$G787&amp;"|"&amp;COUNTIFS($G$7:$G787,$G787,$H$7:$H787,"&lt;&gt;Mahsup"))</f>
        <v/>
      </c>
    </row>
    <row r="788" spans="1:21" ht="18" customHeight="1" x14ac:dyDescent="0.3">
      <c r="A788" s="2"/>
      <c r="B788" s="65" t="str">
        <f t="shared" si="60"/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 t="shared" si="61"/>
        <v/>
      </c>
      <c r="M788" s="65" t="str">
        <f t="shared" ca="1" si="62"/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63"/>
        <v/>
      </c>
      <c r="S788" s="1" t="str">
        <f t="shared" si="64"/>
        <v/>
      </c>
      <c r="T788" s="1">
        <f>IF($E788="",0,SUMPRODUCT((AY_SONU!$O$7:$O$42="Evet")*(AY_SONU!$B$7:$B$42=DATE(YEAR($E788),MONTH($E788),1))))</f>
        <v>0</v>
      </c>
      <c r="U788" s="1" t="str">
        <f>IF(OR($G788="",$H788="Mahsup"),"",$G788&amp;"|"&amp;COUNTIFS($G$7:$G788,$G788,$H$7:$H788,"&lt;&gt;Mahsup"))</f>
        <v/>
      </c>
    </row>
    <row r="789" spans="1:21" ht="18" customHeight="1" x14ac:dyDescent="0.3">
      <c r="A789" s="2"/>
      <c r="B789" s="65" t="str">
        <f t="shared" si="60"/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 t="shared" si="61"/>
        <v/>
      </c>
      <c r="M789" s="65" t="str">
        <f t="shared" ca="1" si="62"/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63"/>
        <v/>
      </c>
      <c r="S789" s="1" t="str">
        <f t="shared" si="64"/>
        <v/>
      </c>
      <c r="T789" s="1">
        <f>IF($E789="",0,SUMPRODUCT((AY_SONU!$O$7:$O$42="Evet")*(AY_SONU!$B$7:$B$42=DATE(YEAR($E789),MONTH($E789),1))))</f>
        <v>0</v>
      </c>
      <c r="U789" s="1" t="str">
        <f>IF(OR($G789="",$H789="Mahsup"),"",$G789&amp;"|"&amp;COUNTIFS($G$7:$G789,$G789,$H$7:$H789,"&lt;&gt;Mahsup"))</f>
        <v/>
      </c>
    </row>
    <row r="790" spans="1:21" ht="18" customHeight="1" x14ac:dyDescent="0.3">
      <c r="A790" s="2"/>
      <c r="B790" s="65" t="str">
        <f t="shared" si="60"/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 t="shared" si="61"/>
        <v/>
      </c>
      <c r="M790" s="65" t="str">
        <f t="shared" ca="1" si="62"/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63"/>
        <v/>
      </c>
      <c r="S790" s="1" t="str">
        <f t="shared" si="64"/>
        <v/>
      </c>
      <c r="T790" s="1">
        <f>IF($E790="",0,SUMPRODUCT((AY_SONU!$O$7:$O$42="Evet")*(AY_SONU!$B$7:$B$42=DATE(YEAR($E790),MONTH($E790),1))))</f>
        <v>0</v>
      </c>
      <c r="U790" s="1" t="str">
        <f>IF(OR($G790="",$H790="Mahsup"),"",$G790&amp;"|"&amp;COUNTIFS($G$7:$G790,$G790,$H$7:$H790,"&lt;&gt;Mahsup"))</f>
        <v/>
      </c>
    </row>
    <row r="791" spans="1:21" ht="18" customHeight="1" x14ac:dyDescent="0.3">
      <c r="A791" s="2"/>
      <c r="B791" s="65" t="str">
        <f t="shared" si="60"/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 t="shared" si="61"/>
        <v/>
      </c>
      <c r="M791" s="65" t="str">
        <f t="shared" ca="1" si="62"/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63"/>
        <v/>
      </c>
      <c r="S791" s="1" t="str">
        <f t="shared" si="64"/>
        <v/>
      </c>
      <c r="T791" s="1">
        <f>IF($E791="",0,SUMPRODUCT((AY_SONU!$O$7:$O$42="Evet")*(AY_SONU!$B$7:$B$42=DATE(YEAR($E791),MONTH($E791),1))))</f>
        <v>0</v>
      </c>
      <c r="U791" s="1" t="str">
        <f>IF(OR($G791="",$H791="Mahsup"),"",$G791&amp;"|"&amp;COUNTIFS($G$7:$G791,$G791,$H$7:$H791,"&lt;&gt;Mahsup"))</f>
        <v/>
      </c>
    </row>
    <row r="792" spans="1:21" ht="18" customHeight="1" x14ac:dyDescent="0.3">
      <c r="A792" s="2"/>
      <c r="B792" s="65" t="str">
        <f t="shared" si="60"/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 t="shared" si="61"/>
        <v/>
      </c>
      <c r="M792" s="65" t="str">
        <f t="shared" ca="1" si="62"/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63"/>
        <v/>
      </c>
      <c r="S792" s="1" t="str">
        <f t="shared" si="64"/>
        <v/>
      </c>
      <c r="T792" s="1">
        <f>IF($E792="",0,SUMPRODUCT((AY_SONU!$O$7:$O$42="Evet")*(AY_SONU!$B$7:$B$42=DATE(YEAR($E792),MONTH($E792),1))))</f>
        <v>0</v>
      </c>
      <c r="U792" s="1" t="str">
        <f>IF(OR($G792="",$H792="Mahsup"),"",$G792&amp;"|"&amp;COUNTIFS($G$7:$G792,$G792,$H$7:$H792,"&lt;&gt;Mahsup"))</f>
        <v/>
      </c>
    </row>
    <row r="793" spans="1:21" ht="18" customHeight="1" x14ac:dyDescent="0.3">
      <c r="A793" s="2"/>
      <c r="B793" s="65" t="str">
        <f t="shared" si="60"/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 t="shared" si="61"/>
        <v/>
      </c>
      <c r="M793" s="65" t="str">
        <f t="shared" ca="1" si="62"/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63"/>
        <v/>
      </c>
      <c r="S793" s="1" t="str">
        <f t="shared" si="64"/>
        <v/>
      </c>
      <c r="T793" s="1">
        <f>IF($E793="",0,SUMPRODUCT((AY_SONU!$O$7:$O$42="Evet")*(AY_SONU!$B$7:$B$42=DATE(YEAR($E793),MONTH($E793),1))))</f>
        <v>0</v>
      </c>
      <c r="U793" s="1" t="str">
        <f>IF(OR($G793="",$H793="Mahsup"),"",$G793&amp;"|"&amp;COUNTIFS($G$7:$G793,$G793,$H$7:$H793,"&lt;&gt;Mahsup"))</f>
        <v/>
      </c>
    </row>
    <row r="794" spans="1:21" ht="18" customHeight="1" x14ac:dyDescent="0.3">
      <c r="A794" s="2"/>
      <c r="B794" s="65" t="str">
        <f t="shared" si="60"/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 t="shared" si="61"/>
        <v/>
      </c>
      <c r="M794" s="65" t="str">
        <f t="shared" ca="1" si="62"/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63"/>
        <v/>
      </c>
      <c r="S794" s="1" t="str">
        <f t="shared" si="64"/>
        <v/>
      </c>
      <c r="T794" s="1">
        <f>IF($E794="",0,SUMPRODUCT((AY_SONU!$O$7:$O$42="Evet")*(AY_SONU!$B$7:$B$42=DATE(YEAR($E794),MONTH($E794),1))))</f>
        <v>0</v>
      </c>
      <c r="U794" s="1" t="str">
        <f>IF(OR($G794="",$H794="Mahsup"),"",$G794&amp;"|"&amp;COUNTIFS($G$7:$G794,$G794,$H$7:$H794,"&lt;&gt;Mahsup"))</f>
        <v/>
      </c>
    </row>
    <row r="795" spans="1:21" ht="18" customHeight="1" x14ac:dyDescent="0.3">
      <c r="A795" s="2"/>
      <c r="B795" s="65" t="str">
        <f t="shared" si="60"/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 t="shared" si="61"/>
        <v/>
      </c>
      <c r="M795" s="65" t="str">
        <f t="shared" ca="1" si="62"/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63"/>
        <v/>
      </c>
      <c r="S795" s="1" t="str">
        <f t="shared" si="64"/>
        <v/>
      </c>
      <c r="T795" s="1">
        <f>IF($E795="",0,SUMPRODUCT((AY_SONU!$O$7:$O$42="Evet")*(AY_SONU!$B$7:$B$42=DATE(YEAR($E795),MONTH($E795),1))))</f>
        <v>0</v>
      </c>
      <c r="U795" s="1" t="str">
        <f>IF(OR($G795="",$H795="Mahsup"),"",$G795&amp;"|"&amp;COUNTIFS($G$7:$G795,$G795,$H$7:$H795,"&lt;&gt;Mahsup"))</f>
        <v/>
      </c>
    </row>
    <row r="796" spans="1:21" ht="18" customHeight="1" x14ac:dyDescent="0.3">
      <c r="A796" s="2"/>
      <c r="B796" s="65" t="str">
        <f t="shared" si="60"/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 t="shared" si="61"/>
        <v/>
      </c>
      <c r="M796" s="65" t="str">
        <f t="shared" ca="1" si="62"/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63"/>
        <v/>
      </c>
      <c r="S796" s="1" t="str">
        <f t="shared" si="64"/>
        <v/>
      </c>
      <c r="T796" s="1">
        <f>IF($E796="",0,SUMPRODUCT((AY_SONU!$O$7:$O$42="Evet")*(AY_SONU!$B$7:$B$42=DATE(YEAR($E796),MONTH($E796),1))))</f>
        <v>0</v>
      </c>
      <c r="U796" s="1" t="str">
        <f>IF(OR($G796="",$H796="Mahsup"),"",$G796&amp;"|"&amp;COUNTIFS($G$7:$G796,$G796,$H$7:$H796,"&lt;&gt;Mahsup"))</f>
        <v/>
      </c>
    </row>
    <row r="797" spans="1:21" ht="18" customHeight="1" x14ac:dyDescent="0.3">
      <c r="A797" s="2"/>
      <c r="B797" s="65" t="str">
        <f t="shared" si="60"/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 t="shared" si="61"/>
        <v/>
      </c>
      <c r="M797" s="65" t="str">
        <f t="shared" ca="1" si="62"/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63"/>
        <v/>
      </c>
      <c r="S797" s="1" t="str">
        <f t="shared" si="64"/>
        <v/>
      </c>
      <c r="T797" s="1">
        <f>IF($E797="",0,SUMPRODUCT((AY_SONU!$O$7:$O$42="Evet")*(AY_SONU!$B$7:$B$42=DATE(YEAR($E797),MONTH($E797),1))))</f>
        <v>0</v>
      </c>
      <c r="U797" s="1" t="str">
        <f>IF(OR($G797="",$H797="Mahsup"),"",$G797&amp;"|"&amp;COUNTIFS($G$7:$G797,$G797,$H$7:$H797,"&lt;&gt;Mahsup"))</f>
        <v/>
      </c>
    </row>
    <row r="798" spans="1:21" ht="18" customHeight="1" x14ac:dyDescent="0.3">
      <c r="A798" s="2"/>
      <c r="B798" s="65" t="str">
        <f t="shared" si="60"/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 t="shared" si="61"/>
        <v/>
      </c>
      <c r="M798" s="65" t="str">
        <f t="shared" ca="1" si="62"/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63"/>
        <v/>
      </c>
      <c r="S798" s="1" t="str">
        <f t="shared" si="64"/>
        <v/>
      </c>
      <c r="T798" s="1">
        <f>IF($E798="",0,SUMPRODUCT((AY_SONU!$O$7:$O$42="Evet")*(AY_SONU!$B$7:$B$42=DATE(YEAR($E798),MONTH($E798),1))))</f>
        <v>0</v>
      </c>
      <c r="U798" s="1" t="str">
        <f>IF(OR($G798="",$H798="Mahsup"),"",$G798&amp;"|"&amp;COUNTIFS($G$7:$G798,$G798,$H$7:$H798,"&lt;&gt;Mahsup"))</f>
        <v/>
      </c>
    </row>
    <row r="799" spans="1:21" ht="18" customHeight="1" x14ac:dyDescent="0.3">
      <c r="A799" s="2"/>
      <c r="B799" s="65" t="str">
        <f t="shared" si="60"/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 t="shared" si="61"/>
        <v/>
      </c>
      <c r="M799" s="65" t="str">
        <f t="shared" ca="1" si="62"/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63"/>
        <v/>
      </c>
      <c r="S799" s="1" t="str">
        <f t="shared" si="64"/>
        <v/>
      </c>
      <c r="T799" s="1">
        <f>IF($E799="",0,SUMPRODUCT((AY_SONU!$O$7:$O$42="Evet")*(AY_SONU!$B$7:$B$42=DATE(YEAR($E799),MONTH($E799),1))))</f>
        <v>0</v>
      </c>
      <c r="U799" s="1" t="str">
        <f>IF(OR($G799="",$H799="Mahsup"),"",$G799&amp;"|"&amp;COUNTIFS($G$7:$G799,$G799,$H$7:$H799,"&lt;&gt;Mahsup"))</f>
        <v/>
      </c>
    </row>
    <row r="800" spans="1:21" ht="18" customHeight="1" x14ac:dyDescent="0.3">
      <c r="A800" s="2"/>
      <c r="B800" s="65" t="str">
        <f t="shared" si="60"/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 t="shared" si="61"/>
        <v/>
      </c>
      <c r="M800" s="65" t="str">
        <f t="shared" ca="1" si="62"/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63"/>
        <v/>
      </c>
      <c r="S800" s="1" t="str">
        <f t="shared" si="64"/>
        <v/>
      </c>
      <c r="T800" s="1">
        <f>IF($E800="",0,SUMPRODUCT((AY_SONU!$O$7:$O$42="Evet")*(AY_SONU!$B$7:$B$42=DATE(YEAR($E800),MONTH($E800),1))))</f>
        <v>0</v>
      </c>
      <c r="U800" s="1" t="str">
        <f>IF(OR($G800="",$H800="Mahsup"),"",$G800&amp;"|"&amp;COUNTIFS($G$7:$G800,$G800,$H$7:$H800,"&lt;&gt;Mahsup"))</f>
        <v/>
      </c>
    </row>
    <row r="801" spans="1:21" ht="18" customHeight="1" x14ac:dyDescent="0.3">
      <c r="A801" s="2"/>
      <c r="B801" s="65" t="str">
        <f t="shared" si="60"/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 t="shared" si="61"/>
        <v/>
      </c>
      <c r="M801" s="65" t="str">
        <f t="shared" ca="1" si="62"/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63"/>
        <v/>
      </c>
      <c r="S801" s="1" t="str">
        <f t="shared" si="64"/>
        <v/>
      </c>
      <c r="T801" s="1">
        <f>IF($E801="",0,SUMPRODUCT((AY_SONU!$O$7:$O$42="Evet")*(AY_SONU!$B$7:$B$42=DATE(YEAR($E801),MONTH($E801),1))))</f>
        <v>0</v>
      </c>
      <c r="U801" s="1" t="str">
        <f>IF(OR($G801="",$H801="Mahsup"),"",$G801&amp;"|"&amp;COUNTIFS($G$7:$G801,$G801,$H$7:$H801,"&lt;&gt;Mahsup"))</f>
        <v/>
      </c>
    </row>
    <row r="802" spans="1:21" ht="18" customHeight="1" x14ac:dyDescent="0.3">
      <c r="A802" s="2"/>
      <c r="B802" s="65" t="str">
        <f t="shared" si="60"/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 t="shared" si="61"/>
        <v/>
      </c>
      <c r="M802" s="65" t="str">
        <f t="shared" ca="1" si="62"/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63"/>
        <v/>
      </c>
      <c r="S802" s="1" t="str">
        <f t="shared" si="64"/>
        <v/>
      </c>
      <c r="T802" s="1">
        <f>IF($E802="",0,SUMPRODUCT((AY_SONU!$O$7:$O$42="Evet")*(AY_SONU!$B$7:$B$42=DATE(YEAR($E802),MONTH($E802),1))))</f>
        <v>0</v>
      </c>
      <c r="U802" s="1" t="str">
        <f>IF(OR($G802="",$H802="Mahsup"),"",$G802&amp;"|"&amp;COUNTIFS($G$7:$G802,$G802,$H$7:$H802,"&lt;&gt;Mahsup"))</f>
        <v/>
      </c>
    </row>
    <row r="803" spans="1:21" ht="18" customHeight="1" x14ac:dyDescent="0.3">
      <c r="A803" s="2"/>
      <c r="B803" s="65" t="str">
        <f t="shared" si="60"/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 t="shared" si="61"/>
        <v/>
      </c>
      <c r="M803" s="65" t="str">
        <f t="shared" ca="1" si="62"/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63"/>
        <v/>
      </c>
      <c r="S803" s="1" t="str">
        <f t="shared" si="64"/>
        <v/>
      </c>
      <c r="T803" s="1">
        <f>IF($E803="",0,SUMPRODUCT((AY_SONU!$O$7:$O$42="Evet")*(AY_SONU!$B$7:$B$42=DATE(YEAR($E803),MONTH($E803),1))))</f>
        <v>0</v>
      </c>
      <c r="U803" s="1" t="str">
        <f>IF(OR($G803="",$H803="Mahsup"),"",$G803&amp;"|"&amp;COUNTIFS($G$7:$G803,$G803,$H$7:$H803,"&lt;&gt;Mahsup"))</f>
        <v/>
      </c>
    </row>
    <row r="804" spans="1:21" ht="18" customHeight="1" x14ac:dyDescent="0.3">
      <c r="A804" s="2"/>
      <c r="B804" s="65" t="str">
        <f t="shared" si="60"/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 t="shared" si="61"/>
        <v/>
      </c>
      <c r="M804" s="65" t="str">
        <f t="shared" ca="1" si="62"/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63"/>
        <v/>
      </c>
      <c r="S804" s="1" t="str">
        <f t="shared" si="64"/>
        <v/>
      </c>
      <c r="T804" s="1">
        <f>IF($E804="",0,SUMPRODUCT((AY_SONU!$O$7:$O$42="Evet")*(AY_SONU!$B$7:$B$42=DATE(YEAR($E804),MONTH($E804),1))))</f>
        <v>0</v>
      </c>
      <c r="U804" s="1" t="str">
        <f>IF(OR($G804="",$H804="Mahsup"),"",$G804&amp;"|"&amp;COUNTIFS($G$7:$G804,$G804,$H$7:$H804,"&lt;&gt;Mahsup"))</f>
        <v/>
      </c>
    </row>
    <row r="805" spans="1:21" ht="18" customHeight="1" x14ac:dyDescent="0.3">
      <c r="A805" s="2"/>
      <c r="B805" s="65" t="str">
        <f t="shared" si="60"/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 t="shared" si="61"/>
        <v/>
      </c>
      <c r="M805" s="65" t="str">
        <f t="shared" ca="1" si="62"/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63"/>
        <v/>
      </c>
      <c r="S805" s="1" t="str">
        <f t="shared" si="64"/>
        <v/>
      </c>
      <c r="T805" s="1">
        <f>IF($E805="",0,SUMPRODUCT((AY_SONU!$O$7:$O$42="Evet")*(AY_SONU!$B$7:$B$42=DATE(YEAR($E805),MONTH($E805),1))))</f>
        <v>0</v>
      </c>
      <c r="U805" s="1" t="str">
        <f>IF(OR($G805="",$H805="Mahsup"),"",$G805&amp;"|"&amp;COUNTIFS($G$7:$G805,$G805,$H$7:$H805,"&lt;&gt;Mahsup"))</f>
        <v/>
      </c>
    </row>
    <row r="806" spans="1:21" ht="18" customHeight="1" x14ac:dyDescent="0.3">
      <c r="A806" s="2"/>
      <c r="B806" s="65" t="str">
        <f t="shared" si="60"/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 t="shared" si="61"/>
        <v/>
      </c>
      <c r="M806" s="65" t="str">
        <f t="shared" ca="1" si="62"/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63"/>
        <v/>
      </c>
      <c r="S806" s="1" t="str">
        <f t="shared" si="64"/>
        <v/>
      </c>
      <c r="T806" s="1">
        <f>IF($E806="",0,SUMPRODUCT((AY_SONU!$O$7:$O$42="Evet")*(AY_SONU!$B$7:$B$42=DATE(YEAR($E806),MONTH($E806),1))))</f>
        <v>0</v>
      </c>
      <c r="U806" s="1" t="str">
        <f>IF(OR($G806="",$H806="Mahsup"),"",$G806&amp;"|"&amp;COUNTIFS($G$7:$G806,$G806,$H$7:$H806,"&lt;&gt;Mahsup"))</f>
        <v/>
      </c>
    </row>
    <row r="807" spans="1:21" ht="18" customHeight="1" x14ac:dyDescent="0.3">
      <c r="A807" s="2"/>
      <c r="B807" s="65" t="str">
        <f t="shared" si="60"/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 t="shared" si="61"/>
        <v/>
      </c>
      <c r="M807" s="65" t="str">
        <f t="shared" ca="1" si="62"/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63"/>
        <v/>
      </c>
      <c r="S807" s="1" t="str">
        <f t="shared" si="64"/>
        <v/>
      </c>
      <c r="T807" s="1">
        <f>IF($E807="",0,SUMPRODUCT((AY_SONU!$O$7:$O$42="Evet")*(AY_SONU!$B$7:$B$42=DATE(YEAR($E807),MONTH($E807),1))))</f>
        <v>0</v>
      </c>
      <c r="U807" s="1" t="str">
        <f>IF(OR($G807="",$H807="Mahsup"),"",$G807&amp;"|"&amp;COUNTIFS($G$7:$G807,$G807,$H$7:$H807,"&lt;&gt;Mahsup"))</f>
        <v/>
      </c>
    </row>
    <row r="808" spans="1:21" ht="18" customHeight="1" x14ac:dyDescent="0.3">
      <c r="A808" s="2"/>
      <c r="B808" s="65" t="str">
        <f t="shared" si="60"/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 t="shared" si="61"/>
        <v/>
      </c>
      <c r="M808" s="65" t="str">
        <f t="shared" ca="1" si="62"/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63"/>
        <v/>
      </c>
      <c r="S808" s="1" t="str">
        <f t="shared" si="64"/>
        <v/>
      </c>
      <c r="T808" s="1">
        <f>IF($E808="",0,SUMPRODUCT((AY_SONU!$O$7:$O$42="Evet")*(AY_SONU!$B$7:$B$42=DATE(YEAR($E808),MONTH($E808),1))))</f>
        <v>0</v>
      </c>
      <c r="U808" s="1" t="str">
        <f>IF(OR($G808="",$H808="Mahsup"),"",$G808&amp;"|"&amp;COUNTIFS($G$7:$G808,$G808,$H$7:$H808,"&lt;&gt;Mahsup"))</f>
        <v/>
      </c>
    </row>
    <row r="809" spans="1:21" ht="18" customHeight="1" x14ac:dyDescent="0.3">
      <c r="A809" s="2"/>
      <c r="B809" s="65" t="str">
        <f t="shared" si="60"/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 t="shared" si="61"/>
        <v/>
      </c>
      <c r="M809" s="65" t="str">
        <f t="shared" ca="1" si="62"/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63"/>
        <v/>
      </c>
      <c r="S809" s="1" t="str">
        <f t="shared" si="64"/>
        <v/>
      </c>
      <c r="T809" s="1">
        <f>IF($E809="",0,SUMPRODUCT((AY_SONU!$O$7:$O$42="Evet")*(AY_SONU!$B$7:$B$42=DATE(YEAR($E809),MONTH($E809),1))))</f>
        <v>0</v>
      </c>
      <c r="U809" s="1" t="str">
        <f>IF(OR($G809="",$H809="Mahsup"),"",$G809&amp;"|"&amp;COUNTIFS($G$7:$G809,$G809,$H$7:$H809,"&lt;&gt;Mahsup"))</f>
        <v/>
      </c>
    </row>
    <row r="810" spans="1:21" ht="18" customHeight="1" x14ac:dyDescent="0.3">
      <c r="A810" s="2"/>
      <c r="B810" s="65" t="str">
        <f t="shared" si="60"/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 t="shared" si="61"/>
        <v/>
      </c>
      <c r="M810" s="65" t="str">
        <f t="shared" ca="1" si="62"/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63"/>
        <v/>
      </c>
      <c r="S810" s="1" t="str">
        <f t="shared" si="64"/>
        <v/>
      </c>
      <c r="T810" s="1">
        <f>IF($E810="",0,SUMPRODUCT((AY_SONU!$O$7:$O$42="Evet")*(AY_SONU!$B$7:$B$42=DATE(YEAR($E810),MONTH($E810),1))))</f>
        <v>0</v>
      </c>
      <c r="U810" s="1" t="str">
        <f>IF(OR($G810="",$H810="Mahsup"),"",$G810&amp;"|"&amp;COUNTIFS($G$7:$G810,$G810,$H$7:$H810,"&lt;&gt;Mahsup"))</f>
        <v/>
      </c>
    </row>
    <row r="811" spans="1:21" ht="18" customHeight="1" x14ac:dyDescent="0.3">
      <c r="A811" s="2"/>
      <c r="B811" s="65" t="str">
        <f t="shared" si="60"/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 t="shared" si="61"/>
        <v/>
      </c>
      <c r="M811" s="65" t="str">
        <f t="shared" ca="1" si="62"/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63"/>
        <v/>
      </c>
      <c r="S811" s="1" t="str">
        <f t="shared" si="64"/>
        <v/>
      </c>
      <c r="T811" s="1">
        <f>IF($E811="",0,SUMPRODUCT((AY_SONU!$O$7:$O$42="Evet")*(AY_SONU!$B$7:$B$42=DATE(YEAR($E811),MONTH($E811),1))))</f>
        <v>0</v>
      </c>
      <c r="U811" s="1" t="str">
        <f>IF(OR($G811="",$H811="Mahsup"),"",$G811&amp;"|"&amp;COUNTIFS($G$7:$G811,$G811,$H$7:$H811,"&lt;&gt;Mahsup"))</f>
        <v/>
      </c>
    </row>
    <row r="812" spans="1:21" ht="18" customHeight="1" x14ac:dyDescent="0.3">
      <c r="A812" s="2"/>
      <c r="B812" s="65" t="str">
        <f t="shared" si="60"/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 t="shared" si="61"/>
        <v/>
      </c>
      <c r="M812" s="65" t="str">
        <f t="shared" ca="1" si="62"/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63"/>
        <v/>
      </c>
      <c r="S812" s="1" t="str">
        <f t="shared" si="64"/>
        <v/>
      </c>
      <c r="T812" s="1">
        <f>IF($E812="",0,SUMPRODUCT((AY_SONU!$O$7:$O$42="Evet")*(AY_SONU!$B$7:$B$42=DATE(YEAR($E812),MONTH($E812),1))))</f>
        <v>0</v>
      </c>
      <c r="U812" s="1" t="str">
        <f>IF(OR($G812="",$H812="Mahsup"),"",$G812&amp;"|"&amp;COUNTIFS($G$7:$G812,$G812,$H$7:$H812,"&lt;&gt;Mahsup"))</f>
        <v/>
      </c>
    </row>
    <row r="813" spans="1:21" ht="18" customHeight="1" x14ac:dyDescent="0.3">
      <c r="A813" s="2"/>
      <c r="B813" s="65" t="str">
        <f t="shared" si="60"/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 t="shared" si="61"/>
        <v/>
      </c>
      <c r="M813" s="65" t="str">
        <f t="shared" ca="1" si="62"/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63"/>
        <v/>
      </c>
      <c r="S813" s="1" t="str">
        <f t="shared" si="64"/>
        <v/>
      </c>
      <c r="T813" s="1">
        <f>IF($E813="",0,SUMPRODUCT((AY_SONU!$O$7:$O$42="Evet")*(AY_SONU!$B$7:$B$42=DATE(YEAR($E813),MONTH($E813),1))))</f>
        <v>0</v>
      </c>
      <c r="U813" s="1" t="str">
        <f>IF(OR($G813="",$H813="Mahsup"),"",$G813&amp;"|"&amp;COUNTIFS($G$7:$G813,$G813,$H$7:$H813,"&lt;&gt;Mahsup"))</f>
        <v/>
      </c>
    </row>
    <row r="814" spans="1:21" ht="18" customHeight="1" x14ac:dyDescent="0.3">
      <c r="A814" s="2"/>
      <c r="B814" s="65" t="str">
        <f t="shared" si="60"/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 t="shared" si="61"/>
        <v/>
      </c>
      <c r="M814" s="65" t="str">
        <f t="shared" ca="1" si="62"/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63"/>
        <v/>
      </c>
      <c r="S814" s="1" t="str">
        <f t="shared" si="64"/>
        <v/>
      </c>
      <c r="T814" s="1">
        <f>IF($E814="",0,SUMPRODUCT((AY_SONU!$O$7:$O$42="Evet")*(AY_SONU!$B$7:$B$42=DATE(YEAR($E814),MONTH($E814),1))))</f>
        <v>0</v>
      </c>
      <c r="U814" s="1" t="str">
        <f>IF(OR($G814="",$H814="Mahsup"),"",$G814&amp;"|"&amp;COUNTIFS($G$7:$G814,$G814,$H$7:$H814,"&lt;&gt;Mahsup"))</f>
        <v/>
      </c>
    </row>
    <row r="815" spans="1:21" ht="18" customHeight="1" x14ac:dyDescent="0.3">
      <c r="A815" s="2"/>
      <c r="B815" s="65" t="str">
        <f t="shared" si="60"/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 t="shared" si="61"/>
        <v/>
      </c>
      <c r="M815" s="65" t="str">
        <f t="shared" ca="1" si="62"/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63"/>
        <v/>
      </c>
      <c r="S815" s="1" t="str">
        <f t="shared" si="64"/>
        <v/>
      </c>
      <c r="T815" s="1">
        <f>IF($E815="",0,SUMPRODUCT((AY_SONU!$O$7:$O$42="Evet")*(AY_SONU!$B$7:$B$42=DATE(YEAR($E815),MONTH($E815),1))))</f>
        <v>0</v>
      </c>
      <c r="U815" s="1" t="str">
        <f>IF(OR($G815="",$H815="Mahsup"),"",$G815&amp;"|"&amp;COUNTIFS($G$7:$G815,$G815,$H$7:$H815,"&lt;&gt;Mahsup"))</f>
        <v/>
      </c>
    </row>
    <row r="816" spans="1:21" ht="18" customHeight="1" x14ac:dyDescent="0.3">
      <c r="A816" s="2"/>
      <c r="B816" s="65" t="str">
        <f t="shared" si="60"/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 t="shared" si="61"/>
        <v/>
      </c>
      <c r="M816" s="65" t="str">
        <f t="shared" ca="1" si="62"/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63"/>
        <v/>
      </c>
      <c r="S816" s="1" t="str">
        <f t="shared" si="64"/>
        <v/>
      </c>
      <c r="T816" s="1">
        <f>IF($E816="",0,SUMPRODUCT((AY_SONU!$O$7:$O$42="Evet")*(AY_SONU!$B$7:$B$42=DATE(YEAR($E816),MONTH($E816),1))))</f>
        <v>0</v>
      </c>
      <c r="U816" s="1" t="str">
        <f>IF(OR($G816="",$H816="Mahsup"),"",$G816&amp;"|"&amp;COUNTIFS($G$7:$G816,$G816,$H$7:$H816,"&lt;&gt;Mahsup"))</f>
        <v/>
      </c>
    </row>
    <row r="817" spans="1:21" ht="18" customHeight="1" x14ac:dyDescent="0.3">
      <c r="A817" s="2"/>
      <c r="B817" s="65" t="str">
        <f t="shared" si="60"/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 t="shared" si="61"/>
        <v/>
      </c>
      <c r="M817" s="65" t="str">
        <f t="shared" ca="1" si="62"/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63"/>
        <v/>
      </c>
      <c r="S817" s="1" t="str">
        <f t="shared" si="64"/>
        <v/>
      </c>
      <c r="T817" s="1">
        <f>IF($E817="",0,SUMPRODUCT((AY_SONU!$O$7:$O$42="Evet")*(AY_SONU!$B$7:$B$42=DATE(YEAR($E817),MONTH($E817),1))))</f>
        <v>0</v>
      </c>
      <c r="U817" s="1" t="str">
        <f>IF(OR($G817="",$H817="Mahsup"),"",$G817&amp;"|"&amp;COUNTIFS($G$7:$G817,$G817,$H$7:$H817,"&lt;&gt;Mahsup"))</f>
        <v/>
      </c>
    </row>
    <row r="818" spans="1:21" ht="18" customHeight="1" x14ac:dyDescent="0.3">
      <c r="A818" s="2"/>
      <c r="B818" s="65" t="str">
        <f t="shared" si="60"/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 t="shared" si="61"/>
        <v/>
      </c>
      <c r="M818" s="65" t="str">
        <f t="shared" ca="1" si="62"/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63"/>
        <v/>
      </c>
      <c r="S818" s="1" t="str">
        <f t="shared" si="64"/>
        <v/>
      </c>
      <c r="T818" s="1">
        <f>IF($E818="",0,SUMPRODUCT((AY_SONU!$O$7:$O$42="Evet")*(AY_SONU!$B$7:$B$42=DATE(YEAR($E818),MONTH($E818),1))))</f>
        <v>0</v>
      </c>
      <c r="U818" s="1" t="str">
        <f>IF(OR($G818="",$H818="Mahsup"),"",$G818&amp;"|"&amp;COUNTIFS($G$7:$G818,$G818,$H$7:$H818,"&lt;&gt;Mahsup"))</f>
        <v/>
      </c>
    </row>
    <row r="819" spans="1:21" ht="18" customHeight="1" x14ac:dyDescent="0.3">
      <c r="A819" s="2"/>
      <c r="B819" s="65" t="str">
        <f t="shared" si="60"/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 t="shared" si="61"/>
        <v/>
      </c>
      <c r="M819" s="65" t="str">
        <f t="shared" ca="1" si="62"/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63"/>
        <v/>
      </c>
      <c r="S819" s="1" t="str">
        <f t="shared" si="64"/>
        <v/>
      </c>
      <c r="T819" s="1">
        <f>IF($E819="",0,SUMPRODUCT((AY_SONU!$O$7:$O$42="Evet")*(AY_SONU!$B$7:$B$42=DATE(YEAR($E819),MONTH($E819),1))))</f>
        <v>0</v>
      </c>
      <c r="U819" s="1" t="str">
        <f>IF(OR($G819="",$H819="Mahsup"),"",$G819&amp;"|"&amp;COUNTIFS($G$7:$G819,$G819,$H$7:$H819,"&lt;&gt;Mahsup"))</f>
        <v/>
      </c>
    </row>
    <row r="820" spans="1:21" ht="18" customHeight="1" x14ac:dyDescent="0.3">
      <c r="A820" s="2"/>
      <c r="B820" s="65" t="str">
        <f t="shared" si="60"/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 t="shared" si="61"/>
        <v/>
      </c>
      <c r="M820" s="65" t="str">
        <f t="shared" ca="1" si="62"/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63"/>
        <v/>
      </c>
      <c r="S820" s="1" t="str">
        <f t="shared" si="64"/>
        <v/>
      </c>
      <c r="T820" s="1">
        <f>IF($E820="",0,SUMPRODUCT((AY_SONU!$O$7:$O$42="Evet")*(AY_SONU!$B$7:$B$42=DATE(YEAR($E820),MONTH($E820),1))))</f>
        <v>0</v>
      </c>
      <c r="U820" s="1" t="str">
        <f>IF(OR($G820="",$H820="Mahsup"),"",$G820&amp;"|"&amp;COUNTIFS($G$7:$G820,$G820,$H$7:$H820,"&lt;&gt;Mahsup"))</f>
        <v/>
      </c>
    </row>
    <row r="821" spans="1:21" ht="18" customHeight="1" x14ac:dyDescent="0.3">
      <c r="A821" s="2"/>
      <c r="B821" s="65" t="str">
        <f t="shared" si="60"/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 t="shared" si="61"/>
        <v/>
      </c>
      <c r="M821" s="65" t="str">
        <f t="shared" ca="1" si="62"/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63"/>
        <v/>
      </c>
      <c r="S821" s="1" t="str">
        <f t="shared" si="64"/>
        <v/>
      </c>
      <c r="T821" s="1">
        <f>IF($E821="",0,SUMPRODUCT((AY_SONU!$O$7:$O$42="Evet")*(AY_SONU!$B$7:$B$42=DATE(YEAR($E821),MONTH($E821),1))))</f>
        <v>0</v>
      </c>
      <c r="U821" s="1" t="str">
        <f>IF(OR($G821="",$H821="Mahsup"),"",$G821&amp;"|"&amp;COUNTIFS($G$7:$G821,$G821,$H$7:$H821,"&lt;&gt;Mahsup"))</f>
        <v/>
      </c>
    </row>
    <row r="822" spans="1:21" ht="18" customHeight="1" x14ac:dyDescent="0.3">
      <c r="A822" s="2"/>
      <c r="B822" s="65" t="str">
        <f t="shared" si="60"/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 t="shared" si="61"/>
        <v/>
      </c>
      <c r="M822" s="65" t="str">
        <f t="shared" ca="1" si="62"/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63"/>
        <v/>
      </c>
      <c r="S822" s="1" t="str">
        <f t="shared" si="64"/>
        <v/>
      </c>
      <c r="T822" s="1">
        <f>IF($E822="",0,SUMPRODUCT((AY_SONU!$O$7:$O$42="Evet")*(AY_SONU!$B$7:$B$42=DATE(YEAR($E822),MONTH($E822),1))))</f>
        <v>0</v>
      </c>
      <c r="U822" s="1" t="str">
        <f>IF(OR($G822="",$H822="Mahsup"),"",$G822&amp;"|"&amp;COUNTIFS($G$7:$G822,$G822,$H$7:$H822,"&lt;&gt;Mahsup"))</f>
        <v/>
      </c>
    </row>
    <row r="823" spans="1:21" ht="18" customHeight="1" x14ac:dyDescent="0.3">
      <c r="A823" s="2"/>
      <c r="B823" s="65" t="str">
        <f t="shared" si="60"/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 t="shared" si="61"/>
        <v/>
      </c>
      <c r="M823" s="65" t="str">
        <f t="shared" ca="1" si="62"/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63"/>
        <v/>
      </c>
      <c r="S823" s="1" t="str">
        <f t="shared" si="64"/>
        <v/>
      </c>
      <c r="T823" s="1">
        <f>IF($E823="",0,SUMPRODUCT((AY_SONU!$O$7:$O$42="Evet")*(AY_SONU!$B$7:$B$42=DATE(YEAR($E823),MONTH($E823),1))))</f>
        <v>0</v>
      </c>
      <c r="U823" s="1" t="str">
        <f>IF(OR($G823="",$H823="Mahsup"),"",$G823&amp;"|"&amp;COUNTIFS($G$7:$G823,$G823,$H$7:$H823,"&lt;&gt;Mahsup"))</f>
        <v/>
      </c>
    </row>
    <row r="824" spans="1:21" ht="18" customHeight="1" x14ac:dyDescent="0.3">
      <c r="A824" s="2"/>
      <c r="B824" s="65" t="str">
        <f t="shared" si="60"/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 t="shared" si="61"/>
        <v/>
      </c>
      <c r="M824" s="65" t="str">
        <f t="shared" ca="1" si="62"/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63"/>
        <v/>
      </c>
      <c r="S824" s="1" t="str">
        <f t="shared" si="64"/>
        <v/>
      </c>
      <c r="T824" s="1">
        <f>IF($E824="",0,SUMPRODUCT((AY_SONU!$O$7:$O$42="Evet")*(AY_SONU!$B$7:$B$42=DATE(YEAR($E824),MONTH($E824),1))))</f>
        <v>0</v>
      </c>
      <c r="U824" s="1" t="str">
        <f>IF(OR($G824="",$H824="Mahsup"),"",$G824&amp;"|"&amp;COUNTIFS($G$7:$G824,$G824,$H$7:$H824,"&lt;&gt;Mahsup"))</f>
        <v/>
      </c>
    </row>
    <row r="825" spans="1:21" ht="18" customHeight="1" x14ac:dyDescent="0.3">
      <c r="A825" s="2"/>
      <c r="B825" s="65" t="str">
        <f t="shared" si="60"/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 t="shared" si="61"/>
        <v/>
      </c>
      <c r="M825" s="65" t="str">
        <f t="shared" ca="1" si="62"/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63"/>
        <v/>
      </c>
      <c r="S825" s="1" t="str">
        <f t="shared" si="64"/>
        <v/>
      </c>
      <c r="T825" s="1">
        <f>IF($E825="",0,SUMPRODUCT((AY_SONU!$O$7:$O$42="Evet")*(AY_SONU!$B$7:$B$42=DATE(YEAR($E825),MONTH($E825),1))))</f>
        <v>0</v>
      </c>
      <c r="U825" s="1" t="str">
        <f>IF(OR($G825="",$H825="Mahsup"),"",$G825&amp;"|"&amp;COUNTIFS($G$7:$G825,$G825,$H$7:$H825,"&lt;&gt;Mahsup"))</f>
        <v/>
      </c>
    </row>
    <row r="826" spans="1:21" ht="18" customHeight="1" x14ac:dyDescent="0.3">
      <c r="A826" s="2"/>
      <c r="B826" s="65" t="str">
        <f t="shared" si="60"/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 t="shared" si="61"/>
        <v/>
      </c>
      <c r="M826" s="65" t="str">
        <f t="shared" ca="1" si="62"/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63"/>
        <v/>
      </c>
      <c r="S826" s="1" t="str">
        <f t="shared" si="64"/>
        <v/>
      </c>
      <c r="T826" s="1">
        <f>IF($E826="",0,SUMPRODUCT((AY_SONU!$O$7:$O$42="Evet")*(AY_SONU!$B$7:$B$42=DATE(YEAR($E826),MONTH($E826),1))))</f>
        <v>0</v>
      </c>
      <c r="U826" s="1" t="str">
        <f>IF(OR($G826="",$H826="Mahsup"),"",$G826&amp;"|"&amp;COUNTIFS($G$7:$G826,$G826,$H$7:$H826,"&lt;&gt;Mahsup"))</f>
        <v/>
      </c>
    </row>
    <row r="827" spans="1:21" ht="18" customHeight="1" x14ac:dyDescent="0.3">
      <c r="A827" s="2"/>
      <c r="B827" s="65" t="str">
        <f t="shared" si="60"/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 t="shared" si="61"/>
        <v/>
      </c>
      <c r="M827" s="65" t="str">
        <f t="shared" ca="1" si="62"/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63"/>
        <v/>
      </c>
      <c r="S827" s="1" t="str">
        <f t="shared" si="64"/>
        <v/>
      </c>
      <c r="T827" s="1">
        <f>IF($E827="",0,SUMPRODUCT((AY_SONU!$O$7:$O$42="Evet")*(AY_SONU!$B$7:$B$42=DATE(YEAR($E827),MONTH($E827),1))))</f>
        <v>0</v>
      </c>
      <c r="U827" s="1" t="str">
        <f>IF(OR($G827="",$H827="Mahsup"),"",$G827&amp;"|"&amp;COUNTIFS($G$7:$G827,$G827,$H$7:$H827,"&lt;&gt;Mahsup"))</f>
        <v/>
      </c>
    </row>
    <row r="828" spans="1:21" ht="18" customHeight="1" x14ac:dyDescent="0.3">
      <c r="A828" s="2"/>
      <c r="B828" s="65" t="str">
        <f t="shared" si="60"/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 t="shared" si="61"/>
        <v/>
      </c>
      <c r="M828" s="65" t="str">
        <f t="shared" ca="1" si="62"/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63"/>
        <v/>
      </c>
      <c r="S828" s="1" t="str">
        <f t="shared" si="64"/>
        <v/>
      </c>
      <c r="T828" s="1">
        <f>IF($E828="",0,SUMPRODUCT((AY_SONU!$O$7:$O$42="Evet")*(AY_SONU!$B$7:$B$42=DATE(YEAR($E828),MONTH($E828),1))))</f>
        <v>0</v>
      </c>
      <c r="U828" s="1" t="str">
        <f>IF(OR($G828="",$H828="Mahsup"),"",$G828&amp;"|"&amp;COUNTIFS($G$7:$G828,$G828,$H$7:$H828,"&lt;&gt;Mahsup"))</f>
        <v/>
      </c>
    </row>
    <row r="829" spans="1:21" ht="18" customHeight="1" x14ac:dyDescent="0.3">
      <c r="A829" s="2"/>
      <c r="B829" s="65" t="str">
        <f t="shared" si="60"/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 t="shared" si="61"/>
        <v/>
      </c>
      <c r="M829" s="65" t="str">
        <f t="shared" ca="1" si="62"/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63"/>
        <v/>
      </c>
      <c r="S829" s="1" t="str">
        <f t="shared" si="64"/>
        <v/>
      </c>
      <c r="T829" s="1">
        <f>IF($E829="",0,SUMPRODUCT((AY_SONU!$O$7:$O$42="Evet")*(AY_SONU!$B$7:$B$42=DATE(YEAR($E829),MONTH($E829),1))))</f>
        <v>0</v>
      </c>
      <c r="U829" s="1" t="str">
        <f>IF(OR($G829="",$H829="Mahsup"),"",$G829&amp;"|"&amp;COUNTIFS($G$7:$G829,$G829,$H$7:$H829,"&lt;&gt;Mahsup"))</f>
        <v/>
      </c>
    </row>
    <row r="830" spans="1:21" ht="18" customHeight="1" x14ac:dyDescent="0.3">
      <c r="A830" s="2"/>
      <c r="B830" s="65" t="str">
        <f t="shared" si="60"/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 t="shared" si="61"/>
        <v/>
      </c>
      <c r="M830" s="65" t="str">
        <f t="shared" ca="1" si="62"/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63"/>
        <v/>
      </c>
      <c r="S830" s="1" t="str">
        <f t="shared" si="64"/>
        <v/>
      </c>
      <c r="T830" s="1">
        <f>IF($E830="",0,SUMPRODUCT((AY_SONU!$O$7:$O$42="Evet")*(AY_SONU!$B$7:$B$42=DATE(YEAR($E830),MONTH($E830),1))))</f>
        <v>0</v>
      </c>
      <c r="U830" s="1" t="str">
        <f>IF(OR($G830="",$H830="Mahsup"),"",$G830&amp;"|"&amp;COUNTIFS($G$7:$G830,$G830,$H$7:$H830,"&lt;&gt;Mahsup"))</f>
        <v/>
      </c>
    </row>
    <row r="831" spans="1:21" ht="18" customHeight="1" x14ac:dyDescent="0.3">
      <c r="A831" s="2"/>
      <c r="B831" s="65" t="str">
        <f t="shared" si="60"/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 t="shared" si="61"/>
        <v/>
      </c>
      <c r="M831" s="65" t="str">
        <f t="shared" ca="1" si="62"/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63"/>
        <v/>
      </c>
      <c r="S831" s="1" t="str">
        <f t="shared" si="64"/>
        <v/>
      </c>
      <c r="T831" s="1">
        <f>IF($E831="",0,SUMPRODUCT((AY_SONU!$O$7:$O$42="Evet")*(AY_SONU!$B$7:$B$42=DATE(YEAR($E831),MONTH($E831),1))))</f>
        <v>0</v>
      </c>
      <c r="U831" s="1" t="str">
        <f>IF(OR($G831="",$H831="Mahsup"),"",$G831&amp;"|"&amp;COUNTIFS($G$7:$G831,$G831,$H$7:$H831,"&lt;&gt;Mahsup"))</f>
        <v/>
      </c>
    </row>
    <row r="832" spans="1:21" ht="18" customHeight="1" x14ac:dyDescent="0.3">
      <c r="A832" s="2"/>
      <c r="B832" s="65" t="str">
        <f t="shared" si="60"/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 t="shared" si="61"/>
        <v/>
      </c>
      <c r="M832" s="65" t="str">
        <f t="shared" ca="1" si="62"/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63"/>
        <v/>
      </c>
      <c r="S832" s="1" t="str">
        <f t="shared" si="64"/>
        <v/>
      </c>
      <c r="T832" s="1">
        <f>IF($E832="",0,SUMPRODUCT((AY_SONU!$O$7:$O$42="Evet")*(AY_SONU!$B$7:$B$42=DATE(YEAR($E832),MONTH($E832),1))))</f>
        <v>0</v>
      </c>
      <c r="U832" s="1" t="str">
        <f>IF(OR($G832="",$H832="Mahsup"),"",$G832&amp;"|"&amp;COUNTIFS($G$7:$G832,$G832,$H$7:$H832,"&lt;&gt;Mahsup"))</f>
        <v/>
      </c>
    </row>
    <row r="833" spans="1:21" ht="18" customHeight="1" x14ac:dyDescent="0.3">
      <c r="A833" s="2"/>
      <c r="B833" s="65" t="str">
        <f t="shared" si="60"/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 t="shared" si="61"/>
        <v/>
      </c>
      <c r="M833" s="65" t="str">
        <f t="shared" ca="1" si="62"/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63"/>
        <v/>
      </c>
      <c r="S833" s="1" t="str">
        <f t="shared" si="64"/>
        <v/>
      </c>
      <c r="T833" s="1">
        <f>IF($E833="",0,SUMPRODUCT((AY_SONU!$O$7:$O$42="Evet")*(AY_SONU!$B$7:$B$42=DATE(YEAR($E833),MONTH($E833),1))))</f>
        <v>0</v>
      </c>
      <c r="U833" s="1" t="str">
        <f>IF(OR($G833="",$H833="Mahsup"),"",$G833&amp;"|"&amp;COUNTIFS($G$7:$G833,$G833,$H$7:$H833,"&lt;&gt;Mahsup"))</f>
        <v/>
      </c>
    </row>
    <row r="834" spans="1:21" ht="18" customHeight="1" x14ac:dyDescent="0.3">
      <c r="A834" s="2"/>
      <c r="B834" s="65" t="str">
        <f t="shared" si="60"/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 t="shared" si="61"/>
        <v/>
      </c>
      <c r="M834" s="65" t="str">
        <f t="shared" ca="1" si="62"/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63"/>
        <v/>
      </c>
      <c r="S834" s="1" t="str">
        <f t="shared" si="64"/>
        <v/>
      </c>
      <c r="T834" s="1">
        <f>IF($E834="",0,SUMPRODUCT((AY_SONU!$O$7:$O$42="Evet")*(AY_SONU!$B$7:$B$42=DATE(YEAR($E834),MONTH($E834),1))))</f>
        <v>0</v>
      </c>
      <c r="U834" s="1" t="str">
        <f>IF(OR($G834="",$H834="Mahsup"),"",$G834&amp;"|"&amp;COUNTIFS($G$7:$G834,$G834,$H$7:$H834,"&lt;&gt;Mahsup"))</f>
        <v/>
      </c>
    </row>
    <row r="835" spans="1:21" ht="18" customHeight="1" x14ac:dyDescent="0.3">
      <c r="A835" s="2"/>
      <c r="B835" s="65" t="str">
        <f t="shared" si="60"/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 t="shared" si="61"/>
        <v/>
      </c>
      <c r="M835" s="65" t="str">
        <f t="shared" ca="1" si="62"/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63"/>
        <v/>
      </c>
      <c r="S835" s="1" t="str">
        <f t="shared" si="64"/>
        <v/>
      </c>
      <c r="T835" s="1">
        <f>IF($E835="",0,SUMPRODUCT((AY_SONU!$O$7:$O$42="Evet")*(AY_SONU!$B$7:$B$42=DATE(YEAR($E835),MONTH($E835),1))))</f>
        <v>0</v>
      </c>
      <c r="U835" s="1" t="str">
        <f>IF(OR($G835="",$H835="Mahsup"),"",$G835&amp;"|"&amp;COUNTIFS($G$7:$G835,$G835,$H$7:$H835,"&lt;&gt;Mahsup"))</f>
        <v/>
      </c>
    </row>
    <row r="836" spans="1:21" ht="18" customHeight="1" x14ac:dyDescent="0.3">
      <c r="A836" s="2"/>
      <c r="B836" s="65" t="str">
        <f t="shared" si="60"/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 t="shared" si="61"/>
        <v/>
      </c>
      <c r="M836" s="65" t="str">
        <f t="shared" ca="1" si="62"/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63"/>
        <v/>
      </c>
      <c r="S836" s="1" t="str">
        <f t="shared" si="64"/>
        <v/>
      </c>
      <c r="T836" s="1">
        <f>IF($E836="",0,SUMPRODUCT((AY_SONU!$O$7:$O$42="Evet")*(AY_SONU!$B$7:$B$42=DATE(YEAR($E836),MONTH($E836),1))))</f>
        <v>0</v>
      </c>
      <c r="U836" s="1" t="str">
        <f>IF(OR($G836="",$H836="Mahsup"),"",$G836&amp;"|"&amp;COUNTIFS($G$7:$G836,$G836,$H$7:$H836,"&lt;&gt;Mahsup"))</f>
        <v/>
      </c>
    </row>
    <row r="837" spans="1:21" ht="18" customHeight="1" x14ac:dyDescent="0.3">
      <c r="A837" s="2"/>
      <c r="B837" s="65" t="str">
        <f t="shared" si="60"/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 t="shared" si="61"/>
        <v/>
      </c>
      <c r="M837" s="65" t="str">
        <f t="shared" ca="1" si="62"/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63"/>
        <v/>
      </c>
      <c r="S837" s="1" t="str">
        <f t="shared" si="64"/>
        <v/>
      </c>
      <c r="T837" s="1">
        <f>IF($E837="",0,SUMPRODUCT((AY_SONU!$O$7:$O$42="Evet")*(AY_SONU!$B$7:$B$42=DATE(YEAR($E837),MONTH($E837),1))))</f>
        <v>0</v>
      </c>
      <c r="U837" s="1" t="str">
        <f>IF(OR($G837="",$H837="Mahsup"),"",$G837&amp;"|"&amp;COUNTIFS($G$7:$G837,$G837,$H$7:$H837,"&lt;&gt;Mahsup"))</f>
        <v/>
      </c>
    </row>
    <row r="838" spans="1:21" ht="18" customHeight="1" x14ac:dyDescent="0.3">
      <c r="A838" s="2"/>
      <c r="B838" s="65" t="str">
        <f t="shared" si="60"/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 t="shared" si="61"/>
        <v/>
      </c>
      <c r="M838" s="65" t="str">
        <f t="shared" ca="1" si="62"/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63"/>
        <v/>
      </c>
      <c r="S838" s="1" t="str">
        <f t="shared" si="64"/>
        <v/>
      </c>
      <c r="T838" s="1">
        <f>IF($E838="",0,SUMPRODUCT((AY_SONU!$O$7:$O$42="Evet")*(AY_SONU!$B$7:$B$42=DATE(YEAR($E838),MONTH($E838),1))))</f>
        <v>0</v>
      </c>
      <c r="U838" s="1" t="str">
        <f>IF(OR($G838="",$H838="Mahsup"),"",$G838&amp;"|"&amp;COUNTIFS($G$7:$G838,$G838,$H$7:$H838,"&lt;&gt;Mahsup"))</f>
        <v/>
      </c>
    </row>
    <row r="839" spans="1:21" ht="18" customHeight="1" x14ac:dyDescent="0.3">
      <c r="A839" s="2"/>
      <c r="B839" s="65" t="str">
        <f t="shared" ref="B839:B902" si="65"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 t="shared" ref="L839:L902" si="66">IF($E839="","",DATE(YEAR($E839),MONTH($E839),1))</f>
        <v/>
      </c>
      <c r="M839" s="65" t="str">
        <f t="shared" ref="M839:M902" ca="1" si="67"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68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69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  <c r="U839" s="1" t="str">
        <f>IF(OR($G839="",$H839="Mahsup"),"",$G839&amp;"|"&amp;COUNTIFS($G$7:$G839,$G839,$H$7:$H839,"&lt;&gt;Mahsup"))</f>
        <v/>
      </c>
    </row>
    <row r="840" spans="1:21" ht="18" customHeight="1" x14ac:dyDescent="0.3">
      <c r="A840" s="2"/>
      <c r="B840" s="65" t="str">
        <f t="shared" si="65"/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 t="shared" si="66"/>
        <v/>
      </c>
      <c r="M840" s="65" t="str">
        <f t="shared" ca="1" si="67"/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68"/>
        <v/>
      </c>
      <c r="S840" s="1" t="str">
        <f t="shared" si="69"/>
        <v/>
      </c>
      <c r="T840" s="1">
        <f>IF($E840="",0,SUMPRODUCT((AY_SONU!$O$7:$O$42="Evet")*(AY_SONU!$B$7:$B$42=DATE(YEAR($E840),MONTH($E840),1))))</f>
        <v>0</v>
      </c>
      <c r="U840" s="1" t="str">
        <f>IF(OR($G840="",$H840="Mahsup"),"",$G840&amp;"|"&amp;COUNTIFS($G$7:$G840,$G840,$H$7:$H840,"&lt;&gt;Mahsup"))</f>
        <v/>
      </c>
    </row>
    <row r="841" spans="1:21" ht="18" customHeight="1" x14ac:dyDescent="0.3">
      <c r="A841" s="2"/>
      <c r="B841" s="65" t="str">
        <f t="shared" si="65"/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 t="shared" si="66"/>
        <v/>
      </c>
      <c r="M841" s="65" t="str">
        <f t="shared" ca="1" si="67"/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68"/>
        <v/>
      </c>
      <c r="S841" s="1" t="str">
        <f t="shared" si="69"/>
        <v/>
      </c>
      <c r="T841" s="1">
        <f>IF($E841="",0,SUMPRODUCT((AY_SONU!$O$7:$O$42="Evet")*(AY_SONU!$B$7:$B$42=DATE(YEAR($E841),MONTH($E841),1))))</f>
        <v>0</v>
      </c>
      <c r="U841" s="1" t="str">
        <f>IF(OR($G841="",$H841="Mahsup"),"",$G841&amp;"|"&amp;COUNTIFS($G$7:$G841,$G841,$H$7:$H841,"&lt;&gt;Mahsup"))</f>
        <v/>
      </c>
    </row>
    <row r="842" spans="1:21" ht="18" customHeight="1" x14ac:dyDescent="0.3">
      <c r="A842" s="2"/>
      <c r="B842" s="65" t="str">
        <f t="shared" si="65"/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 t="shared" si="66"/>
        <v/>
      </c>
      <c r="M842" s="65" t="str">
        <f t="shared" ca="1" si="67"/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68"/>
        <v/>
      </c>
      <c r="S842" s="1" t="str">
        <f t="shared" si="69"/>
        <v/>
      </c>
      <c r="T842" s="1">
        <f>IF($E842="",0,SUMPRODUCT((AY_SONU!$O$7:$O$42="Evet")*(AY_SONU!$B$7:$B$42=DATE(YEAR($E842),MONTH($E842),1))))</f>
        <v>0</v>
      </c>
      <c r="U842" s="1" t="str">
        <f>IF(OR($G842="",$H842="Mahsup"),"",$G842&amp;"|"&amp;COUNTIFS($G$7:$G842,$G842,$H$7:$H842,"&lt;&gt;Mahsup"))</f>
        <v/>
      </c>
    </row>
    <row r="843" spans="1:21" ht="18" customHeight="1" x14ac:dyDescent="0.3">
      <c r="A843" s="2"/>
      <c r="B843" s="65" t="str">
        <f t="shared" si="65"/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 t="shared" si="66"/>
        <v/>
      </c>
      <c r="M843" s="65" t="str">
        <f t="shared" ca="1" si="67"/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68"/>
        <v/>
      </c>
      <c r="S843" s="1" t="str">
        <f t="shared" si="69"/>
        <v/>
      </c>
      <c r="T843" s="1">
        <f>IF($E843="",0,SUMPRODUCT((AY_SONU!$O$7:$O$42="Evet")*(AY_SONU!$B$7:$B$42=DATE(YEAR($E843),MONTH($E843),1))))</f>
        <v>0</v>
      </c>
      <c r="U843" s="1" t="str">
        <f>IF(OR($G843="",$H843="Mahsup"),"",$G843&amp;"|"&amp;COUNTIFS($G$7:$G843,$G843,$H$7:$H843,"&lt;&gt;Mahsup"))</f>
        <v/>
      </c>
    </row>
    <row r="844" spans="1:21" ht="18" customHeight="1" x14ac:dyDescent="0.3">
      <c r="A844" s="2"/>
      <c r="B844" s="65" t="str">
        <f t="shared" si="65"/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 t="shared" si="66"/>
        <v/>
      </c>
      <c r="M844" s="65" t="str">
        <f t="shared" ca="1" si="67"/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68"/>
        <v/>
      </c>
      <c r="S844" s="1" t="str">
        <f t="shared" si="69"/>
        <v/>
      </c>
      <c r="T844" s="1">
        <f>IF($E844="",0,SUMPRODUCT((AY_SONU!$O$7:$O$42="Evet")*(AY_SONU!$B$7:$B$42=DATE(YEAR($E844),MONTH($E844),1))))</f>
        <v>0</v>
      </c>
      <c r="U844" s="1" t="str">
        <f>IF(OR($G844="",$H844="Mahsup"),"",$G844&amp;"|"&amp;COUNTIFS($G$7:$G844,$G844,$H$7:$H844,"&lt;&gt;Mahsup"))</f>
        <v/>
      </c>
    </row>
    <row r="845" spans="1:21" ht="18" customHeight="1" x14ac:dyDescent="0.3">
      <c r="A845" s="2"/>
      <c r="B845" s="65" t="str">
        <f t="shared" si="65"/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 t="shared" si="66"/>
        <v/>
      </c>
      <c r="M845" s="65" t="str">
        <f t="shared" ca="1" si="67"/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68"/>
        <v/>
      </c>
      <c r="S845" s="1" t="str">
        <f t="shared" si="69"/>
        <v/>
      </c>
      <c r="T845" s="1">
        <f>IF($E845="",0,SUMPRODUCT((AY_SONU!$O$7:$O$42="Evet")*(AY_SONU!$B$7:$B$42=DATE(YEAR($E845),MONTH($E845),1))))</f>
        <v>0</v>
      </c>
      <c r="U845" s="1" t="str">
        <f>IF(OR($G845="",$H845="Mahsup"),"",$G845&amp;"|"&amp;COUNTIFS($G$7:$G845,$G845,$H$7:$H845,"&lt;&gt;Mahsup"))</f>
        <v/>
      </c>
    </row>
    <row r="846" spans="1:21" ht="18" customHeight="1" x14ac:dyDescent="0.3">
      <c r="A846" s="2"/>
      <c r="B846" s="65" t="str">
        <f t="shared" si="65"/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 t="shared" si="66"/>
        <v/>
      </c>
      <c r="M846" s="65" t="str">
        <f t="shared" ca="1" si="67"/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68"/>
        <v/>
      </c>
      <c r="S846" s="1" t="str">
        <f t="shared" si="69"/>
        <v/>
      </c>
      <c r="T846" s="1">
        <f>IF($E846="",0,SUMPRODUCT((AY_SONU!$O$7:$O$42="Evet")*(AY_SONU!$B$7:$B$42=DATE(YEAR($E846),MONTH($E846),1))))</f>
        <v>0</v>
      </c>
      <c r="U846" s="1" t="str">
        <f>IF(OR($G846="",$H846="Mahsup"),"",$G846&amp;"|"&amp;COUNTIFS($G$7:$G846,$G846,$H$7:$H846,"&lt;&gt;Mahsup"))</f>
        <v/>
      </c>
    </row>
    <row r="847" spans="1:21" ht="18" customHeight="1" x14ac:dyDescent="0.3">
      <c r="A847" s="2"/>
      <c r="B847" s="65" t="str">
        <f t="shared" si="65"/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 t="shared" si="66"/>
        <v/>
      </c>
      <c r="M847" s="65" t="str">
        <f t="shared" ca="1" si="67"/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68"/>
        <v/>
      </c>
      <c r="S847" s="1" t="str">
        <f t="shared" si="69"/>
        <v/>
      </c>
      <c r="T847" s="1">
        <f>IF($E847="",0,SUMPRODUCT((AY_SONU!$O$7:$O$42="Evet")*(AY_SONU!$B$7:$B$42=DATE(YEAR($E847),MONTH($E847),1))))</f>
        <v>0</v>
      </c>
      <c r="U847" s="1" t="str">
        <f>IF(OR($G847="",$H847="Mahsup"),"",$G847&amp;"|"&amp;COUNTIFS($G$7:$G847,$G847,$H$7:$H847,"&lt;&gt;Mahsup"))</f>
        <v/>
      </c>
    </row>
    <row r="848" spans="1:21" ht="18" customHeight="1" x14ac:dyDescent="0.3">
      <c r="A848" s="2"/>
      <c r="B848" s="65" t="str">
        <f t="shared" si="65"/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 t="shared" si="66"/>
        <v/>
      </c>
      <c r="M848" s="65" t="str">
        <f t="shared" ca="1" si="67"/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68"/>
        <v/>
      </c>
      <c r="S848" s="1" t="str">
        <f t="shared" si="69"/>
        <v/>
      </c>
      <c r="T848" s="1">
        <f>IF($E848="",0,SUMPRODUCT((AY_SONU!$O$7:$O$42="Evet")*(AY_SONU!$B$7:$B$42=DATE(YEAR($E848),MONTH($E848),1))))</f>
        <v>0</v>
      </c>
      <c r="U848" s="1" t="str">
        <f>IF(OR($G848="",$H848="Mahsup"),"",$G848&amp;"|"&amp;COUNTIFS($G$7:$G848,$G848,$H$7:$H848,"&lt;&gt;Mahsup"))</f>
        <v/>
      </c>
    </row>
    <row r="849" spans="1:21" ht="18" customHeight="1" x14ac:dyDescent="0.3">
      <c r="A849" s="2"/>
      <c r="B849" s="65" t="str">
        <f t="shared" si="65"/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 t="shared" si="66"/>
        <v/>
      </c>
      <c r="M849" s="65" t="str">
        <f t="shared" ca="1" si="67"/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68"/>
        <v/>
      </c>
      <c r="S849" s="1" t="str">
        <f t="shared" si="69"/>
        <v/>
      </c>
      <c r="T849" s="1">
        <f>IF($E849="",0,SUMPRODUCT((AY_SONU!$O$7:$O$42="Evet")*(AY_SONU!$B$7:$B$42=DATE(YEAR($E849),MONTH($E849),1))))</f>
        <v>0</v>
      </c>
      <c r="U849" s="1" t="str">
        <f>IF(OR($G849="",$H849="Mahsup"),"",$G849&amp;"|"&amp;COUNTIFS($G$7:$G849,$G849,$H$7:$H849,"&lt;&gt;Mahsup"))</f>
        <v/>
      </c>
    </row>
    <row r="850" spans="1:21" ht="18" customHeight="1" x14ac:dyDescent="0.3">
      <c r="A850" s="2"/>
      <c r="B850" s="65" t="str">
        <f t="shared" si="65"/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 t="shared" si="66"/>
        <v/>
      </c>
      <c r="M850" s="65" t="str">
        <f t="shared" ca="1" si="67"/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68"/>
        <v/>
      </c>
      <c r="S850" s="1" t="str">
        <f t="shared" si="69"/>
        <v/>
      </c>
      <c r="T850" s="1">
        <f>IF($E850="",0,SUMPRODUCT((AY_SONU!$O$7:$O$42="Evet")*(AY_SONU!$B$7:$B$42=DATE(YEAR($E850),MONTH($E850),1))))</f>
        <v>0</v>
      </c>
      <c r="U850" s="1" t="str">
        <f>IF(OR($G850="",$H850="Mahsup"),"",$G850&amp;"|"&amp;COUNTIFS($G$7:$G850,$G850,$H$7:$H850,"&lt;&gt;Mahsup"))</f>
        <v/>
      </c>
    </row>
    <row r="851" spans="1:21" ht="18" customHeight="1" x14ac:dyDescent="0.3">
      <c r="A851" s="2"/>
      <c r="B851" s="65" t="str">
        <f t="shared" si="65"/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 t="shared" si="66"/>
        <v/>
      </c>
      <c r="M851" s="65" t="str">
        <f t="shared" ca="1" si="67"/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68"/>
        <v/>
      </c>
      <c r="S851" s="1" t="str">
        <f t="shared" si="69"/>
        <v/>
      </c>
      <c r="T851" s="1">
        <f>IF($E851="",0,SUMPRODUCT((AY_SONU!$O$7:$O$42="Evet")*(AY_SONU!$B$7:$B$42=DATE(YEAR($E851),MONTH($E851),1))))</f>
        <v>0</v>
      </c>
      <c r="U851" s="1" t="str">
        <f>IF(OR($G851="",$H851="Mahsup"),"",$G851&amp;"|"&amp;COUNTIFS($G$7:$G851,$G851,$H$7:$H851,"&lt;&gt;Mahsup"))</f>
        <v/>
      </c>
    </row>
    <row r="852" spans="1:21" ht="18" customHeight="1" x14ac:dyDescent="0.3">
      <c r="A852" s="2"/>
      <c r="B852" s="65" t="str">
        <f t="shared" si="65"/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 t="shared" si="66"/>
        <v/>
      </c>
      <c r="M852" s="65" t="str">
        <f t="shared" ca="1" si="67"/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68"/>
        <v/>
      </c>
      <c r="S852" s="1" t="str">
        <f t="shared" si="69"/>
        <v/>
      </c>
      <c r="T852" s="1">
        <f>IF($E852="",0,SUMPRODUCT((AY_SONU!$O$7:$O$42="Evet")*(AY_SONU!$B$7:$B$42=DATE(YEAR($E852),MONTH($E852),1))))</f>
        <v>0</v>
      </c>
      <c r="U852" s="1" t="str">
        <f>IF(OR($G852="",$H852="Mahsup"),"",$G852&amp;"|"&amp;COUNTIFS($G$7:$G852,$G852,$H$7:$H852,"&lt;&gt;Mahsup"))</f>
        <v/>
      </c>
    </row>
    <row r="853" spans="1:21" ht="18" customHeight="1" x14ac:dyDescent="0.3">
      <c r="A853" s="2"/>
      <c r="B853" s="65" t="str">
        <f t="shared" si="65"/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 t="shared" si="66"/>
        <v/>
      </c>
      <c r="M853" s="65" t="str">
        <f t="shared" ca="1" si="67"/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68"/>
        <v/>
      </c>
      <c r="S853" s="1" t="str">
        <f t="shared" si="69"/>
        <v/>
      </c>
      <c r="T853" s="1">
        <f>IF($E853="",0,SUMPRODUCT((AY_SONU!$O$7:$O$42="Evet")*(AY_SONU!$B$7:$B$42=DATE(YEAR($E853),MONTH($E853),1))))</f>
        <v>0</v>
      </c>
      <c r="U853" s="1" t="str">
        <f>IF(OR($G853="",$H853="Mahsup"),"",$G853&amp;"|"&amp;COUNTIFS($G$7:$G853,$G853,$H$7:$H853,"&lt;&gt;Mahsup"))</f>
        <v/>
      </c>
    </row>
    <row r="854" spans="1:21" ht="18" customHeight="1" x14ac:dyDescent="0.3">
      <c r="A854" s="2"/>
      <c r="B854" s="65" t="str">
        <f t="shared" si="65"/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 t="shared" si="66"/>
        <v/>
      </c>
      <c r="M854" s="65" t="str">
        <f t="shared" ca="1" si="67"/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68"/>
        <v/>
      </c>
      <c r="S854" s="1" t="str">
        <f t="shared" si="69"/>
        <v/>
      </c>
      <c r="T854" s="1">
        <f>IF($E854="",0,SUMPRODUCT((AY_SONU!$O$7:$O$42="Evet")*(AY_SONU!$B$7:$B$42=DATE(YEAR($E854),MONTH($E854),1))))</f>
        <v>0</v>
      </c>
      <c r="U854" s="1" t="str">
        <f>IF(OR($G854="",$H854="Mahsup"),"",$G854&amp;"|"&amp;COUNTIFS($G$7:$G854,$G854,$H$7:$H854,"&lt;&gt;Mahsup"))</f>
        <v/>
      </c>
    </row>
    <row r="855" spans="1:21" ht="18" customHeight="1" x14ac:dyDescent="0.3">
      <c r="A855" s="2"/>
      <c r="B855" s="65" t="str">
        <f t="shared" si="65"/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 t="shared" si="66"/>
        <v/>
      </c>
      <c r="M855" s="65" t="str">
        <f t="shared" ca="1" si="67"/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68"/>
        <v/>
      </c>
      <c r="S855" s="1" t="str">
        <f t="shared" si="69"/>
        <v/>
      </c>
      <c r="T855" s="1">
        <f>IF($E855="",0,SUMPRODUCT((AY_SONU!$O$7:$O$42="Evet")*(AY_SONU!$B$7:$B$42=DATE(YEAR($E855),MONTH($E855),1))))</f>
        <v>0</v>
      </c>
      <c r="U855" s="1" t="str">
        <f>IF(OR($G855="",$H855="Mahsup"),"",$G855&amp;"|"&amp;COUNTIFS($G$7:$G855,$G855,$H$7:$H855,"&lt;&gt;Mahsup"))</f>
        <v/>
      </c>
    </row>
    <row r="856" spans="1:21" ht="18" customHeight="1" x14ac:dyDescent="0.3">
      <c r="A856" s="2"/>
      <c r="B856" s="65" t="str">
        <f t="shared" si="65"/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 t="shared" si="66"/>
        <v/>
      </c>
      <c r="M856" s="65" t="str">
        <f t="shared" ca="1" si="67"/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68"/>
        <v/>
      </c>
      <c r="S856" s="1" t="str">
        <f t="shared" si="69"/>
        <v/>
      </c>
      <c r="T856" s="1">
        <f>IF($E856="",0,SUMPRODUCT((AY_SONU!$O$7:$O$42="Evet")*(AY_SONU!$B$7:$B$42=DATE(YEAR($E856),MONTH($E856),1))))</f>
        <v>0</v>
      </c>
      <c r="U856" s="1" t="str">
        <f>IF(OR($G856="",$H856="Mahsup"),"",$G856&amp;"|"&amp;COUNTIFS($G$7:$G856,$G856,$H$7:$H856,"&lt;&gt;Mahsup"))</f>
        <v/>
      </c>
    </row>
    <row r="857" spans="1:21" ht="18" customHeight="1" x14ac:dyDescent="0.3">
      <c r="A857" s="2"/>
      <c r="B857" s="65" t="str">
        <f t="shared" si="65"/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 t="shared" si="66"/>
        <v/>
      </c>
      <c r="M857" s="65" t="str">
        <f t="shared" ca="1" si="67"/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68"/>
        <v/>
      </c>
      <c r="S857" s="1" t="str">
        <f t="shared" si="69"/>
        <v/>
      </c>
      <c r="T857" s="1">
        <f>IF($E857="",0,SUMPRODUCT((AY_SONU!$O$7:$O$42="Evet")*(AY_SONU!$B$7:$B$42=DATE(YEAR($E857),MONTH($E857),1))))</f>
        <v>0</v>
      </c>
      <c r="U857" s="1" t="str">
        <f>IF(OR($G857="",$H857="Mahsup"),"",$G857&amp;"|"&amp;COUNTIFS($G$7:$G857,$G857,$H$7:$H857,"&lt;&gt;Mahsup"))</f>
        <v/>
      </c>
    </row>
    <row r="858" spans="1:21" ht="18" customHeight="1" x14ac:dyDescent="0.3">
      <c r="A858" s="2"/>
      <c r="B858" s="65" t="str">
        <f t="shared" si="65"/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 t="shared" si="66"/>
        <v/>
      </c>
      <c r="M858" s="65" t="str">
        <f t="shared" ca="1" si="67"/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68"/>
        <v/>
      </c>
      <c r="S858" s="1" t="str">
        <f t="shared" si="69"/>
        <v/>
      </c>
      <c r="T858" s="1">
        <f>IF($E858="",0,SUMPRODUCT((AY_SONU!$O$7:$O$42="Evet")*(AY_SONU!$B$7:$B$42=DATE(YEAR($E858),MONTH($E858),1))))</f>
        <v>0</v>
      </c>
      <c r="U858" s="1" t="str">
        <f>IF(OR($G858="",$H858="Mahsup"),"",$G858&amp;"|"&amp;COUNTIFS($G$7:$G858,$G858,$H$7:$H858,"&lt;&gt;Mahsup"))</f>
        <v/>
      </c>
    </row>
    <row r="859" spans="1:21" ht="18" customHeight="1" x14ac:dyDescent="0.3">
      <c r="A859" s="2"/>
      <c r="B859" s="65" t="str">
        <f t="shared" si="65"/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 t="shared" si="66"/>
        <v/>
      </c>
      <c r="M859" s="65" t="str">
        <f t="shared" ca="1" si="67"/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68"/>
        <v/>
      </c>
      <c r="S859" s="1" t="str">
        <f t="shared" si="69"/>
        <v/>
      </c>
      <c r="T859" s="1">
        <f>IF($E859="",0,SUMPRODUCT((AY_SONU!$O$7:$O$42="Evet")*(AY_SONU!$B$7:$B$42=DATE(YEAR($E859),MONTH($E859),1))))</f>
        <v>0</v>
      </c>
      <c r="U859" s="1" t="str">
        <f>IF(OR($G859="",$H859="Mahsup"),"",$G859&amp;"|"&amp;COUNTIFS($G$7:$G859,$G859,$H$7:$H859,"&lt;&gt;Mahsup"))</f>
        <v/>
      </c>
    </row>
    <row r="860" spans="1:21" ht="18" customHeight="1" x14ac:dyDescent="0.3">
      <c r="A860" s="2"/>
      <c r="B860" s="65" t="str">
        <f t="shared" si="65"/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 t="shared" si="66"/>
        <v/>
      </c>
      <c r="M860" s="65" t="str">
        <f t="shared" ca="1" si="67"/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68"/>
        <v/>
      </c>
      <c r="S860" s="1" t="str">
        <f t="shared" si="69"/>
        <v/>
      </c>
      <c r="T860" s="1">
        <f>IF($E860="",0,SUMPRODUCT((AY_SONU!$O$7:$O$42="Evet")*(AY_SONU!$B$7:$B$42=DATE(YEAR($E860),MONTH($E860),1))))</f>
        <v>0</v>
      </c>
      <c r="U860" s="1" t="str">
        <f>IF(OR($G860="",$H860="Mahsup"),"",$G860&amp;"|"&amp;COUNTIFS($G$7:$G860,$G860,$H$7:$H860,"&lt;&gt;Mahsup"))</f>
        <v/>
      </c>
    </row>
    <row r="861" spans="1:21" ht="18" customHeight="1" x14ac:dyDescent="0.3">
      <c r="A861" s="2"/>
      <c r="B861" s="65" t="str">
        <f t="shared" si="65"/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 t="shared" si="66"/>
        <v/>
      </c>
      <c r="M861" s="65" t="str">
        <f t="shared" ca="1" si="67"/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68"/>
        <v/>
      </c>
      <c r="S861" s="1" t="str">
        <f t="shared" si="69"/>
        <v/>
      </c>
      <c r="T861" s="1">
        <f>IF($E861="",0,SUMPRODUCT((AY_SONU!$O$7:$O$42="Evet")*(AY_SONU!$B$7:$B$42=DATE(YEAR($E861),MONTH($E861),1))))</f>
        <v>0</v>
      </c>
      <c r="U861" s="1" t="str">
        <f>IF(OR($G861="",$H861="Mahsup"),"",$G861&amp;"|"&amp;COUNTIFS($G$7:$G861,$G861,$H$7:$H861,"&lt;&gt;Mahsup"))</f>
        <v/>
      </c>
    </row>
    <row r="862" spans="1:21" ht="18" customHeight="1" x14ac:dyDescent="0.3">
      <c r="A862" s="2"/>
      <c r="B862" s="65" t="str">
        <f t="shared" si="65"/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 t="shared" si="66"/>
        <v/>
      </c>
      <c r="M862" s="65" t="str">
        <f t="shared" ca="1" si="67"/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68"/>
        <v/>
      </c>
      <c r="S862" s="1" t="str">
        <f t="shared" si="69"/>
        <v/>
      </c>
      <c r="T862" s="1">
        <f>IF($E862="",0,SUMPRODUCT((AY_SONU!$O$7:$O$42="Evet")*(AY_SONU!$B$7:$B$42=DATE(YEAR($E862),MONTH($E862),1))))</f>
        <v>0</v>
      </c>
      <c r="U862" s="1" t="str">
        <f>IF(OR($G862="",$H862="Mahsup"),"",$G862&amp;"|"&amp;COUNTIFS($G$7:$G862,$G862,$H$7:$H862,"&lt;&gt;Mahsup"))</f>
        <v/>
      </c>
    </row>
    <row r="863" spans="1:21" ht="18" customHeight="1" x14ac:dyDescent="0.3">
      <c r="A863" s="2"/>
      <c r="B863" s="65" t="str">
        <f t="shared" si="65"/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 t="shared" si="66"/>
        <v/>
      </c>
      <c r="M863" s="65" t="str">
        <f t="shared" ca="1" si="67"/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68"/>
        <v/>
      </c>
      <c r="S863" s="1" t="str">
        <f t="shared" si="69"/>
        <v/>
      </c>
      <c r="T863" s="1">
        <f>IF($E863="",0,SUMPRODUCT((AY_SONU!$O$7:$O$42="Evet")*(AY_SONU!$B$7:$B$42=DATE(YEAR($E863),MONTH($E863),1))))</f>
        <v>0</v>
      </c>
      <c r="U863" s="1" t="str">
        <f>IF(OR($G863="",$H863="Mahsup"),"",$G863&amp;"|"&amp;COUNTIFS($G$7:$G863,$G863,$H$7:$H863,"&lt;&gt;Mahsup"))</f>
        <v/>
      </c>
    </row>
    <row r="864" spans="1:21" ht="18" customHeight="1" x14ac:dyDescent="0.3">
      <c r="A864" s="2"/>
      <c r="B864" s="65" t="str">
        <f t="shared" si="65"/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 t="shared" si="66"/>
        <v/>
      </c>
      <c r="M864" s="65" t="str">
        <f t="shared" ca="1" si="67"/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68"/>
        <v/>
      </c>
      <c r="S864" s="1" t="str">
        <f t="shared" si="69"/>
        <v/>
      </c>
      <c r="T864" s="1">
        <f>IF($E864="",0,SUMPRODUCT((AY_SONU!$O$7:$O$42="Evet")*(AY_SONU!$B$7:$B$42=DATE(YEAR($E864),MONTH($E864),1))))</f>
        <v>0</v>
      </c>
      <c r="U864" s="1" t="str">
        <f>IF(OR($G864="",$H864="Mahsup"),"",$G864&amp;"|"&amp;COUNTIFS($G$7:$G864,$G864,$H$7:$H864,"&lt;&gt;Mahsup"))</f>
        <v/>
      </c>
    </row>
    <row r="865" spans="1:21" ht="18" customHeight="1" x14ac:dyDescent="0.3">
      <c r="A865" s="2"/>
      <c r="B865" s="65" t="str">
        <f t="shared" si="65"/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 t="shared" si="66"/>
        <v/>
      </c>
      <c r="M865" s="65" t="str">
        <f t="shared" ca="1" si="67"/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68"/>
        <v/>
      </c>
      <c r="S865" s="1" t="str">
        <f t="shared" si="69"/>
        <v/>
      </c>
      <c r="T865" s="1">
        <f>IF($E865="",0,SUMPRODUCT((AY_SONU!$O$7:$O$42="Evet")*(AY_SONU!$B$7:$B$42=DATE(YEAR($E865),MONTH($E865),1))))</f>
        <v>0</v>
      </c>
      <c r="U865" s="1" t="str">
        <f>IF(OR($G865="",$H865="Mahsup"),"",$G865&amp;"|"&amp;COUNTIFS($G$7:$G865,$G865,$H$7:$H865,"&lt;&gt;Mahsup"))</f>
        <v/>
      </c>
    </row>
    <row r="866" spans="1:21" ht="18" customHeight="1" x14ac:dyDescent="0.3">
      <c r="A866" s="2"/>
      <c r="B866" s="65" t="str">
        <f t="shared" si="65"/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 t="shared" si="66"/>
        <v/>
      </c>
      <c r="M866" s="65" t="str">
        <f t="shared" ca="1" si="67"/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68"/>
        <v/>
      </c>
      <c r="S866" s="1" t="str">
        <f t="shared" si="69"/>
        <v/>
      </c>
      <c r="T866" s="1">
        <f>IF($E866="",0,SUMPRODUCT((AY_SONU!$O$7:$O$42="Evet")*(AY_SONU!$B$7:$B$42=DATE(YEAR($E866),MONTH($E866),1))))</f>
        <v>0</v>
      </c>
      <c r="U866" s="1" t="str">
        <f>IF(OR($G866="",$H866="Mahsup"),"",$G866&amp;"|"&amp;COUNTIFS($G$7:$G866,$G866,$H$7:$H866,"&lt;&gt;Mahsup"))</f>
        <v/>
      </c>
    </row>
    <row r="867" spans="1:21" ht="18" customHeight="1" x14ac:dyDescent="0.3">
      <c r="A867" s="2"/>
      <c r="B867" s="65" t="str">
        <f t="shared" si="65"/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 t="shared" si="66"/>
        <v/>
      </c>
      <c r="M867" s="65" t="str">
        <f t="shared" ca="1" si="67"/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68"/>
        <v/>
      </c>
      <c r="S867" s="1" t="str">
        <f t="shared" si="69"/>
        <v/>
      </c>
      <c r="T867" s="1">
        <f>IF($E867="",0,SUMPRODUCT((AY_SONU!$O$7:$O$42="Evet")*(AY_SONU!$B$7:$B$42=DATE(YEAR($E867),MONTH($E867),1))))</f>
        <v>0</v>
      </c>
      <c r="U867" s="1" t="str">
        <f>IF(OR($G867="",$H867="Mahsup"),"",$G867&amp;"|"&amp;COUNTIFS($G$7:$G867,$G867,$H$7:$H867,"&lt;&gt;Mahsup"))</f>
        <v/>
      </c>
    </row>
    <row r="868" spans="1:21" ht="18" customHeight="1" x14ac:dyDescent="0.3">
      <c r="A868" s="2"/>
      <c r="B868" s="65" t="str">
        <f t="shared" si="65"/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 t="shared" si="66"/>
        <v/>
      </c>
      <c r="M868" s="65" t="str">
        <f t="shared" ca="1" si="67"/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68"/>
        <v/>
      </c>
      <c r="S868" s="1" t="str">
        <f t="shared" si="69"/>
        <v/>
      </c>
      <c r="T868" s="1">
        <f>IF($E868="",0,SUMPRODUCT((AY_SONU!$O$7:$O$42="Evet")*(AY_SONU!$B$7:$B$42=DATE(YEAR($E868),MONTH($E868),1))))</f>
        <v>0</v>
      </c>
      <c r="U868" s="1" t="str">
        <f>IF(OR($G868="",$H868="Mahsup"),"",$G868&amp;"|"&amp;COUNTIFS($G$7:$G868,$G868,$H$7:$H868,"&lt;&gt;Mahsup"))</f>
        <v/>
      </c>
    </row>
    <row r="869" spans="1:21" ht="18" customHeight="1" x14ac:dyDescent="0.3">
      <c r="A869" s="2"/>
      <c r="B869" s="65" t="str">
        <f t="shared" si="65"/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 t="shared" si="66"/>
        <v/>
      </c>
      <c r="M869" s="65" t="str">
        <f t="shared" ca="1" si="67"/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68"/>
        <v/>
      </c>
      <c r="S869" s="1" t="str">
        <f t="shared" si="69"/>
        <v/>
      </c>
      <c r="T869" s="1">
        <f>IF($E869="",0,SUMPRODUCT((AY_SONU!$O$7:$O$42="Evet")*(AY_SONU!$B$7:$B$42=DATE(YEAR($E869),MONTH($E869),1))))</f>
        <v>0</v>
      </c>
      <c r="U869" s="1" t="str">
        <f>IF(OR($G869="",$H869="Mahsup"),"",$G869&amp;"|"&amp;COUNTIFS($G$7:$G869,$G869,$H$7:$H869,"&lt;&gt;Mahsup"))</f>
        <v/>
      </c>
    </row>
    <row r="870" spans="1:21" ht="18" customHeight="1" x14ac:dyDescent="0.3">
      <c r="A870" s="2"/>
      <c r="B870" s="65" t="str">
        <f t="shared" si="65"/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 t="shared" si="66"/>
        <v/>
      </c>
      <c r="M870" s="65" t="str">
        <f t="shared" ca="1" si="67"/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68"/>
        <v/>
      </c>
      <c r="S870" s="1" t="str">
        <f t="shared" si="69"/>
        <v/>
      </c>
      <c r="T870" s="1">
        <f>IF($E870="",0,SUMPRODUCT((AY_SONU!$O$7:$O$42="Evet")*(AY_SONU!$B$7:$B$42=DATE(YEAR($E870),MONTH($E870),1))))</f>
        <v>0</v>
      </c>
      <c r="U870" s="1" t="str">
        <f>IF(OR($G870="",$H870="Mahsup"),"",$G870&amp;"|"&amp;COUNTIFS($G$7:$G870,$G870,$H$7:$H870,"&lt;&gt;Mahsup"))</f>
        <v/>
      </c>
    </row>
    <row r="871" spans="1:21" ht="18" customHeight="1" x14ac:dyDescent="0.3">
      <c r="A871" s="2"/>
      <c r="B871" s="65" t="str">
        <f t="shared" si="65"/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 t="shared" si="66"/>
        <v/>
      </c>
      <c r="M871" s="65" t="str">
        <f t="shared" ca="1" si="67"/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68"/>
        <v/>
      </c>
      <c r="S871" s="1" t="str">
        <f t="shared" si="69"/>
        <v/>
      </c>
      <c r="T871" s="1">
        <f>IF($E871="",0,SUMPRODUCT((AY_SONU!$O$7:$O$42="Evet")*(AY_SONU!$B$7:$B$42=DATE(YEAR($E871),MONTH($E871),1))))</f>
        <v>0</v>
      </c>
      <c r="U871" s="1" t="str">
        <f>IF(OR($G871="",$H871="Mahsup"),"",$G871&amp;"|"&amp;COUNTIFS($G$7:$G871,$G871,$H$7:$H871,"&lt;&gt;Mahsup"))</f>
        <v/>
      </c>
    </row>
    <row r="872" spans="1:21" ht="18" customHeight="1" x14ac:dyDescent="0.3">
      <c r="A872" s="2"/>
      <c r="B872" s="65" t="str">
        <f t="shared" si="65"/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 t="shared" si="66"/>
        <v/>
      </c>
      <c r="M872" s="65" t="str">
        <f t="shared" ca="1" si="67"/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68"/>
        <v/>
      </c>
      <c r="S872" s="1" t="str">
        <f t="shared" si="69"/>
        <v/>
      </c>
      <c r="T872" s="1">
        <f>IF($E872="",0,SUMPRODUCT((AY_SONU!$O$7:$O$42="Evet")*(AY_SONU!$B$7:$B$42=DATE(YEAR($E872),MONTH($E872),1))))</f>
        <v>0</v>
      </c>
      <c r="U872" s="1" t="str">
        <f>IF(OR($G872="",$H872="Mahsup"),"",$G872&amp;"|"&amp;COUNTIFS($G$7:$G872,$G872,$H$7:$H872,"&lt;&gt;Mahsup"))</f>
        <v/>
      </c>
    </row>
    <row r="873" spans="1:21" ht="18" customHeight="1" x14ac:dyDescent="0.3">
      <c r="A873" s="2"/>
      <c r="B873" s="65" t="str">
        <f t="shared" si="65"/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 t="shared" si="66"/>
        <v/>
      </c>
      <c r="M873" s="65" t="str">
        <f t="shared" ca="1" si="67"/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68"/>
        <v/>
      </c>
      <c r="S873" s="1" t="str">
        <f t="shared" si="69"/>
        <v/>
      </c>
      <c r="T873" s="1">
        <f>IF($E873="",0,SUMPRODUCT((AY_SONU!$O$7:$O$42="Evet")*(AY_SONU!$B$7:$B$42=DATE(YEAR($E873),MONTH($E873),1))))</f>
        <v>0</v>
      </c>
      <c r="U873" s="1" t="str">
        <f>IF(OR($G873="",$H873="Mahsup"),"",$G873&amp;"|"&amp;COUNTIFS($G$7:$G873,$G873,$H$7:$H873,"&lt;&gt;Mahsup"))</f>
        <v/>
      </c>
    </row>
    <row r="874" spans="1:21" ht="18" customHeight="1" x14ac:dyDescent="0.3">
      <c r="A874" s="2"/>
      <c r="B874" s="65" t="str">
        <f t="shared" si="65"/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 t="shared" si="66"/>
        <v/>
      </c>
      <c r="M874" s="65" t="str">
        <f t="shared" ca="1" si="67"/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68"/>
        <v/>
      </c>
      <c r="S874" s="1" t="str">
        <f t="shared" si="69"/>
        <v/>
      </c>
      <c r="T874" s="1">
        <f>IF($E874="",0,SUMPRODUCT((AY_SONU!$O$7:$O$42="Evet")*(AY_SONU!$B$7:$B$42=DATE(YEAR($E874),MONTH($E874),1))))</f>
        <v>0</v>
      </c>
      <c r="U874" s="1" t="str">
        <f>IF(OR($G874="",$H874="Mahsup"),"",$G874&amp;"|"&amp;COUNTIFS($G$7:$G874,$G874,$H$7:$H874,"&lt;&gt;Mahsup"))</f>
        <v/>
      </c>
    </row>
    <row r="875" spans="1:21" ht="18" customHeight="1" x14ac:dyDescent="0.3">
      <c r="A875" s="2"/>
      <c r="B875" s="65" t="str">
        <f t="shared" si="65"/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 t="shared" si="66"/>
        <v/>
      </c>
      <c r="M875" s="65" t="str">
        <f t="shared" ca="1" si="67"/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68"/>
        <v/>
      </c>
      <c r="S875" s="1" t="str">
        <f t="shared" si="69"/>
        <v/>
      </c>
      <c r="T875" s="1">
        <f>IF($E875="",0,SUMPRODUCT((AY_SONU!$O$7:$O$42="Evet")*(AY_SONU!$B$7:$B$42=DATE(YEAR($E875),MONTH($E875),1))))</f>
        <v>0</v>
      </c>
      <c r="U875" s="1" t="str">
        <f>IF(OR($G875="",$H875="Mahsup"),"",$G875&amp;"|"&amp;COUNTIFS($G$7:$G875,$G875,$H$7:$H875,"&lt;&gt;Mahsup"))</f>
        <v/>
      </c>
    </row>
    <row r="876" spans="1:21" ht="18" customHeight="1" x14ac:dyDescent="0.3">
      <c r="A876" s="2"/>
      <c r="B876" s="65" t="str">
        <f t="shared" si="65"/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 t="shared" si="66"/>
        <v/>
      </c>
      <c r="M876" s="65" t="str">
        <f t="shared" ca="1" si="67"/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68"/>
        <v/>
      </c>
      <c r="S876" s="1" t="str">
        <f t="shared" si="69"/>
        <v/>
      </c>
      <c r="T876" s="1">
        <f>IF($E876="",0,SUMPRODUCT((AY_SONU!$O$7:$O$42="Evet")*(AY_SONU!$B$7:$B$42=DATE(YEAR($E876),MONTH($E876),1))))</f>
        <v>0</v>
      </c>
      <c r="U876" s="1" t="str">
        <f>IF(OR($G876="",$H876="Mahsup"),"",$G876&amp;"|"&amp;COUNTIFS($G$7:$G876,$G876,$H$7:$H876,"&lt;&gt;Mahsup"))</f>
        <v/>
      </c>
    </row>
    <row r="877" spans="1:21" ht="18" customHeight="1" x14ac:dyDescent="0.3">
      <c r="A877" s="2"/>
      <c r="B877" s="65" t="str">
        <f t="shared" si="65"/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 t="shared" si="66"/>
        <v/>
      </c>
      <c r="M877" s="65" t="str">
        <f t="shared" ca="1" si="67"/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68"/>
        <v/>
      </c>
      <c r="S877" s="1" t="str">
        <f t="shared" si="69"/>
        <v/>
      </c>
      <c r="T877" s="1">
        <f>IF($E877="",0,SUMPRODUCT((AY_SONU!$O$7:$O$42="Evet")*(AY_SONU!$B$7:$B$42=DATE(YEAR($E877),MONTH($E877),1))))</f>
        <v>0</v>
      </c>
      <c r="U877" s="1" t="str">
        <f>IF(OR($G877="",$H877="Mahsup"),"",$G877&amp;"|"&amp;COUNTIFS($G$7:$G877,$G877,$H$7:$H877,"&lt;&gt;Mahsup"))</f>
        <v/>
      </c>
    </row>
    <row r="878" spans="1:21" ht="18" customHeight="1" x14ac:dyDescent="0.3">
      <c r="A878" s="2"/>
      <c r="B878" s="65" t="str">
        <f t="shared" si="65"/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 t="shared" si="66"/>
        <v/>
      </c>
      <c r="M878" s="65" t="str">
        <f t="shared" ca="1" si="67"/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68"/>
        <v/>
      </c>
      <c r="S878" s="1" t="str">
        <f t="shared" si="69"/>
        <v/>
      </c>
      <c r="T878" s="1">
        <f>IF($E878="",0,SUMPRODUCT((AY_SONU!$O$7:$O$42="Evet")*(AY_SONU!$B$7:$B$42=DATE(YEAR($E878),MONTH($E878),1))))</f>
        <v>0</v>
      </c>
      <c r="U878" s="1" t="str">
        <f>IF(OR($G878="",$H878="Mahsup"),"",$G878&amp;"|"&amp;COUNTIFS($G$7:$G878,$G878,$H$7:$H878,"&lt;&gt;Mahsup"))</f>
        <v/>
      </c>
    </row>
    <row r="879" spans="1:21" ht="18" customHeight="1" x14ac:dyDescent="0.3">
      <c r="A879" s="2"/>
      <c r="B879" s="65" t="str">
        <f t="shared" si="65"/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 t="shared" si="66"/>
        <v/>
      </c>
      <c r="M879" s="65" t="str">
        <f t="shared" ca="1" si="67"/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68"/>
        <v/>
      </c>
      <c r="S879" s="1" t="str">
        <f t="shared" si="69"/>
        <v/>
      </c>
      <c r="T879" s="1">
        <f>IF($E879="",0,SUMPRODUCT((AY_SONU!$O$7:$O$42="Evet")*(AY_SONU!$B$7:$B$42=DATE(YEAR($E879),MONTH($E879),1))))</f>
        <v>0</v>
      </c>
      <c r="U879" s="1" t="str">
        <f>IF(OR($G879="",$H879="Mahsup"),"",$G879&amp;"|"&amp;COUNTIFS($G$7:$G879,$G879,$H$7:$H879,"&lt;&gt;Mahsup"))</f>
        <v/>
      </c>
    </row>
    <row r="880" spans="1:21" ht="18" customHeight="1" x14ac:dyDescent="0.3">
      <c r="A880" s="2"/>
      <c r="B880" s="65" t="str">
        <f t="shared" si="65"/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 t="shared" si="66"/>
        <v/>
      </c>
      <c r="M880" s="65" t="str">
        <f t="shared" ca="1" si="67"/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68"/>
        <v/>
      </c>
      <c r="S880" s="1" t="str">
        <f t="shared" si="69"/>
        <v/>
      </c>
      <c r="T880" s="1">
        <f>IF($E880="",0,SUMPRODUCT((AY_SONU!$O$7:$O$42="Evet")*(AY_SONU!$B$7:$B$42=DATE(YEAR($E880),MONTH($E880),1))))</f>
        <v>0</v>
      </c>
      <c r="U880" s="1" t="str">
        <f>IF(OR($G880="",$H880="Mahsup"),"",$G880&amp;"|"&amp;COUNTIFS($G$7:$G880,$G880,$H$7:$H880,"&lt;&gt;Mahsup"))</f>
        <v/>
      </c>
    </row>
    <row r="881" spans="1:21" ht="18" customHeight="1" x14ac:dyDescent="0.3">
      <c r="A881" s="2"/>
      <c r="B881" s="65" t="str">
        <f t="shared" si="65"/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 t="shared" si="66"/>
        <v/>
      </c>
      <c r="M881" s="65" t="str">
        <f t="shared" ca="1" si="67"/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68"/>
        <v/>
      </c>
      <c r="S881" s="1" t="str">
        <f t="shared" si="69"/>
        <v/>
      </c>
      <c r="T881" s="1">
        <f>IF($E881="",0,SUMPRODUCT((AY_SONU!$O$7:$O$42="Evet")*(AY_SONU!$B$7:$B$42=DATE(YEAR($E881),MONTH($E881),1))))</f>
        <v>0</v>
      </c>
      <c r="U881" s="1" t="str">
        <f>IF(OR($G881="",$H881="Mahsup"),"",$G881&amp;"|"&amp;COUNTIFS($G$7:$G881,$G881,$H$7:$H881,"&lt;&gt;Mahsup"))</f>
        <v/>
      </c>
    </row>
    <row r="882" spans="1:21" ht="18" customHeight="1" x14ac:dyDescent="0.3">
      <c r="A882" s="2"/>
      <c r="B882" s="65" t="str">
        <f t="shared" si="65"/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 t="shared" si="66"/>
        <v/>
      </c>
      <c r="M882" s="65" t="str">
        <f t="shared" ca="1" si="67"/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68"/>
        <v/>
      </c>
      <c r="S882" s="1" t="str">
        <f t="shared" si="69"/>
        <v/>
      </c>
      <c r="T882" s="1">
        <f>IF($E882="",0,SUMPRODUCT((AY_SONU!$O$7:$O$42="Evet")*(AY_SONU!$B$7:$B$42=DATE(YEAR($E882),MONTH($E882),1))))</f>
        <v>0</v>
      </c>
      <c r="U882" s="1" t="str">
        <f>IF(OR($G882="",$H882="Mahsup"),"",$G882&amp;"|"&amp;COUNTIFS($G$7:$G882,$G882,$H$7:$H882,"&lt;&gt;Mahsup"))</f>
        <v/>
      </c>
    </row>
    <row r="883" spans="1:21" ht="18" customHeight="1" x14ac:dyDescent="0.3">
      <c r="A883" s="2"/>
      <c r="B883" s="65" t="str">
        <f t="shared" si="65"/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 t="shared" si="66"/>
        <v/>
      </c>
      <c r="M883" s="65" t="str">
        <f t="shared" ca="1" si="67"/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68"/>
        <v/>
      </c>
      <c r="S883" s="1" t="str">
        <f t="shared" si="69"/>
        <v/>
      </c>
      <c r="T883" s="1">
        <f>IF($E883="",0,SUMPRODUCT((AY_SONU!$O$7:$O$42="Evet")*(AY_SONU!$B$7:$B$42=DATE(YEAR($E883),MONTH($E883),1))))</f>
        <v>0</v>
      </c>
      <c r="U883" s="1" t="str">
        <f>IF(OR($G883="",$H883="Mahsup"),"",$G883&amp;"|"&amp;COUNTIFS($G$7:$G883,$G883,$H$7:$H883,"&lt;&gt;Mahsup"))</f>
        <v/>
      </c>
    </row>
    <row r="884" spans="1:21" ht="18" customHeight="1" x14ac:dyDescent="0.3">
      <c r="A884" s="2"/>
      <c r="B884" s="65" t="str">
        <f t="shared" si="65"/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 t="shared" si="66"/>
        <v/>
      </c>
      <c r="M884" s="65" t="str">
        <f t="shared" ca="1" si="67"/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68"/>
        <v/>
      </c>
      <c r="S884" s="1" t="str">
        <f t="shared" si="69"/>
        <v/>
      </c>
      <c r="T884" s="1">
        <f>IF($E884="",0,SUMPRODUCT((AY_SONU!$O$7:$O$42="Evet")*(AY_SONU!$B$7:$B$42=DATE(YEAR($E884),MONTH($E884),1))))</f>
        <v>0</v>
      </c>
      <c r="U884" s="1" t="str">
        <f>IF(OR($G884="",$H884="Mahsup"),"",$G884&amp;"|"&amp;COUNTIFS($G$7:$G884,$G884,$H$7:$H884,"&lt;&gt;Mahsup"))</f>
        <v/>
      </c>
    </row>
    <row r="885" spans="1:21" ht="18" customHeight="1" x14ac:dyDescent="0.3">
      <c r="A885" s="2"/>
      <c r="B885" s="65" t="str">
        <f t="shared" si="65"/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 t="shared" si="66"/>
        <v/>
      </c>
      <c r="M885" s="65" t="str">
        <f t="shared" ca="1" si="67"/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68"/>
        <v/>
      </c>
      <c r="S885" s="1" t="str">
        <f t="shared" si="69"/>
        <v/>
      </c>
      <c r="T885" s="1">
        <f>IF($E885="",0,SUMPRODUCT((AY_SONU!$O$7:$O$42="Evet")*(AY_SONU!$B$7:$B$42=DATE(YEAR($E885),MONTH($E885),1))))</f>
        <v>0</v>
      </c>
      <c r="U885" s="1" t="str">
        <f>IF(OR($G885="",$H885="Mahsup"),"",$G885&amp;"|"&amp;COUNTIFS($G$7:$G885,$G885,$H$7:$H885,"&lt;&gt;Mahsup"))</f>
        <v/>
      </c>
    </row>
    <row r="886" spans="1:21" ht="18" customHeight="1" x14ac:dyDescent="0.3">
      <c r="A886" s="2"/>
      <c r="B886" s="65" t="str">
        <f t="shared" si="65"/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 t="shared" si="66"/>
        <v/>
      </c>
      <c r="M886" s="65" t="str">
        <f t="shared" ca="1" si="67"/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68"/>
        <v/>
      </c>
      <c r="S886" s="1" t="str">
        <f t="shared" si="69"/>
        <v/>
      </c>
      <c r="T886" s="1">
        <f>IF($E886="",0,SUMPRODUCT((AY_SONU!$O$7:$O$42="Evet")*(AY_SONU!$B$7:$B$42=DATE(YEAR($E886),MONTH($E886),1))))</f>
        <v>0</v>
      </c>
      <c r="U886" s="1" t="str">
        <f>IF(OR($G886="",$H886="Mahsup"),"",$G886&amp;"|"&amp;COUNTIFS($G$7:$G886,$G886,$H$7:$H886,"&lt;&gt;Mahsup"))</f>
        <v/>
      </c>
    </row>
    <row r="887" spans="1:21" ht="18" customHeight="1" x14ac:dyDescent="0.3">
      <c r="A887" s="2"/>
      <c r="B887" s="65" t="str">
        <f t="shared" si="65"/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 t="shared" si="66"/>
        <v/>
      </c>
      <c r="M887" s="65" t="str">
        <f t="shared" ca="1" si="67"/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68"/>
        <v/>
      </c>
      <c r="S887" s="1" t="str">
        <f t="shared" si="69"/>
        <v/>
      </c>
      <c r="T887" s="1">
        <f>IF($E887="",0,SUMPRODUCT((AY_SONU!$O$7:$O$42="Evet")*(AY_SONU!$B$7:$B$42=DATE(YEAR($E887),MONTH($E887),1))))</f>
        <v>0</v>
      </c>
      <c r="U887" s="1" t="str">
        <f>IF(OR($G887="",$H887="Mahsup"),"",$G887&amp;"|"&amp;COUNTIFS($G$7:$G887,$G887,$H$7:$H887,"&lt;&gt;Mahsup"))</f>
        <v/>
      </c>
    </row>
    <row r="888" spans="1:21" ht="18" customHeight="1" x14ac:dyDescent="0.3">
      <c r="A888" s="2"/>
      <c r="B888" s="65" t="str">
        <f t="shared" si="65"/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 t="shared" si="66"/>
        <v/>
      </c>
      <c r="M888" s="65" t="str">
        <f t="shared" ca="1" si="67"/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68"/>
        <v/>
      </c>
      <c r="S888" s="1" t="str">
        <f t="shared" si="69"/>
        <v/>
      </c>
      <c r="T888" s="1">
        <f>IF($E888="",0,SUMPRODUCT((AY_SONU!$O$7:$O$42="Evet")*(AY_SONU!$B$7:$B$42=DATE(YEAR($E888),MONTH($E888),1))))</f>
        <v>0</v>
      </c>
      <c r="U888" s="1" t="str">
        <f>IF(OR($G888="",$H888="Mahsup"),"",$G888&amp;"|"&amp;COUNTIFS($G$7:$G888,$G888,$H$7:$H888,"&lt;&gt;Mahsup"))</f>
        <v/>
      </c>
    </row>
    <row r="889" spans="1:21" ht="18" customHeight="1" x14ac:dyDescent="0.3">
      <c r="A889" s="2"/>
      <c r="B889" s="65" t="str">
        <f t="shared" si="65"/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 t="shared" si="66"/>
        <v/>
      </c>
      <c r="M889" s="65" t="str">
        <f t="shared" ca="1" si="67"/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68"/>
        <v/>
      </c>
      <c r="S889" s="1" t="str">
        <f t="shared" si="69"/>
        <v/>
      </c>
      <c r="T889" s="1">
        <f>IF($E889="",0,SUMPRODUCT((AY_SONU!$O$7:$O$42="Evet")*(AY_SONU!$B$7:$B$42=DATE(YEAR($E889),MONTH($E889),1))))</f>
        <v>0</v>
      </c>
      <c r="U889" s="1" t="str">
        <f>IF(OR($G889="",$H889="Mahsup"),"",$G889&amp;"|"&amp;COUNTIFS($G$7:$G889,$G889,$H$7:$H889,"&lt;&gt;Mahsup"))</f>
        <v/>
      </c>
    </row>
    <row r="890" spans="1:21" ht="18" customHeight="1" x14ac:dyDescent="0.3">
      <c r="A890" s="2"/>
      <c r="B890" s="65" t="str">
        <f t="shared" si="65"/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 t="shared" si="66"/>
        <v/>
      </c>
      <c r="M890" s="65" t="str">
        <f t="shared" ca="1" si="67"/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68"/>
        <v/>
      </c>
      <c r="S890" s="1" t="str">
        <f t="shared" si="69"/>
        <v/>
      </c>
      <c r="T890" s="1">
        <f>IF($E890="",0,SUMPRODUCT((AY_SONU!$O$7:$O$42="Evet")*(AY_SONU!$B$7:$B$42=DATE(YEAR($E890),MONTH($E890),1))))</f>
        <v>0</v>
      </c>
      <c r="U890" s="1" t="str">
        <f>IF(OR($G890="",$H890="Mahsup"),"",$G890&amp;"|"&amp;COUNTIFS($G$7:$G890,$G890,$H$7:$H890,"&lt;&gt;Mahsup"))</f>
        <v/>
      </c>
    </row>
    <row r="891" spans="1:21" ht="18" customHeight="1" x14ac:dyDescent="0.3">
      <c r="A891" s="2"/>
      <c r="B891" s="65" t="str">
        <f t="shared" si="65"/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 t="shared" si="66"/>
        <v/>
      </c>
      <c r="M891" s="65" t="str">
        <f t="shared" ca="1" si="67"/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68"/>
        <v/>
      </c>
      <c r="S891" s="1" t="str">
        <f t="shared" si="69"/>
        <v/>
      </c>
      <c r="T891" s="1">
        <f>IF($E891="",0,SUMPRODUCT((AY_SONU!$O$7:$O$42="Evet")*(AY_SONU!$B$7:$B$42=DATE(YEAR($E891),MONTH($E891),1))))</f>
        <v>0</v>
      </c>
      <c r="U891" s="1" t="str">
        <f>IF(OR($G891="",$H891="Mahsup"),"",$G891&amp;"|"&amp;COUNTIFS($G$7:$G891,$G891,$H$7:$H891,"&lt;&gt;Mahsup"))</f>
        <v/>
      </c>
    </row>
    <row r="892" spans="1:21" ht="18" customHeight="1" x14ac:dyDescent="0.3">
      <c r="A892" s="2"/>
      <c r="B892" s="65" t="str">
        <f t="shared" si="65"/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 t="shared" si="66"/>
        <v/>
      </c>
      <c r="M892" s="65" t="str">
        <f t="shared" ca="1" si="67"/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68"/>
        <v/>
      </c>
      <c r="S892" s="1" t="str">
        <f t="shared" si="69"/>
        <v/>
      </c>
      <c r="T892" s="1">
        <f>IF($E892="",0,SUMPRODUCT((AY_SONU!$O$7:$O$42="Evet")*(AY_SONU!$B$7:$B$42=DATE(YEAR($E892),MONTH($E892),1))))</f>
        <v>0</v>
      </c>
      <c r="U892" s="1" t="str">
        <f>IF(OR($G892="",$H892="Mahsup"),"",$G892&amp;"|"&amp;COUNTIFS($G$7:$G892,$G892,$H$7:$H892,"&lt;&gt;Mahsup"))</f>
        <v/>
      </c>
    </row>
    <row r="893" spans="1:21" ht="18" customHeight="1" x14ac:dyDescent="0.3">
      <c r="A893" s="2"/>
      <c r="B893" s="65" t="str">
        <f t="shared" si="65"/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 t="shared" si="66"/>
        <v/>
      </c>
      <c r="M893" s="65" t="str">
        <f t="shared" ca="1" si="67"/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68"/>
        <v/>
      </c>
      <c r="S893" s="1" t="str">
        <f t="shared" si="69"/>
        <v/>
      </c>
      <c r="T893" s="1">
        <f>IF($E893="",0,SUMPRODUCT((AY_SONU!$O$7:$O$42="Evet")*(AY_SONU!$B$7:$B$42=DATE(YEAR($E893),MONTH($E893),1))))</f>
        <v>0</v>
      </c>
      <c r="U893" s="1" t="str">
        <f>IF(OR($G893="",$H893="Mahsup"),"",$G893&amp;"|"&amp;COUNTIFS($G$7:$G893,$G893,$H$7:$H893,"&lt;&gt;Mahsup"))</f>
        <v/>
      </c>
    </row>
    <row r="894" spans="1:21" ht="18" customHeight="1" x14ac:dyDescent="0.3">
      <c r="A894" s="2"/>
      <c r="B894" s="65" t="str">
        <f t="shared" si="65"/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 t="shared" si="66"/>
        <v/>
      </c>
      <c r="M894" s="65" t="str">
        <f t="shared" ca="1" si="67"/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68"/>
        <v/>
      </c>
      <c r="S894" s="1" t="str">
        <f t="shared" si="69"/>
        <v/>
      </c>
      <c r="T894" s="1">
        <f>IF($E894="",0,SUMPRODUCT((AY_SONU!$O$7:$O$42="Evet")*(AY_SONU!$B$7:$B$42=DATE(YEAR($E894),MONTH($E894),1))))</f>
        <v>0</v>
      </c>
      <c r="U894" s="1" t="str">
        <f>IF(OR($G894="",$H894="Mahsup"),"",$G894&amp;"|"&amp;COUNTIFS($G$7:$G894,$G894,$H$7:$H894,"&lt;&gt;Mahsup"))</f>
        <v/>
      </c>
    </row>
    <row r="895" spans="1:21" ht="18" customHeight="1" x14ac:dyDescent="0.3">
      <c r="A895" s="2"/>
      <c r="B895" s="65" t="str">
        <f t="shared" si="65"/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 t="shared" si="66"/>
        <v/>
      </c>
      <c r="M895" s="65" t="str">
        <f t="shared" ca="1" si="67"/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68"/>
        <v/>
      </c>
      <c r="S895" s="1" t="str">
        <f t="shared" si="69"/>
        <v/>
      </c>
      <c r="T895" s="1">
        <f>IF($E895="",0,SUMPRODUCT((AY_SONU!$O$7:$O$42="Evet")*(AY_SONU!$B$7:$B$42=DATE(YEAR($E895),MONTH($E895),1))))</f>
        <v>0</v>
      </c>
      <c r="U895" s="1" t="str">
        <f>IF(OR($G895="",$H895="Mahsup"),"",$G895&amp;"|"&amp;COUNTIFS($G$7:$G895,$G895,$H$7:$H895,"&lt;&gt;Mahsup"))</f>
        <v/>
      </c>
    </row>
    <row r="896" spans="1:21" ht="18" customHeight="1" x14ac:dyDescent="0.3">
      <c r="A896" s="2"/>
      <c r="B896" s="65" t="str">
        <f t="shared" si="65"/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 t="shared" si="66"/>
        <v/>
      </c>
      <c r="M896" s="65" t="str">
        <f t="shared" ca="1" si="67"/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68"/>
        <v/>
      </c>
      <c r="S896" s="1" t="str">
        <f t="shared" si="69"/>
        <v/>
      </c>
      <c r="T896" s="1">
        <f>IF($E896="",0,SUMPRODUCT((AY_SONU!$O$7:$O$42="Evet")*(AY_SONU!$B$7:$B$42=DATE(YEAR($E896),MONTH($E896),1))))</f>
        <v>0</v>
      </c>
      <c r="U896" s="1" t="str">
        <f>IF(OR($G896="",$H896="Mahsup"),"",$G896&amp;"|"&amp;COUNTIFS($G$7:$G896,$G896,$H$7:$H896,"&lt;&gt;Mahsup"))</f>
        <v/>
      </c>
    </row>
    <row r="897" spans="1:21" ht="18" customHeight="1" x14ac:dyDescent="0.3">
      <c r="A897" s="2"/>
      <c r="B897" s="65" t="str">
        <f t="shared" si="65"/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 t="shared" si="66"/>
        <v/>
      </c>
      <c r="M897" s="65" t="str">
        <f t="shared" ca="1" si="67"/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68"/>
        <v/>
      </c>
      <c r="S897" s="1" t="str">
        <f t="shared" si="69"/>
        <v/>
      </c>
      <c r="T897" s="1">
        <f>IF($E897="",0,SUMPRODUCT((AY_SONU!$O$7:$O$42="Evet")*(AY_SONU!$B$7:$B$42=DATE(YEAR($E897),MONTH($E897),1))))</f>
        <v>0</v>
      </c>
      <c r="U897" s="1" t="str">
        <f>IF(OR($G897="",$H897="Mahsup"),"",$G897&amp;"|"&amp;COUNTIFS($G$7:$G897,$G897,$H$7:$H897,"&lt;&gt;Mahsup"))</f>
        <v/>
      </c>
    </row>
    <row r="898" spans="1:21" ht="18" customHeight="1" x14ac:dyDescent="0.3">
      <c r="A898" s="2"/>
      <c r="B898" s="65" t="str">
        <f t="shared" si="65"/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 t="shared" si="66"/>
        <v/>
      </c>
      <c r="M898" s="65" t="str">
        <f t="shared" ca="1" si="67"/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68"/>
        <v/>
      </c>
      <c r="S898" s="1" t="str">
        <f t="shared" si="69"/>
        <v/>
      </c>
      <c r="T898" s="1">
        <f>IF($E898="",0,SUMPRODUCT((AY_SONU!$O$7:$O$42="Evet")*(AY_SONU!$B$7:$B$42=DATE(YEAR($E898),MONTH($E898),1))))</f>
        <v>0</v>
      </c>
      <c r="U898" s="1" t="str">
        <f>IF(OR($G898="",$H898="Mahsup"),"",$G898&amp;"|"&amp;COUNTIFS($G$7:$G898,$G898,$H$7:$H898,"&lt;&gt;Mahsup"))</f>
        <v/>
      </c>
    </row>
    <row r="899" spans="1:21" ht="18" customHeight="1" x14ac:dyDescent="0.3">
      <c r="A899" s="2"/>
      <c r="B899" s="65" t="str">
        <f t="shared" si="65"/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 t="shared" si="66"/>
        <v/>
      </c>
      <c r="M899" s="65" t="str">
        <f t="shared" ca="1" si="67"/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68"/>
        <v/>
      </c>
      <c r="S899" s="1" t="str">
        <f t="shared" si="69"/>
        <v/>
      </c>
      <c r="T899" s="1">
        <f>IF($E899="",0,SUMPRODUCT((AY_SONU!$O$7:$O$42="Evet")*(AY_SONU!$B$7:$B$42=DATE(YEAR($E899),MONTH($E899),1))))</f>
        <v>0</v>
      </c>
      <c r="U899" s="1" t="str">
        <f>IF(OR($G899="",$H899="Mahsup"),"",$G899&amp;"|"&amp;COUNTIFS($G$7:$G899,$G899,$H$7:$H899,"&lt;&gt;Mahsup"))</f>
        <v/>
      </c>
    </row>
    <row r="900" spans="1:21" ht="18" customHeight="1" x14ac:dyDescent="0.3">
      <c r="A900" s="2"/>
      <c r="B900" s="65" t="str">
        <f t="shared" si="65"/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 t="shared" si="66"/>
        <v/>
      </c>
      <c r="M900" s="65" t="str">
        <f t="shared" ca="1" si="67"/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68"/>
        <v/>
      </c>
      <c r="S900" s="1" t="str">
        <f t="shared" si="69"/>
        <v/>
      </c>
      <c r="T900" s="1">
        <f>IF($E900="",0,SUMPRODUCT((AY_SONU!$O$7:$O$42="Evet")*(AY_SONU!$B$7:$B$42=DATE(YEAR($E900),MONTH($E900),1))))</f>
        <v>0</v>
      </c>
      <c r="U900" s="1" t="str">
        <f>IF(OR($G900="",$H900="Mahsup"),"",$G900&amp;"|"&amp;COUNTIFS($G$7:$G900,$G900,$H$7:$H900,"&lt;&gt;Mahsup"))</f>
        <v/>
      </c>
    </row>
    <row r="901" spans="1:21" ht="18" customHeight="1" x14ac:dyDescent="0.3">
      <c r="A901" s="2"/>
      <c r="B901" s="65" t="str">
        <f t="shared" si="65"/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 t="shared" si="66"/>
        <v/>
      </c>
      <c r="M901" s="65" t="str">
        <f t="shared" ca="1" si="67"/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68"/>
        <v/>
      </c>
      <c r="S901" s="1" t="str">
        <f t="shared" si="69"/>
        <v/>
      </c>
      <c r="T901" s="1">
        <f>IF($E901="",0,SUMPRODUCT((AY_SONU!$O$7:$O$42="Evet")*(AY_SONU!$B$7:$B$42=DATE(YEAR($E901),MONTH($E901),1))))</f>
        <v>0</v>
      </c>
      <c r="U901" s="1" t="str">
        <f>IF(OR($G901="",$H901="Mahsup"),"",$G901&amp;"|"&amp;COUNTIFS($G$7:$G901,$G901,$H$7:$H901,"&lt;&gt;Mahsup"))</f>
        <v/>
      </c>
    </row>
    <row r="902" spans="1:21" ht="18" customHeight="1" x14ac:dyDescent="0.3">
      <c r="A902" s="2"/>
      <c r="B902" s="65" t="str">
        <f t="shared" si="65"/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 t="shared" si="66"/>
        <v/>
      </c>
      <c r="M902" s="65" t="str">
        <f t="shared" ca="1" si="67"/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68"/>
        <v/>
      </c>
      <c r="S902" s="1" t="str">
        <f t="shared" si="69"/>
        <v/>
      </c>
      <c r="T902" s="1">
        <f>IF($E902="",0,SUMPRODUCT((AY_SONU!$O$7:$O$42="Evet")*(AY_SONU!$B$7:$B$42=DATE(YEAR($E902),MONTH($E902),1))))</f>
        <v>0</v>
      </c>
      <c r="U902" s="1" t="str">
        <f>IF(OR($G902="",$H902="Mahsup"),"",$G902&amp;"|"&amp;COUNTIFS($G$7:$G902,$G902,$H$7:$H902,"&lt;&gt;Mahsup"))</f>
        <v/>
      </c>
    </row>
    <row r="903" spans="1:21" ht="18" customHeight="1" x14ac:dyDescent="0.3">
      <c r="A903" s="2"/>
      <c r="B903" s="65" t="str">
        <f t="shared" ref="B903:B966" si="70"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 t="shared" ref="L903:L966" si="71">IF($E903="","",DATE(YEAR($E903),MONTH($E903),1))</f>
        <v/>
      </c>
      <c r="M903" s="65" t="str">
        <f t="shared" ref="M903:M966" ca="1" si="72"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73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74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  <c r="U903" s="1" t="str">
        <f>IF(OR($G903="",$H903="Mahsup"),"",$G903&amp;"|"&amp;COUNTIFS($G$7:$G903,$G903,$H$7:$H903,"&lt;&gt;Mahsup"))</f>
        <v/>
      </c>
    </row>
    <row r="904" spans="1:21" ht="18" customHeight="1" x14ac:dyDescent="0.3">
      <c r="A904" s="2"/>
      <c r="B904" s="65" t="str">
        <f t="shared" si="70"/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 t="shared" si="71"/>
        <v/>
      </c>
      <c r="M904" s="65" t="str">
        <f t="shared" ca="1" si="72"/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73"/>
        <v/>
      </c>
      <c r="S904" s="1" t="str">
        <f t="shared" si="74"/>
        <v/>
      </c>
      <c r="T904" s="1">
        <f>IF($E904="",0,SUMPRODUCT((AY_SONU!$O$7:$O$42="Evet")*(AY_SONU!$B$7:$B$42=DATE(YEAR($E904),MONTH($E904),1))))</f>
        <v>0</v>
      </c>
      <c r="U904" s="1" t="str">
        <f>IF(OR($G904="",$H904="Mahsup"),"",$G904&amp;"|"&amp;COUNTIFS($G$7:$G904,$G904,$H$7:$H904,"&lt;&gt;Mahsup"))</f>
        <v/>
      </c>
    </row>
    <row r="905" spans="1:21" ht="18" customHeight="1" x14ac:dyDescent="0.3">
      <c r="A905" s="2"/>
      <c r="B905" s="65" t="str">
        <f t="shared" si="70"/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 t="shared" si="71"/>
        <v/>
      </c>
      <c r="M905" s="65" t="str">
        <f t="shared" ca="1" si="72"/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73"/>
        <v/>
      </c>
      <c r="S905" s="1" t="str">
        <f t="shared" si="74"/>
        <v/>
      </c>
      <c r="T905" s="1">
        <f>IF($E905="",0,SUMPRODUCT((AY_SONU!$O$7:$O$42="Evet")*(AY_SONU!$B$7:$B$42=DATE(YEAR($E905),MONTH($E905),1))))</f>
        <v>0</v>
      </c>
      <c r="U905" s="1" t="str">
        <f>IF(OR($G905="",$H905="Mahsup"),"",$G905&amp;"|"&amp;COUNTIFS($G$7:$G905,$G905,$H$7:$H905,"&lt;&gt;Mahsup"))</f>
        <v/>
      </c>
    </row>
    <row r="906" spans="1:21" ht="18" customHeight="1" x14ac:dyDescent="0.3">
      <c r="A906" s="2"/>
      <c r="B906" s="65" t="str">
        <f t="shared" si="70"/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 t="shared" si="71"/>
        <v/>
      </c>
      <c r="M906" s="65" t="str">
        <f t="shared" ca="1" si="72"/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73"/>
        <v/>
      </c>
      <c r="S906" s="1" t="str">
        <f t="shared" si="74"/>
        <v/>
      </c>
      <c r="T906" s="1">
        <f>IF($E906="",0,SUMPRODUCT((AY_SONU!$O$7:$O$42="Evet")*(AY_SONU!$B$7:$B$42=DATE(YEAR($E906),MONTH($E906),1))))</f>
        <v>0</v>
      </c>
      <c r="U906" s="1" t="str">
        <f>IF(OR($G906="",$H906="Mahsup"),"",$G906&amp;"|"&amp;COUNTIFS($G$7:$G906,$G906,$H$7:$H906,"&lt;&gt;Mahsup"))</f>
        <v/>
      </c>
    </row>
    <row r="907" spans="1:21" ht="18" customHeight="1" x14ac:dyDescent="0.3">
      <c r="A907" s="2"/>
      <c r="B907" s="65" t="str">
        <f t="shared" si="70"/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 t="shared" si="71"/>
        <v/>
      </c>
      <c r="M907" s="65" t="str">
        <f t="shared" ca="1" si="72"/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73"/>
        <v/>
      </c>
      <c r="S907" s="1" t="str">
        <f t="shared" si="74"/>
        <v/>
      </c>
      <c r="T907" s="1">
        <f>IF($E907="",0,SUMPRODUCT((AY_SONU!$O$7:$O$42="Evet")*(AY_SONU!$B$7:$B$42=DATE(YEAR($E907),MONTH($E907),1))))</f>
        <v>0</v>
      </c>
      <c r="U907" s="1" t="str">
        <f>IF(OR($G907="",$H907="Mahsup"),"",$G907&amp;"|"&amp;COUNTIFS($G$7:$G907,$G907,$H$7:$H907,"&lt;&gt;Mahsup"))</f>
        <v/>
      </c>
    </row>
    <row r="908" spans="1:21" ht="18" customHeight="1" x14ac:dyDescent="0.3">
      <c r="A908" s="2"/>
      <c r="B908" s="65" t="str">
        <f t="shared" si="70"/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 t="shared" si="71"/>
        <v/>
      </c>
      <c r="M908" s="65" t="str">
        <f t="shared" ca="1" si="72"/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73"/>
        <v/>
      </c>
      <c r="S908" s="1" t="str">
        <f t="shared" si="74"/>
        <v/>
      </c>
      <c r="T908" s="1">
        <f>IF($E908="",0,SUMPRODUCT((AY_SONU!$O$7:$O$42="Evet")*(AY_SONU!$B$7:$B$42=DATE(YEAR($E908),MONTH($E908),1))))</f>
        <v>0</v>
      </c>
      <c r="U908" s="1" t="str">
        <f>IF(OR($G908="",$H908="Mahsup"),"",$G908&amp;"|"&amp;COUNTIFS($G$7:$G908,$G908,$H$7:$H908,"&lt;&gt;Mahsup"))</f>
        <v/>
      </c>
    </row>
    <row r="909" spans="1:21" ht="18" customHeight="1" x14ac:dyDescent="0.3">
      <c r="A909" s="2"/>
      <c r="B909" s="65" t="str">
        <f t="shared" si="70"/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 t="shared" si="71"/>
        <v/>
      </c>
      <c r="M909" s="65" t="str">
        <f t="shared" ca="1" si="72"/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73"/>
        <v/>
      </c>
      <c r="S909" s="1" t="str">
        <f t="shared" si="74"/>
        <v/>
      </c>
      <c r="T909" s="1">
        <f>IF($E909="",0,SUMPRODUCT((AY_SONU!$O$7:$O$42="Evet")*(AY_SONU!$B$7:$B$42=DATE(YEAR($E909),MONTH($E909),1))))</f>
        <v>0</v>
      </c>
      <c r="U909" s="1" t="str">
        <f>IF(OR($G909="",$H909="Mahsup"),"",$G909&amp;"|"&amp;COUNTIFS($G$7:$G909,$G909,$H$7:$H909,"&lt;&gt;Mahsup"))</f>
        <v/>
      </c>
    </row>
    <row r="910" spans="1:21" ht="18" customHeight="1" x14ac:dyDescent="0.3">
      <c r="A910" s="2"/>
      <c r="B910" s="65" t="str">
        <f t="shared" si="70"/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 t="shared" si="71"/>
        <v/>
      </c>
      <c r="M910" s="65" t="str">
        <f t="shared" ca="1" si="72"/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73"/>
        <v/>
      </c>
      <c r="S910" s="1" t="str">
        <f t="shared" si="74"/>
        <v/>
      </c>
      <c r="T910" s="1">
        <f>IF($E910="",0,SUMPRODUCT((AY_SONU!$O$7:$O$42="Evet")*(AY_SONU!$B$7:$B$42=DATE(YEAR($E910),MONTH($E910),1))))</f>
        <v>0</v>
      </c>
      <c r="U910" s="1" t="str">
        <f>IF(OR($G910="",$H910="Mahsup"),"",$G910&amp;"|"&amp;COUNTIFS($G$7:$G910,$G910,$H$7:$H910,"&lt;&gt;Mahsup"))</f>
        <v/>
      </c>
    </row>
    <row r="911" spans="1:21" ht="18" customHeight="1" x14ac:dyDescent="0.3">
      <c r="A911" s="2"/>
      <c r="B911" s="65" t="str">
        <f t="shared" si="70"/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 t="shared" si="71"/>
        <v/>
      </c>
      <c r="M911" s="65" t="str">
        <f t="shared" ca="1" si="72"/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73"/>
        <v/>
      </c>
      <c r="S911" s="1" t="str">
        <f t="shared" si="74"/>
        <v/>
      </c>
      <c r="T911" s="1">
        <f>IF($E911="",0,SUMPRODUCT((AY_SONU!$O$7:$O$42="Evet")*(AY_SONU!$B$7:$B$42=DATE(YEAR($E911),MONTH($E911),1))))</f>
        <v>0</v>
      </c>
      <c r="U911" s="1" t="str">
        <f>IF(OR($G911="",$H911="Mahsup"),"",$G911&amp;"|"&amp;COUNTIFS($G$7:$G911,$G911,$H$7:$H911,"&lt;&gt;Mahsup"))</f>
        <v/>
      </c>
    </row>
    <row r="912" spans="1:21" ht="18" customHeight="1" x14ac:dyDescent="0.3">
      <c r="A912" s="2"/>
      <c r="B912" s="65" t="str">
        <f t="shared" si="70"/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 t="shared" si="71"/>
        <v/>
      </c>
      <c r="M912" s="65" t="str">
        <f t="shared" ca="1" si="72"/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73"/>
        <v/>
      </c>
      <c r="S912" s="1" t="str">
        <f t="shared" si="74"/>
        <v/>
      </c>
      <c r="T912" s="1">
        <f>IF($E912="",0,SUMPRODUCT((AY_SONU!$O$7:$O$42="Evet")*(AY_SONU!$B$7:$B$42=DATE(YEAR($E912),MONTH($E912),1))))</f>
        <v>0</v>
      </c>
      <c r="U912" s="1" t="str">
        <f>IF(OR($G912="",$H912="Mahsup"),"",$G912&amp;"|"&amp;COUNTIFS($G$7:$G912,$G912,$H$7:$H912,"&lt;&gt;Mahsup"))</f>
        <v/>
      </c>
    </row>
    <row r="913" spans="1:21" ht="18" customHeight="1" x14ac:dyDescent="0.3">
      <c r="A913" s="2"/>
      <c r="B913" s="65" t="str">
        <f t="shared" si="70"/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 t="shared" si="71"/>
        <v/>
      </c>
      <c r="M913" s="65" t="str">
        <f t="shared" ca="1" si="72"/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73"/>
        <v/>
      </c>
      <c r="S913" s="1" t="str">
        <f t="shared" si="74"/>
        <v/>
      </c>
      <c r="T913" s="1">
        <f>IF($E913="",0,SUMPRODUCT((AY_SONU!$O$7:$O$42="Evet")*(AY_SONU!$B$7:$B$42=DATE(YEAR($E913),MONTH($E913),1))))</f>
        <v>0</v>
      </c>
      <c r="U913" s="1" t="str">
        <f>IF(OR($G913="",$H913="Mahsup"),"",$G913&amp;"|"&amp;COUNTIFS($G$7:$G913,$G913,$H$7:$H913,"&lt;&gt;Mahsup"))</f>
        <v/>
      </c>
    </row>
    <row r="914" spans="1:21" ht="18" customHeight="1" x14ac:dyDescent="0.3">
      <c r="A914" s="2"/>
      <c r="B914" s="65" t="str">
        <f t="shared" si="70"/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 t="shared" si="71"/>
        <v/>
      </c>
      <c r="M914" s="65" t="str">
        <f t="shared" ca="1" si="72"/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73"/>
        <v/>
      </c>
      <c r="S914" s="1" t="str">
        <f t="shared" si="74"/>
        <v/>
      </c>
      <c r="T914" s="1">
        <f>IF($E914="",0,SUMPRODUCT((AY_SONU!$O$7:$O$42="Evet")*(AY_SONU!$B$7:$B$42=DATE(YEAR($E914),MONTH($E914),1))))</f>
        <v>0</v>
      </c>
      <c r="U914" s="1" t="str">
        <f>IF(OR($G914="",$H914="Mahsup"),"",$G914&amp;"|"&amp;COUNTIFS($G$7:$G914,$G914,$H$7:$H914,"&lt;&gt;Mahsup"))</f>
        <v/>
      </c>
    </row>
    <row r="915" spans="1:21" ht="18" customHeight="1" x14ac:dyDescent="0.3">
      <c r="A915" s="2"/>
      <c r="B915" s="65" t="str">
        <f t="shared" si="70"/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 t="shared" si="71"/>
        <v/>
      </c>
      <c r="M915" s="65" t="str">
        <f t="shared" ca="1" si="72"/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73"/>
        <v/>
      </c>
      <c r="S915" s="1" t="str">
        <f t="shared" si="74"/>
        <v/>
      </c>
      <c r="T915" s="1">
        <f>IF($E915="",0,SUMPRODUCT((AY_SONU!$O$7:$O$42="Evet")*(AY_SONU!$B$7:$B$42=DATE(YEAR($E915),MONTH($E915),1))))</f>
        <v>0</v>
      </c>
      <c r="U915" s="1" t="str">
        <f>IF(OR($G915="",$H915="Mahsup"),"",$G915&amp;"|"&amp;COUNTIFS($G$7:$G915,$G915,$H$7:$H915,"&lt;&gt;Mahsup"))</f>
        <v/>
      </c>
    </row>
    <row r="916" spans="1:21" ht="18" customHeight="1" x14ac:dyDescent="0.3">
      <c r="A916" s="2"/>
      <c r="B916" s="65" t="str">
        <f t="shared" si="70"/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 t="shared" si="71"/>
        <v/>
      </c>
      <c r="M916" s="65" t="str">
        <f t="shared" ca="1" si="72"/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73"/>
        <v/>
      </c>
      <c r="S916" s="1" t="str">
        <f t="shared" si="74"/>
        <v/>
      </c>
      <c r="T916" s="1">
        <f>IF($E916="",0,SUMPRODUCT((AY_SONU!$O$7:$O$42="Evet")*(AY_SONU!$B$7:$B$42=DATE(YEAR($E916),MONTH($E916),1))))</f>
        <v>0</v>
      </c>
      <c r="U916" s="1" t="str">
        <f>IF(OR($G916="",$H916="Mahsup"),"",$G916&amp;"|"&amp;COUNTIFS($G$7:$G916,$G916,$H$7:$H916,"&lt;&gt;Mahsup"))</f>
        <v/>
      </c>
    </row>
    <row r="917" spans="1:21" ht="18" customHeight="1" x14ac:dyDescent="0.3">
      <c r="A917" s="2"/>
      <c r="B917" s="65" t="str">
        <f t="shared" si="70"/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 t="shared" si="71"/>
        <v/>
      </c>
      <c r="M917" s="65" t="str">
        <f t="shared" ca="1" si="72"/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73"/>
        <v/>
      </c>
      <c r="S917" s="1" t="str">
        <f t="shared" si="74"/>
        <v/>
      </c>
      <c r="T917" s="1">
        <f>IF($E917="",0,SUMPRODUCT((AY_SONU!$O$7:$O$42="Evet")*(AY_SONU!$B$7:$B$42=DATE(YEAR($E917),MONTH($E917),1))))</f>
        <v>0</v>
      </c>
      <c r="U917" s="1" t="str">
        <f>IF(OR($G917="",$H917="Mahsup"),"",$G917&amp;"|"&amp;COUNTIFS($G$7:$G917,$G917,$H$7:$H917,"&lt;&gt;Mahsup"))</f>
        <v/>
      </c>
    </row>
    <row r="918" spans="1:21" ht="18" customHeight="1" x14ac:dyDescent="0.3">
      <c r="A918" s="2"/>
      <c r="B918" s="65" t="str">
        <f t="shared" si="70"/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 t="shared" si="71"/>
        <v/>
      </c>
      <c r="M918" s="65" t="str">
        <f t="shared" ca="1" si="72"/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73"/>
        <v/>
      </c>
      <c r="S918" s="1" t="str">
        <f t="shared" si="74"/>
        <v/>
      </c>
      <c r="T918" s="1">
        <f>IF($E918="",0,SUMPRODUCT((AY_SONU!$O$7:$O$42="Evet")*(AY_SONU!$B$7:$B$42=DATE(YEAR($E918),MONTH($E918),1))))</f>
        <v>0</v>
      </c>
      <c r="U918" s="1" t="str">
        <f>IF(OR($G918="",$H918="Mahsup"),"",$G918&amp;"|"&amp;COUNTIFS($G$7:$G918,$G918,$H$7:$H918,"&lt;&gt;Mahsup"))</f>
        <v/>
      </c>
    </row>
    <row r="919" spans="1:21" ht="18" customHeight="1" x14ac:dyDescent="0.3">
      <c r="A919" s="2"/>
      <c r="B919" s="65" t="str">
        <f t="shared" si="70"/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 t="shared" si="71"/>
        <v/>
      </c>
      <c r="M919" s="65" t="str">
        <f t="shared" ca="1" si="72"/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73"/>
        <v/>
      </c>
      <c r="S919" s="1" t="str">
        <f t="shared" si="74"/>
        <v/>
      </c>
      <c r="T919" s="1">
        <f>IF($E919="",0,SUMPRODUCT((AY_SONU!$O$7:$O$42="Evet")*(AY_SONU!$B$7:$B$42=DATE(YEAR($E919),MONTH($E919),1))))</f>
        <v>0</v>
      </c>
      <c r="U919" s="1" t="str">
        <f>IF(OR($G919="",$H919="Mahsup"),"",$G919&amp;"|"&amp;COUNTIFS($G$7:$G919,$G919,$H$7:$H919,"&lt;&gt;Mahsup"))</f>
        <v/>
      </c>
    </row>
    <row r="920" spans="1:21" ht="18" customHeight="1" x14ac:dyDescent="0.3">
      <c r="A920" s="2"/>
      <c r="B920" s="65" t="str">
        <f t="shared" si="70"/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 t="shared" si="71"/>
        <v/>
      </c>
      <c r="M920" s="65" t="str">
        <f t="shared" ca="1" si="72"/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73"/>
        <v/>
      </c>
      <c r="S920" s="1" t="str">
        <f t="shared" si="74"/>
        <v/>
      </c>
      <c r="T920" s="1">
        <f>IF($E920="",0,SUMPRODUCT((AY_SONU!$O$7:$O$42="Evet")*(AY_SONU!$B$7:$B$42=DATE(YEAR($E920),MONTH($E920),1))))</f>
        <v>0</v>
      </c>
      <c r="U920" s="1" t="str">
        <f>IF(OR($G920="",$H920="Mahsup"),"",$G920&amp;"|"&amp;COUNTIFS($G$7:$G920,$G920,$H$7:$H920,"&lt;&gt;Mahsup"))</f>
        <v/>
      </c>
    </row>
    <row r="921" spans="1:21" ht="18" customHeight="1" x14ac:dyDescent="0.3">
      <c r="A921" s="2"/>
      <c r="B921" s="65" t="str">
        <f t="shared" si="70"/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 t="shared" si="71"/>
        <v/>
      </c>
      <c r="M921" s="65" t="str">
        <f t="shared" ca="1" si="72"/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73"/>
        <v/>
      </c>
      <c r="S921" s="1" t="str">
        <f t="shared" si="74"/>
        <v/>
      </c>
      <c r="T921" s="1">
        <f>IF($E921="",0,SUMPRODUCT((AY_SONU!$O$7:$O$42="Evet")*(AY_SONU!$B$7:$B$42=DATE(YEAR($E921),MONTH($E921),1))))</f>
        <v>0</v>
      </c>
      <c r="U921" s="1" t="str">
        <f>IF(OR($G921="",$H921="Mahsup"),"",$G921&amp;"|"&amp;COUNTIFS($G$7:$G921,$G921,$H$7:$H921,"&lt;&gt;Mahsup"))</f>
        <v/>
      </c>
    </row>
    <row r="922" spans="1:21" ht="18" customHeight="1" x14ac:dyDescent="0.3">
      <c r="A922" s="2"/>
      <c r="B922" s="65" t="str">
        <f t="shared" si="70"/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 t="shared" si="71"/>
        <v/>
      </c>
      <c r="M922" s="65" t="str">
        <f t="shared" ca="1" si="72"/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73"/>
        <v/>
      </c>
      <c r="S922" s="1" t="str">
        <f t="shared" si="74"/>
        <v/>
      </c>
      <c r="T922" s="1">
        <f>IF($E922="",0,SUMPRODUCT((AY_SONU!$O$7:$O$42="Evet")*(AY_SONU!$B$7:$B$42=DATE(YEAR($E922),MONTH($E922),1))))</f>
        <v>0</v>
      </c>
      <c r="U922" s="1" t="str">
        <f>IF(OR($G922="",$H922="Mahsup"),"",$G922&amp;"|"&amp;COUNTIFS($G$7:$G922,$G922,$H$7:$H922,"&lt;&gt;Mahsup"))</f>
        <v/>
      </c>
    </row>
    <row r="923" spans="1:21" ht="18" customHeight="1" x14ac:dyDescent="0.3">
      <c r="A923" s="2"/>
      <c r="B923" s="65" t="str">
        <f t="shared" si="70"/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 t="shared" si="71"/>
        <v/>
      </c>
      <c r="M923" s="65" t="str">
        <f t="shared" ca="1" si="72"/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73"/>
        <v/>
      </c>
      <c r="S923" s="1" t="str">
        <f t="shared" si="74"/>
        <v/>
      </c>
      <c r="T923" s="1">
        <f>IF($E923="",0,SUMPRODUCT((AY_SONU!$O$7:$O$42="Evet")*(AY_SONU!$B$7:$B$42=DATE(YEAR($E923),MONTH($E923),1))))</f>
        <v>0</v>
      </c>
      <c r="U923" s="1" t="str">
        <f>IF(OR($G923="",$H923="Mahsup"),"",$G923&amp;"|"&amp;COUNTIFS($G$7:$G923,$G923,$H$7:$H923,"&lt;&gt;Mahsup"))</f>
        <v/>
      </c>
    </row>
    <row r="924" spans="1:21" ht="18" customHeight="1" x14ac:dyDescent="0.3">
      <c r="A924" s="2"/>
      <c r="B924" s="65" t="str">
        <f t="shared" si="70"/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 t="shared" si="71"/>
        <v/>
      </c>
      <c r="M924" s="65" t="str">
        <f t="shared" ca="1" si="72"/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73"/>
        <v/>
      </c>
      <c r="S924" s="1" t="str">
        <f t="shared" si="74"/>
        <v/>
      </c>
      <c r="T924" s="1">
        <f>IF($E924="",0,SUMPRODUCT((AY_SONU!$O$7:$O$42="Evet")*(AY_SONU!$B$7:$B$42=DATE(YEAR($E924),MONTH($E924),1))))</f>
        <v>0</v>
      </c>
      <c r="U924" s="1" t="str">
        <f>IF(OR($G924="",$H924="Mahsup"),"",$G924&amp;"|"&amp;COUNTIFS($G$7:$G924,$G924,$H$7:$H924,"&lt;&gt;Mahsup"))</f>
        <v/>
      </c>
    </row>
    <row r="925" spans="1:21" ht="18" customHeight="1" x14ac:dyDescent="0.3">
      <c r="A925" s="2"/>
      <c r="B925" s="65" t="str">
        <f t="shared" si="70"/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 t="shared" si="71"/>
        <v/>
      </c>
      <c r="M925" s="65" t="str">
        <f t="shared" ca="1" si="72"/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73"/>
        <v/>
      </c>
      <c r="S925" s="1" t="str">
        <f t="shared" si="74"/>
        <v/>
      </c>
      <c r="T925" s="1">
        <f>IF($E925="",0,SUMPRODUCT((AY_SONU!$O$7:$O$42="Evet")*(AY_SONU!$B$7:$B$42=DATE(YEAR($E925),MONTH($E925),1))))</f>
        <v>0</v>
      </c>
      <c r="U925" s="1" t="str">
        <f>IF(OR($G925="",$H925="Mahsup"),"",$G925&amp;"|"&amp;COUNTIFS($G$7:$G925,$G925,$H$7:$H925,"&lt;&gt;Mahsup"))</f>
        <v/>
      </c>
    </row>
    <row r="926" spans="1:21" ht="18" customHeight="1" x14ac:dyDescent="0.3">
      <c r="A926" s="2"/>
      <c r="B926" s="65" t="str">
        <f t="shared" si="70"/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 t="shared" si="71"/>
        <v/>
      </c>
      <c r="M926" s="65" t="str">
        <f t="shared" ca="1" si="72"/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73"/>
        <v/>
      </c>
      <c r="S926" s="1" t="str">
        <f t="shared" si="74"/>
        <v/>
      </c>
      <c r="T926" s="1">
        <f>IF($E926="",0,SUMPRODUCT((AY_SONU!$O$7:$O$42="Evet")*(AY_SONU!$B$7:$B$42=DATE(YEAR($E926),MONTH($E926),1))))</f>
        <v>0</v>
      </c>
      <c r="U926" s="1" t="str">
        <f>IF(OR($G926="",$H926="Mahsup"),"",$G926&amp;"|"&amp;COUNTIFS($G$7:$G926,$G926,$H$7:$H926,"&lt;&gt;Mahsup"))</f>
        <v/>
      </c>
    </row>
    <row r="927" spans="1:21" ht="18" customHeight="1" x14ac:dyDescent="0.3">
      <c r="A927" s="2"/>
      <c r="B927" s="65" t="str">
        <f t="shared" si="70"/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 t="shared" si="71"/>
        <v/>
      </c>
      <c r="M927" s="65" t="str">
        <f t="shared" ca="1" si="72"/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73"/>
        <v/>
      </c>
      <c r="S927" s="1" t="str">
        <f t="shared" si="74"/>
        <v/>
      </c>
      <c r="T927" s="1">
        <f>IF($E927="",0,SUMPRODUCT((AY_SONU!$O$7:$O$42="Evet")*(AY_SONU!$B$7:$B$42=DATE(YEAR($E927),MONTH($E927),1))))</f>
        <v>0</v>
      </c>
      <c r="U927" s="1" t="str">
        <f>IF(OR($G927="",$H927="Mahsup"),"",$G927&amp;"|"&amp;COUNTIFS($G$7:$G927,$G927,$H$7:$H927,"&lt;&gt;Mahsup"))</f>
        <v/>
      </c>
    </row>
    <row r="928" spans="1:21" ht="18" customHeight="1" x14ac:dyDescent="0.3">
      <c r="A928" s="2"/>
      <c r="B928" s="65" t="str">
        <f t="shared" si="70"/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 t="shared" si="71"/>
        <v/>
      </c>
      <c r="M928" s="65" t="str">
        <f t="shared" ca="1" si="72"/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73"/>
        <v/>
      </c>
      <c r="S928" s="1" t="str">
        <f t="shared" si="74"/>
        <v/>
      </c>
      <c r="T928" s="1">
        <f>IF($E928="",0,SUMPRODUCT((AY_SONU!$O$7:$O$42="Evet")*(AY_SONU!$B$7:$B$42=DATE(YEAR($E928),MONTH($E928),1))))</f>
        <v>0</v>
      </c>
      <c r="U928" s="1" t="str">
        <f>IF(OR($G928="",$H928="Mahsup"),"",$G928&amp;"|"&amp;COUNTIFS($G$7:$G928,$G928,$H$7:$H928,"&lt;&gt;Mahsup"))</f>
        <v/>
      </c>
    </row>
    <row r="929" spans="1:21" ht="18" customHeight="1" x14ac:dyDescent="0.3">
      <c r="A929" s="2"/>
      <c r="B929" s="65" t="str">
        <f t="shared" si="70"/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 t="shared" si="71"/>
        <v/>
      </c>
      <c r="M929" s="65" t="str">
        <f t="shared" ca="1" si="72"/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73"/>
        <v/>
      </c>
      <c r="S929" s="1" t="str">
        <f t="shared" si="74"/>
        <v/>
      </c>
      <c r="T929" s="1">
        <f>IF($E929="",0,SUMPRODUCT((AY_SONU!$O$7:$O$42="Evet")*(AY_SONU!$B$7:$B$42=DATE(YEAR($E929),MONTH($E929),1))))</f>
        <v>0</v>
      </c>
      <c r="U929" s="1" t="str">
        <f>IF(OR($G929="",$H929="Mahsup"),"",$G929&amp;"|"&amp;COUNTIFS($G$7:$G929,$G929,$H$7:$H929,"&lt;&gt;Mahsup"))</f>
        <v/>
      </c>
    </row>
    <row r="930" spans="1:21" ht="18" customHeight="1" x14ac:dyDescent="0.3">
      <c r="A930" s="2"/>
      <c r="B930" s="65" t="str">
        <f t="shared" si="70"/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 t="shared" si="71"/>
        <v/>
      </c>
      <c r="M930" s="65" t="str">
        <f t="shared" ca="1" si="72"/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73"/>
        <v/>
      </c>
      <c r="S930" s="1" t="str">
        <f t="shared" si="74"/>
        <v/>
      </c>
      <c r="T930" s="1">
        <f>IF($E930="",0,SUMPRODUCT((AY_SONU!$O$7:$O$42="Evet")*(AY_SONU!$B$7:$B$42=DATE(YEAR($E930),MONTH($E930),1))))</f>
        <v>0</v>
      </c>
      <c r="U930" s="1" t="str">
        <f>IF(OR($G930="",$H930="Mahsup"),"",$G930&amp;"|"&amp;COUNTIFS($G$7:$G930,$G930,$H$7:$H930,"&lt;&gt;Mahsup"))</f>
        <v/>
      </c>
    </row>
    <row r="931" spans="1:21" ht="18" customHeight="1" x14ac:dyDescent="0.3">
      <c r="A931" s="2"/>
      <c r="B931" s="65" t="str">
        <f t="shared" si="70"/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 t="shared" si="71"/>
        <v/>
      </c>
      <c r="M931" s="65" t="str">
        <f t="shared" ca="1" si="72"/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73"/>
        <v/>
      </c>
      <c r="S931" s="1" t="str">
        <f t="shared" si="74"/>
        <v/>
      </c>
      <c r="T931" s="1">
        <f>IF($E931="",0,SUMPRODUCT((AY_SONU!$O$7:$O$42="Evet")*(AY_SONU!$B$7:$B$42=DATE(YEAR($E931),MONTH($E931),1))))</f>
        <v>0</v>
      </c>
      <c r="U931" s="1" t="str">
        <f>IF(OR($G931="",$H931="Mahsup"),"",$G931&amp;"|"&amp;COUNTIFS($G$7:$G931,$G931,$H$7:$H931,"&lt;&gt;Mahsup"))</f>
        <v/>
      </c>
    </row>
    <row r="932" spans="1:21" ht="18" customHeight="1" x14ac:dyDescent="0.3">
      <c r="A932" s="2"/>
      <c r="B932" s="65" t="str">
        <f t="shared" si="70"/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 t="shared" si="71"/>
        <v/>
      </c>
      <c r="M932" s="65" t="str">
        <f t="shared" ca="1" si="72"/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73"/>
        <v/>
      </c>
      <c r="S932" s="1" t="str">
        <f t="shared" si="74"/>
        <v/>
      </c>
      <c r="T932" s="1">
        <f>IF($E932="",0,SUMPRODUCT((AY_SONU!$O$7:$O$42="Evet")*(AY_SONU!$B$7:$B$42=DATE(YEAR($E932),MONTH($E932),1))))</f>
        <v>0</v>
      </c>
      <c r="U932" s="1" t="str">
        <f>IF(OR($G932="",$H932="Mahsup"),"",$G932&amp;"|"&amp;COUNTIFS($G$7:$G932,$G932,$H$7:$H932,"&lt;&gt;Mahsup"))</f>
        <v/>
      </c>
    </row>
    <row r="933" spans="1:21" ht="18" customHeight="1" x14ac:dyDescent="0.3">
      <c r="A933" s="2"/>
      <c r="B933" s="65" t="str">
        <f t="shared" si="70"/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 t="shared" si="71"/>
        <v/>
      </c>
      <c r="M933" s="65" t="str">
        <f t="shared" ca="1" si="72"/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73"/>
        <v/>
      </c>
      <c r="S933" s="1" t="str">
        <f t="shared" si="74"/>
        <v/>
      </c>
      <c r="T933" s="1">
        <f>IF($E933="",0,SUMPRODUCT((AY_SONU!$O$7:$O$42="Evet")*(AY_SONU!$B$7:$B$42=DATE(YEAR($E933),MONTH($E933),1))))</f>
        <v>0</v>
      </c>
      <c r="U933" s="1" t="str">
        <f>IF(OR($G933="",$H933="Mahsup"),"",$G933&amp;"|"&amp;COUNTIFS($G$7:$G933,$G933,$H$7:$H933,"&lt;&gt;Mahsup"))</f>
        <v/>
      </c>
    </row>
    <row r="934" spans="1:21" ht="18" customHeight="1" x14ac:dyDescent="0.3">
      <c r="A934" s="2"/>
      <c r="B934" s="65" t="str">
        <f t="shared" si="70"/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 t="shared" si="71"/>
        <v/>
      </c>
      <c r="M934" s="65" t="str">
        <f t="shared" ca="1" si="72"/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73"/>
        <v/>
      </c>
      <c r="S934" s="1" t="str">
        <f t="shared" si="74"/>
        <v/>
      </c>
      <c r="T934" s="1">
        <f>IF($E934="",0,SUMPRODUCT((AY_SONU!$O$7:$O$42="Evet")*(AY_SONU!$B$7:$B$42=DATE(YEAR($E934),MONTH($E934),1))))</f>
        <v>0</v>
      </c>
      <c r="U934" s="1" t="str">
        <f>IF(OR($G934="",$H934="Mahsup"),"",$G934&amp;"|"&amp;COUNTIFS($G$7:$G934,$G934,$H$7:$H934,"&lt;&gt;Mahsup"))</f>
        <v/>
      </c>
    </row>
    <row r="935" spans="1:21" ht="18" customHeight="1" x14ac:dyDescent="0.3">
      <c r="A935" s="2"/>
      <c r="B935" s="65" t="str">
        <f t="shared" si="70"/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 t="shared" si="71"/>
        <v/>
      </c>
      <c r="M935" s="65" t="str">
        <f t="shared" ca="1" si="72"/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73"/>
        <v/>
      </c>
      <c r="S935" s="1" t="str">
        <f t="shared" si="74"/>
        <v/>
      </c>
      <c r="T935" s="1">
        <f>IF($E935="",0,SUMPRODUCT((AY_SONU!$O$7:$O$42="Evet")*(AY_SONU!$B$7:$B$42=DATE(YEAR($E935),MONTH($E935),1))))</f>
        <v>0</v>
      </c>
      <c r="U935" s="1" t="str">
        <f>IF(OR($G935="",$H935="Mahsup"),"",$G935&amp;"|"&amp;COUNTIFS($G$7:$G935,$G935,$H$7:$H935,"&lt;&gt;Mahsup"))</f>
        <v/>
      </c>
    </row>
    <row r="936" spans="1:21" ht="18" customHeight="1" x14ac:dyDescent="0.3">
      <c r="A936" s="2"/>
      <c r="B936" s="65" t="str">
        <f t="shared" si="70"/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 t="shared" si="71"/>
        <v/>
      </c>
      <c r="M936" s="65" t="str">
        <f t="shared" ca="1" si="72"/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73"/>
        <v/>
      </c>
      <c r="S936" s="1" t="str">
        <f t="shared" si="74"/>
        <v/>
      </c>
      <c r="T936" s="1">
        <f>IF($E936="",0,SUMPRODUCT((AY_SONU!$O$7:$O$42="Evet")*(AY_SONU!$B$7:$B$42=DATE(YEAR($E936),MONTH($E936),1))))</f>
        <v>0</v>
      </c>
      <c r="U936" s="1" t="str">
        <f>IF(OR($G936="",$H936="Mahsup"),"",$G936&amp;"|"&amp;COUNTIFS($G$7:$G936,$G936,$H$7:$H936,"&lt;&gt;Mahsup"))</f>
        <v/>
      </c>
    </row>
    <row r="937" spans="1:21" ht="18" customHeight="1" x14ac:dyDescent="0.3">
      <c r="A937" s="2"/>
      <c r="B937" s="65" t="str">
        <f t="shared" si="70"/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 t="shared" si="71"/>
        <v/>
      </c>
      <c r="M937" s="65" t="str">
        <f t="shared" ca="1" si="72"/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73"/>
        <v/>
      </c>
      <c r="S937" s="1" t="str">
        <f t="shared" si="74"/>
        <v/>
      </c>
      <c r="T937" s="1">
        <f>IF($E937="",0,SUMPRODUCT((AY_SONU!$O$7:$O$42="Evet")*(AY_SONU!$B$7:$B$42=DATE(YEAR($E937),MONTH($E937),1))))</f>
        <v>0</v>
      </c>
      <c r="U937" s="1" t="str">
        <f>IF(OR($G937="",$H937="Mahsup"),"",$G937&amp;"|"&amp;COUNTIFS($G$7:$G937,$G937,$H$7:$H937,"&lt;&gt;Mahsup"))</f>
        <v/>
      </c>
    </row>
    <row r="938" spans="1:21" ht="18" customHeight="1" x14ac:dyDescent="0.3">
      <c r="A938" s="2"/>
      <c r="B938" s="65" t="str">
        <f t="shared" si="70"/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 t="shared" si="71"/>
        <v/>
      </c>
      <c r="M938" s="65" t="str">
        <f t="shared" ca="1" si="72"/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73"/>
        <v/>
      </c>
      <c r="S938" s="1" t="str">
        <f t="shared" si="74"/>
        <v/>
      </c>
      <c r="T938" s="1">
        <f>IF($E938="",0,SUMPRODUCT((AY_SONU!$O$7:$O$42="Evet")*(AY_SONU!$B$7:$B$42=DATE(YEAR($E938),MONTH($E938),1))))</f>
        <v>0</v>
      </c>
      <c r="U938" s="1" t="str">
        <f>IF(OR($G938="",$H938="Mahsup"),"",$G938&amp;"|"&amp;COUNTIFS($G$7:$G938,$G938,$H$7:$H938,"&lt;&gt;Mahsup"))</f>
        <v/>
      </c>
    </row>
    <row r="939" spans="1:21" ht="18" customHeight="1" x14ac:dyDescent="0.3">
      <c r="A939" s="2"/>
      <c r="B939" s="65" t="str">
        <f t="shared" si="70"/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 t="shared" si="71"/>
        <v/>
      </c>
      <c r="M939" s="65" t="str">
        <f t="shared" ca="1" si="72"/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73"/>
        <v/>
      </c>
      <c r="S939" s="1" t="str">
        <f t="shared" si="74"/>
        <v/>
      </c>
      <c r="T939" s="1">
        <f>IF($E939="",0,SUMPRODUCT((AY_SONU!$O$7:$O$42="Evet")*(AY_SONU!$B$7:$B$42=DATE(YEAR($E939),MONTH($E939),1))))</f>
        <v>0</v>
      </c>
      <c r="U939" s="1" t="str">
        <f>IF(OR($G939="",$H939="Mahsup"),"",$G939&amp;"|"&amp;COUNTIFS($G$7:$G939,$G939,$H$7:$H939,"&lt;&gt;Mahsup"))</f>
        <v/>
      </c>
    </row>
    <row r="940" spans="1:21" ht="18" customHeight="1" x14ac:dyDescent="0.3">
      <c r="A940" s="2"/>
      <c r="B940" s="65" t="str">
        <f t="shared" si="70"/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 t="shared" si="71"/>
        <v/>
      </c>
      <c r="M940" s="65" t="str">
        <f t="shared" ca="1" si="72"/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73"/>
        <v/>
      </c>
      <c r="S940" s="1" t="str">
        <f t="shared" si="74"/>
        <v/>
      </c>
      <c r="T940" s="1">
        <f>IF($E940="",0,SUMPRODUCT((AY_SONU!$O$7:$O$42="Evet")*(AY_SONU!$B$7:$B$42=DATE(YEAR($E940),MONTH($E940),1))))</f>
        <v>0</v>
      </c>
      <c r="U940" s="1" t="str">
        <f>IF(OR($G940="",$H940="Mahsup"),"",$G940&amp;"|"&amp;COUNTIFS($G$7:$G940,$G940,$H$7:$H940,"&lt;&gt;Mahsup"))</f>
        <v/>
      </c>
    </row>
    <row r="941" spans="1:21" ht="18" customHeight="1" x14ac:dyDescent="0.3">
      <c r="A941" s="2"/>
      <c r="B941" s="65" t="str">
        <f t="shared" si="70"/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 t="shared" si="71"/>
        <v/>
      </c>
      <c r="M941" s="65" t="str">
        <f t="shared" ca="1" si="72"/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73"/>
        <v/>
      </c>
      <c r="S941" s="1" t="str">
        <f t="shared" si="74"/>
        <v/>
      </c>
      <c r="T941" s="1">
        <f>IF($E941="",0,SUMPRODUCT((AY_SONU!$O$7:$O$42="Evet")*(AY_SONU!$B$7:$B$42=DATE(YEAR($E941),MONTH($E941),1))))</f>
        <v>0</v>
      </c>
      <c r="U941" s="1" t="str">
        <f>IF(OR($G941="",$H941="Mahsup"),"",$G941&amp;"|"&amp;COUNTIFS($G$7:$G941,$G941,$H$7:$H941,"&lt;&gt;Mahsup"))</f>
        <v/>
      </c>
    </row>
    <row r="942" spans="1:21" ht="18" customHeight="1" x14ac:dyDescent="0.3">
      <c r="A942" s="2"/>
      <c r="B942" s="65" t="str">
        <f t="shared" si="70"/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 t="shared" si="71"/>
        <v/>
      </c>
      <c r="M942" s="65" t="str">
        <f t="shared" ca="1" si="72"/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73"/>
        <v/>
      </c>
      <c r="S942" s="1" t="str">
        <f t="shared" si="74"/>
        <v/>
      </c>
      <c r="T942" s="1">
        <f>IF($E942="",0,SUMPRODUCT((AY_SONU!$O$7:$O$42="Evet")*(AY_SONU!$B$7:$B$42=DATE(YEAR($E942),MONTH($E942),1))))</f>
        <v>0</v>
      </c>
      <c r="U942" s="1" t="str">
        <f>IF(OR($G942="",$H942="Mahsup"),"",$G942&amp;"|"&amp;COUNTIFS($G$7:$G942,$G942,$H$7:$H942,"&lt;&gt;Mahsup"))</f>
        <v/>
      </c>
    </row>
    <row r="943" spans="1:21" ht="18" customHeight="1" x14ac:dyDescent="0.3">
      <c r="A943" s="2"/>
      <c r="B943" s="65" t="str">
        <f t="shared" si="70"/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 t="shared" si="71"/>
        <v/>
      </c>
      <c r="M943" s="65" t="str">
        <f t="shared" ca="1" si="72"/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73"/>
        <v/>
      </c>
      <c r="S943" s="1" t="str">
        <f t="shared" si="74"/>
        <v/>
      </c>
      <c r="T943" s="1">
        <f>IF($E943="",0,SUMPRODUCT((AY_SONU!$O$7:$O$42="Evet")*(AY_SONU!$B$7:$B$42=DATE(YEAR($E943),MONTH($E943),1))))</f>
        <v>0</v>
      </c>
      <c r="U943" s="1" t="str">
        <f>IF(OR($G943="",$H943="Mahsup"),"",$G943&amp;"|"&amp;COUNTIFS($G$7:$G943,$G943,$H$7:$H943,"&lt;&gt;Mahsup"))</f>
        <v/>
      </c>
    </row>
    <row r="944" spans="1:21" ht="18" customHeight="1" x14ac:dyDescent="0.3">
      <c r="A944" s="2"/>
      <c r="B944" s="65" t="str">
        <f t="shared" si="70"/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 t="shared" si="71"/>
        <v/>
      </c>
      <c r="M944" s="65" t="str">
        <f t="shared" ca="1" si="72"/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73"/>
        <v/>
      </c>
      <c r="S944" s="1" t="str">
        <f t="shared" si="74"/>
        <v/>
      </c>
      <c r="T944" s="1">
        <f>IF($E944="",0,SUMPRODUCT((AY_SONU!$O$7:$O$42="Evet")*(AY_SONU!$B$7:$B$42=DATE(YEAR($E944),MONTH($E944),1))))</f>
        <v>0</v>
      </c>
      <c r="U944" s="1" t="str">
        <f>IF(OR($G944="",$H944="Mahsup"),"",$G944&amp;"|"&amp;COUNTIFS($G$7:$G944,$G944,$H$7:$H944,"&lt;&gt;Mahsup"))</f>
        <v/>
      </c>
    </row>
    <row r="945" spans="1:21" ht="18" customHeight="1" x14ac:dyDescent="0.3">
      <c r="A945" s="2"/>
      <c r="B945" s="65" t="str">
        <f t="shared" si="70"/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 t="shared" si="71"/>
        <v/>
      </c>
      <c r="M945" s="65" t="str">
        <f t="shared" ca="1" si="72"/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73"/>
        <v/>
      </c>
      <c r="S945" s="1" t="str">
        <f t="shared" si="74"/>
        <v/>
      </c>
      <c r="T945" s="1">
        <f>IF($E945="",0,SUMPRODUCT((AY_SONU!$O$7:$O$42="Evet")*(AY_SONU!$B$7:$B$42=DATE(YEAR($E945),MONTH($E945),1))))</f>
        <v>0</v>
      </c>
      <c r="U945" s="1" t="str">
        <f>IF(OR($G945="",$H945="Mahsup"),"",$G945&amp;"|"&amp;COUNTIFS($G$7:$G945,$G945,$H$7:$H945,"&lt;&gt;Mahsup"))</f>
        <v/>
      </c>
    </row>
    <row r="946" spans="1:21" ht="18" customHeight="1" x14ac:dyDescent="0.3">
      <c r="A946" s="2"/>
      <c r="B946" s="65" t="str">
        <f t="shared" si="70"/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 t="shared" si="71"/>
        <v/>
      </c>
      <c r="M946" s="65" t="str">
        <f t="shared" ca="1" si="72"/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73"/>
        <v/>
      </c>
      <c r="S946" s="1" t="str">
        <f t="shared" si="74"/>
        <v/>
      </c>
      <c r="T946" s="1">
        <f>IF($E946="",0,SUMPRODUCT((AY_SONU!$O$7:$O$42="Evet")*(AY_SONU!$B$7:$B$42=DATE(YEAR($E946),MONTH($E946),1))))</f>
        <v>0</v>
      </c>
      <c r="U946" s="1" t="str">
        <f>IF(OR($G946="",$H946="Mahsup"),"",$G946&amp;"|"&amp;COUNTIFS($G$7:$G946,$G946,$H$7:$H946,"&lt;&gt;Mahsup"))</f>
        <v/>
      </c>
    </row>
    <row r="947" spans="1:21" ht="18" customHeight="1" x14ac:dyDescent="0.3">
      <c r="A947" s="2"/>
      <c r="B947" s="65" t="str">
        <f t="shared" si="70"/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 t="shared" si="71"/>
        <v/>
      </c>
      <c r="M947" s="65" t="str">
        <f t="shared" ca="1" si="72"/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73"/>
        <v/>
      </c>
      <c r="S947" s="1" t="str">
        <f t="shared" si="74"/>
        <v/>
      </c>
      <c r="T947" s="1">
        <f>IF($E947="",0,SUMPRODUCT((AY_SONU!$O$7:$O$42="Evet")*(AY_SONU!$B$7:$B$42=DATE(YEAR($E947),MONTH($E947),1))))</f>
        <v>0</v>
      </c>
      <c r="U947" s="1" t="str">
        <f>IF(OR($G947="",$H947="Mahsup"),"",$G947&amp;"|"&amp;COUNTIFS($G$7:$G947,$G947,$H$7:$H947,"&lt;&gt;Mahsup"))</f>
        <v/>
      </c>
    </row>
    <row r="948" spans="1:21" ht="18" customHeight="1" x14ac:dyDescent="0.3">
      <c r="A948" s="2"/>
      <c r="B948" s="65" t="str">
        <f t="shared" si="70"/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 t="shared" si="71"/>
        <v/>
      </c>
      <c r="M948" s="65" t="str">
        <f t="shared" ca="1" si="72"/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73"/>
        <v/>
      </c>
      <c r="S948" s="1" t="str">
        <f t="shared" si="74"/>
        <v/>
      </c>
      <c r="T948" s="1">
        <f>IF($E948="",0,SUMPRODUCT((AY_SONU!$O$7:$O$42="Evet")*(AY_SONU!$B$7:$B$42=DATE(YEAR($E948),MONTH($E948),1))))</f>
        <v>0</v>
      </c>
      <c r="U948" s="1" t="str">
        <f>IF(OR($G948="",$H948="Mahsup"),"",$G948&amp;"|"&amp;COUNTIFS($G$7:$G948,$G948,$H$7:$H948,"&lt;&gt;Mahsup"))</f>
        <v/>
      </c>
    </row>
    <row r="949" spans="1:21" ht="18" customHeight="1" x14ac:dyDescent="0.3">
      <c r="A949" s="2"/>
      <c r="B949" s="65" t="str">
        <f t="shared" si="70"/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 t="shared" si="71"/>
        <v/>
      </c>
      <c r="M949" s="65" t="str">
        <f t="shared" ca="1" si="72"/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73"/>
        <v/>
      </c>
      <c r="S949" s="1" t="str">
        <f t="shared" si="74"/>
        <v/>
      </c>
      <c r="T949" s="1">
        <f>IF($E949="",0,SUMPRODUCT((AY_SONU!$O$7:$O$42="Evet")*(AY_SONU!$B$7:$B$42=DATE(YEAR($E949),MONTH($E949),1))))</f>
        <v>0</v>
      </c>
      <c r="U949" s="1" t="str">
        <f>IF(OR($G949="",$H949="Mahsup"),"",$G949&amp;"|"&amp;COUNTIFS($G$7:$G949,$G949,$H$7:$H949,"&lt;&gt;Mahsup"))</f>
        <v/>
      </c>
    </row>
    <row r="950" spans="1:21" ht="18" customHeight="1" x14ac:dyDescent="0.3">
      <c r="A950" s="2"/>
      <c r="B950" s="65" t="str">
        <f t="shared" si="70"/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 t="shared" si="71"/>
        <v/>
      </c>
      <c r="M950" s="65" t="str">
        <f t="shared" ca="1" si="72"/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73"/>
        <v/>
      </c>
      <c r="S950" s="1" t="str">
        <f t="shared" si="74"/>
        <v/>
      </c>
      <c r="T950" s="1">
        <f>IF($E950="",0,SUMPRODUCT((AY_SONU!$O$7:$O$42="Evet")*(AY_SONU!$B$7:$B$42=DATE(YEAR($E950),MONTH($E950),1))))</f>
        <v>0</v>
      </c>
      <c r="U950" s="1" t="str">
        <f>IF(OR($G950="",$H950="Mahsup"),"",$G950&amp;"|"&amp;COUNTIFS($G$7:$G950,$G950,$H$7:$H950,"&lt;&gt;Mahsup"))</f>
        <v/>
      </c>
    </row>
    <row r="951" spans="1:21" ht="18" customHeight="1" x14ac:dyDescent="0.3">
      <c r="A951" s="2"/>
      <c r="B951" s="65" t="str">
        <f t="shared" si="70"/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 t="shared" si="71"/>
        <v/>
      </c>
      <c r="M951" s="65" t="str">
        <f t="shared" ca="1" si="72"/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73"/>
        <v/>
      </c>
      <c r="S951" s="1" t="str">
        <f t="shared" si="74"/>
        <v/>
      </c>
      <c r="T951" s="1">
        <f>IF($E951="",0,SUMPRODUCT((AY_SONU!$O$7:$O$42="Evet")*(AY_SONU!$B$7:$B$42=DATE(YEAR($E951),MONTH($E951),1))))</f>
        <v>0</v>
      </c>
      <c r="U951" s="1" t="str">
        <f>IF(OR($G951="",$H951="Mahsup"),"",$G951&amp;"|"&amp;COUNTIFS($G$7:$G951,$G951,$H$7:$H951,"&lt;&gt;Mahsup"))</f>
        <v/>
      </c>
    </row>
    <row r="952" spans="1:21" ht="18" customHeight="1" x14ac:dyDescent="0.3">
      <c r="A952" s="2"/>
      <c r="B952" s="65" t="str">
        <f t="shared" si="70"/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 t="shared" si="71"/>
        <v/>
      </c>
      <c r="M952" s="65" t="str">
        <f t="shared" ca="1" si="72"/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73"/>
        <v/>
      </c>
      <c r="S952" s="1" t="str">
        <f t="shared" si="74"/>
        <v/>
      </c>
      <c r="T952" s="1">
        <f>IF($E952="",0,SUMPRODUCT((AY_SONU!$O$7:$O$42="Evet")*(AY_SONU!$B$7:$B$42=DATE(YEAR($E952),MONTH($E952),1))))</f>
        <v>0</v>
      </c>
      <c r="U952" s="1" t="str">
        <f>IF(OR($G952="",$H952="Mahsup"),"",$G952&amp;"|"&amp;COUNTIFS($G$7:$G952,$G952,$H$7:$H952,"&lt;&gt;Mahsup"))</f>
        <v/>
      </c>
    </row>
    <row r="953" spans="1:21" ht="18" customHeight="1" x14ac:dyDescent="0.3">
      <c r="A953" s="2"/>
      <c r="B953" s="65" t="str">
        <f t="shared" si="70"/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 t="shared" si="71"/>
        <v/>
      </c>
      <c r="M953" s="65" t="str">
        <f t="shared" ca="1" si="72"/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73"/>
        <v/>
      </c>
      <c r="S953" s="1" t="str">
        <f t="shared" si="74"/>
        <v/>
      </c>
      <c r="T953" s="1">
        <f>IF($E953="",0,SUMPRODUCT((AY_SONU!$O$7:$O$42="Evet")*(AY_SONU!$B$7:$B$42=DATE(YEAR($E953),MONTH($E953),1))))</f>
        <v>0</v>
      </c>
      <c r="U953" s="1" t="str">
        <f>IF(OR($G953="",$H953="Mahsup"),"",$G953&amp;"|"&amp;COUNTIFS($G$7:$G953,$G953,$H$7:$H953,"&lt;&gt;Mahsup"))</f>
        <v/>
      </c>
    </row>
    <row r="954" spans="1:21" ht="18" customHeight="1" x14ac:dyDescent="0.3">
      <c r="A954" s="2"/>
      <c r="B954" s="65" t="str">
        <f t="shared" si="70"/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 t="shared" si="71"/>
        <v/>
      </c>
      <c r="M954" s="65" t="str">
        <f t="shared" ca="1" si="72"/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73"/>
        <v/>
      </c>
      <c r="S954" s="1" t="str">
        <f t="shared" si="74"/>
        <v/>
      </c>
      <c r="T954" s="1">
        <f>IF($E954="",0,SUMPRODUCT((AY_SONU!$O$7:$O$42="Evet")*(AY_SONU!$B$7:$B$42=DATE(YEAR($E954),MONTH($E954),1))))</f>
        <v>0</v>
      </c>
      <c r="U954" s="1" t="str">
        <f>IF(OR($G954="",$H954="Mahsup"),"",$G954&amp;"|"&amp;COUNTIFS($G$7:$G954,$G954,$H$7:$H954,"&lt;&gt;Mahsup"))</f>
        <v/>
      </c>
    </row>
    <row r="955" spans="1:21" ht="18" customHeight="1" x14ac:dyDescent="0.3">
      <c r="A955" s="2"/>
      <c r="B955" s="65" t="str">
        <f t="shared" si="70"/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 t="shared" si="71"/>
        <v/>
      </c>
      <c r="M955" s="65" t="str">
        <f t="shared" ca="1" si="72"/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73"/>
        <v/>
      </c>
      <c r="S955" s="1" t="str">
        <f t="shared" si="74"/>
        <v/>
      </c>
      <c r="T955" s="1">
        <f>IF($E955="",0,SUMPRODUCT((AY_SONU!$O$7:$O$42="Evet")*(AY_SONU!$B$7:$B$42=DATE(YEAR($E955),MONTH($E955),1))))</f>
        <v>0</v>
      </c>
      <c r="U955" s="1" t="str">
        <f>IF(OR($G955="",$H955="Mahsup"),"",$G955&amp;"|"&amp;COUNTIFS($G$7:$G955,$G955,$H$7:$H955,"&lt;&gt;Mahsup"))</f>
        <v/>
      </c>
    </row>
    <row r="956" spans="1:21" ht="18" customHeight="1" x14ac:dyDescent="0.3">
      <c r="A956" s="2"/>
      <c r="B956" s="65" t="str">
        <f t="shared" si="70"/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 t="shared" si="71"/>
        <v/>
      </c>
      <c r="M956" s="65" t="str">
        <f t="shared" ca="1" si="72"/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73"/>
        <v/>
      </c>
      <c r="S956" s="1" t="str">
        <f t="shared" si="74"/>
        <v/>
      </c>
      <c r="T956" s="1">
        <f>IF($E956="",0,SUMPRODUCT((AY_SONU!$O$7:$O$42="Evet")*(AY_SONU!$B$7:$B$42=DATE(YEAR($E956),MONTH($E956),1))))</f>
        <v>0</v>
      </c>
      <c r="U956" s="1" t="str">
        <f>IF(OR($G956="",$H956="Mahsup"),"",$G956&amp;"|"&amp;COUNTIFS($G$7:$G956,$G956,$H$7:$H956,"&lt;&gt;Mahsup"))</f>
        <v/>
      </c>
    </row>
    <row r="957" spans="1:21" ht="18" customHeight="1" x14ac:dyDescent="0.3">
      <c r="A957" s="2"/>
      <c r="B957" s="65" t="str">
        <f t="shared" si="70"/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 t="shared" si="71"/>
        <v/>
      </c>
      <c r="M957" s="65" t="str">
        <f t="shared" ca="1" si="72"/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73"/>
        <v/>
      </c>
      <c r="S957" s="1" t="str">
        <f t="shared" si="74"/>
        <v/>
      </c>
      <c r="T957" s="1">
        <f>IF($E957="",0,SUMPRODUCT((AY_SONU!$O$7:$O$42="Evet")*(AY_SONU!$B$7:$B$42=DATE(YEAR($E957),MONTH($E957),1))))</f>
        <v>0</v>
      </c>
      <c r="U957" s="1" t="str">
        <f>IF(OR($G957="",$H957="Mahsup"),"",$G957&amp;"|"&amp;COUNTIFS($G$7:$G957,$G957,$H$7:$H957,"&lt;&gt;Mahsup"))</f>
        <v/>
      </c>
    </row>
    <row r="958" spans="1:21" ht="18" customHeight="1" x14ac:dyDescent="0.3">
      <c r="A958" s="2"/>
      <c r="B958" s="65" t="str">
        <f t="shared" si="70"/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 t="shared" si="71"/>
        <v/>
      </c>
      <c r="M958" s="65" t="str">
        <f t="shared" ca="1" si="72"/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73"/>
        <v/>
      </c>
      <c r="S958" s="1" t="str">
        <f t="shared" si="74"/>
        <v/>
      </c>
      <c r="T958" s="1">
        <f>IF($E958="",0,SUMPRODUCT((AY_SONU!$O$7:$O$42="Evet")*(AY_SONU!$B$7:$B$42=DATE(YEAR($E958),MONTH($E958),1))))</f>
        <v>0</v>
      </c>
      <c r="U958" s="1" t="str">
        <f>IF(OR($G958="",$H958="Mahsup"),"",$G958&amp;"|"&amp;COUNTIFS($G$7:$G958,$G958,$H$7:$H958,"&lt;&gt;Mahsup"))</f>
        <v/>
      </c>
    </row>
    <row r="959" spans="1:21" ht="18" customHeight="1" x14ac:dyDescent="0.3">
      <c r="A959" s="2"/>
      <c r="B959" s="65" t="str">
        <f t="shared" si="70"/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 t="shared" si="71"/>
        <v/>
      </c>
      <c r="M959" s="65" t="str">
        <f t="shared" ca="1" si="72"/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73"/>
        <v/>
      </c>
      <c r="S959" s="1" t="str">
        <f t="shared" si="74"/>
        <v/>
      </c>
      <c r="T959" s="1">
        <f>IF($E959="",0,SUMPRODUCT((AY_SONU!$O$7:$O$42="Evet")*(AY_SONU!$B$7:$B$42=DATE(YEAR($E959),MONTH($E959),1))))</f>
        <v>0</v>
      </c>
      <c r="U959" s="1" t="str">
        <f>IF(OR($G959="",$H959="Mahsup"),"",$G959&amp;"|"&amp;COUNTIFS($G$7:$G959,$G959,$H$7:$H959,"&lt;&gt;Mahsup"))</f>
        <v/>
      </c>
    </row>
    <row r="960" spans="1:21" ht="18" customHeight="1" x14ac:dyDescent="0.3">
      <c r="A960" s="2"/>
      <c r="B960" s="65" t="str">
        <f t="shared" si="70"/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 t="shared" si="71"/>
        <v/>
      </c>
      <c r="M960" s="65" t="str">
        <f t="shared" ca="1" si="72"/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73"/>
        <v/>
      </c>
      <c r="S960" s="1" t="str">
        <f t="shared" si="74"/>
        <v/>
      </c>
      <c r="T960" s="1">
        <f>IF($E960="",0,SUMPRODUCT((AY_SONU!$O$7:$O$42="Evet")*(AY_SONU!$B$7:$B$42=DATE(YEAR($E960),MONTH($E960),1))))</f>
        <v>0</v>
      </c>
      <c r="U960" s="1" t="str">
        <f>IF(OR($G960="",$H960="Mahsup"),"",$G960&amp;"|"&amp;COUNTIFS($G$7:$G960,$G960,$H$7:$H960,"&lt;&gt;Mahsup"))</f>
        <v/>
      </c>
    </row>
    <row r="961" spans="1:21" ht="18" customHeight="1" x14ac:dyDescent="0.3">
      <c r="A961" s="2"/>
      <c r="B961" s="65" t="str">
        <f t="shared" si="70"/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 t="shared" si="71"/>
        <v/>
      </c>
      <c r="M961" s="65" t="str">
        <f t="shared" ca="1" si="72"/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73"/>
        <v/>
      </c>
      <c r="S961" s="1" t="str">
        <f t="shared" si="74"/>
        <v/>
      </c>
      <c r="T961" s="1">
        <f>IF($E961="",0,SUMPRODUCT((AY_SONU!$O$7:$O$42="Evet")*(AY_SONU!$B$7:$B$42=DATE(YEAR($E961),MONTH($E961),1))))</f>
        <v>0</v>
      </c>
      <c r="U961" s="1" t="str">
        <f>IF(OR($G961="",$H961="Mahsup"),"",$G961&amp;"|"&amp;COUNTIFS($G$7:$G961,$G961,$H$7:$H961,"&lt;&gt;Mahsup"))</f>
        <v/>
      </c>
    </row>
    <row r="962" spans="1:21" ht="18" customHeight="1" x14ac:dyDescent="0.3">
      <c r="A962" s="2"/>
      <c r="B962" s="65" t="str">
        <f t="shared" si="70"/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 t="shared" si="71"/>
        <v/>
      </c>
      <c r="M962" s="65" t="str">
        <f t="shared" ca="1" si="72"/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73"/>
        <v/>
      </c>
      <c r="S962" s="1" t="str">
        <f t="shared" si="74"/>
        <v/>
      </c>
      <c r="T962" s="1">
        <f>IF($E962="",0,SUMPRODUCT((AY_SONU!$O$7:$O$42="Evet")*(AY_SONU!$B$7:$B$42=DATE(YEAR($E962),MONTH($E962),1))))</f>
        <v>0</v>
      </c>
      <c r="U962" s="1" t="str">
        <f>IF(OR($G962="",$H962="Mahsup"),"",$G962&amp;"|"&amp;COUNTIFS($G$7:$G962,$G962,$H$7:$H962,"&lt;&gt;Mahsup"))</f>
        <v/>
      </c>
    </row>
    <row r="963" spans="1:21" ht="18" customHeight="1" x14ac:dyDescent="0.3">
      <c r="A963" s="2"/>
      <c r="B963" s="65" t="str">
        <f t="shared" si="70"/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 t="shared" si="71"/>
        <v/>
      </c>
      <c r="M963" s="65" t="str">
        <f t="shared" ca="1" si="72"/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73"/>
        <v/>
      </c>
      <c r="S963" s="1" t="str">
        <f t="shared" si="74"/>
        <v/>
      </c>
      <c r="T963" s="1">
        <f>IF($E963="",0,SUMPRODUCT((AY_SONU!$O$7:$O$42="Evet")*(AY_SONU!$B$7:$B$42=DATE(YEAR($E963),MONTH($E963),1))))</f>
        <v>0</v>
      </c>
      <c r="U963" s="1" t="str">
        <f>IF(OR($G963="",$H963="Mahsup"),"",$G963&amp;"|"&amp;COUNTIFS($G$7:$G963,$G963,$H$7:$H963,"&lt;&gt;Mahsup"))</f>
        <v/>
      </c>
    </row>
    <row r="964" spans="1:21" ht="18" customHeight="1" x14ac:dyDescent="0.3">
      <c r="A964" s="2"/>
      <c r="B964" s="65" t="str">
        <f t="shared" si="70"/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 t="shared" si="71"/>
        <v/>
      </c>
      <c r="M964" s="65" t="str">
        <f t="shared" ca="1" si="72"/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73"/>
        <v/>
      </c>
      <c r="S964" s="1" t="str">
        <f t="shared" si="74"/>
        <v/>
      </c>
      <c r="T964" s="1">
        <f>IF($E964="",0,SUMPRODUCT((AY_SONU!$O$7:$O$42="Evet")*(AY_SONU!$B$7:$B$42=DATE(YEAR($E964),MONTH($E964),1))))</f>
        <v>0</v>
      </c>
      <c r="U964" s="1" t="str">
        <f>IF(OR($G964="",$H964="Mahsup"),"",$G964&amp;"|"&amp;COUNTIFS($G$7:$G964,$G964,$H$7:$H964,"&lt;&gt;Mahsup"))</f>
        <v/>
      </c>
    </row>
    <row r="965" spans="1:21" ht="18" customHeight="1" x14ac:dyDescent="0.3">
      <c r="A965" s="2"/>
      <c r="B965" s="65" t="str">
        <f t="shared" si="70"/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 t="shared" si="71"/>
        <v/>
      </c>
      <c r="M965" s="65" t="str">
        <f t="shared" ca="1" si="72"/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73"/>
        <v/>
      </c>
      <c r="S965" s="1" t="str">
        <f t="shared" si="74"/>
        <v/>
      </c>
      <c r="T965" s="1">
        <f>IF($E965="",0,SUMPRODUCT((AY_SONU!$O$7:$O$42="Evet")*(AY_SONU!$B$7:$B$42=DATE(YEAR($E965),MONTH($E965),1))))</f>
        <v>0</v>
      </c>
      <c r="U965" s="1" t="str">
        <f>IF(OR($G965="",$H965="Mahsup"),"",$G965&amp;"|"&amp;COUNTIFS($G$7:$G965,$G965,$H$7:$H965,"&lt;&gt;Mahsup"))</f>
        <v/>
      </c>
    </row>
    <row r="966" spans="1:21" ht="18" customHeight="1" x14ac:dyDescent="0.3">
      <c r="A966" s="2"/>
      <c r="B966" s="65" t="str">
        <f t="shared" si="70"/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 t="shared" si="71"/>
        <v/>
      </c>
      <c r="M966" s="65" t="str">
        <f t="shared" ca="1" si="72"/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73"/>
        <v/>
      </c>
      <c r="S966" s="1" t="str">
        <f t="shared" si="74"/>
        <v/>
      </c>
      <c r="T966" s="1">
        <f>IF($E966="",0,SUMPRODUCT((AY_SONU!$O$7:$O$42="Evet")*(AY_SONU!$B$7:$B$42=DATE(YEAR($E966),MONTH($E966),1))))</f>
        <v>0</v>
      </c>
      <c r="U966" s="1" t="str">
        <f>IF(OR($G966="",$H966="Mahsup"),"",$G966&amp;"|"&amp;COUNTIFS($G$7:$G966,$G966,$H$7:$H966,"&lt;&gt;Mahsup"))</f>
        <v/>
      </c>
    </row>
    <row r="967" spans="1:21" ht="18" customHeight="1" x14ac:dyDescent="0.3">
      <c r="A967" s="2"/>
      <c r="B967" s="65" t="str">
        <f t="shared" ref="B967:B1030" si="75"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 t="shared" ref="L967:L1030" si="76">IF($E967="","",DATE(YEAR($E967),MONTH($E967),1))</f>
        <v/>
      </c>
      <c r="M967" s="65" t="str">
        <f t="shared" ref="M967:M1030" ca="1" si="77"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78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79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  <c r="U967" s="1" t="str">
        <f>IF(OR($G967="",$H967="Mahsup"),"",$G967&amp;"|"&amp;COUNTIFS($G$7:$G967,$G967,$H$7:$H967,"&lt;&gt;Mahsup"))</f>
        <v/>
      </c>
    </row>
    <row r="968" spans="1:21" ht="18" customHeight="1" x14ac:dyDescent="0.3">
      <c r="A968" s="2"/>
      <c r="B968" s="65" t="str">
        <f t="shared" si="75"/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 t="shared" si="76"/>
        <v/>
      </c>
      <c r="M968" s="65" t="str">
        <f t="shared" ca="1" si="77"/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78"/>
        <v/>
      </c>
      <c r="S968" s="1" t="str">
        <f t="shared" si="79"/>
        <v/>
      </c>
      <c r="T968" s="1">
        <f>IF($E968="",0,SUMPRODUCT((AY_SONU!$O$7:$O$42="Evet")*(AY_SONU!$B$7:$B$42=DATE(YEAR($E968),MONTH($E968),1))))</f>
        <v>0</v>
      </c>
      <c r="U968" s="1" t="str">
        <f>IF(OR($G968="",$H968="Mahsup"),"",$G968&amp;"|"&amp;COUNTIFS($G$7:$G968,$G968,$H$7:$H968,"&lt;&gt;Mahsup"))</f>
        <v/>
      </c>
    </row>
    <row r="969" spans="1:21" ht="18" customHeight="1" x14ac:dyDescent="0.3">
      <c r="A969" s="2"/>
      <c r="B969" s="65" t="str">
        <f t="shared" si="75"/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 t="shared" si="76"/>
        <v/>
      </c>
      <c r="M969" s="65" t="str">
        <f t="shared" ca="1" si="77"/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78"/>
        <v/>
      </c>
      <c r="S969" s="1" t="str">
        <f t="shared" si="79"/>
        <v/>
      </c>
      <c r="T969" s="1">
        <f>IF($E969="",0,SUMPRODUCT((AY_SONU!$O$7:$O$42="Evet")*(AY_SONU!$B$7:$B$42=DATE(YEAR($E969),MONTH($E969),1))))</f>
        <v>0</v>
      </c>
      <c r="U969" s="1" t="str">
        <f>IF(OR($G969="",$H969="Mahsup"),"",$G969&amp;"|"&amp;COUNTIFS($G$7:$G969,$G969,$H$7:$H969,"&lt;&gt;Mahsup"))</f>
        <v/>
      </c>
    </row>
    <row r="970" spans="1:21" ht="18" customHeight="1" x14ac:dyDescent="0.3">
      <c r="A970" s="2"/>
      <c r="B970" s="65" t="str">
        <f t="shared" si="75"/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 t="shared" si="76"/>
        <v/>
      </c>
      <c r="M970" s="65" t="str">
        <f t="shared" ca="1" si="77"/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78"/>
        <v/>
      </c>
      <c r="S970" s="1" t="str">
        <f t="shared" si="79"/>
        <v/>
      </c>
      <c r="T970" s="1">
        <f>IF($E970="",0,SUMPRODUCT((AY_SONU!$O$7:$O$42="Evet")*(AY_SONU!$B$7:$B$42=DATE(YEAR($E970),MONTH($E970),1))))</f>
        <v>0</v>
      </c>
      <c r="U970" s="1" t="str">
        <f>IF(OR($G970="",$H970="Mahsup"),"",$G970&amp;"|"&amp;COUNTIFS($G$7:$G970,$G970,$H$7:$H970,"&lt;&gt;Mahsup"))</f>
        <v/>
      </c>
    </row>
    <row r="971" spans="1:21" ht="18" customHeight="1" x14ac:dyDescent="0.3">
      <c r="A971" s="2"/>
      <c r="B971" s="65" t="str">
        <f t="shared" si="75"/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 t="shared" si="76"/>
        <v/>
      </c>
      <c r="M971" s="65" t="str">
        <f t="shared" ca="1" si="77"/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78"/>
        <v/>
      </c>
      <c r="S971" s="1" t="str">
        <f t="shared" si="79"/>
        <v/>
      </c>
      <c r="T971" s="1">
        <f>IF($E971="",0,SUMPRODUCT((AY_SONU!$O$7:$O$42="Evet")*(AY_SONU!$B$7:$B$42=DATE(YEAR($E971),MONTH($E971),1))))</f>
        <v>0</v>
      </c>
      <c r="U971" s="1" t="str">
        <f>IF(OR($G971="",$H971="Mahsup"),"",$G971&amp;"|"&amp;COUNTIFS($G$7:$G971,$G971,$H$7:$H971,"&lt;&gt;Mahsup"))</f>
        <v/>
      </c>
    </row>
    <row r="972" spans="1:21" ht="18" customHeight="1" x14ac:dyDescent="0.3">
      <c r="A972" s="2"/>
      <c r="B972" s="65" t="str">
        <f t="shared" si="75"/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 t="shared" si="76"/>
        <v/>
      </c>
      <c r="M972" s="65" t="str">
        <f t="shared" ca="1" si="77"/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78"/>
        <v/>
      </c>
      <c r="S972" s="1" t="str">
        <f t="shared" si="79"/>
        <v/>
      </c>
      <c r="T972" s="1">
        <f>IF($E972="",0,SUMPRODUCT((AY_SONU!$O$7:$O$42="Evet")*(AY_SONU!$B$7:$B$42=DATE(YEAR($E972),MONTH($E972),1))))</f>
        <v>0</v>
      </c>
      <c r="U972" s="1" t="str">
        <f>IF(OR($G972="",$H972="Mahsup"),"",$G972&amp;"|"&amp;COUNTIFS($G$7:$G972,$G972,$H$7:$H972,"&lt;&gt;Mahsup"))</f>
        <v/>
      </c>
    </row>
    <row r="973" spans="1:21" ht="18" customHeight="1" x14ac:dyDescent="0.3">
      <c r="A973" s="2"/>
      <c r="B973" s="65" t="str">
        <f t="shared" si="75"/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 t="shared" si="76"/>
        <v/>
      </c>
      <c r="M973" s="65" t="str">
        <f t="shared" ca="1" si="77"/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78"/>
        <v/>
      </c>
      <c r="S973" s="1" t="str">
        <f t="shared" si="79"/>
        <v/>
      </c>
      <c r="T973" s="1">
        <f>IF($E973="",0,SUMPRODUCT((AY_SONU!$O$7:$O$42="Evet")*(AY_SONU!$B$7:$B$42=DATE(YEAR($E973),MONTH($E973),1))))</f>
        <v>0</v>
      </c>
      <c r="U973" s="1" t="str">
        <f>IF(OR($G973="",$H973="Mahsup"),"",$G973&amp;"|"&amp;COUNTIFS($G$7:$G973,$G973,$H$7:$H973,"&lt;&gt;Mahsup"))</f>
        <v/>
      </c>
    </row>
    <row r="974" spans="1:21" ht="18" customHeight="1" x14ac:dyDescent="0.3">
      <c r="A974" s="2"/>
      <c r="B974" s="65" t="str">
        <f t="shared" si="75"/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 t="shared" si="76"/>
        <v/>
      </c>
      <c r="M974" s="65" t="str">
        <f t="shared" ca="1" si="77"/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78"/>
        <v/>
      </c>
      <c r="S974" s="1" t="str">
        <f t="shared" si="79"/>
        <v/>
      </c>
      <c r="T974" s="1">
        <f>IF($E974="",0,SUMPRODUCT((AY_SONU!$O$7:$O$42="Evet")*(AY_SONU!$B$7:$B$42=DATE(YEAR($E974),MONTH($E974),1))))</f>
        <v>0</v>
      </c>
      <c r="U974" s="1" t="str">
        <f>IF(OR($G974="",$H974="Mahsup"),"",$G974&amp;"|"&amp;COUNTIFS($G$7:$G974,$G974,$H$7:$H974,"&lt;&gt;Mahsup"))</f>
        <v/>
      </c>
    </row>
    <row r="975" spans="1:21" ht="18" customHeight="1" x14ac:dyDescent="0.3">
      <c r="A975" s="2"/>
      <c r="B975" s="65" t="str">
        <f t="shared" si="75"/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 t="shared" si="76"/>
        <v/>
      </c>
      <c r="M975" s="65" t="str">
        <f t="shared" ca="1" si="77"/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78"/>
        <v/>
      </c>
      <c r="S975" s="1" t="str">
        <f t="shared" si="79"/>
        <v/>
      </c>
      <c r="T975" s="1">
        <f>IF($E975="",0,SUMPRODUCT((AY_SONU!$O$7:$O$42="Evet")*(AY_SONU!$B$7:$B$42=DATE(YEAR($E975),MONTH($E975),1))))</f>
        <v>0</v>
      </c>
      <c r="U975" s="1" t="str">
        <f>IF(OR($G975="",$H975="Mahsup"),"",$G975&amp;"|"&amp;COUNTIFS($G$7:$G975,$G975,$H$7:$H975,"&lt;&gt;Mahsup"))</f>
        <v/>
      </c>
    </row>
    <row r="976" spans="1:21" ht="18" customHeight="1" x14ac:dyDescent="0.3">
      <c r="A976" s="2"/>
      <c r="B976" s="65" t="str">
        <f t="shared" si="75"/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 t="shared" si="76"/>
        <v/>
      </c>
      <c r="M976" s="65" t="str">
        <f t="shared" ca="1" si="77"/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78"/>
        <v/>
      </c>
      <c r="S976" s="1" t="str">
        <f t="shared" si="79"/>
        <v/>
      </c>
      <c r="T976" s="1">
        <f>IF($E976="",0,SUMPRODUCT((AY_SONU!$O$7:$O$42="Evet")*(AY_SONU!$B$7:$B$42=DATE(YEAR($E976),MONTH($E976),1))))</f>
        <v>0</v>
      </c>
      <c r="U976" s="1" t="str">
        <f>IF(OR($G976="",$H976="Mahsup"),"",$G976&amp;"|"&amp;COUNTIFS($G$7:$G976,$G976,$H$7:$H976,"&lt;&gt;Mahsup"))</f>
        <v/>
      </c>
    </row>
    <row r="977" spans="1:21" ht="18" customHeight="1" x14ac:dyDescent="0.3">
      <c r="A977" s="2"/>
      <c r="B977" s="65" t="str">
        <f t="shared" si="75"/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 t="shared" si="76"/>
        <v/>
      </c>
      <c r="M977" s="65" t="str">
        <f t="shared" ca="1" si="77"/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78"/>
        <v/>
      </c>
      <c r="S977" s="1" t="str">
        <f t="shared" si="79"/>
        <v/>
      </c>
      <c r="T977" s="1">
        <f>IF($E977="",0,SUMPRODUCT((AY_SONU!$O$7:$O$42="Evet")*(AY_SONU!$B$7:$B$42=DATE(YEAR($E977),MONTH($E977),1))))</f>
        <v>0</v>
      </c>
      <c r="U977" s="1" t="str">
        <f>IF(OR($G977="",$H977="Mahsup"),"",$G977&amp;"|"&amp;COUNTIFS($G$7:$G977,$G977,$H$7:$H977,"&lt;&gt;Mahsup"))</f>
        <v/>
      </c>
    </row>
    <row r="978" spans="1:21" ht="18" customHeight="1" x14ac:dyDescent="0.3">
      <c r="A978" s="2"/>
      <c r="B978" s="65" t="str">
        <f t="shared" si="75"/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 t="shared" si="76"/>
        <v/>
      </c>
      <c r="M978" s="65" t="str">
        <f t="shared" ca="1" si="77"/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78"/>
        <v/>
      </c>
      <c r="S978" s="1" t="str">
        <f t="shared" si="79"/>
        <v/>
      </c>
      <c r="T978" s="1">
        <f>IF($E978="",0,SUMPRODUCT((AY_SONU!$O$7:$O$42="Evet")*(AY_SONU!$B$7:$B$42=DATE(YEAR($E978),MONTH($E978),1))))</f>
        <v>0</v>
      </c>
      <c r="U978" s="1" t="str">
        <f>IF(OR($G978="",$H978="Mahsup"),"",$G978&amp;"|"&amp;COUNTIFS($G$7:$G978,$G978,$H$7:$H978,"&lt;&gt;Mahsup"))</f>
        <v/>
      </c>
    </row>
    <row r="979" spans="1:21" ht="18" customHeight="1" x14ac:dyDescent="0.3">
      <c r="A979" s="2"/>
      <c r="B979" s="65" t="str">
        <f t="shared" si="75"/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 t="shared" si="76"/>
        <v/>
      </c>
      <c r="M979" s="65" t="str">
        <f t="shared" ca="1" si="77"/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78"/>
        <v/>
      </c>
      <c r="S979" s="1" t="str">
        <f t="shared" si="79"/>
        <v/>
      </c>
      <c r="T979" s="1">
        <f>IF($E979="",0,SUMPRODUCT((AY_SONU!$O$7:$O$42="Evet")*(AY_SONU!$B$7:$B$42=DATE(YEAR($E979),MONTH($E979),1))))</f>
        <v>0</v>
      </c>
      <c r="U979" s="1" t="str">
        <f>IF(OR($G979="",$H979="Mahsup"),"",$G979&amp;"|"&amp;COUNTIFS($G$7:$G979,$G979,$H$7:$H979,"&lt;&gt;Mahsup"))</f>
        <v/>
      </c>
    </row>
    <row r="980" spans="1:21" ht="18" customHeight="1" x14ac:dyDescent="0.3">
      <c r="A980" s="2"/>
      <c r="B980" s="65" t="str">
        <f t="shared" si="75"/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 t="shared" si="76"/>
        <v/>
      </c>
      <c r="M980" s="65" t="str">
        <f t="shared" ca="1" si="77"/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78"/>
        <v/>
      </c>
      <c r="S980" s="1" t="str">
        <f t="shared" si="79"/>
        <v/>
      </c>
      <c r="T980" s="1">
        <f>IF($E980="",0,SUMPRODUCT((AY_SONU!$O$7:$O$42="Evet")*(AY_SONU!$B$7:$B$42=DATE(YEAR($E980),MONTH($E980),1))))</f>
        <v>0</v>
      </c>
      <c r="U980" s="1" t="str">
        <f>IF(OR($G980="",$H980="Mahsup"),"",$G980&amp;"|"&amp;COUNTIFS($G$7:$G980,$G980,$H$7:$H980,"&lt;&gt;Mahsup"))</f>
        <v/>
      </c>
    </row>
    <row r="981" spans="1:21" ht="18" customHeight="1" x14ac:dyDescent="0.3">
      <c r="A981" s="2"/>
      <c r="B981" s="65" t="str">
        <f t="shared" si="75"/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 t="shared" si="76"/>
        <v/>
      </c>
      <c r="M981" s="65" t="str">
        <f t="shared" ca="1" si="77"/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78"/>
        <v/>
      </c>
      <c r="S981" s="1" t="str">
        <f t="shared" si="79"/>
        <v/>
      </c>
      <c r="T981" s="1">
        <f>IF($E981="",0,SUMPRODUCT((AY_SONU!$O$7:$O$42="Evet")*(AY_SONU!$B$7:$B$42=DATE(YEAR($E981),MONTH($E981),1))))</f>
        <v>0</v>
      </c>
      <c r="U981" s="1" t="str">
        <f>IF(OR($G981="",$H981="Mahsup"),"",$G981&amp;"|"&amp;COUNTIFS($G$7:$G981,$G981,$H$7:$H981,"&lt;&gt;Mahsup"))</f>
        <v/>
      </c>
    </row>
    <row r="982" spans="1:21" ht="18" customHeight="1" x14ac:dyDescent="0.3">
      <c r="A982" s="2"/>
      <c r="B982" s="65" t="str">
        <f t="shared" si="75"/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 t="shared" si="76"/>
        <v/>
      </c>
      <c r="M982" s="65" t="str">
        <f t="shared" ca="1" si="77"/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78"/>
        <v/>
      </c>
      <c r="S982" s="1" t="str">
        <f t="shared" si="79"/>
        <v/>
      </c>
      <c r="T982" s="1">
        <f>IF($E982="",0,SUMPRODUCT((AY_SONU!$O$7:$O$42="Evet")*(AY_SONU!$B$7:$B$42=DATE(YEAR($E982),MONTH($E982),1))))</f>
        <v>0</v>
      </c>
      <c r="U982" s="1" t="str">
        <f>IF(OR($G982="",$H982="Mahsup"),"",$G982&amp;"|"&amp;COUNTIFS($G$7:$G982,$G982,$H$7:$H982,"&lt;&gt;Mahsup"))</f>
        <v/>
      </c>
    </row>
    <row r="983" spans="1:21" ht="18" customHeight="1" x14ac:dyDescent="0.3">
      <c r="A983" s="2"/>
      <c r="B983" s="65" t="str">
        <f t="shared" si="75"/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 t="shared" si="76"/>
        <v/>
      </c>
      <c r="M983" s="65" t="str">
        <f t="shared" ca="1" si="77"/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78"/>
        <v/>
      </c>
      <c r="S983" s="1" t="str">
        <f t="shared" si="79"/>
        <v/>
      </c>
      <c r="T983" s="1">
        <f>IF($E983="",0,SUMPRODUCT((AY_SONU!$O$7:$O$42="Evet")*(AY_SONU!$B$7:$B$42=DATE(YEAR($E983),MONTH($E983),1))))</f>
        <v>0</v>
      </c>
      <c r="U983" s="1" t="str">
        <f>IF(OR($G983="",$H983="Mahsup"),"",$G983&amp;"|"&amp;COUNTIFS($G$7:$G983,$G983,$H$7:$H983,"&lt;&gt;Mahsup"))</f>
        <v/>
      </c>
    </row>
    <row r="984" spans="1:21" ht="18" customHeight="1" x14ac:dyDescent="0.3">
      <c r="A984" s="2"/>
      <c r="B984" s="65" t="str">
        <f t="shared" si="75"/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 t="shared" si="76"/>
        <v/>
      </c>
      <c r="M984" s="65" t="str">
        <f t="shared" ca="1" si="77"/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78"/>
        <v/>
      </c>
      <c r="S984" s="1" t="str">
        <f t="shared" si="79"/>
        <v/>
      </c>
      <c r="T984" s="1">
        <f>IF($E984="",0,SUMPRODUCT((AY_SONU!$O$7:$O$42="Evet")*(AY_SONU!$B$7:$B$42=DATE(YEAR($E984),MONTH($E984),1))))</f>
        <v>0</v>
      </c>
      <c r="U984" s="1" t="str">
        <f>IF(OR($G984="",$H984="Mahsup"),"",$G984&amp;"|"&amp;COUNTIFS($G$7:$G984,$G984,$H$7:$H984,"&lt;&gt;Mahsup"))</f>
        <v/>
      </c>
    </row>
    <row r="985" spans="1:21" ht="18" customHeight="1" x14ac:dyDescent="0.3">
      <c r="A985" s="2"/>
      <c r="B985" s="65" t="str">
        <f t="shared" si="75"/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 t="shared" si="76"/>
        <v/>
      </c>
      <c r="M985" s="65" t="str">
        <f t="shared" ca="1" si="77"/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78"/>
        <v/>
      </c>
      <c r="S985" s="1" t="str">
        <f t="shared" si="79"/>
        <v/>
      </c>
      <c r="T985" s="1">
        <f>IF($E985="",0,SUMPRODUCT((AY_SONU!$O$7:$O$42="Evet")*(AY_SONU!$B$7:$B$42=DATE(YEAR($E985),MONTH($E985),1))))</f>
        <v>0</v>
      </c>
      <c r="U985" s="1" t="str">
        <f>IF(OR($G985="",$H985="Mahsup"),"",$G985&amp;"|"&amp;COUNTIFS($G$7:$G985,$G985,$H$7:$H985,"&lt;&gt;Mahsup"))</f>
        <v/>
      </c>
    </row>
    <row r="986" spans="1:21" ht="18" customHeight="1" x14ac:dyDescent="0.3">
      <c r="A986" s="2"/>
      <c r="B986" s="65" t="str">
        <f t="shared" si="75"/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 t="shared" si="76"/>
        <v/>
      </c>
      <c r="M986" s="65" t="str">
        <f t="shared" ca="1" si="77"/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78"/>
        <v/>
      </c>
      <c r="S986" s="1" t="str">
        <f t="shared" si="79"/>
        <v/>
      </c>
      <c r="T986" s="1">
        <f>IF($E986="",0,SUMPRODUCT((AY_SONU!$O$7:$O$42="Evet")*(AY_SONU!$B$7:$B$42=DATE(YEAR($E986),MONTH($E986),1))))</f>
        <v>0</v>
      </c>
      <c r="U986" s="1" t="str">
        <f>IF(OR($G986="",$H986="Mahsup"),"",$G986&amp;"|"&amp;COUNTIFS($G$7:$G986,$G986,$H$7:$H986,"&lt;&gt;Mahsup"))</f>
        <v/>
      </c>
    </row>
    <row r="987" spans="1:21" ht="18" customHeight="1" x14ac:dyDescent="0.3">
      <c r="A987" s="2"/>
      <c r="B987" s="65" t="str">
        <f t="shared" si="75"/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 t="shared" si="76"/>
        <v/>
      </c>
      <c r="M987" s="65" t="str">
        <f t="shared" ca="1" si="77"/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78"/>
        <v/>
      </c>
      <c r="S987" s="1" t="str">
        <f t="shared" si="79"/>
        <v/>
      </c>
      <c r="T987" s="1">
        <f>IF($E987="",0,SUMPRODUCT((AY_SONU!$O$7:$O$42="Evet")*(AY_SONU!$B$7:$B$42=DATE(YEAR($E987),MONTH($E987),1))))</f>
        <v>0</v>
      </c>
      <c r="U987" s="1" t="str">
        <f>IF(OR($G987="",$H987="Mahsup"),"",$G987&amp;"|"&amp;COUNTIFS($G$7:$G987,$G987,$H$7:$H987,"&lt;&gt;Mahsup"))</f>
        <v/>
      </c>
    </row>
    <row r="988" spans="1:21" ht="18" customHeight="1" x14ac:dyDescent="0.3">
      <c r="A988" s="2"/>
      <c r="B988" s="65" t="str">
        <f t="shared" si="75"/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 t="shared" si="76"/>
        <v/>
      </c>
      <c r="M988" s="65" t="str">
        <f t="shared" ca="1" si="77"/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78"/>
        <v/>
      </c>
      <c r="S988" s="1" t="str">
        <f t="shared" si="79"/>
        <v/>
      </c>
      <c r="T988" s="1">
        <f>IF($E988="",0,SUMPRODUCT((AY_SONU!$O$7:$O$42="Evet")*(AY_SONU!$B$7:$B$42=DATE(YEAR($E988),MONTH($E988),1))))</f>
        <v>0</v>
      </c>
      <c r="U988" s="1" t="str">
        <f>IF(OR($G988="",$H988="Mahsup"),"",$G988&amp;"|"&amp;COUNTIFS($G$7:$G988,$G988,$H$7:$H988,"&lt;&gt;Mahsup"))</f>
        <v/>
      </c>
    </row>
    <row r="989" spans="1:21" ht="18" customHeight="1" x14ac:dyDescent="0.3">
      <c r="A989" s="2"/>
      <c r="B989" s="65" t="str">
        <f t="shared" si="75"/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 t="shared" si="76"/>
        <v/>
      </c>
      <c r="M989" s="65" t="str">
        <f t="shared" ca="1" si="77"/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78"/>
        <v/>
      </c>
      <c r="S989" s="1" t="str">
        <f t="shared" si="79"/>
        <v/>
      </c>
      <c r="T989" s="1">
        <f>IF($E989="",0,SUMPRODUCT((AY_SONU!$O$7:$O$42="Evet")*(AY_SONU!$B$7:$B$42=DATE(YEAR($E989),MONTH($E989),1))))</f>
        <v>0</v>
      </c>
      <c r="U989" s="1" t="str">
        <f>IF(OR($G989="",$H989="Mahsup"),"",$G989&amp;"|"&amp;COUNTIFS($G$7:$G989,$G989,$H$7:$H989,"&lt;&gt;Mahsup"))</f>
        <v/>
      </c>
    </row>
    <row r="990" spans="1:21" ht="18" customHeight="1" x14ac:dyDescent="0.3">
      <c r="A990" s="2"/>
      <c r="B990" s="65" t="str">
        <f t="shared" si="75"/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 t="shared" si="76"/>
        <v/>
      </c>
      <c r="M990" s="65" t="str">
        <f t="shared" ca="1" si="77"/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78"/>
        <v/>
      </c>
      <c r="S990" s="1" t="str">
        <f t="shared" si="79"/>
        <v/>
      </c>
      <c r="T990" s="1">
        <f>IF($E990="",0,SUMPRODUCT((AY_SONU!$O$7:$O$42="Evet")*(AY_SONU!$B$7:$B$42=DATE(YEAR($E990),MONTH($E990),1))))</f>
        <v>0</v>
      </c>
      <c r="U990" s="1" t="str">
        <f>IF(OR($G990="",$H990="Mahsup"),"",$G990&amp;"|"&amp;COUNTIFS($G$7:$G990,$G990,$H$7:$H990,"&lt;&gt;Mahsup"))</f>
        <v/>
      </c>
    </row>
    <row r="991" spans="1:21" ht="18" customHeight="1" x14ac:dyDescent="0.3">
      <c r="A991" s="2"/>
      <c r="B991" s="65" t="str">
        <f t="shared" si="75"/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 t="shared" si="76"/>
        <v/>
      </c>
      <c r="M991" s="65" t="str">
        <f t="shared" ca="1" si="77"/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78"/>
        <v/>
      </c>
      <c r="S991" s="1" t="str">
        <f t="shared" si="79"/>
        <v/>
      </c>
      <c r="T991" s="1">
        <f>IF($E991="",0,SUMPRODUCT((AY_SONU!$O$7:$O$42="Evet")*(AY_SONU!$B$7:$B$42=DATE(YEAR($E991),MONTH($E991),1))))</f>
        <v>0</v>
      </c>
      <c r="U991" s="1" t="str">
        <f>IF(OR($G991="",$H991="Mahsup"),"",$G991&amp;"|"&amp;COUNTIFS($G$7:$G991,$G991,$H$7:$H991,"&lt;&gt;Mahsup"))</f>
        <v/>
      </c>
    </row>
    <row r="992" spans="1:21" ht="18" customHeight="1" x14ac:dyDescent="0.3">
      <c r="A992" s="2"/>
      <c r="B992" s="65" t="str">
        <f t="shared" si="75"/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 t="shared" si="76"/>
        <v/>
      </c>
      <c r="M992" s="65" t="str">
        <f t="shared" ca="1" si="77"/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78"/>
        <v/>
      </c>
      <c r="S992" s="1" t="str">
        <f t="shared" si="79"/>
        <v/>
      </c>
      <c r="T992" s="1">
        <f>IF($E992="",0,SUMPRODUCT((AY_SONU!$O$7:$O$42="Evet")*(AY_SONU!$B$7:$B$42=DATE(YEAR($E992),MONTH($E992),1))))</f>
        <v>0</v>
      </c>
      <c r="U992" s="1" t="str">
        <f>IF(OR($G992="",$H992="Mahsup"),"",$G992&amp;"|"&amp;COUNTIFS($G$7:$G992,$G992,$H$7:$H992,"&lt;&gt;Mahsup"))</f>
        <v/>
      </c>
    </row>
    <row r="993" spans="1:21" ht="18" customHeight="1" x14ac:dyDescent="0.3">
      <c r="A993" s="2"/>
      <c r="B993" s="65" t="str">
        <f t="shared" si="75"/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 t="shared" si="76"/>
        <v/>
      </c>
      <c r="M993" s="65" t="str">
        <f t="shared" ca="1" si="77"/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78"/>
        <v/>
      </c>
      <c r="S993" s="1" t="str">
        <f t="shared" si="79"/>
        <v/>
      </c>
      <c r="T993" s="1">
        <f>IF($E993="",0,SUMPRODUCT((AY_SONU!$O$7:$O$42="Evet")*(AY_SONU!$B$7:$B$42=DATE(YEAR($E993),MONTH($E993),1))))</f>
        <v>0</v>
      </c>
      <c r="U993" s="1" t="str">
        <f>IF(OR($G993="",$H993="Mahsup"),"",$G993&amp;"|"&amp;COUNTIFS($G$7:$G993,$G993,$H$7:$H993,"&lt;&gt;Mahsup"))</f>
        <v/>
      </c>
    </row>
    <row r="994" spans="1:21" ht="18" customHeight="1" x14ac:dyDescent="0.3">
      <c r="A994" s="2"/>
      <c r="B994" s="65" t="str">
        <f t="shared" si="75"/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 t="shared" si="76"/>
        <v/>
      </c>
      <c r="M994" s="65" t="str">
        <f t="shared" ca="1" si="77"/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78"/>
        <v/>
      </c>
      <c r="S994" s="1" t="str">
        <f t="shared" si="79"/>
        <v/>
      </c>
      <c r="T994" s="1">
        <f>IF($E994="",0,SUMPRODUCT((AY_SONU!$O$7:$O$42="Evet")*(AY_SONU!$B$7:$B$42=DATE(YEAR($E994),MONTH($E994),1))))</f>
        <v>0</v>
      </c>
      <c r="U994" s="1" t="str">
        <f>IF(OR($G994="",$H994="Mahsup"),"",$G994&amp;"|"&amp;COUNTIFS($G$7:$G994,$G994,$H$7:$H994,"&lt;&gt;Mahsup"))</f>
        <v/>
      </c>
    </row>
    <row r="995" spans="1:21" ht="18" customHeight="1" x14ac:dyDescent="0.3">
      <c r="A995" s="2"/>
      <c r="B995" s="65" t="str">
        <f t="shared" si="75"/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 t="shared" si="76"/>
        <v/>
      </c>
      <c r="M995" s="65" t="str">
        <f t="shared" ca="1" si="77"/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78"/>
        <v/>
      </c>
      <c r="S995" s="1" t="str">
        <f t="shared" si="79"/>
        <v/>
      </c>
      <c r="T995" s="1">
        <f>IF($E995="",0,SUMPRODUCT((AY_SONU!$O$7:$O$42="Evet")*(AY_SONU!$B$7:$B$42=DATE(YEAR($E995),MONTH($E995),1))))</f>
        <v>0</v>
      </c>
      <c r="U995" s="1" t="str">
        <f>IF(OR($G995="",$H995="Mahsup"),"",$G995&amp;"|"&amp;COUNTIFS($G$7:$G995,$G995,$H$7:$H995,"&lt;&gt;Mahsup"))</f>
        <v/>
      </c>
    </row>
    <row r="996" spans="1:21" ht="18" customHeight="1" x14ac:dyDescent="0.3">
      <c r="A996" s="2"/>
      <c r="B996" s="65" t="str">
        <f t="shared" si="75"/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 t="shared" si="76"/>
        <v/>
      </c>
      <c r="M996" s="65" t="str">
        <f t="shared" ca="1" si="77"/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78"/>
        <v/>
      </c>
      <c r="S996" s="1" t="str">
        <f t="shared" si="79"/>
        <v/>
      </c>
      <c r="T996" s="1">
        <f>IF($E996="",0,SUMPRODUCT((AY_SONU!$O$7:$O$42="Evet")*(AY_SONU!$B$7:$B$42=DATE(YEAR($E996),MONTH($E996),1))))</f>
        <v>0</v>
      </c>
      <c r="U996" s="1" t="str">
        <f>IF(OR($G996="",$H996="Mahsup"),"",$G996&amp;"|"&amp;COUNTIFS($G$7:$G996,$G996,$H$7:$H996,"&lt;&gt;Mahsup"))</f>
        <v/>
      </c>
    </row>
    <row r="997" spans="1:21" ht="18" customHeight="1" x14ac:dyDescent="0.3">
      <c r="A997" s="2"/>
      <c r="B997" s="65" t="str">
        <f t="shared" si="75"/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 t="shared" si="76"/>
        <v/>
      </c>
      <c r="M997" s="65" t="str">
        <f t="shared" ca="1" si="77"/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78"/>
        <v/>
      </c>
      <c r="S997" s="1" t="str">
        <f t="shared" si="79"/>
        <v/>
      </c>
      <c r="T997" s="1">
        <f>IF($E997="",0,SUMPRODUCT((AY_SONU!$O$7:$O$42="Evet")*(AY_SONU!$B$7:$B$42=DATE(YEAR($E997),MONTH($E997),1))))</f>
        <v>0</v>
      </c>
      <c r="U997" s="1" t="str">
        <f>IF(OR($G997="",$H997="Mahsup"),"",$G997&amp;"|"&amp;COUNTIFS($G$7:$G997,$G997,$H$7:$H997,"&lt;&gt;Mahsup"))</f>
        <v/>
      </c>
    </row>
    <row r="998" spans="1:21" ht="18" customHeight="1" x14ac:dyDescent="0.3">
      <c r="A998" s="2"/>
      <c r="B998" s="65" t="str">
        <f t="shared" si="75"/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 t="shared" si="76"/>
        <v/>
      </c>
      <c r="M998" s="65" t="str">
        <f t="shared" ca="1" si="77"/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78"/>
        <v/>
      </c>
      <c r="S998" s="1" t="str">
        <f t="shared" si="79"/>
        <v/>
      </c>
      <c r="T998" s="1">
        <f>IF($E998="",0,SUMPRODUCT((AY_SONU!$O$7:$O$42="Evet")*(AY_SONU!$B$7:$B$42=DATE(YEAR($E998),MONTH($E998),1))))</f>
        <v>0</v>
      </c>
      <c r="U998" s="1" t="str">
        <f>IF(OR($G998="",$H998="Mahsup"),"",$G998&amp;"|"&amp;COUNTIFS($G$7:$G998,$G998,$H$7:$H998,"&lt;&gt;Mahsup"))</f>
        <v/>
      </c>
    </row>
    <row r="999" spans="1:21" ht="18" customHeight="1" x14ac:dyDescent="0.3">
      <c r="A999" s="2"/>
      <c r="B999" s="65" t="str">
        <f t="shared" si="75"/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 t="shared" si="76"/>
        <v/>
      </c>
      <c r="M999" s="65" t="str">
        <f t="shared" ca="1" si="77"/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78"/>
        <v/>
      </c>
      <c r="S999" s="1" t="str">
        <f t="shared" si="79"/>
        <v/>
      </c>
      <c r="T999" s="1">
        <f>IF($E999="",0,SUMPRODUCT((AY_SONU!$O$7:$O$42="Evet")*(AY_SONU!$B$7:$B$42=DATE(YEAR($E999),MONTH($E999),1))))</f>
        <v>0</v>
      </c>
      <c r="U999" s="1" t="str">
        <f>IF(OR($G999="",$H999="Mahsup"),"",$G999&amp;"|"&amp;COUNTIFS($G$7:$G999,$G999,$H$7:$H999,"&lt;&gt;Mahsup"))</f>
        <v/>
      </c>
    </row>
    <row r="1000" spans="1:21" ht="18" customHeight="1" x14ac:dyDescent="0.3">
      <c r="A1000" s="2"/>
      <c r="B1000" s="65" t="str">
        <f t="shared" si="75"/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 t="shared" si="76"/>
        <v/>
      </c>
      <c r="M1000" s="65" t="str">
        <f t="shared" ca="1" si="77"/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78"/>
        <v/>
      </c>
      <c r="S1000" s="1" t="str">
        <f t="shared" si="79"/>
        <v/>
      </c>
      <c r="T1000" s="1">
        <f>IF($E1000="",0,SUMPRODUCT((AY_SONU!$O$7:$O$42="Evet")*(AY_SONU!$B$7:$B$42=DATE(YEAR($E1000),MONTH($E1000),1))))</f>
        <v>0</v>
      </c>
      <c r="U1000" s="1" t="str">
        <f>IF(OR($G1000="",$H1000="Mahsup"),"",$G1000&amp;"|"&amp;COUNTIFS($G$7:$G1000,$G1000,$H$7:$H1000,"&lt;&gt;Mahsup"))</f>
        <v/>
      </c>
    </row>
    <row r="1001" spans="1:21" ht="18" customHeight="1" x14ac:dyDescent="0.3">
      <c r="A1001" s="2"/>
      <c r="B1001" s="65" t="str">
        <f t="shared" si="75"/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 t="shared" si="76"/>
        <v/>
      </c>
      <c r="M1001" s="65" t="str">
        <f t="shared" ca="1" si="77"/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78"/>
        <v/>
      </c>
      <c r="S1001" s="1" t="str">
        <f t="shared" si="79"/>
        <v/>
      </c>
      <c r="T1001" s="1">
        <f>IF($E1001="",0,SUMPRODUCT((AY_SONU!$O$7:$O$42="Evet")*(AY_SONU!$B$7:$B$42=DATE(YEAR($E1001),MONTH($E1001),1))))</f>
        <v>0</v>
      </c>
      <c r="U1001" s="1" t="str">
        <f>IF(OR($G1001="",$H1001="Mahsup"),"",$G1001&amp;"|"&amp;COUNTIFS($G$7:$G1001,$G1001,$H$7:$H1001,"&lt;&gt;Mahsup"))</f>
        <v/>
      </c>
    </row>
    <row r="1002" spans="1:21" ht="18" customHeight="1" x14ac:dyDescent="0.3">
      <c r="A1002" s="2"/>
      <c r="B1002" s="65" t="str">
        <f t="shared" si="75"/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 t="shared" si="76"/>
        <v/>
      </c>
      <c r="M1002" s="65" t="str">
        <f t="shared" ca="1" si="77"/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78"/>
        <v/>
      </c>
      <c r="S1002" s="1" t="str">
        <f t="shared" si="79"/>
        <v/>
      </c>
      <c r="T1002" s="1">
        <f>IF($E1002="",0,SUMPRODUCT((AY_SONU!$O$7:$O$42="Evet")*(AY_SONU!$B$7:$B$42=DATE(YEAR($E1002),MONTH($E1002),1))))</f>
        <v>0</v>
      </c>
      <c r="U1002" s="1" t="str">
        <f>IF(OR($G1002="",$H1002="Mahsup"),"",$G1002&amp;"|"&amp;COUNTIFS($G$7:$G1002,$G1002,$H$7:$H1002,"&lt;&gt;Mahsup"))</f>
        <v/>
      </c>
    </row>
    <row r="1003" spans="1:21" ht="18" customHeight="1" x14ac:dyDescent="0.3">
      <c r="A1003" s="2"/>
      <c r="B1003" s="65" t="str">
        <f t="shared" si="75"/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 t="shared" si="76"/>
        <v/>
      </c>
      <c r="M1003" s="65" t="str">
        <f t="shared" ca="1" si="77"/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78"/>
        <v/>
      </c>
      <c r="S1003" s="1" t="str">
        <f t="shared" si="79"/>
        <v/>
      </c>
      <c r="T1003" s="1">
        <f>IF($E1003="",0,SUMPRODUCT((AY_SONU!$O$7:$O$42="Evet")*(AY_SONU!$B$7:$B$42=DATE(YEAR($E1003),MONTH($E1003),1))))</f>
        <v>0</v>
      </c>
      <c r="U1003" s="1" t="str">
        <f>IF(OR($G1003="",$H1003="Mahsup"),"",$G1003&amp;"|"&amp;COUNTIFS($G$7:$G1003,$G1003,$H$7:$H1003,"&lt;&gt;Mahsup"))</f>
        <v/>
      </c>
    </row>
    <row r="1004" spans="1:21" ht="18" customHeight="1" x14ac:dyDescent="0.3">
      <c r="A1004" s="2"/>
      <c r="B1004" s="65" t="str">
        <f t="shared" si="75"/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 t="shared" si="76"/>
        <v/>
      </c>
      <c r="M1004" s="65" t="str">
        <f t="shared" ca="1" si="77"/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78"/>
        <v/>
      </c>
      <c r="S1004" s="1" t="str">
        <f t="shared" si="79"/>
        <v/>
      </c>
      <c r="T1004" s="1">
        <f>IF($E1004="",0,SUMPRODUCT((AY_SONU!$O$7:$O$42="Evet")*(AY_SONU!$B$7:$B$42=DATE(YEAR($E1004),MONTH($E1004),1))))</f>
        <v>0</v>
      </c>
      <c r="U1004" s="1" t="str">
        <f>IF(OR($G1004="",$H1004="Mahsup"),"",$G1004&amp;"|"&amp;COUNTIFS($G$7:$G1004,$G1004,$H$7:$H1004,"&lt;&gt;Mahsup"))</f>
        <v/>
      </c>
    </row>
    <row r="1005" spans="1:21" ht="18" customHeight="1" x14ac:dyDescent="0.3">
      <c r="A1005" s="2"/>
      <c r="B1005" s="65" t="str">
        <f t="shared" si="75"/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 t="shared" si="76"/>
        <v/>
      </c>
      <c r="M1005" s="65" t="str">
        <f t="shared" ca="1" si="77"/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78"/>
        <v/>
      </c>
      <c r="S1005" s="1" t="str">
        <f t="shared" si="79"/>
        <v/>
      </c>
      <c r="T1005" s="1">
        <f>IF($E1005="",0,SUMPRODUCT((AY_SONU!$O$7:$O$42="Evet")*(AY_SONU!$B$7:$B$42=DATE(YEAR($E1005),MONTH($E1005),1))))</f>
        <v>0</v>
      </c>
      <c r="U1005" s="1" t="str">
        <f>IF(OR($G1005="",$H1005="Mahsup"),"",$G1005&amp;"|"&amp;COUNTIFS($G$7:$G1005,$G1005,$H$7:$H1005,"&lt;&gt;Mahsup"))</f>
        <v/>
      </c>
    </row>
    <row r="1006" spans="1:21" ht="18" customHeight="1" x14ac:dyDescent="0.3">
      <c r="A1006" s="2"/>
      <c r="B1006" s="65" t="str">
        <f t="shared" si="75"/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 t="shared" si="76"/>
        <v/>
      </c>
      <c r="M1006" s="65" t="str">
        <f t="shared" ca="1" si="77"/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78"/>
        <v/>
      </c>
      <c r="S1006" s="1" t="str">
        <f t="shared" si="79"/>
        <v/>
      </c>
      <c r="T1006" s="1">
        <f>IF($E1006="",0,SUMPRODUCT((AY_SONU!$O$7:$O$42="Evet")*(AY_SONU!$B$7:$B$42=DATE(YEAR($E1006),MONTH($E1006),1))))</f>
        <v>0</v>
      </c>
      <c r="U1006" s="1" t="str">
        <f>IF(OR($G1006="",$H1006="Mahsup"),"",$G1006&amp;"|"&amp;COUNTIFS($G$7:$G1006,$G1006,$H$7:$H1006,"&lt;&gt;Mahsup"))</f>
        <v/>
      </c>
    </row>
    <row r="1007" spans="1:21" ht="18" customHeight="1" x14ac:dyDescent="0.3">
      <c r="A1007" s="2"/>
      <c r="B1007" s="65" t="str">
        <f t="shared" si="75"/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 t="shared" si="76"/>
        <v/>
      </c>
      <c r="M1007" s="65" t="str">
        <f t="shared" ca="1" si="77"/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78"/>
        <v/>
      </c>
      <c r="S1007" s="1" t="str">
        <f t="shared" si="79"/>
        <v/>
      </c>
      <c r="T1007" s="1">
        <f>IF($E1007="",0,SUMPRODUCT((AY_SONU!$O$7:$O$42="Evet")*(AY_SONU!$B$7:$B$42=DATE(YEAR($E1007),MONTH($E1007),1))))</f>
        <v>0</v>
      </c>
      <c r="U1007" s="1" t="str">
        <f>IF(OR($G1007="",$H1007="Mahsup"),"",$G1007&amp;"|"&amp;COUNTIFS($G$7:$G1007,$G1007,$H$7:$H1007,"&lt;&gt;Mahsup"))</f>
        <v/>
      </c>
    </row>
    <row r="1008" spans="1:21" ht="18" customHeight="1" x14ac:dyDescent="0.3">
      <c r="A1008" s="2"/>
      <c r="B1008" s="65" t="str">
        <f t="shared" si="75"/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 t="shared" si="76"/>
        <v/>
      </c>
      <c r="M1008" s="65" t="str">
        <f t="shared" ca="1" si="77"/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78"/>
        <v/>
      </c>
      <c r="S1008" s="1" t="str">
        <f t="shared" si="79"/>
        <v/>
      </c>
      <c r="T1008" s="1">
        <f>IF($E1008="",0,SUMPRODUCT((AY_SONU!$O$7:$O$42="Evet")*(AY_SONU!$B$7:$B$42=DATE(YEAR($E1008),MONTH($E1008),1))))</f>
        <v>0</v>
      </c>
      <c r="U1008" s="1" t="str">
        <f>IF(OR($G1008="",$H1008="Mahsup"),"",$G1008&amp;"|"&amp;COUNTIFS($G$7:$G1008,$G1008,$H$7:$H1008,"&lt;&gt;Mahsup"))</f>
        <v/>
      </c>
    </row>
    <row r="1009" spans="1:21" ht="18" customHeight="1" x14ac:dyDescent="0.3">
      <c r="A1009" s="2"/>
      <c r="B1009" s="65" t="str">
        <f t="shared" si="75"/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 t="shared" si="76"/>
        <v/>
      </c>
      <c r="M1009" s="65" t="str">
        <f t="shared" ca="1" si="77"/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78"/>
        <v/>
      </c>
      <c r="S1009" s="1" t="str">
        <f t="shared" si="79"/>
        <v/>
      </c>
      <c r="T1009" s="1">
        <f>IF($E1009="",0,SUMPRODUCT((AY_SONU!$O$7:$O$42="Evet")*(AY_SONU!$B$7:$B$42=DATE(YEAR($E1009),MONTH($E1009),1))))</f>
        <v>0</v>
      </c>
      <c r="U1009" s="1" t="str">
        <f>IF(OR($G1009="",$H1009="Mahsup"),"",$G1009&amp;"|"&amp;COUNTIFS($G$7:$G1009,$G1009,$H$7:$H1009,"&lt;&gt;Mahsup"))</f>
        <v/>
      </c>
    </row>
    <row r="1010" spans="1:21" ht="18" customHeight="1" x14ac:dyDescent="0.3">
      <c r="A1010" s="2"/>
      <c r="B1010" s="65" t="str">
        <f t="shared" si="75"/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 t="shared" si="76"/>
        <v/>
      </c>
      <c r="M1010" s="65" t="str">
        <f t="shared" ca="1" si="77"/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78"/>
        <v/>
      </c>
      <c r="S1010" s="1" t="str">
        <f t="shared" si="79"/>
        <v/>
      </c>
      <c r="T1010" s="1">
        <f>IF($E1010="",0,SUMPRODUCT((AY_SONU!$O$7:$O$42="Evet")*(AY_SONU!$B$7:$B$42=DATE(YEAR($E1010),MONTH($E1010),1))))</f>
        <v>0</v>
      </c>
      <c r="U1010" s="1" t="str">
        <f>IF(OR($G1010="",$H1010="Mahsup"),"",$G1010&amp;"|"&amp;COUNTIFS($G$7:$G1010,$G1010,$H$7:$H1010,"&lt;&gt;Mahsup"))</f>
        <v/>
      </c>
    </row>
    <row r="1011" spans="1:21" ht="18" customHeight="1" x14ac:dyDescent="0.3">
      <c r="A1011" s="2"/>
      <c r="B1011" s="65" t="str">
        <f t="shared" si="75"/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 t="shared" si="76"/>
        <v/>
      </c>
      <c r="M1011" s="65" t="str">
        <f t="shared" ca="1" si="77"/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78"/>
        <v/>
      </c>
      <c r="S1011" s="1" t="str">
        <f t="shared" si="79"/>
        <v/>
      </c>
      <c r="T1011" s="1">
        <f>IF($E1011="",0,SUMPRODUCT((AY_SONU!$O$7:$O$42="Evet")*(AY_SONU!$B$7:$B$42=DATE(YEAR($E1011),MONTH($E1011),1))))</f>
        <v>0</v>
      </c>
      <c r="U1011" s="1" t="str">
        <f>IF(OR($G1011="",$H1011="Mahsup"),"",$G1011&amp;"|"&amp;COUNTIFS($G$7:$G1011,$G1011,$H$7:$H1011,"&lt;&gt;Mahsup"))</f>
        <v/>
      </c>
    </row>
    <row r="1012" spans="1:21" ht="18" customHeight="1" x14ac:dyDescent="0.3">
      <c r="A1012" s="2"/>
      <c r="B1012" s="65" t="str">
        <f t="shared" si="75"/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 t="shared" si="76"/>
        <v/>
      </c>
      <c r="M1012" s="65" t="str">
        <f t="shared" ca="1" si="77"/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78"/>
        <v/>
      </c>
      <c r="S1012" s="1" t="str">
        <f t="shared" si="79"/>
        <v/>
      </c>
      <c r="T1012" s="1">
        <f>IF($E1012="",0,SUMPRODUCT((AY_SONU!$O$7:$O$42="Evet")*(AY_SONU!$B$7:$B$42=DATE(YEAR($E1012),MONTH($E1012),1))))</f>
        <v>0</v>
      </c>
      <c r="U1012" s="1" t="str">
        <f>IF(OR($G1012="",$H1012="Mahsup"),"",$G1012&amp;"|"&amp;COUNTIFS($G$7:$G1012,$G1012,$H$7:$H1012,"&lt;&gt;Mahsup"))</f>
        <v/>
      </c>
    </row>
    <row r="1013" spans="1:21" ht="18" customHeight="1" x14ac:dyDescent="0.3">
      <c r="A1013" s="2"/>
      <c r="B1013" s="65" t="str">
        <f t="shared" si="75"/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 t="shared" si="76"/>
        <v/>
      </c>
      <c r="M1013" s="65" t="str">
        <f t="shared" ca="1" si="77"/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78"/>
        <v/>
      </c>
      <c r="S1013" s="1" t="str">
        <f t="shared" si="79"/>
        <v/>
      </c>
      <c r="T1013" s="1">
        <f>IF($E1013="",0,SUMPRODUCT((AY_SONU!$O$7:$O$42="Evet")*(AY_SONU!$B$7:$B$42=DATE(YEAR($E1013),MONTH($E1013),1))))</f>
        <v>0</v>
      </c>
      <c r="U1013" s="1" t="str">
        <f>IF(OR($G1013="",$H1013="Mahsup"),"",$G1013&amp;"|"&amp;COUNTIFS($G$7:$G1013,$G1013,$H$7:$H1013,"&lt;&gt;Mahsup"))</f>
        <v/>
      </c>
    </row>
    <row r="1014" spans="1:21" ht="18" customHeight="1" x14ac:dyDescent="0.3">
      <c r="A1014" s="2"/>
      <c r="B1014" s="65" t="str">
        <f t="shared" si="75"/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 t="shared" si="76"/>
        <v/>
      </c>
      <c r="M1014" s="65" t="str">
        <f t="shared" ca="1" si="77"/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78"/>
        <v/>
      </c>
      <c r="S1014" s="1" t="str">
        <f t="shared" si="79"/>
        <v/>
      </c>
      <c r="T1014" s="1">
        <f>IF($E1014="",0,SUMPRODUCT((AY_SONU!$O$7:$O$42="Evet")*(AY_SONU!$B$7:$B$42=DATE(YEAR($E1014),MONTH($E1014),1))))</f>
        <v>0</v>
      </c>
      <c r="U1014" s="1" t="str">
        <f>IF(OR($G1014="",$H1014="Mahsup"),"",$G1014&amp;"|"&amp;COUNTIFS($G$7:$G1014,$G1014,$H$7:$H1014,"&lt;&gt;Mahsup"))</f>
        <v/>
      </c>
    </row>
    <row r="1015" spans="1:21" ht="18" customHeight="1" x14ac:dyDescent="0.3">
      <c r="A1015" s="2"/>
      <c r="B1015" s="65" t="str">
        <f t="shared" si="75"/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 t="shared" si="76"/>
        <v/>
      </c>
      <c r="M1015" s="65" t="str">
        <f t="shared" ca="1" si="77"/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78"/>
        <v/>
      </c>
      <c r="S1015" s="1" t="str">
        <f t="shared" si="79"/>
        <v/>
      </c>
      <c r="T1015" s="1">
        <f>IF($E1015="",0,SUMPRODUCT((AY_SONU!$O$7:$O$42="Evet")*(AY_SONU!$B$7:$B$42=DATE(YEAR($E1015),MONTH($E1015),1))))</f>
        <v>0</v>
      </c>
      <c r="U1015" s="1" t="str">
        <f>IF(OR($G1015="",$H1015="Mahsup"),"",$G1015&amp;"|"&amp;COUNTIFS($G$7:$G1015,$G1015,$H$7:$H1015,"&lt;&gt;Mahsup"))</f>
        <v/>
      </c>
    </row>
    <row r="1016" spans="1:21" ht="18" customHeight="1" x14ac:dyDescent="0.3">
      <c r="A1016" s="2"/>
      <c r="B1016" s="65" t="str">
        <f t="shared" si="75"/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 t="shared" si="76"/>
        <v/>
      </c>
      <c r="M1016" s="65" t="str">
        <f t="shared" ca="1" si="77"/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78"/>
        <v/>
      </c>
      <c r="S1016" s="1" t="str">
        <f t="shared" si="79"/>
        <v/>
      </c>
      <c r="T1016" s="1">
        <f>IF($E1016="",0,SUMPRODUCT((AY_SONU!$O$7:$O$42="Evet")*(AY_SONU!$B$7:$B$42=DATE(YEAR($E1016),MONTH($E1016),1))))</f>
        <v>0</v>
      </c>
      <c r="U1016" s="1" t="str">
        <f>IF(OR($G1016="",$H1016="Mahsup"),"",$G1016&amp;"|"&amp;COUNTIFS($G$7:$G1016,$G1016,$H$7:$H1016,"&lt;&gt;Mahsup"))</f>
        <v/>
      </c>
    </row>
    <row r="1017" spans="1:21" ht="18" customHeight="1" x14ac:dyDescent="0.3">
      <c r="A1017" s="2"/>
      <c r="B1017" s="65" t="str">
        <f t="shared" si="75"/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 t="shared" si="76"/>
        <v/>
      </c>
      <c r="M1017" s="65" t="str">
        <f t="shared" ca="1" si="77"/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78"/>
        <v/>
      </c>
      <c r="S1017" s="1" t="str">
        <f t="shared" si="79"/>
        <v/>
      </c>
      <c r="T1017" s="1">
        <f>IF($E1017="",0,SUMPRODUCT((AY_SONU!$O$7:$O$42="Evet")*(AY_SONU!$B$7:$B$42=DATE(YEAR($E1017),MONTH($E1017),1))))</f>
        <v>0</v>
      </c>
      <c r="U1017" s="1" t="str">
        <f>IF(OR($G1017="",$H1017="Mahsup"),"",$G1017&amp;"|"&amp;COUNTIFS($G$7:$G1017,$G1017,$H$7:$H1017,"&lt;&gt;Mahsup"))</f>
        <v/>
      </c>
    </row>
    <row r="1018" spans="1:21" ht="18" customHeight="1" x14ac:dyDescent="0.3">
      <c r="A1018" s="2"/>
      <c r="B1018" s="65" t="str">
        <f t="shared" si="75"/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 t="shared" si="76"/>
        <v/>
      </c>
      <c r="M1018" s="65" t="str">
        <f t="shared" ca="1" si="77"/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78"/>
        <v/>
      </c>
      <c r="S1018" s="1" t="str">
        <f t="shared" si="79"/>
        <v/>
      </c>
      <c r="T1018" s="1">
        <f>IF($E1018="",0,SUMPRODUCT((AY_SONU!$O$7:$O$42="Evet")*(AY_SONU!$B$7:$B$42=DATE(YEAR($E1018),MONTH($E1018),1))))</f>
        <v>0</v>
      </c>
      <c r="U1018" s="1" t="str">
        <f>IF(OR($G1018="",$H1018="Mahsup"),"",$G1018&amp;"|"&amp;COUNTIFS($G$7:$G1018,$G1018,$H$7:$H1018,"&lt;&gt;Mahsup"))</f>
        <v/>
      </c>
    </row>
    <row r="1019" spans="1:21" ht="18" customHeight="1" x14ac:dyDescent="0.3">
      <c r="A1019" s="2"/>
      <c r="B1019" s="65" t="str">
        <f t="shared" si="75"/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 t="shared" si="76"/>
        <v/>
      </c>
      <c r="M1019" s="65" t="str">
        <f t="shared" ca="1" si="77"/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78"/>
        <v/>
      </c>
      <c r="S1019" s="1" t="str">
        <f t="shared" si="79"/>
        <v/>
      </c>
      <c r="T1019" s="1">
        <f>IF($E1019="",0,SUMPRODUCT((AY_SONU!$O$7:$O$42="Evet")*(AY_SONU!$B$7:$B$42=DATE(YEAR($E1019),MONTH($E1019),1))))</f>
        <v>0</v>
      </c>
      <c r="U1019" s="1" t="str">
        <f>IF(OR($G1019="",$H1019="Mahsup"),"",$G1019&amp;"|"&amp;COUNTIFS($G$7:$G1019,$G1019,$H$7:$H1019,"&lt;&gt;Mahsup"))</f>
        <v/>
      </c>
    </row>
    <row r="1020" spans="1:21" ht="18" customHeight="1" x14ac:dyDescent="0.3">
      <c r="A1020" s="2"/>
      <c r="B1020" s="65" t="str">
        <f t="shared" si="75"/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 t="shared" si="76"/>
        <v/>
      </c>
      <c r="M1020" s="65" t="str">
        <f t="shared" ca="1" si="77"/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78"/>
        <v/>
      </c>
      <c r="S1020" s="1" t="str">
        <f t="shared" si="79"/>
        <v/>
      </c>
      <c r="T1020" s="1">
        <f>IF($E1020="",0,SUMPRODUCT((AY_SONU!$O$7:$O$42="Evet")*(AY_SONU!$B$7:$B$42=DATE(YEAR($E1020),MONTH($E1020),1))))</f>
        <v>0</v>
      </c>
      <c r="U1020" s="1" t="str">
        <f>IF(OR($G1020="",$H1020="Mahsup"),"",$G1020&amp;"|"&amp;COUNTIFS($G$7:$G1020,$G1020,$H$7:$H1020,"&lt;&gt;Mahsup"))</f>
        <v/>
      </c>
    </row>
    <row r="1021" spans="1:21" ht="18" customHeight="1" x14ac:dyDescent="0.3">
      <c r="A1021" s="2"/>
      <c r="B1021" s="65" t="str">
        <f t="shared" si="75"/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 t="shared" si="76"/>
        <v/>
      </c>
      <c r="M1021" s="65" t="str">
        <f t="shared" ca="1" si="77"/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78"/>
        <v/>
      </c>
      <c r="S1021" s="1" t="str">
        <f t="shared" si="79"/>
        <v/>
      </c>
      <c r="T1021" s="1">
        <f>IF($E1021="",0,SUMPRODUCT((AY_SONU!$O$7:$O$42="Evet")*(AY_SONU!$B$7:$B$42=DATE(YEAR($E1021),MONTH($E1021),1))))</f>
        <v>0</v>
      </c>
      <c r="U1021" s="1" t="str">
        <f>IF(OR($G1021="",$H1021="Mahsup"),"",$G1021&amp;"|"&amp;COUNTIFS($G$7:$G1021,$G1021,$H$7:$H1021,"&lt;&gt;Mahsup"))</f>
        <v/>
      </c>
    </row>
    <row r="1022" spans="1:21" ht="18" customHeight="1" x14ac:dyDescent="0.3">
      <c r="A1022" s="2"/>
      <c r="B1022" s="65" t="str">
        <f t="shared" si="75"/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 t="shared" si="76"/>
        <v/>
      </c>
      <c r="M1022" s="65" t="str">
        <f t="shared" ca="1" si="77"/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78"/>
        <v/>
      </c>
      <c r="S1022" s="1" t="str">
        <f t="shared" si="79"/>
        <v/>
      </c>
      <c r="T1022" s="1">
        <f>IF($E1022="",0,SUMPRODUCT((AY_SONU!$O$7:$O$42="Evet")*(AY_SONU!$B$7:$B$42=DATE(YEAR($E1022),MONTH($E1022),1))))</f>
        <v>0</v>
      </c>
      <c r="U1022" s="1" t="str">
        <f>IF(OR($G1022="",$H1022="Mahsup"),"",$G1022&amp;"|"&amp;COUNTIFS($G$7:$G1022,$G1022,$H$7:$H1022,"&lt;&gt;Mahsup"))</f>
        <v/>
      </c>
    </row>
    <row r="1023" spans="1:21" ht="18" customHeight="1" x14ac:dyDescent="0.3">
      <c r="A1023" s="2"/>
      <c r="B1023" s="65" t="str">
        <f t="shared" si="75"/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 t="shared" si="76"/>
        <v/>
      </c>
      <c r="M1023" s="65" t="str">
        <f t="shared" ca="1" si="77"/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78"/>
        <v/>
      </c>
      <c r="S1023" s="1" t="str">
        <f t="shared" si="79"/>
        <v/>
      </c>
      <c r="T1023" s="1">
        <f>IF($E1023="",0,SUMPRODUCT((AY_SONU!$O$7:$O$42="Evet")*(AY_SONU!$B$7:$B$42=DATE(YEAR($E1023),MONTH($E1023),1))))</f>
        <v>0</v>
      </c>
      <c r="U1023" s="1" t="str">
        <f>IF(OR($G1023="",$H1023="Mahsup"),"",$G1023&amp;"|"&amp;COUNTIFS($G$7:$G1023,$G1023,$H$7:$H1023,"&lt;&gt;Mahsup"))</f>
        <v/>
      </c>
    </row>
    <row r="1024" spans="1:21" ht="18" customHeight="1" x14ac:dyDescent="0.3">
      <c r="A1024" s="2"/>
      <c r="B1024" s="65" t="str">
        <f t="shared" si="75"/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 t="shared" si="76"/>
        <v/>
      </c>
      <c r="M1024" s="65" t="str">
        <f t="shared" ca="1" si="77"/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78"/>
        <v/>
      </c>
      <c r="S1024" s="1" t="str">
        <f t="shared" si="79"/>
        <v/>
      </c>
      <c r="T1024" s="1">
        <f>IF($E1024="",0,SUMPRODUCT((AY_SONU!$O$7:$O$42="Evet")*(AY_SONU!$B$7:$B$42=DATE(YEAR($E1024),MONTH($E1024),1))))</f>
        <v>0</v>
      </c>
      <c r="U1024" s="1" t="str">
        <f>IF(OR($G1024="",$H1024="Mahsup"),"",$G1024&amp;"|"&amp;COUNTIFS($G$7:$G1024,$G1024,$H$7:$H1024,"&lt;&gt;Mahsup"))</f>
        <v/>
      </c>
    </row>
    <row r="1025" spans="1:21" ht="18" customHeight="1" x14ac:dyDescent="0.3">
      <c r="A1025" s="2"/>
      <c r="B1025" s="65" t="str">
        <f t="shared" si="75"/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 t="shared" si="76"/>
        <v/>
      </c>
      <c r="M1025" s="65" t="str">
        <f t="shared" ca="1" si="77"/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78"/>
        <v/>
      </c>
      <c r="S1025" s="1" t="str">
        <f t="shared" si="79"/>
        <v/>
      </c>
      <c r="T1025" s="1">
        <f>IF($E1025="",0,SUMPRODUCT((AY_SONU!$O$7:$O$42="Evet")*(AY_SONU!$B$7:$B$42=DATE(YEAR($E1025),MONTH($E1025),1))))</f>
        <v>0</v>
      </c>
      <c r="U1025" s="1" t="str">
        <f>IF(OR($G1025="",$H1025="Mahsup"),"",$G1025&amp;"|"&amp;COUNTIFS($G$7:$G1025,$G1025,$H$7:$H1025,"&lt;&gt;Mahsup"))</f>
        <v/>
      </c>
    </row>
    <row r="1026" spans="1:21" ht="18" customHeight="1" x14ac:dyDescent="0.3">
      <c r="A1026" s="2"/>
      <c r="B1026" s="65" t="str">
        <f t="shared" si="75"/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 t="shared" si="76"/>
        <v/>
      </c>
      <c r="M1026" s="65" t="str">
        <f t="shared" ca="1" si="77"/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78"/>
        <v/>
      </c>
      <c r="S1026" s="1" t="str">
        <f t="shared" si="79"/>
        <v/>
      </c>
      <c r="T1026" s="1">
        <f>IF($E1026="",0,SUMPRODUCT((AY_SONU!$O$7:$O$42="Evet")*(AY_SONU!$B$7:$B$42=DATE(YEAR($E1026),MONTH($E1026),1))))</f>
        <v>0</v>
      </c>
      <c r="U1026" s="1" t="str">
        <f>IF(OR($G1026="",$H1026="Mahsup"),"",$G1026&amp;"|"&amp;COUNTIFS($G$7:$G1026,$G1026,$H$7:$H1026,"&lt;&gt;Mahsup"))</f>
        <v/>
      </c>
    </row>
    <row r="1027" spans="1:21" ht="18" customHeight="1" x14ac:dyDescent="0.3">
      <c r="A1027" s="2"/>
      <c r="B1027" s="65" t="str">
        <f t="shared" si="75"/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 t="shared" si="76"/>
        <v/>
      </c>
      <c r="M1027" s="65" t="str">
        <f t="shared" ca="1" si="77"/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78"/>
        <v/>
      </c>
      <c r="S1027" s="1" t="str">
        <f t="shared" si="79"/>
        <v/>
      </c>
      <c r="T1027" s="1">
        <f>IF($E1027="",0,SUMPRODUCT((AY_SONU!$O$7:$O$42="Evet")*(AY_SONU!$B$7:$B$42=DATE(YEAR($E1027),MONTH($E1027),1))))</f>
        <v>0</v>
      </c>
      <c r="U1027" s="1" t="str">
        <f>IF(OR($G1027="",$H1027="Mahsup"),"",$G1027&amp;"|"&amp;COUNTIFS($G$7:$G1027,$G1027,$H$7:$H1027,"&lt;&gt;Mahsup"))</f>
        <v/>
      </c>
    </row>
    <row r="1028" spans="1:21" ht="18" customHeight="1" x14ac:dyDescent="0.3">
      <c r="A1028" s="2"/>
      <c r="B1028" s="65" t="str">
        <f t="shared" si="75"/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 t="shared" si="76"/>
        <v/>
      </c>
      <c r="M1028" s="65" t="str">
        <f t="shared" ca="1" si="77"/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78"/>
        <v/>
      </c>
      <c r="S1028" s="1" t="str">
        <f t="shared" si="79"/>
        <v/>
      </c>
      <c r="T1028" s="1">
        <f>IF($E1028="",0,SUMPRODUCT((AY_SONU!$O$7:$O$42="Evet")*(AY_SONU!$B$7:$B$42=DATE(YEAR($E1028),MONTH($E1028),1))))</f>
        <v>0</v>
      </c>
      <c r="U1028" s="1" t="str">
        <f>IF(OR($G1028="",$H1028="Mahsup"),"",$G1028&amp;"|"&amp;COUNTIFS($G$7:$G1028,$G1028,$H$7:$H1028,"&lt;&gt;Mahsup"))</f>
        <v/>
      </c>
    </row>
    <row r="1029" spans="1:21" ht="18" customHeight="1" x14ac:dyDescent="0.3">
      <c r="A1029" s="2"/>
      <c r="B1029" s="65" t="str">
        <f t="shared" si="75"/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 t="shared" si="76"/>
        <v/>
      </c>
      <c r="M1029" s="65" t="str">
        <f t="shared" ca="1" si="77"/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78"/>
        <v/>
      </c>
      <c r="S1029" s="1" t="str">
        <f t="shared" si="79"/>
        <v/>
      </c>
      <c r="T1029" s="1">
        <f>IF($E1029="",0,SUMPRODUCT((AY_SONU!$O$7:$O$42="Evet")*(AY_SONU!$B$7:$B$42=DATE(YEAR($E1029),MONTH($E1029),1))))</f>
        <v>0</v>
      </c>
      <c r="U1029" s="1" t="str">
        <f>IF(OR($G1029="",$H1029="Mahsup"),"",$G1029&amp;"|"&amp;COUNTIFS($G$7:$G1029,$G1029,$H$7:$H1029,"&lt;&gt;Mahsup"))</f>
        <v/>
      </c>
    </row>
    <row r="1030" spans="1:21" ht="18" customHeight="1" x14ac:dyDescent="0.3">
      <c r="A1030" s="2"/>
      <c r="B1030" s="65" t="str">
        <f t="shared" si="75"/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 t="shared" si="76"/>
        <v/>
      </c>
      <c r="M1030" s="65" t="str">
        <f t="shared" ca="1" si="77"/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78"/>
        <v/>
      </c>
      <c r="S1030" s="1" t="str">
        <f t="shared" si="79"/>
        <v/>
      </c>
      <c r="T1030" s="1">
        <f>IF($E1030="",0,SUMPRODUCT((AY_SONU!$O$7:$O$42="Evet")*(AY_SONU!$B$7:$B$42=DATE(YEAR($E1030),MONTH($E1030),1))))</f>
        <v>0</v>
      </c>
      <c r="U1030" s="1" t="str">
        <f>IF(OR($G1030="",$H1030="Mahsup"),"",$G1030&amp;"|"&amp;COUNTIFS($G$7:$G1030,$G1030,$H$7:$H1030,"&lt;&gt;Mahsup"))</f>
        <v/>
      </c>
    </row>
    <row r="1031" spans="1:21" ht="18" customHeight="1" x14ac:dyDescent="0.3">
      <c r="A1031" s="2"/>
      <c r="B1031" s="65" t="str">
        <f t="shared" ref="B1031:B1094" si="80"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 t="shared" ref="L1031:L1094" si="81">IF($E1031="","",DATE(YEAR($E1031),MONTH($E1031),1))</f>
        <v/>
      </c>
      <c r="M1031" s="65" t="str">
        <f t="shared" ref="M1031:M1094" ca="1" si="82"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83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84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  <c r="U1031" s="1" t="str">
        <f>IF(OR($G1031="",$H1031="Mahsup"),"",$G1031&amp;"|"&amp;COUNTIFS($G$7:$G1031,$G1031,$H$7:$H1031,"&lt;&gt;Mahsup"))</f>
        <v/>
      </c>
    </row>
    <row r="1032" spans="1:21" ht="18" customHeight="1" x14ac:dyDescent="0.3">
      <c r="A1032" s="2"/>
      <c r="B1032" s="65" t="str">
        <f t="shared" si="80"/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 t="shared" si="81"/>
        <v/>
      </c>
      <c r="M1032" s="65" t="str">
        <f t="shared" ca="1" si="82"/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83"/>
        <v/>
      </c>
      <c r="S1032" s="1" t="str">
        <f t="shared" si="84"/>
        <v/>
      </c>
      <c r="T1032" s="1">
        <f>IF($E1032="",0,SUMPRODUCT((AY_SONU!$O$7:$O$42="Evet")*(AY_SONU!$B$7:$B$42=DATE(YEAR($E1032),MONTH($E1032),1))))</f>
        <v>0</v>
      </c>
      <c r="U1032" s="1" t="str">
        <f>IF(OR($G1032="",$H1032="Mahsup"),"",$G1032&amp;"|"&amp;COUNTIFS($G$7:$G1032,$G1032,$H$7:$H1032,"&lt;&gt;Mahsup"))</f>
        <v/>
      </c>
    </row>
    <row r="1033" spans="1:21" ht="18" customHeight="1" x14ac:dyDescent="0.3">
      <c r="A1033" s="2"/>
      <c r="B1033" s="65" t="str">
        <f t="shared" si="80"/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 t="shared" si="81"/>
        <v/>
      </c>
      <c r="M1033" s="65" t="str">
        <f t="shared" ca="1" si="82"/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83"/>
        <v/>
      </c>
      <c r="S1033" s="1" t="str">
        <f t="shared" si="84"/>
        <v/>
      </c>
      <c r="T1033" s="1">
        <f>IF($E1033="",0,SUMPRODUCT((AY_SONU!$O$7:$O$42="Evet")*(AY_SONU!$B$7:$B$42=DATE(YEAR($E1033),MONTH($E1033),1))))</f>
        <v>0</v>
      </c>
      <c r="U1033" s="1" t="str">
        <f>IF(OR($G1033="",$H1033="Mahsup"),"",$G1033&amp;"|"&amp;COUNTIFS($G$7:$G1033,$G1033,$H$7:$H1033,"&lt;&gt;Mahsup"))</f>
        <v/>
      </c>
    </row>
    <row r="1034" spans="1:21" ht="18" customHeight="1" x14ac:dyDescent="0.3">
      <c r="A1034" s="2"/>
      <c r="B1034" s="65" t="str">
        <f t="shared" si="80"/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 t="shared" si="81"/>
        <v/>
      </c>
      <c r="M1034" s="65" t="str">
        <f t="shared" ca="1" si="82"/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83"/>
        <v/>
      </c>
      <c r="S1034" s="1" t="str">
        <f t="shared" si="84"/>
        <v/>
      </c>
      <c r="T1034" s="1">
        <f>IF($E1034="",0,SUMPRODUCT((AY_SONU!$O$7:$O$42="Evet")*(AY_SONU!$B$7:$B$42=DATE(YEAR($E1034),MONTH($E1034),1))))</f>
        <v>0</v>
      </c>
      <c r="U1034" s="1" t="str">
        <f>IF(OR($G1034="",$H1034="Mahsup"),"",$G1034&amp;"|"&amp;COUNTIFS($G$7:$G1034,$G1034,$H$7:$H1034,"&lt;&gt;Mahsup"))</f>
        <v/>
      </c>
    </row>
    <row r="1035" spans="1:21" ht="18" customHeight="1" x14ac:dyDescent="0.3">
      <c r="A1035" s="2"/>
      <c r="B1035" s="65" t="str">
        <f t="shared" si="80"/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 t="shared" si="81"/>
        <v/>
      </c>
      <c r="M1035" s="65" t="str">
        <f t="shared" ca="1" si="82"/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83"/>
        <v/>
      </c>
      <c r="S1035" s="1" t="str">
        <f t="shared" si="84"/>
        <v/>
      </c>
      <c r="T1035" s="1">
        <f>IF($E1035="",0,SUMPRODUCT((AY_SONU!$O$7:$O$42="Evet")*(AY_SONU!$B$7:$B$42=DATE(YEAR($E1035),MONTH($E1035),1))))</f>
        <v>0</v>
      </c>
      <c r="U1035" s="1" t="str">
        <f>IF(OR($G1035="",$H1035="Mahsup"),"",$G1035&amp;"|"&amp;COUNTIFS($G$7:$G1035,$G1035,$H$7:$H1035,"&lt;&gt;Mahsup"))</f>
        <v/>
      </c>
    </row>
    <row r="1036" spans="1:21" ht="18" customHeight="1" x14ac:dyDescent="0.3">
      <c r="A1036" s="2"/>
      <c r="B1036" s="65" t="str">
        <f t="shared" si="80"/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 t="shared" si="81"/>
        <v/>
      </c>
      <c r="M1036" s="65" t="str">
        <f t="shared" ca="1" si="82"/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83"/>
        <v/>
      </c>
      <c r="S1036" s="1" t="str">
        <f t="shared" si="84"/>
        <v/>
      </c>
      <c r="T1036" s="1">
        <f>IF($E1036="",0,SUMPRODUCT((AY_SONU!$O$7:$O$42="Evet")*(AY_SONU!$B$7:$B$42=DATE(YEAR($E1036),MONTH($E1036),1))))</f>
        <v>0</v>
      </c>
      <c r="U1036" s="1" t="str">
        <f>IF(OR($G1036="",$H1036="Mahsup"),"",$G1036&amp;"|"&amp;COUNTIFS($G$7:$G1036,$G1036,$H$7:$H1036,"&lt;&gt;Mahsup"))</f>
        <v/>
      </c>
    </row>
    <row r="1037" spans="1:21" ht="18" customHeight="1" x14ac:dyDescent="0.3">
      <c r="A1037" s="2"/>
      <c r="B1037" s="65" t="str">
        <f t="shared" si="80"/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 t="shared" si="81"/>
        <v/>
      </c>
      <c r="M1037" s="65" t="str">
        <f t="shared" ca="1" si="82"/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83"/>
        <v/>
      </c>
      <c r="S1037" s="1" t="str">
        <f t="shared" si="84"/>
        <v/>
      </c>
      <c r="T1037" s="1">
        <f>IF($E1037="",0,SUMPRODUCT((AY_SONU!$O$7:$O$42="Evet")*(AY_SONU!$B$7:$B$42=DATE(YEAR($E1037),MONTH($E1037),1))))</f>
        <v>0</v>
      </c>
      <c r="U1037" s="1" t="str">
        <f>IF(OR($G1037="",$H1037="Mahsup"),"",$G1037&amp;"|"&amp;COUNTIFS($G$7:$G1037,$G1037,$H$7:$H1037,"&lt;&gt;Mahsup"))</f>
        <v/>
      </c>
    </row>
    <row r="1038" spans="1:21" ht="18" customHeight="1" x14ac:dyDescent="0.3">
      <c r="A1038" s="2"/>
      <c r="B1038" s="65" t="str">
        <f t="shared" si="80"/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 t="shared" si="81"/>
        <v/>
      </c>
      <c r="M1038" s="65" t="str">
        <f t="shared" ca="1" si="82"/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83"/>
        <v/>
      </c>
      <c r="S1038" s="1" t="str">
        <f t="shared" si="84"/>
        <v/>
      </c>
      <c r="T1038" s="1">
        <f>IF($E1038="",0,SUMPRODUCT((AY_SONU!$O$7:$O$42="Evet")*(AY_SONU!$B$7:$B$42=DATE(YEAR($E1038),MONTH($E1038),1))))</f>
        <v>0</v>
      </c>
      <c r="U1038" s="1" t="str">
        <f>IF(OR($G1038="",$H1038="Mahsup"),"",$G1038&amp;"|"&amp;COUNTIFS($G$7:$G1038,$G1038,$H$7:$H1038,"&lt;&gt;Mahsup"))</f>
        <v/>
      </c>
    </row>
    <row r="1039" spans="1:21" ht="18" customHeight="1" x14ac:dyDescent="0.3">
      <c r="A1039" s="2"/>
      <c r="B1039" s="65" t="str">
        <f t="shared" si="80"/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 t="shared" si="81"/>
        <v/>
      </c>
      <c r="M1039" s="65" t="str">
        <f t="shared" ca="1" si="82"/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83"/>
        <v/>
      </c>
      <c r="S1039" s="1" t="str">
        <f t="shared" si="84"/>
        <v/>
      </c>
      <c r="T1039" s="1">
        <f>IF($E1039="",0,SUMPRODUCT((AY_SONU!$O$7:$O$42="Evet")*(AY_SONU!$B$7:$B$42=DATE(YEAR($E1039),MONTH($E1039),1))))</f>
        <v>0</v>
      </c>
      <c r="U1039" s="1" t="str">
        <f>IF(OR($G1039="",$H1039="Mahsup"),"",$G1039&amp;"|"&amp;COUNTIFS($G$7:$G1039,$G1039,$H$7:$H1039,"&lt;&gt;Mahsup"))</f>
        <v/>
      </c>
    </row>
    <row r="1040" spans="1:21" ht="18" customHeight="1" x14ac:dyDescent="0.3">
      <c r="A1040" s="2"/>
      <c r="B1040" s="65" t="str">
        <f t="shared" si="80"/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 t="shared" si="81"/>
        <v/>
      </c>
      <c r="M1040" s="65" t="str">
        <f t="shared" ca="1" si="82"/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83"/>
        <v/>
      </c>
      <c r="S1040" s="1" t="str">
        <f t="shared" si="84"/>
        <v/>
      </c>
      <c r="T1040" s="1">
        <f>IF($E1040="",0,SUMPRODUCT((AY_SONU!$O$7:$O$42="Evet")*(AY_SONU!$B$7:$B$42=DATE(YEAR($E1040),MONTH($E1040),1))))</f>
        <v>0</v>
      </c>
      <c r="U1040" s="1" t="str">
        <f>IF(OR($G1040="",$H1040="Mahsup"),"",$G1040&amp;"|"&amp;COUNTIFS($G$7:$G1040,$G1040,$H$7:$H1040,"&lt;&gt;Mahsup"))</f>
        <v/>
      </c>
    </row>
    <row r="1041" spans="1:21" ht="18" customHeight="1" x14ac:dyDescent="0.3">
      <c r="A1041" s="2"/>
      <c r="B1041" s="65" t="str">
        <f t="shared" si="80"/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 t="shared" si="81"/>
        <v/>
      </c>
      <c r="M1041" s="65" t="str">
        <f t="shared" ca="1" si="82"/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83"/>
        <v/>
      </c>
      <c r="S1041" s="1" t="str">
        <f t="shared" si="84"/>
        <v/>
      </c>
      <c r="T1041" s="1">
        <f>IF($E1041="",0,SUMPRODUCT((AY_SONU!$O$7:$O$42="Evet")*(AY_SONU!$B$7:$B$42=DATE(YEAR($E1041),MONTH($E1041),1))))</f>
        <v>0</v>
      </c>
      <c r="U1041" s="1" t="str">
        <f>IF(OR($G1041="",$H1041="Mahsup"),"",$G1041&amp;"|"&amp;COUNTIFS($G$7:$G1041,$G1041,$H$7:$H1041,"&lt;&gt;Mahsup"))</f>
        <v/>
      </c>
    </row>
    <row r="1042" spans="1:21" ht="18" customHeight="1" x14ac:dyDescent="0.3">
      <c r="A1042" s="2"/>
      <c r="B1042" s="65" t="str">
        <f t="shared" si="80"/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 t="shared" si="81"/>
        <v/>
      </c>
      <c r="M1042" s="65" t="str">
        <f t="shared" ca="1" si="82"/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83"/>
        <v/>
      </c>
      <c r="S1042" s="1" t="str">
        <f t="shared" si="84"/>
        <v/>
      </c>
      <c r="T1042" s="1">
        <f>IF($E1042="",0,SUMPRODUCT((AY_SONU!$O$7:$O$42="Evet")*(AY_SONU!$B$7:$B$42=DATE(YEAR($E1042),MONTH($E1042),1))))</f>
        <v>0</v>
      </c>
      <c r="U1042" s="1" t="str">
        <f>IF(OR($G1042="",$H1042="Mahsup"),"",$G1042&amp;"|"&amp;COUNTIFS($G$7:$G1042,$G1042,$H$7:$H1042,"&lt;&gt;Mahsup"))</f>
        <v/>
      </c>
    </row>
    <row r="1043" spans="1:21" ht="18" customHeight="1" x14ac:dyDescent="0.3">
      <c r="A1043" s="2"/>
      <c r="B1043" s="65" t="str">
        <f t="shared" si="80"/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 t="shared" si="81"/>
        <v/>
      </c>
      <c r="M1043" s="65" t="str">
        <f t="shared" ca="1" si="82"/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83"/>
        <v/>
      </c>
      <c r="S1043" s="1" t="str">
        <f t="shared" si="84"/>
        <v/>
      </c>
      <c r="T1043" s="1">
        <f>IF($E1043="",0,SUMPRODUCT((AY_SONU!$O$7:$O$42="Evet")*(AY_SONU!$B$7:$B$42=DATE(YEAR($E1043),MONTH($E1043),1))))</f>
        <v>0</v>
      </c>
      <c r="U1043" s="1" t="str">
        <f>IF(OR($G1043="",$H1043="Mahsup"),"",$G1043&amp;"|"&amp;COUNTIFS($G$7:$G1043,$G1043,$H$7:$H1043,"&lt;&gt;Mahsup"))</f>
        <v/>
      </c>
    </row>
    <row r="1044" spans="1:21" ht="18" customHeight="1" x14ac:dyDescent="0.3">
      <c r="A1044" s="2"/>
      <c r="B1044" s="65" t="str">
        <f t="shared" si="80"/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 t="shared" si="81"/>
        <v/>
      </c>
      <c r="M1044" s="65" t="str">
        <f t="shared" ca="1" si="82"/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83"/>
        <v/>
      </c>
      <c r="S1044" s="1" t="str">
        <f t="shared" si="84"/>
        <v/>
      </c>
      <c r="T1044" s="1">
        <f>IF($E1044="",0,SUMPRODUCT((AY_SONU!$O$7:$O$42="Evet")*(AY_SONU!$B$7:$B$42=DATE(YEAR($E1044),MONTH($E1044),1))))</f>
        <v>0</v>
      </c>
      <c r="U1044" s="1" t="str">
        <f>IF(OR($G1044="",$H1044="Mahsup"),"",$G1044&amp;"|"&amp;COUNTIFS($G$7:$G1044,$G1044,$H$7:$H1044,"&lt;&gt;Mahsup"))</f>
        <v/>
      </c>
    </row>
    <row r="1045" spans="1:21" ht="18" customHeight="1" x14ac:dyDescent="0.3">
      <c r="A1045" s="2"/>
      <c r="B1045" s="65" t="str">
        <f t="shared" si="80"/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 t="shared" si="81"/>
        <v/>
      </c>
      <c r="M1045" s="65" t="str">
        <f t="shared" ca="1" si="82"/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83"/>
        <v/>
      </c>
      <c r="S1045" s="1" t="str">
        <f t="shared" si="84"/>
        <v/>
      </c>
      <c r="T1045" s="1">
        <f>IF($E1045="",0,SUMPRODUCT((AY_SONU!$O$7:$O$42="Evet")*(AY_SONU!$B$7:$B$42=DATE(YEAR($E1045),MONTH($E1045),1))))</f>
        <v>0</v>
      </c>
      <c r="U1045" s="1" t="str">
        <f>IF(OR($G1045="",$H1045="Mahsup"),"",$G1045&amp;"|"&amp;COUNTIFS($G$7:$G1045,$G1045,$H$7:$H1045,"&lt;&gt;Mahsup"))</f>
        <v/>
      </c>
    </row>
    <row r="1046" spans="1:21" ht="18" customHeight="1" x14ac:dyDescent="0.3">
      <c r="A1046" s="2"/>
      <c r="B1046" s="65" t="str">
        <f t="shared" si="80"/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 t="shared" si="81"/>
        <v/>
      </c>
      <c r="M1046" s="65" t="str">
        <f t="shared" ca="1" si="82"/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83"/>
        <v/>
      </c>
      <c r="S1046" s="1" t="str">
        <f t="shared" si="84"/>
        <v/>
      </c>
      <c r="T1046" s="1">
        <f>IF($E1046="",0,SUMPRODUCT((AY_SONU!$O$7:$O$42="Evet")*(AY_SONU!$B$7:$B$42=DATE(YEAR($E1046),MONTH($E1046),1))))</f>
        <v>0</v>
      </c>
      <c r="U1046" s="1" t="str">
        <f>IF(OR($G1046="",$H1046="Mahsup"),"",$G1046&amp;"|"&amp;COUNTIFS($G$7:$G1046,$G1046,$H$7:$H1046,"&lt;&gt;Mahsup"))</f>
        <v/>
      </c>
    </row>
    <row r="1047" spans="1:21" ht="18" customHeight="1" x14ac:dyDescent="0.3">
      <c r="A1047" s="2"/>
      <c r="B1047" s="65" t="str">
        <f t="shared" si="80"/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 t="shared" si="81"/>
        <v/>
      </c>
      <c r="M1047" s="65" t="str">
        <f t="shared" ca="1" si="82"/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83"/>
        <v/>
      </c>
      <c r="S1047" s="1" t="str">
        <f t="shared" si="84"/>
        <v/>
      </c>
      <c r="T1047" s="1">
        <f>IF($E1047="",0,SUMPRODUCT((AY_SONU!$O$7:$O$42="Evet")*(AY_SONU!$B$7:$B$42=DATE(YEAR($E1047),MONTH($E1047),1))))</f>
        <v>0</v>
      </c>
      <c r="U1047" s="1" t="str">
        <f>IF(OR($G1047="",$H1047="Mahsup"),"",$G1047&amp;"|"&amp;COUNTIFS($G$7:$G1047,$G1047,$H$7:$H1047,"&lt;&gt;Mahsup"))</f>
        <v/>
      </c>
    </row>
    <row r="1048" spans="1:21" ht="18" customHeight="1" x14ac:dyDescent="0.3">
      <c r="A1048" s="2"/>
      <c r="B1048" s="65" t="str">
        <f t="shared" si="80"/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 t="shared" si="81"/>
        <v/>
      </c>
      <c r="M1048" s="65" t="str">
        <f t="shared" ca="1" si="82"/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83"/>
        <v/>
      </c>
      <c r="S1048" s="1" t="str">
        <f t="shared" si="84"/>
        <v/>
      </c>
      <c r="T1048" s="1">
        <f>IF($E1048="",0,SUMPRODUCT((AY_SONU!$O$7:$O$42="Evet")*(AY_SONU!$B$7:$B$42=DATE(YEAR($E1048),MONTH($E1048),1))))</f>
        <v>0</v>
      </c>
      <c r="U1048" s="1" t="str">
        <f>IF(OR($G1048="",$H1048="Mahsup"),"",$G1048&amp;"|"&amp;COUNTIFS($G$7:$G1048,$G1048,$H$7:$H1048,"&lt;&gt;Mahsup"))</f>
        <v/>
      </c>
    </row>
    <row r="1049" spans="1:21" ht="18" customHeight="1" x14ac:dyDescent="0.3">
      <c r="A1049" s="2"/>
      <c r="B1049" s="65" t="str">
        <f t="shared" si="80"/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 t="shared" si="81"/>
        <v/>
      </c>
      <c r="M1049" s="65" t="str">
        <f t="shared" ca="1" si="82"/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83"/>
        <v/>
      </c>
      <c r="S1049" s="1" t="str">
        <f t="shared" si="84"/>
        <v/>
      </c>
      <c r="T1049" s="1">
        <f>IF($E1049="",0,SUMPRODUCT((AY_SONU!$O$7:$O$42="Evet")*(AY_SONU!$B$7:$B$42=DATE(YEAR($E1049),MONTH($E1049),1))))</f>
        <v>0</v>
      </c>
      <c r="U1049" s="1" t="str">
        <f>IF(OR($G1049="",$H1049="Mahsup"),"",$G1049&amp;"|"&amp;COUNTIFS($G$7:$G1049,$G1049,$H$7:$H1049,"&lt;&gt;Mahsup"))</f>
        <v/>
      </c>
    </row>
    <row r="1050" spans="1:21" ht="18" customHeight="1" x14ac:dyDescent="0.3">
      <c r="A1050" s="2"/>
      <c r="B1050" s="65" t="str">
        <f t="shared" si="80"/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 t="shared" si="81"/>
        <v/>
      </c>
      <c r="M1050" s="65" t="str">
        <f t="shared" ca="1" si="82"/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83"/>
        <v/>
      </c>
      <c r="S1050" s="1" t="str">
        <f t="shared" si="84"/>
        <v/>
      </c>
      <c r="T1050" s="1">
        <f>IF($E1050="",0,SUMPRODUCT((AY_SONU!$O$7:$O$42="Evet")*(AY_SONU!$B$7:$B$42=DATE(YEAR($E1050),MONTH($E1050),1))))</f>
        <v>0</v>
      </c>
      <c r="U1050" s="1" t="str">
        <f>IF(OR($G1050="",$H1050="Mahsup"),"",$G1050&amp;"|"&amp;COUNTIFS($G$7:$G1050,$G1050,$H$7:$H1050,"&lt;&gt;Mahsup"))</f>
        <v/>
      </c>
    </row>
    <row r="1051" spans="1:21" ht="18" customHeight="1" x14ac:dyDescent="0.3">
      <c r="A1051" s="2"/>
      <c r="B1051" s="65" t="str">
        <f t="shared" si="80"/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 t="shared" si="81"/>
        <v/>
      </c>
      <c r="M1051" s="65" t="str">
        <f t="shared" ca="1" si="82"/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83"/>
        <v/>
      </c>
      <c r="S1051" s="1" t="str">
        <f t="shared" si="84"/>
        <v/>
      </c>
      <c r="T1051" s="1">
        <f>IF($E1051="",0,SUMPRODUCT((AY_SONU!$O$7:$O$42="Evet")*(AY_SONU!$B$7:$B$42=DATE(YEAR($E1051),MONTH($E1051),1))))</f>
        <v>0</v>
      </c>
      <c r="U1051" s="1" t="str">
        <f>IF(OR($G1051="",$H1051="Mahsup"),"",$G1051&amp;"|"&amp;COUNTIFS($G$7:$G1051,$G1051,$H$7:$H1051,"&lt;&gt;Mahsup"))</f>
        <v/>
      </c>
    </row>
    <row r="1052" spans="1:21" ht="18" customHeight="1" x14ac:dyDescent="0.3">
      <c r="A1052" s="2"/>
      <c r="B1052" s="65" t="str">
        <f t="shared" si="80"/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 t="shared" si="81"/>
        <v/>
      </c>
      <c r="M1052" s="65" t="str">
        <f t="shared" ca="1" si="82"/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83"/>
        <v/>
      </c>
      <c r="S1052" s="1" t="str">
        <f t="shared" si="84"/>
        <v/>
      </c>
      <c r="T1052" s="1">
        <f>IF($E1052="",0,SUMPRODUCT((AY_SONU!$O$7:$O$42="Evet")*(AY_SONU!$B$7:$B$42=DATE(YEAR($E1052),MONTH($E1052),1))))</f>
        <v>0</v>
      </c>
      <c r="U1052" s="1" t="str">
        <f>IF(OR($G1052="",$H1052="Mahsup"),"",$G1052&amp;"|"&amp;COUNTIFS($G$7:$G1052,$G1052,$H$7:$H1052,"&lt;&gt;Mahsup"))</f>
        <v/>
      </c>
    </row>
    <row r="1053" spans="1:21" ht="18" customHeight="1" x14ac:dyDescent="0.3">
      <c r="A1053" s="2"/>
      <c r="B1053" s="65" t="str">
        <f t="shared" si="80"/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 t="shared" si="81"/>
        <v/>
      </c>
      <c r="M1053" s="65" t="str">
        <f t="shared" ca="1" si="82"/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83"/>
        <v/>
      </c>
      <c r="S1053" s="1" t="str">
        <f t="shared" si="84"/>
        <v/>
      </c>
      <c r="T1053" s="1">
        <f>IF($E1053="",0,SUMPRODUCT((AY_SONU!$O$7:$O$42="Evet")*(AY_SONU!$B$7:$B$42=DATE(YEAR($E1053),MONTH($E1053),1))))</f>
        <v>0</v>
      </c>
      <c r="U1053" s="1" t="str">
        <f>IF(OR($G1053="",$H1053="Mahsup"),"",$G1053&amp;"|"&amp;COUNTIFS($G$7:$G1053,$G1053,$H$7:$H1053,"&lt;&gt;Mahsup"))</f>
        <v/>
      </c>
    </row>
    <row r="1054" spans="1:21" ht="18" customHeight="1" x14ac:dyDescent="0.3">
      <c r="A1054" s="2"/>
      <c r="B1054" s="65" t="str">
        <f t="shared" si="80"/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 t="shared" si="81"/>
        <v/>
      </c>
      <c r="M1054" s="65" t="str">
        <f t="shared" ca="1" si="82"/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83"/>
        <v/>
      </c>
      <c r="S1054" s="1" t="str">
        <f t="shared" si="84"/>
        <v/>
      </c>
      <c r="T1054" s="1">
        <f>IF($E1054="",0,SUMPRODUCT((AY_SONU!$O$7:$O$42="Evet")*(AY_SONU!$B$7:$B$42=DATE(YEAR($E1054),MONTH($E1054),1))))</f>
        <v>0</v>
      </c>
      <c r="U1054" s="1" t="str">
        <f>IF(OR($G1054="",$H1054="Mahsup"),"",$G1054&amp;"|"&amp;COUNTIFS($G$7:$G1054,$G1054,$H$7:$H1054,"&lt;&gt;Mahsup"))</f>
        <v/>
      </c>
    </row>
    <row r="1055" spans="1:21" ht="18" customHeight="1" x14ac:dyDescent="0.3">
      <c r="A1055" s="2"/>
      <c r="B1055" s="65" t="str">
        <f t="shared" si="80"/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 t="shared" si="81"/>
        <v/>
      </c>
      <c r="M1055" s="65" t="str">
        <f t="shared" ca="1" si="82"/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83"/>
        <v/>
      </c>
      <c r="S1055" s="1" t="str">
        <f t="shared" si="84"/>
        <v/>
      </c>
      <c r="T1055" s="1">
        <f>IF($E1055="",0,SUMPRODUCT((AY_SONU!$O$7:$O$42="Evet")*(AY_SONU!$B$7:$B$42=DATE(YEAR($E1055),MONTH($E1055),1))))</f>
        <v>0</v>
      </c>
      <c r="U1055" s="1" t="str">
        <f>IF(OR($G1055="",$H1055="Mahsup"),"",$G1055&amp;"|"&amp;COUNTIFS($G$7:$G1055,$G1055,$H$7:$H1055,"&lt;&gt;Mahsup"))</f>
        <v/>
      </c>
    </row>
    <row r="1056" spans="1:21" ht="18" customHeight="1" x14ac:dyDescent="0.3">
      <c r="A1056" s="2"/>
      <c r="B1056" s="65" t="str">
        <f t="shared" si="80"/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 t="shared" si="81"/>
        <v/>
      </c>
      <c r="M1056" s="65" t="str">
        <f t="shared" ca="1" si="82"/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83"/>
        <v/>
      </c>
      <c r="S1056" s="1" t="str">
        <f t="shared" si="84"/>
        <v/>
      </c>
      <c r="T1056" s="1">
        <f>IF($E1056="",0,SUMPRODUCT((AY_SONU!$O$7:$O$42="Evet")*(AY_SONU!$B$7:$B$42=DATE(YEAR($E1056),MONTH($E1056),1))))</f>
        <v>0</v>
      </c>
      <c r="U1056" s="1" t="str">
        <f>IF(OR($G1056="",$H1056="Mahsup"),"",$G1056&amp;"|"&amp;COUNTIFS($G$7:$G1056,$G1056,$H$7:$H1056,"&lt;&gt;Mahsup"))</f>
        <v/>
      </c>
    </row>
    <row r="1057" spans="1:21" ht="18" customHeight="1" x14ac:dyDescent="0.3">
      <c r="A1057" s="2"/>
      <c r="B1057" s="65" t="str">
        <f t="shared" si="80"/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 t="shared" si="81"/>
        <v/>
      </c>
      <c r="M1057" s="65" t="str">
        <f t="shared" ca="1" si="82"/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83"/>
        <v/>
      </c>
      <c r="S1057" s="1" t="str">
        <f t="shared" si="84"/>
        <v/>
      </c>
      <c r="T1057" s="1">
        <f>IF($E1057="",0,SUMPRODUCT((AY_SONU!$O$7:$O$42="Evet")*(AY_SONU!$B$7:$B$42=DATE(YEAR($E1057),MONTH($E1057),1))))</f>
        <v>0</v>
      </c>
      <c r="U1057" s="1" t="str">
        <f>IF(OR($G1057="",$H1057="Mahsup"),"",$G1057&amp;"|"&amp;COUNTIFS($G$7:$G1057,$G1057,$H$7:$H1057,"&lt;&gt;Mahsup"))</f>
        <v/>
      </c>
    </row>
    <row r="1058" spans="1:21" ht="18" customHeight="1" x14ac:dyDescent="0.3">
      <c r="A1058" s="2"/>
      <c r="B1058" s="65" t="str">
        <f t="shared" si="80"/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 t="shared" si="81"/>
        <v/>
      </c>
      <c r="M1058" s="65" t="str">
        <f t="shared" ca="1" si="82"/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83"/>
        <v/>
      </c>
      <c r="S1058" s="1" t="str">
        <f t="shared" si="84"/>
        <v/>
      </c>
      <c r="T1058" s="1">
        <f>IF($E1058="",0,SUMPRODUCT((AY_SONU!$O$7:$O$42="Evet")*(AY_SONU!$B$7:$B$42=DATE(YEAR($E1058),MONTH($E1058),1))))</f>
        <v>0</v>
      </c>
      <c r="U1058" s="1" t="str">
        <f>IF(OR($G1058="",$H1058="Mahsup"),"",$G1058&amp;"|"&amp;COUNTIFS($G$7:$G1058,$G1058,$H$7:$H1058,"&lt;&gt;Mahsup"))</f>
        <v/>
      </c>
    </row>
    <row r="1059" spans="1:21" ht="18" customHeight="1" x14ac:dyDescent="0.3">
      <c r="A1059" s="2"/>
      <c r="B1059" s="65" t="str">
        <f t="shared" si="80"/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 t="shared" si="81"/>
        <v/>
      </c>
      <c r="M1059" s="65" t="str">
        <f t="shared" ca="1" si="82"/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83"/>
        <v/>
      </c>
      <c r="S1059" s="1" t="str">
        <f t="shared" si="84"/>
        <v/>
      </c>
      <c r="T1059" s="1">
        <f>IF($E1059="",0,SUMPRODUCT((AY_SONU!$O$7:$O$42="Evet")*(AY_SONU!$B$7:$B$42=DATE(YEAR($E1059),MONTH($E1059),1))))</f>
        <v>0</v>
      </c>
      <c r="U1059" s="1" t="str">
        <f>IF(OR($G1059="",$H1059="Mahsup"),"",$G1059&amp;"|"&amp;COUNTIFS($G$7:$G1059,$G1059,$H$7:$H1059,"&lt;&gt;Mahsup"))</f>
        <v/>
      </c>
    </row>
    <row r="1060" spans="1:21" ht="18" customHeight="1" x14ac:dyDescent="0.3">
      <c r="A1060" s="2"/>
      <c r="B1060" s="65" t="str">
        <f t="shared" si="80"/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 t="shared" si="81"/>
        <v/>
      </c>
      <c r="M1060" s="65" t="str">
        <f t="shared" ca="1" si="82"/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83"/>
        <v/>
      </c>
      <c r="S1060" s="1" t="str">
        <f t="shared" si="84"/>
        <v/>
      </c>
      <c r="T1060" s="1">
        <f>IF($E1060="",0,SUMPRODUCT((AY_SONU!$O$7:$O$42="Evet")*(AY_SONU!$B$7:$B$42=DATE(YEAR($E1060),MONTH($E1060),1))))</f>
        <v>0</v>
      </c>
      <c r="U1060" s="1" t="str">
        <f>IF(OR($G1060="",$H1060="Mahsup"),"",$G1060&amp;"|"&amp;COUNTIFS($G$7:$G1060,$G1060,$H$7:$H1060,"&lt;&gt;Mahsup"))</f>
        <v/>
      </c>
    </row>
    <row r="1061" spans="1:21" ht="18" customHeight="1" x14ac:dyDescent="0.3">
      <c r="A1061" s="2"/>
      <c r="B1061" s="65" t="str">
        <f t="shared" si="80"/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 t="shared" si="81"/>
        <v/>
      </c>
      <c r="M1061" s="65" t="str">
        <f t="shared" ca="1" si="82"/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83"/>
        <v/>
      </c>
      <c r="S1061" s="1" t="str">
        <f t="shared" si="84"/>
        <v/>
      </c>
      <c r="T1061" s="1">
        <f>IF($E1061="",0,SUMPRODUCT((AY_SONU!$O$7:$O$42="Evet")*(AY_SONU!$B$7:$B$42=DATE(YEAR($E1061),MONTH($E1061),1))))</f>
        <v>0</v>
      </c>
      <c r="U1061" s="1" t="str">
        <f>IF(OR($G1061="",$H1061="Mahsup"),"",$G1061&amp;"|"&amp;COUNTIFS($G$7:$G1061,$G1061,$H$7:$H1061,"&lt;&gt;Mahsup"))</f>
        <v/>
      </c>
    </row>
    <row r="1062" spans="1:21" ht="18" customHeight="1" x14ac:dyDescent="0.3">
      <c r="A1062" s="2"/>
      <c r="B1062" s="65" t="str">
        <f t="shared" si="80"/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 t="shared" si="81"/>
        <v/>
      </c>
      <c r="M1062" s="65" t="str">
        <f t="shared" ca="1" si="82"/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83"/>
        <v/>
      </c>
      <c r="S1062" s="1" t="str">
        <f t="shared" si="84"/>
        <v/>
      </c>
      <c r="T1062" s="1">
        <f>IF($E1062="",0,SUMPRODUCT((AY_SONU!$O$7:$O$42="Evet")*(AY_SONU!$B$7:$B$42=DATE(YEAR($E1062),MONTH($E1062),1))))</f>
        <v>0</v>
      </c>
      <c r="U1062" s="1" t="str">
        <f>IF(OR($G1062="",$H1062="Mahsup"),"",$G1062&amp;"|"&amp;COUNTIFS($G$7:$G1062,$G1062,$H$7:$H1062,"&lt;&gt;Mahsup"))</f>
        <v/>
      </c>
    </row>
    <row r="1063" spans="1:21" ht="18" customHeight="1" x14ac:dyDescent="0.3">
      <c r="A1063" s="2"/>
      <c r="B1063" s="65" t="str">
        <f t="shared" si="80"/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 t="shared" si="81"/>
        <v/>
      </c>
      <c r="M1063" s="65" t="str">
        <f t="shared" ca="1" si="82"/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83"/>
        <v/>
      </c>
      <c r="S1063" s="1" t="str">
        <f t="shared" si="84"/>
        <v/>
      </c>
      <c r="T1063" s="1">
        <f>IF($E1063="",0,SUMPRODUCT((AY_SONU!$O$7:$O$42="Evet")*(AY_SONU!$B$7:$B$42=DATE(YEAR($E1063),MONTH($E1063),1))))</f>
        <v>0</v>
      </c>
      <c r="U1063" s="1" t="str">
        <f>IF(OR($G1063="",$H1063="Mahsup"),"",$G1063&amp;"|"&amp;COUNTIFS($G$7:$G1063,$G1063,$H$7:$H1063,"&lt;&gt;Mahsup"))</f>
        <v/>
      </c>
    </row>
    <row r="1064" spans="1:21" ht="18" customHeight="1" x14ac:dyDescent="0.3">
      <c r="A1064" s="2"/>
      <c r="B1064" s="65" t="str">
        <f t="shared" si="80"/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 t="shared" si="81"/>
        <v/>
      </c>
      <c r="M1064" s="65" t="str">
        <f t="shared" ca="1" si="82"/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83"/>
        <v/>
      </c>
      <c r="S1064" s="1" t="str">
        <f t="shared" si="84"/>
        <v/>
      </c>
      <c r="T1064" s="1">
        <f>IF($E1064="",0,SUMPRODUCT((AY_SONU!$O$7:$O$42="Evet")*(AY_SONU!$B$7:$B$42=DATE(YEAR($E1064),MONTH($E1064),1))))</f>
        <v>0</v>
      </c>
      <c r="U1064" s="1" t="str">
        <f>IF(OR($G1064="",$H1064="Mahsup"),"",$G1064&amp;"|"&amp;COUNTIFS($G$7:$G1064,$G1064,$H$7:$H1064,"&lt;&gt;Mahsup"))</f>
        <v/>
      </c>
    </row>
    <row r="1065" spans="1:21" ht="18" customHeight="1" x14ac:dyDescent="0.3">
      <c r="A1065" s="2"/>
      <c r="B1065" s="65" t="str">
        <f t="shared" si="80"/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 t="shared" si="81"/>
        <v/>
      </c>
      <c r="M1065" s="65" t="str">
        <f t="shared" ca="1" si="82"/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83"/>
        <v/>
      </c>
      <c r="S1065" s="1" t="str">
        <f t="shared" si="84"/>
        <v/>
      </c>
      <c r="T1065" s="1">
        <f>IF($E1065="",0,SUMPRODUCT((AY_SONU!$O$7:$O$42="Evet")*(AY_SONU!$B$7:$B$42=DATE(YEAR($E1065),MONTH($E1065),1))))</f>
        <v>0</v>
      </c>
      <c r="U1065" s="1" t="str">
        <f>IF(OR($G1065="",$H1065="Mahsup"),"",$G1065&amp;"|"&amp;COUNTIFS($G$7:$G1065,$G1065,$H$7:$H1065,"&lt;&gt;Mahsup"))</f>
        <v/>
      </c>
    </row>
    <row r="1066" spans="1:21" ht="18" customHeight="1" x14ac:dyDescent="0.3">
      <c r="A1066" s="2"/>
      <c r="B1066" s="65" t="str">
        <f t="shared" si="80"/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 t="shared" si="81"/>
        <v/>
      </c>
      <c r="M1066" s="65" t="str">
        <f t="shared" ca="1" si="82"/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83"/>
        <v/>
      </c>
      <c r="S1066" s="1" t="str">
        <f t="shared" si="84"/>
        <v/>
      </c>
      <c r="T1066" s="1">
        <f>IF($E1066="",0,SUMPRODUCT((AY_SONU!$O$7:$O$42="Evet")*(AY_SONU!$B$7:$B$42=DATE(YEAR($E1066),MONTH($E1066),1))))</f>
        <v>0</v>
      </c>
      <c r="U1066" s="1" t="str">
        <f>IF(OR($G1066="",$H1066="Mahsup"),"",$G1066&amp;"|"&amp;COUNTIFS($G$7:$G1066,$G1066,$H$7:$H1066,"&lt;&gt;Mahsup"))</f>
        <v/>
      </c>
    </row>
    <row r="1067" spans="1:21" ht="18" customHeight="1" x14ac:dyDescent="0.3">
      <c r="A1067" s="2"/>
      <c r="B1067" s="65" t="str">
        <f t="shared" si="80"/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 t="shared" si="81"/>
        <v/>
      </c>
      <c r="M1067" s="65" t="str">
        <f t="shared" ca="1" si="82"/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83"/>
        <v/>
      </c>
      <c r="S1067" s="1" t="str">
        <f t="shared" si="84"/>
        <v/>
      </c>
      <c r="T1067" s="1">
        <f>IF($E1067="",0,SUMPRODUCT((AY_SONU!$O$7:$O$42="Evet")*(AY_SONU!$B$7:$B$42=DATE(YEAR($E1067),MONTH($E1067),1))))</f>
        <v>0</v>
      </c>
      <c r="U1067" s="1" t="str">
        <f>IF(OR($G1067="",$H1067="Mahsup"),"",$G1067&amp;"|"&amp;COUNTIFS($G$7:$G1067,$G1067,$H$7:$H1067,"&lt;&gt;Mahsup"))</f>
        <v/>
      </c>
    </row>
    <row r="1068" spans="1:21" ht="18" customHeight="1" x14ac:dyDescent="0.3">
      <c r="A1068" s="2"/>
      <c r="B1068" s="65" t="str">
        <f t="shared" si="80"/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 t="shared" si="81"/>
        <v/>
      </c>
      <c r="M1068" s="65" t="str">
        <f t="shared" ca="1" si="82"/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83"/>
        <v/>
      </c>
      <c r="S1068" s="1" t="str">
        <f t="shared" si="84"/>
        <v/>
      </c>
      <c r="T1068" s="1">
        <f>IF($E1068="",0,SUMPRODUCT((AY_SONU!$O$7:$O$42="Evet")*(AY_SONU!$B$7:$B$42=DATE(YEAR($E1068),MONTH($E1068),1))))</f>
        <v>0</v>
      </c>
      <c r="U1068" s="1" t="str">
        <f>IF(OR($G1068="",$H1068="Mahsup"),"",$G1068&amp;"|"&amp;COUNTIFS($G$7:$G1068,$G1068,$H$7:$H1068,"&lt;&gt;Mahsup"))</f>
        <v/>
      </c>
    </row>
    <row r="1069" spans="1:21" ht="18" customHeight="1" x14ac:dyDescent="0.3">
      <c r="A1069" s="2"/>
      <c r="B1069" s="65" t="str">
        <f t="shared" si="80"/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 t="shared" si="81"/>
        <v/>
      </c>
      <c r="M1069" s="65" t="str">
        <f t="shared" ca="1" si="82"/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83"/>
        <v/>
      </c>
      <c r="S1069" s="1" t="str">
        <f t="shared" si="84"/>
        <v/>
      </c>
      <c r="T1069" s="1">
        <f>IF($E1069="",0,SUMPRODUCT((AY_SONU!$O$7:$O$42="Evet")*(AY_SONU!$B$7:$B$42=DATE(YEAR($E1069),MONTH($E1069),1))))</f>
        <v>0</v>
      </c>
      <c r="U1069" s="1" t="str">
        <f>IF(OR($G1069="",$H1069="Mahsup"),"",$G1069&amp;"|"&amp;COUNTIFS($G$7:$G1069,$G1069,$H$7:$H1069,"&lt;&gt;Mahsup"))</f>
        <v/>
      </c>
    </row>
    <row r="1070" spans="1:21" ht="18" customHeight="1" x14ac:dyDescent="0.3">
      <c r="A1070" s="2"/>
      <c r="B1070" s="65" t="str">
        <f t="shared" si="80"/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 t="shared" si="81"/>
        <v/>
      </c>
      <c r="M1070" s="65" t="str">
        <f t="shared" ca="1" si="82"/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83"/>
        <v/>
      </c>
      <c r="S1070" s="1" t="str">
        <f t="shared" si="84"/>
        <v/>
      </c>
      <c r="T1070" s="1">
        <f>IF($E1070="",0,SUMPRODUCT((AY_SONU!$O$7:$O$42="Evet")*(AY_SONU!$B$7:$B$42=DATE(YEAR($E1070),MONTH($E1070),1))))</f>
        <v>0</v>
      </c>
      <c r="U1070" s="1" t="str">
        <f>IF(OR($G1070="",$H1070="Mahsup"),"",$G1070&amp;"|"&amp;COUNTIFS($G$7:$G1070,$G1070,$H$7:$H1070,"&lt;&gt;Mahsup"))</f>
        <v/>
      </c>
    </row>
    <row r="1071" spans="1:21" ht="18" customHeight="1" x14ac:dyDescent="0.3">
      <c r="A1071" s="2"/>
      <c r="B1071" s="65" t="str">
        <f t="shared" si="80"/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 t="shared" si="81"/>
        <v/>
      </c>
      <c r="M1071" s="65" t="str">
        <f t="shared" ca="1" si="82"/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83"/>
        <v/>
      </c>
      <c r="S1071" s="1" t="str">
        <f t="shared" si="84"/>
        <v/>
      </c>
      <c r="T1071" s="1">
        <f>IF($E1071="",0,SUMPRODUCT((AY_SONU!$O$7:$O$42="Evet")*(AY_SONU!$B$7:$B$42=DATE(YEAR($E1071),MONTH($E1071),1))))</f>
        <v>0</v>
      </c>
      <c r="U1071" s="1" t="str">
        <f>IF(OR($G1071="",$H1071="Mahsup"),"",$G1071&amp;"|"&amp;COUNTIFS($G$7:$G1071,$G1071,$H$7:$H1071,"&lt;&gt;Mahsup"))</f>
        <v/>
      </c>
    </row>
    <row r="1072" spans="1:21" ht="18" customHeight="1" x14ac:dyDescent="0.3">
      <c r="A1072" s="2"/>
      <c r="B1072" s="65" t="str">
        <f t="shared" si="80"/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 t="shared" si="81"/>
        <v/>
      </c>
      <c r="M1072" s="65" t="str">
        <f t="shared" ca="1" si="82"/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83"/>
        <v/>
      </c>
      <c r="S1072" s="1" t="str">
        <f t="shared" si="84"/>
        <v/>
      </c>
      <c r="T1072" s="1">
        <f>IF($E1072="",0,SUMPRODUCT((AY_SONU!$O$7:$O$42="Evet")*(AY_SONU!$B$7:$B$42=DATE(YEAR($E1072),MONTH($E1072),1))))</f>
        <v>0</v>
      </c>
      <c r="U1072" s="1" t="str">
        <f>IF(OR($G1072="",$H1072="Mahsup"),"",$G1072&amp;"|"&amp;COUNTIFS($G$7:$G1072,$G1072,$H$7:$H1072,"&lt;&gt;Mahsup"))</f>
        <v/>
      </c>
    </row>
    <row r="1073" spans="1:21" ht="18" customHeight="1" x14ac:dyDescent="0.3">
      <c r="A1073" s="2"/>
      <c r="B1073" s="65" t="str">
        <f t="shared" si="80"/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 t="shared" si="81"/>
        <v/>
      </c>
      <c r="M1073" s="65" t="str">
        <f t="shared" ca="1" si="82"/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83"/>
        <v/>
      </c>
      <c r="S1073" s="1" t="str">
        <f t="shared" si="84"/>
        <v/>
      </c>
      <c r="T1073" s="1">
        <f>IF($E1073="",0,SUMPRODUCT((AY_SONU!$O$7:$O$42="Evet")*(AY_SONU!$B$7:$B$42=DATE(YEAR($E1073),MONTH($E1073),1))))</f>
        <v>0</v>
      </c>
      <c r="U1073" s="1" t="str">
        <f>IF(OR($G1073="",$H1073="Mahsup"),"",$G1073&amp;"|"&amp;COUNTIFS($G$7:$G1073,$G1073,$H$7:$H1073,"&lt;&gt;Mahsup"))</f>
        <v/>
      </c>
    </row>
    <row r="1074" spans="1:21" ht="18" customHeight="1" x14ac:dyDescent="0.3">
      <c r="A1074" s="2"/>
      <c r="B1074" s="65" t="str">
        <f t="shared" si="80"/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 t="shared" si="81"/>
        <v/>
      </c>
      <c r="M1074" s="65" t="str">
        <f t="shared" ca="1" si="82"/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83"/>
        <v/>
      </c>
      <c r="S1074" s="1" t="str">
        <f t="shared" si="84"/>
        <v/>
      </c>
      <c r="T1074" s="1">
        <f>IF($E1074="",0,SUMPRODUCT((AY_SONU!$O$7:$O$42="Evet")*(AY_SONU!$B$7:$B$42=DATE(YEAR($E1074),MONTH($E1074),1))))</f>
        <v>0</v>
      </c>
      <c r="U1074" s="1" t="str">
        <f>IF(OR($G1074="",$H1074="Mahsup"),"",$G1074&amp;"|"&amp;COUNTIFS($G$7:$G1074,$G1074,$H$7:$H1074,"&lt;&gt;Mahsup"))</f>
        <v/>
      </c>
    </row>
    <row r="1075" spans="1:21" ht="18" customHeight="1" x14ac:dyDescent="0.3">
      <c r="A1075" s="2"/>
      <c r="B1075" s="65" t="str">
        <f t="shared" si="80"/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 t="shared" si="81"/>
        <v/>
      </c>
      <c r="M1075" s="65" t="str">
        <f t="shared" ca="1" si="82"/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83"/>
        <v/>
      </c>
      <c r="S1075" s="1" t="str">
        <f t="shared" si="84"/>
        <v/>
      </c>
      <c r="T1075" s="1">
        <f>IF($E1075="",0,SUMPRODUCT((AY_SONU!$O$7:$O$42="Evet")*(AY_SONU!$B$7:$B$42=DATE(YEAR($E1075),MONTH($E1075),1))))</f>
        <v>0</v>
      </c>
      <c r="U1075" s="1" t="str">
        <f>IF(OR($G1075="",$H1075="Mahsup"),"",$G1075&amp;"|"&amp;COUNTIFS($G$7:$G1075,$G1075,$H$7:$H1075,"&lt;&gt;Mahsup"))</f>
        <v/>
      </c>
    </row>
    <row r="1076" spans="1:21" ht="18" customHeight="1" x14ac:dyDescent="0.3">
      <c r="A1076" s="2"/>
      <c r="B1076" s="65" t="str">
        <f t="shared" si="80"/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 t="shared" si="81"/>
        <v/>
      </c>
      <c r="M1076" s="65" t="str">
        <f t="shared" ca="1" si="82"/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83"/>
        <v/>
      </c>
      <c r="S1076" s="1" t="str">
        <f t="shared" si="84"/>
        <v/>
      </c>
      <c r="T1076" s="1">
        <f>IF($E1076="",0,SUMPRODUCT((AY_SONU!$O$7:$O$42="Evet")*(AY_SONU!$B$7:$B$42=DATE(YEAR($E1076),MONTH($E1076),1))))</f>
        <v>0</v>
      </c>
      <c r="U1076" s="1" t="str">
        <f>IF(OR($G1076="",$H1076="Mahsup"),"",$G1076&amp;"|"&amp;COUNTIFS($G$7:$G1076,$G1076,$H$7:$H1076,"&lt;&gt;Mahsup"))</f>
        <v/>
      </c>
    </row>
    <row r="1077" spans="1:21" ht="18" customHeight="1" x14ac:dyDescent="0.3">
      <c r="A1077" s="2"/>
      <c r="B1077" s="65" t="str">
        <f t="shared" si="80"/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 t="shared" si="81"/>
        <v/>
      </c>
      <c r="M1077" s="65" t="str">
        <f t="shared" ca="1" si="82"/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83"/>
        <v/>
      </c>
      <c r="S1077" s="1" t="str">
        <f t="shared" si="84"/>
        <v/>
      </c>
      <c r="T1077" s="1">
        <f>IF($E1077="",0,SUMPRODUCT((AY_SONU!$O$7:$O$42="Evet")*(AY_SONU!$B$7:$B$42=DATE(YEAR($E1077),MONTH($E1077),1))))</f>
        <v>0</v>
      </c>
      <c r="U1077" s="1" t="str">
        <f>IF(OR($G1077="",$H1077="Mahsup"),"",$G1077&amp;"|"&amp;COUNTIFS($G$7:$G1077,$G1077,$H$7:$H1077,"&lt;&gt;Mahsup"))</f>
        <v/>
      </c>
    </row>
    <row r="1078" spans="1:21" ht="18" customHeight="1" x14ac:dyDescent="0.3">
      <c r="A1078" s="2"/>
      <c r="B1078" s="65" t="str">
        <f t="shared" si="80"/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 t="shared" si="81"/>
        <v/>
      </c>
      <c r="M1078" s="65" t="str">
        <f t="shared" ca="1" si="82"/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83"/>
        <v/>
      </c>
      <c r="S1078" s="1" t="str">
        <f t="shared" si="84"/>
        <v/>
      </c>
      <c r="T1078" s="1">
        <f>IF($E1078="",0,SUMPRODUCT((AY_SONU!$O$7:$O$42="Evet")*(AY_SONU!$B$7:$B$42=DATE(YEAR($E1078),MONTH($E1078),1))))</f>
        <v>0</v>
      </c>
      <c r="U1078" s="1" t="str">
        <f>IF(OR($G1078="",$H1078="Mahsup"),"",$G1078&amp;"|"&amp;COUNTIFS($G$7:$G1078,$G1078,$H$7:$H1078,"&lt;&gt;Mahsup"))</f>
        <v/>
      </c>
    </row>
    <row r="1079" spans="1:21" ht="18" customHeight="1" x14ac:dyDescent="0.3">
      <c r="A1079" s="2"/>
      <c r="B1079" s="65" t="str">
        <f t="shared" si="80"/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 t="shared" si="81"/>
        <v/>
      </c>
      <c r="M1079" s="65" t="str">
        <f t="shared" ca="1" si="82"/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83"/>
        <v/>
      </c>
      <c r="S1079" s="1" t="str">
        <f t="shared" si="84"/>
        <v/>
      </c>
      <c r="T1079" s="1">
        <f>IF($E1079="",0,SUMPRODUCT((AY_SONU!$O$7:$O$42="Evet")*(AY_SONU!$B$7:$B$42=DATE(YEAR($E1079),MONTH($E1079),1))))</f>
        <v>0</v>
      </c>
      <c r="U1079" s="1" t="str">
        <f>IF(OR($G1079="",$H1079="Mahsup"),"",$G1079&amp;"|"&amp;COUNTIFS($G$7:$G1079,$G1079,$H$7:$H1079,"&lt;&gt;Mahsup"))</f>
        <v/>
      </c>
    </row>
    <row r="1080" spans="1:21" ht="18" customHeight="1" x14ac:dyDescent="0.3">
      <c r="A1080" s="2"/>
      <c r="B1080" s="65" t="str">
        <f t="shared" si="80"/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 t="shared" si="81"/>
        <v/>
      </c>
      <c r="M1080" s="65" t="str">
        <f t="shared" ca="1" si="82"/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83"/>
        <v/>
      </c>
      <c r="S1080" s="1" t="str">
        <f t="shared" si="84"/>
        <v/>
      </c>
      <c r="T1080" s="1">
        <f>IF($E1080="",0,SUMPRODUCT((AY_SONU!$O$7:$O$42="Evet")*(AY_SONU!$B$7:$B$42=DATE(YEAR($E1080),MONTH($E1080),1))))</f>
        <v>0</v>
      </c>
      <c r="U1080" s="1" t="str">
        <f>IF(OR($G1080="",$H1080="Mahsup"),"",$G1080&amp;"|"&amp;COUNTIFS($G$7:$G1080,$G1080,$H$7:$H1080,"&lt;&gt;Mahsup"))</f>
        <v/>
      </c>
    </row>
    <row r="1081" spans="1:21" ht="18" customHeight="1" x14ac:dyDescent="0.3">
      <c r="A1081" s="2"/>
      <c r="B1081" s="65" t="str">
        <f t="shared" si="80"/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 t="shared" si="81"/>
        <v/>
      </c>
      <c r="M1081" s="65" t="str">
        <f t="shared" ca="1" si="82"/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83"/>
        <v/>
      </c>
      <c r="S1081" s="1" t="str">
        <f t="shared" si="84"/>
        <v/>
      </c>
      <c r="T1081" s="1">
        <f>IF($E1081="",0,SUMPRODUCT((AY_SONU!$O$7:$O$42="Evet")*(AY_SONU!$B$7:$B$42=DATE(YEAR($E1081),MONTH($E1081),1))))</f>
        <v>0</v>
      </c>
      <c r="U1081" s="1" t="str">
        <f>IF(OR($G1081="",$H1081="Mahsup"),"",$G1081&amp;"|"&amp;COUNTIFS($G$7:$G1081,$G1081,$H$7:$H1081,"&lt;&gt;Mahsup"))</f>
        <v/>
      </c>
    </row>
    <row r="1082" spans="1:21" ht="18" customHeight="1" x14ac:dyDescent="0.3">
      <c r="A1082" s="2"/>
      <c r="B1082" s="65" t="str">
        <f t="shared" si="80"/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 t="shared" si="81"/>
        <v/>
      </c>
      <c r="M1082" s="65" t="str">
        <f t="shared" ca="1" si="82"/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83"/>
        <v/>
      </c>
      <c r="S1082" s="1" t="str">
        <f t="shared" si="84"/>
        <v/>
      </c>
      <c r="T1082" s="1">
        <f>IF($E1082="",0,SUMPRODUCT((AY_SONU!$O$7:$O$42="Evet")*(AY_SONU!$B$7:$B$42=DATE(YEAR($E1082),MONTH($E1082),1))))</f>
        <v>0</v>
      </c>
      <c r="U1082" s="1" t="str">
        <f>IF(OR($G1082="",$H1082="Mahsup"),"",$G1082&amp;"|"&amp;COUNTIFS($G$7:$G1082,$G1082,$H$7:$H1082,"&lt;&gt;Mahsup"))</f>
        <v/>
      </c>
    </row>
    <row r="1083" spans="1:21" ht="18" customHeight="1" x14ac:dyDescent="0.3">
      <c r="A1083" s="2"/>
      <c r="B1083" s="65" t="str">
        <f t="shared" si="80"/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 t="shared" si="81"/>
        <v/>
      </c>
      <c r="M1083" s="65" t="str">
        <f t="shared" ca="1" si="82"/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83"/>
        <v/>
      </c>
      <c r="S1083" s="1" t="str">
        <f t="shared" si="84"/>
        <v/>
      </c>
      <c r="T1083" s="1">
        <f>IF($E1083="",0,SUMPRODUCT((AY_SONU!$O$7:$O$42="Evet")*(AY_SONU!$B$7:$B$42=DATE(YEAR($E1083),MONTH($E1083),1))))</f>
        <v>0</v>
      </c>
      <c r="U1083" s="1" t="str">
        <f>IF(OR($G1083="",$H1083="Mahsup"),"",$G1083&amp;"|"&amp;COUNTIFS($G$7:$G1083,$G1083,$H$7:$H1083,"&lt;&gt;Mahsup"))</f>
        <v/>
      </c>
    </row>
    <row r="1084" spans="1:21" ht="18" customHeight="1" x14ac:dyDescent="0.3">
      <c r="A1084" s="2"/>
      <c r="B1084" s="65" t="str">
        <f t="shared" si="80"/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 t="shared" si="81"/>
        <v/>
      </c>
      <c r="M1084" s="65" t="str">
        <f t="shared" ca="1" si="82"/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83"/>
        <v/>
      </c>
      <c r="S1084" s="1" t="str">
        <f t="shared" si="84"/>
        <v/>
      </c>
      <c r="T1084" s="1">
        <f>IF($E1084="",0,SUMPRODUCT((AY_SONU!$O$7:$O$42="Evet")*(AY_SONU!$B$7:$B$42=DATE(YEAR($E1084),MONTH($E1084),1))))</f>
        <v>0</v>
      </c>
      <c r="U1084" s="1" t="str">
        <f>IF(OR($G1084="",$H1084="Mahsup"),"",$G1084&amp;"|"&amp;COUNTIFS($G$7:$G1084,$G1084,$H$7:$H1084,"&lt;&gt;Mahsup"))</f>
        <v/>
      </c>
    </row>
    <row r="1085" spans="1:21" ht="18" customHeight="1" x14ac:dyDescent="0.3">
      <c r="A1085" s="2"/>
      <c r="B1085" s="65" t="str">
        <f t="shared" si="80"/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 t="shared" si="81"/>
        <v/>
      </c>
      <c r="M1085" s="65" t="str">
        <f t="shared" ca="1" si="82"/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83"/>
        <v/>
      </c>
      <c r="S1085" s="1" t="str">
        <f t="shared" si="84"/>
        <v/>
      </c>
      <c r="T1085" s="1">
        <f>IF($E1085="",0,SUMPRODUCT((AY_SONU!$O$7:$O$42="Evet")*(AY_SONU!$B$7:$B$42=DATE(YEAR($E1085),MONTH($E1085),1))))</f>
        <v>0</v>
      </c>
      <c r="U1085" s="1" t="str">
        <f>IF(OR($G1085="",$H1085="Mahsup"),"",$G1085&amp;"|"&amp;COUNTIFS($G$7:$G1085,$G1085,$H$7:$H1085,"&lt;&gt;Mahsup"))</f>
        <v/>
      </c>
    </row>
    <row r="1086" spans="1:21" ht="18" customHeight="1" x14ac:dyDescent="0.3">
      <c r="A1086" s="2"/>
      <c r="B1086" s="65" t="str">
        <f t="shared" si="80"/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 t="shared" si="81"/>
        <v/>
      </c>
      <c r="M1086" s="65" t="str">
        <f t="shared" ca="1" si="82"/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83"/>
        <v/>
      </c>
      <c r="S1086" s="1" t="str">
        <f t="shared" si="84"/>
        <v/>
      </c>
      <c r="T1086" s="1">
        <f>IF($E1086="",0,SUMPRODUCT((AY_SONU!$O$7:$O$42="Evet")*(AY_SONU!$B$7:$B$42=DATE(YEAR($E1086),MONTH($E1086),1))))</f>
        <v>0</v>
      </c>
      <c r="U1086" s="1" t="str">
        <f>IF(OR($G1086="",$H1086="Mahsup"),"",$G1086&amp;"|"&amp;COUNTIFS($G$7:$G1086,$G1086,$H$7:$H1086,"&lt;&gt;Mahsup"))</f>
        <v/>
      </c>
    </row>
    <row r="1087" spans="1:21" ht="18" customHeight="1" x14ac:dyDescent="0.3">
      <c r="A1087" s="2"/>
      <c r="B1087" s="65" t="str">
        <f t="shared" si="80"/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 t="shared" si="81"/>
        <v/>
      </c>
      <c r="M1087" s="65" t="str">
        <f t="shared" ca="1" si="82"/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83"/>
        <v/>
      </c>
      <c r="S1087" s="1" t="str">
        <f t="shared" si="84"/>
        <v/>
      </c>
      <c r="T1087" s="1">
        <f>IF($E1087="",0,SUMPRODUCT((AY_SONU!$O$7:$O$42="Evet")*(AY_SONU!$B$7:$B$42=DATE(YEAR($E1087),MONTH($E1087),1))))</f>
        <v>0</v>
      </c>
      <c r="U1087" s="1" t="str">
        <f>IF(OR($G1087="",$H1087="Mahsup"),"",$G1087&amp;"|"&amp;COUNTIFS($G$7:$G1087,$G1087,$H$7:$H1087,"&lt;&gt;Mahsup"))</f>
        <v/>
      </c>
    </row>
    <row r="1088" spans="1:21" ht="18" customHeight="1" x14ac:dyDescent="0.3">
      <c r="A1088" s="2"/>
      <c r="B1088" s="65" t="str">
        <f t="shared" si="80"/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 t="shared" si="81"/>
        <v/>
      </c>
      <c r="M1088" s="65" t="str">
        <f t="shared" ca="1" si="82"/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83"/>
        <v/>
      </c>
      <c r="S1088" s="1" t="str">
        <f t="shared" si="84"/>
        <v/>
      </c>
      <c r="T1088" s="1">
        <f>IF($E1088="",0,SUMPRODUCT((AY_SONU!$O$7:$O$42="Evet")*(AY_SONU!$B$7:$B$42=DATE(YEAR($E1088),MONTH($E1088),1))))</f>
        <v>0</v>
      </c>
      <c r="U1088" s="1" t="str">
        <f>IF(OR($G1088="",$H1088="Mahsup"),"",$G1088&amp;"|"&amp;COUNTIFS($G$7:$G1088,$G1088,$H$7:$H1088,"&lt;&gt;Mahsup"))</f>
        <v/>
      </c>
    </row>
    <row r="1089" spans="1:21" ht="18" customHeight="1" x14ac:dyDescent="0.3">
      <c r="A1089" s="2"/>
      <c r="B1089" s="65" t="str">
        <f t="shared" si="80"/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 t="shared" si="81"/>
        <v/>
      </c>
      <c r="M1089" s="65" t="str">
        <f t="shared" ca="1" si="82"/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83"/>
        <v/>
      </c>
      <c r="S1089" s="1" t="str">
        <f t="shared" si="84"/>
        <v/>
      </c>
      <c r="T1089" s="1">
        <f>IF($E1089="",0,SUMPRODUCT((AY_SONU!$O$7:$O$42="Evet")*(AY_SONU!$B$7:$B$42=DATE(YEAR($E1089),MONTH($E1089),1))))</f>
        <v>0</v>
      </c>
      <c r="U1089" s="1" t="str">
        <f>IF(OR($G1089="",$H1089="Mahsup"),"",$G1089&amp;"|"&amp;COUNTIFS($G$7:$G1089,$G1089,$H$7:$H1089,"&lt;&gt;Mahsup"))</f>
        <v/>
      </c>
    </row>
    <row r="1090" spans="1:21" ht="18" customHeight="1" x14ac:dyDescent="0.3">
      <c r="A1090" s="2"/>
      <c r="B1090" s="65" t="str">
        <f t="shared" si="80"/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 t="shared" si="81"/>
        <v/>
      </c>
      <c r="M1090" s="65" t="str">
        <f t="shared" ca="1" si="82"/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83"/>
        <v/>
      </c>
      <c r="S1090" s="1" t="str">
        <f t="shared" si="84"/>
        <v/>
      </c>
      <c r="T1090" s="1">
        <f>IF($E1090="",0,SUMPRODUCT((AY_SONU!$O$7:$O$42="Evet")*(AY_SONU!$B$7:$B$42=DATE(YEAR($E1090),MONTH($E1090),1))))</f>
        <v>0</v>
      </c>
      <c r="U1090" s="1" t="str">
        <f>IF(OR($G1090="",$H1090="Mahsup"),"",$G1090&amp;"|"&amp;COUNTIFS($G$7:$G1090,$G1090,$H$7:$H1090,"&lt;&gt;Mahsup"))</f>
        <v/>
      </c>
    </row>
    <row r="1091" spans="1:21" ht="18" customHeight="1" x14ac:dyDescent="0.3">
      <c r="A1091" s="2"/>
      <c r="B1091" s="65" t="str">
        <f t="shared" si="80"/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 t="shared" si="81"/>
        <v/>
      </c>
      <c r="M1091" s="65" t="str">
        <f t="shared" ca="1" si="82"/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83"/>
        <v/>
      </c>
      <c r="S1091" s="1" t="str">
        <f t="shared" si="84"/>
        <v/>
      </c>
      <c r="T1091" s="1">
        <f>IF($E1091="",0,SUMPRODUCT((AY_SONU!$O$7:$O$42="Evet")*(AY_SONU!$B$7:$B$42=DATE(YEAR($E1091),MONTH($E1091),1))))</f>
        <v>0</v>
      </c>
      <c r="U1091" s="1" t="str">
        <f>IF(OR($G1091="",$H1091="Mahsup"),"",$G1091&amp;"|"&amp;COUNTIFS($G$7:$G1091,$G1091,$H$7:$H1091,"&lt;&gt;Mahsup"))</f>
        <v/>
      </c>
    </row>
    <row r="1092" spans="1:21" ht="18" customHeight="1" x14ac:dyDescent="0.3">
      <c r="A1092" s="2"/>
      <c r="B1092" s="65" t="str">
        <f t="shared" si="80"/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 t="shared" si="81"/>
        <v/>
      </c>
      <c r="M1092" s="65" t="str">
        <f t="shared" ca="1" si="82"/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83"/>
        <v/>
      </c>
      <c r="S1092" s="1" t="str">
        <f t="shared" si="84"/>
        <v/>
      </c>
      <c r="T1092" s="1">
        <f>IF($E1092="",0,SUMPRODUCT((AY_SONU!$O$7:$O$42="Evet")*(AY_SONU!$B$7:$B$42=DATE(YEAR($E1092),MONTH($E1092),1))))</f>
        <v>0</v>
      </c>
      <c r="U1092" s="1" t="str">
        <f>IF(OR($G1092="",$H1092="Mahsup"),"",$G1092&amp;"|"&amp;COUNTIFS($G$7:$G1092,$G1092,$H$7:$H1092,"&lt;&gt;Mahsup"))</f>
        <v/>
      </c>
    </row>
    <row r="1093" spans="1:21" ht="18" customHeight="1" x14ac:dyDescent="0.3">
      <c r="A1093" s="2"/>
      <c r="B1093" s="65" t="str">
        <f t="shared" si="80"/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 t="shared" si="81"/>
        <v/>
      </c>
      <c r="M1093" s="65" t="str">
        <f t="shared" ca="1" si="82"/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83"/>
        <v/>
      </c>
      <c r="S1093" s="1" t="str">
        <f t="shared" si="84"/>
        <v/>
      </c>
      <c r="T1093" s="1">
        <f>IF($E1093="",0,SUMPRODUCT((AY_SONU!$O$7:$O$42="Evet")*(AY_SONU!$B$7:$B$42=DATE(YEAR($E1093),MONTH($E1093),1))))</f>
        <v>0</v>
      </c>
      <c r="U1093" s="1" t="str">
        <f>IF(OR($G1093="",$H1093="Mahsup"),"",$G1093&amp;"|"&amp;COUNTIFS($G$7:$G1093,$G1093,$H$7:$H1093,"&lt;&gt;Mahsup"))</f>
        <v/>
      </c>
    </row>
    <row r="1094" spans="1:21" ht="18" customHeight="1" x14ac:dyDescent="0.3">
      <c r="A1094" s="2"/>
      <c r="B1094" s="65" t="str">
        <f t="shared" si="80"/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 t="shared" si="81"/>
        <v/>
      </c>
      <c r="M1094" s="65" t="str">
        <f t="shared" ca="1" si="82"/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83"/>
        <v/>
      </c>
      <c r="S1094" s="1" t="str">
        <f t="shared" si="84"/>
        <v/>
      </c>
      <c r="T1094" s="1">
        <f>IF($E1094="",0,SUMPRODUCT((AY_SONU!$O$7:$O$42="Evet")*(AY_SONU!$B$7:$B$42=DATE(YEAR($E1094),MONTH($E1094),1))))</f>
        <v>0</v>
      </c>
      <c r="U1094" s="1" t="str">
        <f>IF(OR($G1094="",$H1094="Mahsup"),"",$G1094&amp;"|"&amp;COUNTIFS($G$7:$G1094,$G1094,$H$7:$H1094,"&lt;&gt;Mahsup"))</f>
        <v/>
      </c>
    </row>
    <row r="1095" spans="1:21" ht="18" customHeight="1" x14ac:dyDescent="0.3">
      <c r="A1095" s="2"/>
      <c r="B1095" s="65" t="str">
        <f t="shared" ref="B1095:B1158" si="85"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 t="shared" ref="L1095:L1158" si="86">IF($E1095="","",DATE(YEAR($E1095),MONTH($E1095),1))</f>
        <v/>
      </c>
      <c r="M1095" s="65" t="str">
        <f t="shared" ref="M1095:M1158" ca="1" si="87"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88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89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  <c r="U1095" s="1" t="str">
        <f>IF(OR($G1095="",$H1095="Mahsup"),"",$G1095&amp;"|"&amp;COUNTIFS($G$7:$G1095,$G1095,$H$7:$H1095,"&lt;&gt;Mahsup"))</f>
        <v/>
      </c>
    </row>
    <row r="1096" spans="1:21" ht="18" customHeight="1" x14ac:dyDescent="0.3">
      <c r="A1096" s="2"/>
      <c r="B1096" s="65" t="str">
        <f t="shared" si="85"/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 t="shared" si="86"/>
        <v/>
      </c>
      <c r="M1096" s="65" t="str">
        <f t="shared" ca="1" si="87"/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88"/>
        <v/>
      </c>
      <c r="S1096" s="1" t="str">
        <f t="shared" si="89"/>
        <v/>
      </c>
      <c r="T1096" s="1">
        <f>IF($E1096="",0,SUMPRODUCT((AY_SONU!$O$7:$O$42="Evet")*(AY_SONU!$B$7:$B$42=DATE(YEAR($E1096),MONTH($E1096),1))))</f>
        <v>0</v>
      </c>
      <c r="U1096" s="1" t="str">
        <f>IF(OR($G1096="",$H1096="Mahsup"),"",$G1096&amp;"|"&amp;COUNTIFS($G$7:$G1096,$G1096,$H$7:$H1096,"&lt;&gt;Mahsup"))</f>
        <v/>
      </c>
    </row>
    <row r="1097" spans="1:21" ht="18" customHeight="1" x14ac:dyDescent="0.3">
      <c r="A1097" s="2"/>
      <c r="B1097" s="65" t="str">
        <f t="shared" si="85"/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 t="shared" si="86"/>
        <v/>
      </c>
      <c r="M1097" s="65" t="str">
        <f t="shared" ca="1" si="87"/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88"/>
        <v/>
      </c>
      <c r="S1097" s="1" t="str">
        <f t="shared" si="89"/>
        <v/>
      </c>
      <c r="T1097" s="1">
        <f>IF($E1097="",0,SUMPRODUCT((AY_SONU!$O$7:$O$42="Evet")*(AY_SONU!$B$7:$B$42=DATE(YEAR($E1097),MONTH($E1097),1))))</f>
        <v>0</v>
      </c>
      <c r="U1097" s="1" t="str">
        <f>IF(OR($G1097="",$H1097="Mahsup"),"",$G1097&amp;"|"&amp;COUNTIFS($G$7:$G1097,$G1097,$H$7:$H1097,"&lt;&gt;Mahsup"))</f>
        <v/>
      </c>
    </row>
    <row r="1098" spans="1:21" ht="18" customHeight="1" x14ac:dyDescent="0.3">
      <c r="A1098" s="2"/>
      <c r="B1098" s="65" t="str">
        <f t="shared" si="85"/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 t="shared" si="86"/>
        <v/>
      </c>
      <c r="M1098" s="65" t="str">
        <f t="shared" ca="1" si="87"/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88"/>
        <v/>
      </c>
      <c r="S1098" s="1" t="str">
        <f t="shared" si="89"/>
        <v/>
      </c>
      <c r="T1098" s="1">
        <f>IF($E1098="",0,SUMPRODUCT((AY_SONU!$O$7:$O$42="Evet")*(AY_SONU!$B$7:$B$42=DATE(YEAR($E1098),MONTH($E1098),1))))</f>
        <v>0</v>
      </c>
      <c r="U1098" s="1" t="str">
        <f>IF(OR($G1098="",$H1098="Mahsup"),"",$G1098&amp;"|"&amp;COUNTIFS($G$7:$G1098,$G1098,$H$7:$H1098,"&lt;&gt;Mahsup"))</f>
        <v/>
      </c>
    </row>
    <row r="1099" spans="1:21" ht="18" customHeight="1" x14ac:dyDescent="0.3">
      <c r="A1099" s="2"/>
      <c r="B1099" s="65" t="str">
        <f t="shared" si="85"/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 t="shared" si="86"/>
        <v/>
      </c>
      <c r="M1099" s="65" t="str">
        <f t="shared" ca="1" si="87"/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88"/>
        <v/>
      </c>
      <c r="S1099" s="1" t="str">
        <f t="shared" si="89"/>
        <v/>
      </c>
      <c r="T1099" s="1">
        <f>IF($E1099="",0,SUMPRODUCT((AY_SONU!$O$7:$O$42="Evet")*(AY_SONU!$B$7:$B$42=DATE(YEAR($E1099),MONTH($E1099),1))))</f>
        <v>0</v>
      </c>
      <c r="U1099" s="1" t="str">
        <f>IF(OR($G1099="",$H1099="Mahsup"),"",$G1099&amp;"|"&amp;COUNTIFS($G$7:$G1099,$G1099,$H$7:$H1099,"&lt;&gt;Mahsup"))</f>
        <v/>
      </c>
    </row>
    <row r="1100" spans="1:21" ht="18" customHeight="1" x14ac:dyDescent="0.3">
      <c r="A1100" s="2"/>
      <c r="B1100" s="65" t="str">
        <f t="shared" si="85"/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 t="shared" si="86"/>
        <v/>
      </c>
      <c r="M1100" s="65" t="str">
        <f t="shared" ca="1" si="87"/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88"/>
        <v/>
      </c>
      <c r="S1100" s="1" t="str">
        <f t="shared" si="89"/>
        <v/>
      </c>
      <c r="T1100" s="1">
        <f>IF($E1100="",0,SUMPRODUCT((AY_SONU!$O$7:$O$42="Evet")*(AY_SONU!$B$7:$B$42=DATE(YEAR($E1100),MONTH($E1100),1))))</f>
        <v>0</v>
      </c>
      <c r="U1100" s="1" t="str">
        <f>IF(OR($G1100="",$H1100="Mahsup"),"",$G1100&amp;"|"&amp;COUNTIFS($G$7:$G1100,$G1100,$H$7:$H1100,"&lt;&gt;Mahsup"))</f>
        <v/>
      </c>
    </row>
    <row r="1101" spans="1:21" ht="18" customHeight="1" x14ac:dyDescent="0.3">
      <c r="A1101" s="2"/>
      <c r="B1101" s="65" t="str">
        <f t="shared" si="85"/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 t="shared" si="86"/>
        <v/>
      </c>
      <c r="M1101" s="65" t="str">
        <f t="shared" ca="1" si="87"/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88"/>
        <v/>
      </c>
      <c r="S1101" s="1" t="str">
        <f t="shared" si="89"/>
        <v/>
      </c>
      <c r="T1101" s="1">
        <f>IF($E1101="",0,SUMPRODUCT((AY_SONU!$O$7:$O$42="Evet")*(AY_SONU!$B$7:$B$42=DATE(YEAR($E1101),MONTH($E1101),1))))</f>
        <v>0</v>
      </c>
      <c r="U1101" s="1" t="str">
        <f>IF(OR($G1101="",$H1101="Mahsup"),"",$G1101&amp;"|"&amp;COUNTIFS($G$7:$G1101,$G1101,$H$7:$H1101,"&lt;&gt;Mahsup"))</f>
        <v/>
      </c>
    </row>
    <row r="1102" spans="1:21" ht="18" customHeight="1" x14ac:dyDescent="0.3">
      <c r="A1102" s="2"/>
      <c r="B1102" s="65" t="str">
        <f t="shared" si="85"/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 t="shared" si="86"/>
        <v/>
      </c>
      <c r="M1102" s="65" t="str">
        <f t="shared" ca="1" si="87"/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88"/>
        <v/>
      </c>
      <c r="S1102" s="1" t="str">
        <f t="shared" si="89"/>
        <v/>
      </c>
      <c r="T1102" s="1">
        <f>IF($E1102="",0,SUMPRODUCT((AY_SONU!$O$7:$O$42="Evet")*(AY_SONU!$B$7:$B$42=DATE(YEAR($E1102),MONTH($E1102),1))))</f>
        <v>0</v>
      </c>
      <c r="U1102" s="1" t="str">
        <f>IF(OR($G1102="",$H1102="Mahsup"),"",$G1102&amp;"|"&amp;COUNTIFS($G$7:$G1102,$G1102,$H$7:$H1102,"&lt;&gt;Mahsup"))</f>
        <v/>
      </c>
    </row>
    <row r="1103" spans="1:21" ht="18" customHeight="1" x14ac:dyDescent="0.3">
      <c r="A1103" s="2"/>
      <c r="B1103" s="65" t="str">
        <f t="shared" si="85"/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 t="shared" si="86"/>
        <v/>
      </c>
      <c r="M1103" s="65" t="str">
        <f t="shared" ca="1" si="87"/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88"/>
        <v/>
      </c>
      <c r="S1103" s="1" t="str">
        <f t="shared" si="89"/>
        <v/>
      </c>
      <c r="T1103" s="1">
        <f>IF($E1103="",0,SUMPRODUCT((AY_SONU!$O$7:$O$42="Evet")*(AY_SONU!$B$7:$B$42=DATE(YEAR($E1103),MONTH($E1103),1))))</f>
        <v>0</v>
      </c>
      <c r="U1103" s="1" t="str">
        <f>IF(OR($G1103="",$H1103="Mahsup"),"",$G1103&amp;"|"&amp;COUNTIFS($G$7:$G1103,$G1103,$H$7:$H1103,"&lt;&gt;Mahsup"))</f>
        <v/>
      </c>
    </row>
    <row r="1104" spans="1:21" ht="18" customHeight="1" x14ac:dyDescent="0.3">
      <c r="A1104" s="2"/>
      <c r="B1104" s="65" t="str">
        <f t="shared" si="85"/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 t="shared" si="86"/>
        <v/>
      </c>
      <c r="M1104" s="65" t="str">
        <f t="shared" ca="1" si="87"/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88"/>
        <v/>
      </c>
      <c r="S1104" s="1" t="str">
        <f t="shared" si="89"/>
        <v/>
      </c>
      <c r="T1104" s="1">
        <f>IF($E1104="",0,SUMPRODUCT((AY_SONU!$O$7:$O$42="Evet")*(AY_SONU!$B$7:$B$42=DATE(YEAR($E1104),MONTH($E1104),1))))</f>
        <v>0</v>
      </c>
      <c r="U1104" s="1" t="str">
        <f>IF(OR($G1104="",$H1104="Mahsup"),"",$G1104&amp;"|"&amp;COUNTIFS($G$7:$G1104,$G1104,$H$7:$H1104,"&lt;&gt;Mahsup"))</f>
        <v/>
      </c>
    </row>
    <row r="1105" spans="1:21" ht="18" customHeight="1" x14ac:dyDescent="0.3">
      <c r="A1105" s="2"/>
      <c r="B1105" s="65" t="str">
        <f t="shared" si="85"/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 t="shared" si="86"/>
        <v/>
      </c>
      <c r="M1105" s="65" t="str">
        <f t="shared" ca="1" si="87"/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88"/>
        <v/>
      </c>
      <c r="S1105" s="1" t="str">
        <f t="shared" si="89"/>
        <v/>
      </c>
      <c r="T1105" s="1">
        <f>IF($E1105="",0,SUMPRODUCT((AY_SONU!$O$7:$O$42="Evet")*(AY_SONU!$B$7:$B$42=DATE(YEAR($E1105),MONTH($E1105),1))))</f>
        <v>0</v>
      </c>
      <c r="U1105" s="1" t="str">
        <f>IF(OR($G1105="",$H1105="Mahsup"),"",$G1105&amp;"|"&amp;COUNTIFS($G$7:$G1105,$G1105,$H$7:$H1105,"&lt;&gt;Mahsup"))</f>
        <v/>
      </c>
    </row>
    <row r="1106" spans="1:21" ht="18" customHeight="1" x14ac:dyDescent="0.3">
      <c r="A1106" s="2"/>
      <c r="B1106" s="65" t="str">
        <f t="shared" si="85"/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 t="shared" si="86"/>
        <v/>
      </c>
      <c r="M1106" s="65" t="str">
        <f t="shared" ca="1" si="87"/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88"/>
        <v/>
      </c>
      <c r="S1106" s="1" t="str">
        <f t="shared" si="89"/>
        <v/>
      </c>
      <c r="T1106" s="1">
        <f>IF($E1106="",0,SUMPRODUCT((AY_SONU!$O$7:$O$42="Evet")*(AY_SONU!$B$7:$B$42=DATE(YEAR($E1106),MONTH($E1106),1))))</f>
        <v>0</v>
      </c>
      <c r="U1106" s="1" t="str">
        <f>IF(OR($G1106="",$H1106="Mahsup"),"",$G1106&amp;"|"&amp;COUNTIFS($G$7:$G1106,$G1106,$H$7:$H1106,"&lt;&gt;Mahsup"))</f>
        <v/>
      </c>
    </row>
    <row r="1107" spans="1:21" ht="18" customHeight="1" x14ac:dyDescent="0.3">
      <c r="A1107" s="2"/>
      <c r="B1107" s="65" t="str">
        <f t="shared" si="85"/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 t="shared" si="86"/>
        <v/>
      </c>
      <c r="M1107" s="65" t="str">
        <f t="shared" ca="1" si="87"/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88"/>
        <v/>
      </c>
      <c r="S1107" s="1" t="str">
        <f t="shared" si="89"/>
        <v/>
      </c>
      <c r="T1107" s="1">
        <f>IF($E1107="",0,SUMPRODUCT((AY_SONU!$O$7:$O$42="Evet")*(AY_SONU!$B$7:$B$42=DATE(YEAR($E1107),MONTH($E1107),1))))</f>
        <v>0</v>
      </c>
      <c r="U1107" s="1" t="str">
        <f>IF(OR($G1107="",$H1107="Mahsup"),"",$G1107&amp;"|"&amp;COUNTIFS($G$7:$G1107,$G1107,$H$7:$H1107,"&lt;&gt;Mahsup"))</f>
        <v/>
      </c>
    </row>
    <row r="1108" spans="1:21" ht="18" customHeight="1" x14ac:dyDescent="0.3">
      <c r="A1108" s="2"/>
      <c r="B1108" s="65" t="str">
        <f t="shared" si="85"/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 t="shared" si="86"/>
        <v/>
      </c>
      <c r="M1108" s="65" t="str">
        <f t="shared" ca="1" si="87"/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88"/>
        <v/>
      </c>
      <c r="S1108" s="1" t="str">
        <f t="shared" si="89"/>
        <v/>
      </c>
      <c r="T1108" s="1">
        <f>IF($E1108="",0,SUMPRODUCT((AY_SONU!$O$7:$O$42="Evet")*(AY_SONU!$B$7:$B$42=DATE(YEAR($E1108),MONTH($E1108),1))))</f>
        <v>0</v>
      </c>
      <c r="U1108" s="1" t="str">
        <f>IF(OR($G1108="",$H1108="Mahsup"),"",$G1108&amp;"|"&amp;COUNTIFS($G$7:$G1108,$G1108,$H$7:$H1108,"&lt;&gt;Mahsup"))</f>
        <v/>
      </c>
    </row>
    <row r="1109" spans="1:21" ht="18" customHeight="1" x14ac:dyDescent="0.3">
      <c r="A1109" s="2"/>
      <c r="B1109" s="65" t="str">
        <f t="shared" si="85"/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 t="shared" si="86"/>
        <v/>
      </c>
      <c r="M1109" s="65" t="str">
        <f t="shared" ca="1" si="87"/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88"/>
        <v/>
      </c>
      <c r="S1109" s="1" t="str">
        <f t="shared" si="89"/>
        <v/>
      </c>
      <c r="T1109" s="1">
        <f>IF($E1109="",0,SUMPRODUCT((AY_SONU!$O$7:$O$42="Evet")*(AY_SONU!$B$7:$B$42=DATE(YEAR($E1109),MONTH($E1109),1))))</f>
        <v>0</v>
      </c>
      <c r="U1109" s="1" t="str">
        <f>IF(OR($G1109="",$H1109="Mahsup"),"",$G1109&amp;"|"&amp;COUNTIFS($G$7:$G1109,$G1109,$H$7:$H1109,"&lt;&gt;Mahsup"))</f>
        <v/>
      </c>
    </row>
    <row r="1110" spans="1:21" ht="18" customHeight="1" x14ac:dyDescent="0.3">
      <c r="A1110" s="2"/>
      <c r="B1110" s="65" t="str">
        <f t="shared" si="85"/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 t="shared" si="86"/>
        <v/>
      </c>
      <c r="M1110" s="65" t="str">
        <f t="shared" ca="1" si="87"/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88"/>
        <v/>
      </c>
      <c r="S1110" s="1" t="str">
        <f t="shared" si="89"/>
        <v/>
      </c>
      <c r="T1110" s="1">
        <f>IF($E1110="",0,SUMPRODUCT((AY_SONU!$O$7:$O$42="Evet")*(AY_SONU!$B$7:$B$42=DATE(YEAR($E1110),MONTH($E1110),1))))</f>
        <v>0</v>
      </c>
      <c r="U1110" s="1" t="str">
        <f>IF(OR($G1110="",$H1110="Mahsup"),"",$G1110&amp;"|"&amp;COUNTIFS($G$7:$G1110,$G1110,$H$7:$H1110,"&lt;&gt;Mahsup"))</f>
        <v/>
      </c>
    </row>
    <row r="1111" spans="1:21" ht="18" customHeight="1" x14ac:dyDescent="0.3">
      <c r="A1111" s="2"/>
      <c r="B1111" s="65" t="str">
        <f t="shared" si="85"/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 t="shared" si="86"/>
        <v/>
      </c>
      <c r="M1111" s="65" t="str">
        <f t="shared" ca="1" si="87"/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88"/>
        <v/>
      </c>
      <c r="S1111" s="1" t="str">
        <f t="shared" si="89"/>
        <v/>
      </c>
      <c r="T1111" s="1">
        <f>IF($E1111="",0,SUMPRODUCT((AY_SONU!$O$7:$O$42="Evet")*(AY_SONU!$B$7:$B$42=DATE(YEAR($E1111),MONTH($E1111),1))))</f>
        <v>0</v>
      </c>
      <c r="U1111" s="1" t="str">
        <f>IF(OR($G1111="",$H1111="Mahsup"),"",$G1111&amp;"|"&amp;COUNTIFS($G$7:$G1111,$G1111,$H$7:$H1111,"&lt;&gt;Mahsup"))</f>
        <v/>
      </c>
    </row>
    <row r="1112" spans="1:21" ht="18" customHeight="1" x14ac:dyDescent="0.3">
      <c r="A1112" s="2"/>
      <c r="B1112" s="65" t="str">
        <f t="shared" si="85"/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 t="shared" si="86"/>
        <v/>
      </c>
      <c r="M1112" s="65" t="str">
        <f t="shared" ca="1" si="87"/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88"/>
        <v/>
      </c>
      <c r="S1112" s="1" t="str">
        <f t="shared" si="89"/>
        <v/>
      </c>
      <c r="T1112" s="1">
        <f>IF($E1112="",0,SUMPRODUCT((AY_SONU!$O$7:$O$42="Evet")*(AY_SONU!$B$7:$B$42=DATE(YEAR($E1112),MONTH($E1112),1))))</f>
        <v>0</v>
      </c>
      <c r="U1112" s="1" t="str">
        <f>IF(OR($G1112="",$H1112="Mahsup"),"",$G1112&amp;"|"&amp;COUNTIFS($G$7:$G1112,$G1112,$H$7:$H1112,"&lt;&gt;Mahsup"))</f>
        <v/>
      </c>
    </row>
    <row r="1113" spans="1:21" ht="18" customHeight="1" x14ac:dyDescent="0.3">
      <c r="A1113" s="2"/>
      <c r="B1113" s="65" t="str">
        <f t="shared" si="85"/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 t="shared" si="86"/>
        <v/>
      </c>
      <c r="M1113" s="65" t="str">
        <f t="shared" ca="1" si="87"/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88"/>
        <v/>
      </c>
      <c r="S1113" s="1" t="str">
        <f t="shared" si="89"/>
        <v/>
      </c>
      <c r="T1113" s="1">
        <f>IF($E1113="",0,SUMPRODUCT((AY_SONU!$O$7:$O$42="Evet")*(AY_SONU!$B$7:$B$42=DATE(YEAR($E1113),MONTH($E1113),1))))</f>
        <v>0</v>
      </c>
      <c r="U1113" s="1" t="str">
        <f>IF(OR($G1113="",$H1113="Mahsup"),"",$G1113&amp;"|"&amp;COUNTIFS($G$7:$G1113,$G1113,$H$7:$H1113,"&lt;&gt;Mahsup"))</f>
        <v/>
      </c>
    </row>
    <row r="1114" spans="1:21" ht="18" customHeight="1" x14ac:dyDescent="0.3">
      <c r="A1114" s="2"/>
      <c r="B1114" s="65" t="str">
        <f t="shared" si="85"/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 t="shared" si="86"/>
        <v/>
      </c>
      <c r="M1114" s="65" t="str">
        <f t="shared" ca="1" si="87"/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88"/>
        <v/>
      </c>
      <c r="S1114" s="1" t="str">
        <f t="shared" si="89"/>
        <v/>
      </c>
      <c r="T1114" s="1">
        <f>IF($E1114="",0,SUMPRODUCT((AY_SONU!$O$7:$O$42="Evet")*(AY_SONU!$B$7:$B$42=DATE(YEAR($E1114),MONTH($E1114),1))))</f>
        <v>0</v>
      </c>
      <c r="U1114" s="1" t="str">
        <f>IF(OR($G1114="",$H1114="Mahsup"),"",$G1114&amp;"|"&amp;COUNTIFS($G$7:$G1114,$G1114,$H$7:$H1114,"&lt;&gt;Mahsup"))</f>
        <v/>
      </c>
    </row>
    <row r="1115" spans="1:21" ht="18" customHeight="1" x14ac:dyDescent="0.3">
      <c r="A1115" s="2"/>
      <c r="B1115" s="65" t="str">
        <f t="shared" si="85"/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 t="shared" si="86"/>
        <v/>
      </c>
      <c r="M1115" s="65" t="str">
        <f t="shared" ca="1" si="87"/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88"/>
        <v/>
      </c>
      <c r="S1115" s="1" t="str">
        <f t="shared" si="89"/>
        <v/>
      </c>
      <c r="T1115" s="1">
        <f>IF($E1115="",0,SUMPRODUCT((AY_SONU!$O$7:$O$42="Evet")*(AY_SONU!$B$7:$B$42=DATE(YEAR($E1115),MONTH($E1115),1))))</f>
        <v>0</v>
      </c>
      <c r="U1115" s="1" t="str">
        <f>IF(OR($G1115="",$H1115="Mahsup"),"",$G1115&amp;"|"&amp;COUNTIFS($G$7:$G1115,$G1115,$H$7:$H1115,"&lt;&gt;Mahsup"))</f>
        <v/>
      </c>
    </row>
    <row r="1116" spans="1:21" ht="18" customHeight="1" x14ac:dyDescent="0.3">
      <c r="A1116" s="2"/>
      <c r="B1116" s="65" t="str">
        <f t="shared" si="85"/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 t="shared" si="86"/>
        <v/>
      </c>
      <c r="M1116" s="65" t="str">
        <f t="shared" ca="1" si="87"/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88"/>
        <v/>
      </c>
      <c r="S1116" s="1" t="str">
        <f t="shared" si="89"/>
        <v/>
      </c>
      <c r="T1116" s="1">
        <f>IF($E1116="",0,SUMPRODUCT((AY_SONU!$O$7:$O$42="Evet")*(AY_SONU!$B$7:$B$42=DATE(YEAR($E1116),MONTH($E1116),1))))</f>
        <v>0</v>
      </c>
      <c r="U1116" s="1" t="str">
        <f>IF(OR($G1116="",$H1116="Mahsup"),"",$G1116&amp;"|"&amp;COUNTIFS($G$7:$G1116,$G1116,$H$7:$H1116,"&lt;&gt;Mahsup"))</f>
        <v/>
      </c>
    </row>
    <row r="1117" spans="1:21" ht="18" customHeight="1" x14ac:dyDescent="0.3">
      <c r="A1117" s="2"/>
      <c r="B1117" s="65" t="str">
        <f t="shared" si="85"/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 t="shared" si="86"/>
        <v/>
      </c>
      <c r="M1117" s="65" t="str">
        <f t="shared" ca="1" si="87"/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88"/>
        <v/>
      </c>
      <c r="S1117" s="1" t="str">
        <f t="shared" si="89"/>
        <v/>
      </c>
      <c r="T1117" s="1">
        <f>IF($E1117="",0,SUMPRODUCT((AY_SONU!$O$7:$O$42="Evet")*(AY_SONU!$B$7:$B$42=DATE(YEAR($E1117),MONTH($E1117),1))))</f>
        <v>0</v>
      </c>
      <c r="U1117" s="1" t="str">
        <f>IF(OR($G1117="",$H1117="Mahsup"),"",$G1117&amp;"|"&amp;COUNTIFS($G$7:$G1117,$G1117,$H$7:$H1117,"&lt;&gt;Mahsup"))</f>
        <v/>
      </c>
    </row>
    <row r="1118" spans="1:21" ht="18" customHeight="1" x14ac:dyDescent="0.3">
      <c r="A1118" s="2"/>
      <c r="B1118" s="65" t="str">
        <f t="shared" si="85"/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 t="shared" si="86"/>
        <v/>
      </c>
      <c r="M1118" s="65" t="str">
        <f t="shared" ca="1" si="87"/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88"/>
        <v/>
      </c>
      <c r="S1118" s="1" t="str">
        <f t="shared" si="89"/>
        <v/>
      </c>
      <c r="T1118" s="1">
        <f>IF($E1118="",0,SUMPRODUCT((AY_SONU!$O$7:$O$42="Evet")*(AY_SONU!$B$7:$B$42=DATE(YEAR($E1118),MONTH($E1118),1))))</f>
        <v>0</v>
      </c>
      <c r="U1118" s="1" t="str">
        <f>IF(OR($G1118="",$H1118="Mahsup"),"",$G1118&amp;"|"&amp;COUNTIFS($G$7:$G1118,$G1118,$H$7:$H1118,"&lt;&gt;Mahsup"))</f>
        <v/>
      </c>
    </row>
    <row r="1119" spans="1:21" ht="18" customHeight="1" x14ac:dyDescent="0.3">
      <c r="A1119" s="2"/>
      <c r="B1119" s="65" t="str">
        <f t="shared" si="85"/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 t="shared" si="86"/>
        <v/>
      </c>
      <c r="M1119" s="65" t="str">
        <f t="shared" ca="1" si="87"/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88"/>
        <v/>
      </c>
      <c r="S1119" s="1" t="str">
        <f t="shared" si="89"/>
        <v/>
      </c>
      <c r="T1119" s="1">
        <f>IF($E1119="",0,SUMPRODUCT((AY_SONU!$O$7:$O$42="Evet")*(AY_SONU!$B$7:$B$42=DATE(YEAR($E1119),MONTH($E1119),1))))</f>
        <v>0</v>
      </c>
      <c r="U1119" s="1" t="str">
        <f>IF(OR($G1119="",$H1119="Mahsup"),"",$G1119&amp;"|"&amp;COUNTIFS($G$7:$G1119,$G1119,$H$7:$H1119,"&lt;&gt;Mahsup"))</f>
        <v/>
      </c>
    </row>
    <row r="1120" spans="1:21" ht="18" customHeight="1" x14ac:dyDescent="0.3">
      <c r="A1120" s="2"/>
      <c r="B1120" s="65" t="str">
        <f t="shared" si="85"/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 t="shared" si="86"/>
        <v/>
      </c>
      <c r="M1120" s="65" t="str">
        <f t="shared" ca="1" si="87"/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88"/>
        <v/>
      </c>
      <c r="S1120" s="1" t="str">
        <f t="shared" si="89"/>
        <v/>
      </c>
      <c r="T1120" s="1">
        <f>IF($E1120="",0,SUMPRODUCT((AY_SONU!$O$7:$O$42="Evet")*(AY_SONU!$B$7:$B$42=DATE(YEAR($E1120),MONTH($E1120),1))))</f>
        <v>0</v>
      </c>
      <c r="U1120" s="1" t="str">
        <f>IF(OR($G1120="",$H1120="Mahsup"),"",$G1120&amp;"|"&amp;COUNTIFS($G$7:$G1120,$G1120,$H$7:$H1120,"&lt;&gt;Mahsup"))</f>
        <v/>
      </c>
    </row>
    <row r="1121" spans="1:21" ht="18" customHeight="1" x14ac:dyDescent="0.3">
      <c r="A1121" s="2"/>
      <c r="B1121" s="65" t="str">
        <f t="shared" si="85"/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 t="shared" si="86"/>
        <v/>
      </c>
      <c r="M1121" s="65" t="str">
        <f t="shared" ca="1" si="87"/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88"/>
        <v/>
      </c>
      <c r="S1121" s="1" t="str">
        <f t="shared" si="89"/>
        <v/>
      </c>
      <c r="T1121" s="1">
        <f>IF($E1121="",0,SUMPRODUCT((AY_SONU!$O$7:$O$42="Evet")*(AY_SONU!$B$7:$B$42=DATE(YEAR($E1121),MONTH($E1121),1))))</f>
        <v>0</v>
      </c>
      <c r="U1121" s="1" t="str">
        <f>IF(OR($G1121="",$H1121="Mahsup"),"",$G1121&amp;"|"&amp;COUNTIFS($G$7:$G1121,$G1121,$H$7:$H1121,"&lt;&gt;Mahsup"))</f>
        <v/>
      </c>
    </row>
    <row r="1122" spans="1:21" ht="18" customHeight="1" x14ac:dyDescent="0.3">
      <c r="A1122" s="2"/>
      <c r="B1122" s="65" t="str">
        <f t="shared" si="85"/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 t="shared" si="86"/>
        <v/>
      </c>
      <c r="M1122" s="65" t="str">
        <f t="shared" ca="1" si="87"/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88"/>
        <v/>
      </c>
      <c r="S1122" s="1" t="str">
        <f t="shared" si="89"/>
        <v/>
      </c>
      <c r="T1122" s="1">
        <f>IF($E1122="",0,SUMPRODUCT((AY_SONU!$O$7:$O$42="Evet")*(AY_SONU!$B$7:$B$42=DATE(YEAR($E1122),MONTH($E1122),1))))</f>
        <v>0</v>
      </c>
      <c r="U1122" s="1" t="str">
        <f>IF(OR($G1122="",$H1122="Mahsup"),"",$G1122&amp;"|"&amp;COUNTIFS($G$7:$G1122,$G1122,$H$7:$H1122,"&lt;&gt;Mahsup"))</f>
        <v/>
      </c>
    </row>
    <row r="1123" spans="1:21" ht="18" customHeight="1" x14ac:dyDescent="0.3">
      <c r="A1123" s="2"/>
      <c r="B1123" s="65" t="str">
        <f t="shared" si="85"/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 t="shared" si="86"/>
        <v/>
      </c>
      <c r="M1123" s="65" t="str">
        <f t="shared" ca="1" si="87"/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88"/>
        <v/>
      </c>
      <c r="S1123" s="1" t="str">
        <f t="shared" si="89"/>
        <v/>
      </c>
      <c r="T1123" s="1">
        <f>IF($E1123="",0,SUMPRODUCT((AY_SONU!$O$7:$O$42="Evet")*(AY_SONU!$B$7:$B$42=DATE(YEAR($E1123),MONTH($E1123),1))))</f>
        <v>0</v>
      </c>
      <c r="U1123" s="1" t="str">
        <f>IF(OR($G1123="",$H1123="Mahsup"),"",$G1123&amp;"|"&amp;COUNTIFS($G$7:$G1123,$G1123,$H$7:$H1123,"&lt;&gt;Mahsup"))</f>
        <v/>
      </c>
    </row>
    <row r="1124" spans="1:21" ht="18" customHeight="1" x14ac:dyDescent="0.3">
      <c r="A1124" s="2"/>
      <c r="B1124" s="65" t="str">
        <f t="shared" si="85"/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 t="shared" si="86"/>
        <v/>
      </c>
      <c r="M1124" s="65" t="str">
        <f t="shared" ca="1" si="87"/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88"/>
        <v/>
      </c>
      <c r="S1124" s="1" t="str">
        <f t="shared" si="89"/>
        <v/>
      </c>
      <c r="T1124" s="1">
        <f>IF($E1124="",0,SUMPRODUCT((AY_SONU!$O$7:$O$42="Evet")*(AY_SONU!$B$7:$B$42=DATE(YEAR($E1124),MONTH($E1124),1))))</f>
        <v>0</v>
      </c>
      <c r="U1124" s="1" t="str">
        <f>IF(OR($G1124="",$H1124="Mahsup"),"",$G1124&amp;"|"&amp;COUNTIFS($G$7:$G1124,$G1124,$H$7:$H1124,"&lt;&gt;Mahsup"))</f>
        <v/>
      </c>
    </row>
    <row r="1125" spans="1:21" ht="18" customHeight="1" x14ac:dyDescent="0.3">
      <c r="A1125" s="2"/>
      <c r="B1125" s="65" t="str">
        <f t="shared" si="85"/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 t="shared" si="86"/>
        <v/>
      </c>
      <c r="M1125" s="65" t="str">
        <f t="shared" ca="1" si="87"/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88"/>
        <v/>
      </c>
      <c r="S1125" s="1" t="str">
        <f t="shared" si="89"/>
        <v/>
      </c>
      <c r="T1125" s="1">
        <f>IF($E1125="",0,SUMPRODUCT((AY_SONU!$O$7:$O$42="Evet")*(AY_SONU!$B$7:$B$42=DATE(YEAR($E1125),MONTH($E1125),1))))</f>
        <v>0</v>
      </c>
      <c r="U1125" s="1" t="str">
        <f>IF(OR($G1125="",$H1125="Mahsup"),"",$G1125&amp;"|"&amp;COUNTIFS($G$7:$G1125,$G1125,$H$7:$H1125,"&lt;&gt;Mahsup"))</f>
        <v/>
      </c>
    </row>
    <row r="1126" spans="1:21" ht="18" customHeight="1" x14ac:dyDescent="0.3">
      <c r="A1126" s="2"/>
      <c r="B1126" s="65" t="str">
        <f t="shared" si="85"/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 t="shared" si="86"/>
        <v/>
      </c>
      <c r="M1126" s="65" t="str">
        <f t="shared" ca="1" si="87"/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88"/>
        <v/>
      </c>
      <c r="S1126" s="1" t="str">
        <f t="shared" si="89"/>
        <v/>
      </c>
      <c r="T1126" s="1">
        <f>IF($E1126="",0,SUMPRODUCT((AY_SONU!$O$7:$O$42="Evet")*(AY_SONU!$B$7:$B$42=DATE(YEAR($E1126),MONTH($E1126),1))))</f>
        <v>0</v>
      </c>
      <c r="U1126" s="1" t="str">
        <f>IF(OR($G1126="",$H1126="Mahsup"),"",$G1126&amp;"|"&amp;COUNTIFS($G$7:$G1126,$G1126,$H$7:$H1126,"&lt;&gt;Mahsup"))</f>
        <v/>
      </c>
    </row>
    <row r="1127" spans="1:21" ht="18" customHeight="1" x14ac:dyDescent="0.3">
      <c r="A1127" s="2"/>
      <c r="B1127" s="65" t="str">
        <f t="shared" si="85"/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 t="shared" si="86"/>
        <v/>
      </c>
      <c r="M1127" s="65" t="str">
        <f t="shared" ca="1" si="87"/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88"/>
        <v/>
      </c>
      <c r="S1127" s="1" t="str">
        <f t="shared" si="89"/>
        <v/>
      </c>
      <c r="T1127" s="1">
        <f>IF($E1127="",0,SUMPRODUCT((AY_SONU!$O$7:$O$42="Evet")*(AY_SONU!$B$7:$B$42=DATE(YEAR($E1127),MONTH($E1127),1))))</f>
        <v>0</v>
      </c>
      <c r="U1127" s="1" t="str">
        <f>IF(OR($G1127="",$H1127="Mahsup"),"",$G1127&amp;"|"&amp;COUNTIFS($G$7:$G1127,$G1127,$H$7:$H1127,"&lt;&gt;Mahsup"))</f>
        <v/>
      </c>
    </row>
    <row r="1128" spans="1:21" ht="18" customHeight="1" x14ac:dyDescent="0.3">
      <c r="A1128" s="2"/>
      <c r="B1128" s="65" t="str">
        <f t="shared" si="85"/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 t="shared" si="86"/>
        <v/>
      </c>
      <c r="M1128" s="65" t="str">
        <f t="shared" ca="1" si="87"/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88"/>
        <v/>
      </c>
      <c r="S1128" s="1" t="str">
        <f t="shared" si="89"/>
        <v/>
      </c>
      <c r="T1128" s="1">
        <f>IF($E1128="",0,SUMPRODUCT((AY_SONU!$O$7:$O$42="Evet")*(AY_SONU!$B$7:$B$42=DATE(YEAR($E1128),MONTH($E1128),1))))</f>
        <v>0</v>
      </c>
      <c r="U1128" s="1" t="str">
        <f>IF(OR($G1128="",$H1128="Mahsup"),"",$G1128&amp;"|"&amp;COUNTIFS($G$7:$G1128,$G1128,$H$7:$H1128,"&lt;&gt;Mahsup"))</f>
        <v/>
      </c>
    </row>
    <row r="1129" spans="1:21" ht="18" customHeight="1" x14ac:dyDescent="0.3">
      <c r="A1129" s="2"/>
      <c r="B1129" s="65" t="str">
        <f t="shared" si="85"/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 t="shared" si="86"/>
        <v/>
      </c>
      <c r="M1129" s="65" t="str">
        <f t="shared" ca="1" si="87"/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88"/>
        <v/>
      </c>
      <c r="S1129" s="1" t="str">
        <f t="shared" si="89"/>
        <v/>
      </c>
      <c r="T1129" s="1">
        <f>IF($E1129="",0,SUMPRODUCT((AY_SONU!$O$7:$O$42="Evet")*(AY_SONU!$B$7:$B$42=DATE(YEAR($E1129),MONTH($E1129),1))))</f>
        <v>0</v>
      </c>
      <c r="U1129" s="1" t="str">
        <f>IF(OR($G1129="",$H1129="Mahsup"),"",$G1129&amp;"|"&amp;COUNTIFS($G$7:$G1129,$G1129,$H$7:$H1129,"&lt;&gt;Mahsup"))</f>
        <v/>
      </c>
    </row>
    <row r="1130" spans="1:21" ht="18" customHeight="1" x14ac:dyDescent="0.3">
      <c r="A1130" s="2"/>
      <c r="B1130" s="65" t="str">
        <f t="shared" si="85"/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 t="shared" si="86"/>
        <v/>
      </c>
      <c r="M1130" s="65" t="str">
        <f t="shared" ca="1" si="87"/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88"/>
        <v/>
      </c>
      <c r="S1130" s="1" t="str">
        <f t="shared" si="89"/>
        <v/>
      </c>
      <c r="T1130" s="1">
        <f>IF($E1130="",0,SUMPRODUCT((AY_SONU!$O$7:$O$42="Evet")*(AY_SONU!$B$7:$B$42=DATE(YEAR($E1130),MONTH($E1130),1))))</f>
        <v>0</v>
      </c>
      <c r="U1130" s="1" t="str">
        <f>IF(OR($G1130="",$H1130="Mahsup"),"",$G1130&amp;"|"&amp;COUNTIFS($G$7:$G1130,$G1130,$H$7:$H1130,"&lt;&gt;Mahsup"))</f>
        <v/>
      </c>
    </row>
    <row r="1131" spans="1:21" ht="18" customHeight="1" x14ac:dyDescent="0.3">
      <c r="A1131" s="2"/>
      <c r="B1131" s="65" t="str">
        <f t="shared" si="85"/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 t="shared" si="86"/>
        <v/>
      </c>
      <c r="M1131" s="65" t="str">
        <f t="shared" ca="1" si="87"/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88"/>
        <v/>
      </c>
      <c r="S1131" s="1" t="str">
        <f t="shared" si="89"/>
        <v/>
      </c>
      <c r="T1131" s="1">
        <f>IF($E1131="",0,SUMPRODUCT((AY_SONU!$O$7:$O$42="Evet")*(AY_SONU!$B$7:$B$42=DATE(YEAR($E1131),MONTH($E1131),1))))</f>
        <v>0</v>
      </c>
      <c r="U1131" s="1" t="str">
        <f>IF(OR($G1131="",$H1131="Mahsup"),"",$G1131&amp;"|"&amp;COUNTIFS($G$7:$G1131,$G1131,$H$7:$H1131,"&lt;&gt;Mahsup"))</f>
        <v/>
      </c>
    </row>
    <row r="1132" spans="1:21" ht="18" customHeight="1" x14ac:dyDescent="0.3">
      <c r="A1132" s="2"/>
      <c r="B1132" s="65" t="str">
        <f t="shared" si="85"/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 t="shared" si="86"/>
        <v/>
      </c>
      <c r="M1132" s="65" t="str">
        <f t="shared" ca="1" si="87"/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88"/>
        <v/>
      </c>
      <c r="S1132" s="1" t="str">
        <f t="shared" si="89"/>
        <v/>
      </c>
      <c r="T1132" s="1">
        <f>IF($E1132="",0,SUMPRODUCT((AY_SONU!$O$7:$O$42="Evet")*(AY_SONU!$B$7:$B$42=DATE(YEAR($E1132),MONTH($E1132),1))))</f>
        <v>0</v>
      </c>
      <c r="U1132" s="1" t="str">
        <f>IF(OR($G1132="",$H1132="Mahsup"),"",$G1132&amp;"|"&amp;COUNTIFS($G$7:$G1132,$G1132,$H$7:$H1132,"&lt;&gt;Mahsup"))</f>
        <v/>
      </c>
    </row>
    <row r="1133" spans="1:21" ht="18" customHeight="1" x14ac:dyDescent="0.3">
      <c r="A1133" s="2"/>
      <c r="B1133" s="65" t="str">
        <f t="shared" si="85"/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 t="shared" si="86"/>
        <v/>
      </c>
      <c r="M1133" s="65" t="str">
        <f t="shared" ca="1" si="87"/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88"/>
        <v/>
      </c>
      <c r="S1133" s="1" t="str">
        <f t="shared" si="89"/>
        <v/>
      </c>
      <c r="T1133" s="1">
        <f>IF($E1133="",0,SUMPRODUCT((AY_SONU!$O$7:$O$42="Evet")*(AY_SONU!$B$7:$B$42=DATE(YEAR($E1133),MONTH($E1133),1))))</f>
        <v>0</v>
      </c>
      <c r="U1133" s="1" t="str">
        <f>IF(OR($G1133="",$H1133="Mahsup"),"",$G1133&amp;"|"&amp;COUNTIFS($G$7:$G1133,$G1133,$H$7:$H1133,"&lt;&gt;Mahsup"))</f>
        <v/>
      </c>
    </row>
    <row r="1134" spans="1:21" ht="18" customHeight="1" x14ac:dyDescent="0.3">
      <c r="A1134" s="2"/>
      <c r="B1134" s="65" t="str">
        <f t="shared" si="85"/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 t="shared" si="86"/>
        <v/>
      </c>
      <c r="M1134" s="65" t="str">
        <f t="shared" ca="1" si="87"/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88"/>
        <v/>
      </c>
      <c r="S1134" s="1" t="str">
        <f t="shared" si="89"/>
        <v/>
      </c>
      <c r="T1134" s="1">
        <f>IF($E1134="",0,SUMPRODUCT((AY_SONU!$O$7:$O$42="Evet")*(AY_SONU!$B$7:$B$42=DATE(YEAR($E1134),MONTH($E1134),1))))</f>
        <v>0</v>
      </c>
      <c r="U1134" s="1" t="str">
        <f>IF(OR($G1134="",$H1134="Mahsup"),"",$G1134&amp;"|"&amp;COUNTIFS($G$7:$G1134,$G1134,$H$7:$H1134,"&lt;&gt;Mahsup"))</f>
        <v/>
      </c>
    </row>
    <row r="1135" spans="1:21" ht="18" customHeight="1" x14ac:dyDescent="0.3">
      <c r="A1135" s="2"/>
      <c r="B1135" s="65" t="str">
        <f t="shared" si="85"/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 t="shared" si="86"/>
        <v/>
      </c>
      <c r="M1135" s="65" t="str">
        <f t="shared" ca="1" si="87"/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88"/>
        <v/>
      </c>
      <c r="S1135" s="1" t="str">
        <f t="shared" si="89"/>
        <v/>
      </c>
      <c r="T1135" s="1">
        <f>IF($E1135="",0,SUMPRODUCT((AY_SONU!$O$7:$O$42="Evet")*(AY_SONU!$B$7:$B$42=DATE(YEAR($E1135),MONTH($E1135),1))))</f>
        <v>0</v>
      </c>
      <c r="U1135" s="1" t="str">
        <f>IF(OR($G1135="",$H1135="Mahsup"),"",$G1135&amp;"|"&amp;COUNTIFS($G$7:$G1135,$G1135,$H$7:$H1135,"&lt;&gt;Mahsup"))</f>
        <v/>
      </c>
    </row>
    <row r="1136" spans="1:21" ht="18" customHeight="1" x14ac:dyDescent="0.3">
      <c r="A1136" s="2"/>
      <c r="B1136" s="65" t="str">
        <f t="shared" si="85"/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 t="shared" si="86"/>
        <v/>
      </c>
      <c r="M1136" s="65" t="str">
        <f t="shared" ca="1" si="87"/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88"/>
        <v/>
      </c>
      <c r="S1136" s="1" t="str">
        <f t="shared" si="89"/>
        <v/>
      </c>
      <c r="T1136" s="1">
        <f>IF($E1136="",0,SUMPRODUCT((AY_SONU!$O$7:$O$42="Evet")*(AY_SONU!$B$7:$B$42=DATE(YEAR($E1136),MONTH($E1136),1))))</f>
        <v>0</v>
      </c>
      <c r="U1136" s="1" t="str">
        <f>IF(OR($G1136="",$H1136="Mahsup"),"",$G1136&amp;"|"&amp;COUNTIFS($G$7:$G1136,$G1136,$H$7:$H1136,"&lt;&gt;Mahsup"))</f>
        <v/>
      </c>
    </row>
    <row r="1137" spans="1:21" ht="18" customHeight="1" x14ac:dyDescent="0.3">
      <c r="A1137" s="2"/>
      <c r="B1137" s="65" t="str">
        <f t="shared" si="85"/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 t="shared" si="86"/>
        <v/>
      </c>
      <c r="M1137" s="65" t="str">
        <f t="shared" ca="1" si="87"/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88"/>
        <v/>
      </c>
      <c r="S1137" s="1" t="str">
        <f t="shared" si="89"/>
        <v/>
      </c>
      <c r="T1137" s="1">
        <f>IF($E1137="",0,SUMPRODUCT((AY_SONU!$O$7:$O$42="Evet")*(AY_SONU!$B$7:$B$42=DATE(YEAR($E1137),MONTH($E1137),1))))</f>
        <v>0</v>
      </c>
      <c r="U1137" s="1" t="str">
        <f>IF(OR($G1137="",$H1137="Mahsup"),"",$G1137&amp;"|"&amp;COUNTIFS($G$7:$G1137,$G1137,$H$7:$H1137,"&lt;&gt;Mahsup"))</f>
        <v/>
      </c>
    </row>
    <row r="1138" spans="1:21" ht="18" customHeight="1" x14ac:dyDescent="0.3">
      <c r="A1138" s="2"/>
      <c r="B1138" s="65" t="str">
        <f t="shared" si="85"/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 t="shared" si="86"/>
        <v/>
      </c>
      <c r="M1138" s="65" t="str">
        <f t="shared" ca="1" si="87"/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88"/>
        <v/>
      </c>
      <c r="S1138" s="1" t="str">
        <f t="shared" si="89"/>
        <v/>
      </c>
      <c r="T1138" s="1">
        <f>IF($E1138="",0,SUMPRODUCT((AY_SONU!$O$7:$O$42="Evet")*(AY_SONU!$B$7:$B$42=DATE(YEAR($E1138),MONTH($E1138),1))))</f>
        <v>0</v>
      </c>
      <c r="U1138" s="1" t="str">
        <f>IF(OR($G1138="",$H1138="Mahsup"),"",$G1138&amp;"|"&amp;COUNTIFS($G$7:$G1138,$G1138,$H$7:$H1138,"&lt;&gt;Mahsup"))</f>
        <v/>
      </c>
    </row>
    <row r="1139" spans="1:21" ht="18" customHeight="1" x14ac:dyDescent="0.3">
      <c r="A1139" s="2"/>
      <c r="B1139" s="65" t="str">
        <f t="shared" si="85"/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 t="shared" si="86"/>
        <v/>
      </c>
      <c r="M1139" s="65" t="str">
        <f t="shared" ca="1" si="87"/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88"/>
        <v/>
      </c>
      <c r="S1139" s="1" t="str">
        <f t="shared" si="89"/>
        <v/>
      </c>
      <c r="T1139" s="1">
        <f>IF($E1139="",0,SUMPRODUCT((AY_SONU!$O$7:$O$42="Evet")*(AY_SONU!$B$7:$B$42=DATE(YEAR($E1139),MONTH($E1139),1))))</f>
        <v>0</v>
      </c>
      <c r="U1139" s="1" t="str">
        <f>IF(OR($G1139="",$H1139="Mahsup"),"",$G1139&amp;"|"&amp;COUNTIFS($G$7:$G1139,$G1139,$H$7:$H1139,"&lt;&gt;Mahsup"))</f>
        <v/>
      </c>
    </row>
    <row r="1140" spans="1:21" ht="18" customHeight="1" x14ac:dyDescent="0.3">
      <c r="A1140" s="2"/>
      <c r="B1140" s="65" t="str">
        <f t="shared" si="85"/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 t="shared" si="86"/>
        <v/>
      </c>
      <c r="M1140" s="65" t="str">
        <f t="shared" ca="1" si="87"/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88"/>
        <v/>
      </c>
      <c r="S1140" s="1" t="str">
        <f t="shared" si="89"/>
        <v/>
      </c>
      <c r="T1140" s="1">
        <f>IF($E1140="",0,SUMPRODUCT((AY_SONU!$O$7:$O$42="Evet")*(AY_SONU!$B$7:$B$42=DATE(YEAR($E1140),MONTH($E1140),1))))</f>
        <v>0</v>
      </c>
      <c r="U1140" s="1" t="str">
        <f>IF(OR($G1140="",$H1140="Mahsup"),"",$G1140&amp;"|"&amp;COUNTIFS($G$7:$G1140,$G1140,$H$7:$H1140,"&lt;&gt;Mahsup"))</f>
        <v/>
      </c>
    </row>
    <row r="1141" spans="1:21" ht="18" customHeight="1" x14ac:dyDescent="0.3">
      <c r="A1141" s="2"/>
      <c r="B1141" s="65" t="str">
        <f t="shared" si="85"/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 t="shared" si="86"/>
        <v/>
      </c>
      <c r="M1141" s="65" t="str">
        <f t="shared" ca="1" si="87"/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88"/>
        <v/>
      </c>
      <c r="S1141" s="1" t="str">
        <f t="shared" si="89"/>
        <v/>
      </c>
      <c r="T1141" s="1">
        <f>IF($E1141="",0,SUMPRODUCT((AY_SONU!$O$7:$O$42="Evet")*(AY_SONU!$B$7:$B$42=DATE(YEAR($E1141),MONTH($E1141),1))))</f>
        <v>0</v>
      </c>
      <c r="U1141" s="1" t="str">
        <f>IF(OR($G1141="",$H1141="Mahsup"),"",$G1141&amp;"|"&amp;COUNTIFS($G$7:$G1141,$G1141,$H$7:$H1141,"&lt;&gt;Mahsup"))</f>
        <v/>
      </c>
    </row>
    <row r="1142" spans="1:21" ht="18" customHeight="1" x14ac:dyDescent="0.3">
      <c r="A1142" s="2"/>
      <c r="B1142" s="65" t="str">
        <f t="shared" si="85"/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 t="shared" si="86"/>
        <v/>
      </c>
      <c r="M1142" s="65" t="str">
        <f t="shared" ca="1" si="87"/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88"/>
        <v/>
      </c>
      <c r="S1142" s="1" t="str">
        <f t="shared" si="89"/>
        <v/>
      </c>
      <c r="T1142" s="1">
        <f>IF($E1142="",0,SUMPRODUCT((AY_SONU!$O$7:$O$42="Evet")*(AY_SONU!$B$7:$B$42=DATE(YEAR($E1142),MONTH($E1142),1))))</f>
        <v>0</v>
      </c>
      <c r="U1142" s="1" t="str">
        <f>IF(OR($G1142="",$H1142="Mahsup"),"",$G1142&amp;"|"&amp;COUNTIFS($G$7:$G1142,$G1142,$H$7:$H1142,"&lt;&gt;Mahsup"))</f>
        <v/>
      </c>
    </row>
    <row r="1143" spans="1:21" ht="18" customHeight="1" x14ac:dyDescent="0.3">
      <c r="A1143" s="2"/>
      <c r="B1143" s="65" t="str">
        <f t="shared" si="85"/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 t="shared" si="86"/>
        <v/>
      </c>
      <c r="M1143" s="65" t="str">
        <f t="shared" ca="1" si="87"/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88"/>
        <v/>
      </c>
      <c r="S1143" s="1" t="str">
        <f t="shared" si="89"/>
        <v/>
      </c>
      <c r="T1143" s="1">
        <f>IF($E1143="",0,SUMPRODUCT((AY_SONU!$O$7:$O$42="Evet")*(AY_SONU!$B$7:$B$42=DATE(YEAR($E1143),MONTH($E1143),1))))</f>
        <v>0</v>
      </c>
      <c r="U1143" s="1" t="str">
        <f>IF(OR($G1143="",$H1143="Mahsup"),"",$G1143&amp;"|"&amp;COUNTIFS($G$7:$G1143,$G1143,$H$7:$H1143,"&lt;&gt;Mahsup"))</f>
        <v/>
      </c>
    </row>
    <row r="1144" spans="1:21" ht="18" customHeight="1" x14ac:dyDescent="0.3">
      <c r="A1144" s="2"/>
      <c r="B1144" s="65" t="str">
        <f t="shared" si="85"/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 t="shared" si="86"/>
        <v/>
      </c>
      <c r="M1144" s="65" t="str">
        <f t="shared" ca="1" si="87"/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88"/>
        <v/>
      </c>
      <c r="S1144" s="1" t="str">
        <f t="shared" si="89"/>
        <v/>
      </c>
      <c r="T1144" s="1">
        <f>IF($E1144="",0,SUMPRODUCT((AY_SONU!$O$7:$O$42="Evet")*(AY_SONU!$B$7:$B$42=DATE(YEAR($E1144),MONTH($E1144),1))))</f>
        <v>0</v>
      </c>
      <c r="U1144" s="1" t="str">
        <f>IF(OR($G1144="",$H1144="Mahsup"),"",$G1144&amp;"|"&amp;COUNTIFS($G$7:$G1144,$G1144,$H$7:$H1144,"&lt;&gt;Mahsup"))</f>
        <v/>
      </c>
    </row>
    <row r="1145" spans="1:21" ht="18" customHeight="1" x14ac:dyDescent="0.3">
      <c r="A1145" s="2"/>
      <c r="B1145" s="65" t="str">
        <f t="shared" si="85"/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 t="shared" si="86"/>
        <v/>
      </c>
      <c r="M1145" s="65" t="str">
        <f t="shared" ca="1" si="87"/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88"/>
        <v/>
      </c>
      <c r="S1145" s="1" t="str">
        <f t="shared" si="89"/>
        <v/>
      </c>
      <c r="T1145" s="1">
        <f>IF($E1145="",0,SUMPRODUCT((AY_SONU!$O$7:$O$42="Evet")*(AY_SONU!$B$7:$B$42=DATE(YEAR($E1145),MONTH($E1145),1))))</f>
        <v>0</v>
      </c>
      <c r="U1145" s="1" t="str">
        <f>IF(OR($G1145="",$H1145="Mahsup"),"",$G1145&amp;"|"&amp;COUNTIFS($G$7:$G1145,$G1145,$H$7:$H1145,"&lt;&gt;Mahsup"))</f>
        <v/>
      </c>
    </row>
    <row r="1146" spans="1:21" ht="18" customHeight="1" x14ac:dyDescent="0.3">
      <c r="A1146" s="2"/>
      <c r="B1146" s="65" t="str">
        <f t="shared" si="85"/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 t="shared" si="86"/>
        <v/>
      </c>
      <c r="M1146" s="65" t="str">
        <f t="shared" ca="1" si="87"/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88"/>
        <v/>
      </c>
      <c r="S1146" s="1" t="str">
        <f t="shared" si="89"/>
        <v/>
      </c>
      <c r="T1146" s="1">
        <f>IF($E1146="",0,SUMPRODUCT((AY_SONU!$O$7:$O$42="Evet")*(AY_SONU!$B$7:$B$42=DATE(YEAR($E1146),MONTH($E1146),1))))</f>
        <v>0</v>
      </c>
      <c r="U1146" s="1" t="str">
        <f>IF(OR($G1146="",$H1146="Mahsup"),"",$G1146&amp;"|"&amp;COUNTIFS($G$7:$G1146,$G1146,$H$7:$H1146,"&lt;&gt;Mahsup"))</f>
        <v/>
      </c>
    </row>
    <row r="1147" spans="1:21" ht="18" customHeight="1" x14ac:dyDescent="0.3">
      <c r="A1147" s="2"/>
      <c r="B1147" s="65" t="str">
        <f t="shared" si="85"/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 t="shared" si="86"/>
        <v/>
      </c>
      <c r="M1147" s="65" t="str">
        <f t="shared" ca="1" si="87"/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88"/>
        <v/>
      </c>
      <c r="S1147" s="1" t="str">
        <f t="shared" si="89"/>
        <v/>
      </c>
      <c r="T1147" s="1">
        <f>IF($E1147="",0,SUMPRODUCT((AY_SONU!$O$7:$O$42="Evet")*(AY_SONU!$B$7:$B$42=DATE(YEAR($E1147),MONTH($E1147),1))))</f>
        <v>0</v>
      </c>
      <c r="U1147" s="1" t="str">
        <f>IF(OR($G1147="",$H1147="Mahsup"),"",$G1147&amp;"|"&amp;COUNTIFS($G$7:$G1147,$G1147,$H$7:$H1147,"&lt;&gt;Mahsup"))</f>
        <v/>
      </c>
    </row>
    <row r="1148" spans="1:21" ht="18" customHeight="1" x14ac:dyDescent="0.3">
      <c r="A1148" s="2"/>
      <c r="B1148" s="65" t="str">
        <f t="shared" si="85"/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 t="shared" si="86"/>
        <v/>
      </c>
      <c r="M1148" s="65" t="str">
        <f t="shared" ca="1" si="87"/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88"/>
        <v/>
      </c>
      <c r="S1148" s="1" t="str">
        <f t="shared" si="89"/>
        <v/>
      </c>
      <c r="T1148" s="1">
        <f>IF($E1148="",0,SUMPRODUCT((AY_SONU!$O$7:$O$42="Evet")*(AY_SONU!$B$7:$B$42=DATE(YEAR($E1148),MONTH($E1148),1))))</f>
        <v>0</v>
      </c>
      <c r="U1148" s="1" t="str">
        <f>IF(OR($G1148="",$H1148="Mahsup"),"",$G1148&amp;"|"&amp;COUNTIFS($G$7:$G1148,$G1148,$H$7:$H1148,"&lt;&gt;Mahsup"))</f>
        <v/>
      </c>
    </row>
    <row r="1149" spans="1:21" ht="18" customHeight="1" x14ac:dyDescent="0.3">
      <c r="A1149" s="2"/>
      <c r="B1149" s="65" t="str">
        <f t="shared" si="85"/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 t="shared" si="86"/>
        <v/>
      </c>
      <c r="M1149" s="65" t="str">
        <f t="shared" ca="1" si="87"/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88"/>
        <v/>
      </c>
      <c r="S1149" s="1" t="str">
        <f t="shared" si="89"/>
        <v/>
      </c>
      <c r="T1149" s="1">
        <f>IF($E1149="",0,SUMPRODUCT((AY_SONU!$O$7:$O$42="Evet")*(AY_SONU!$B$7:$B$42=DATE(YEAR($E1149),MONTH($E1149),1))))</f>
        <v>0</v>
      </c>
      <c r="U1149" s="1" t="str">
        <f>IF(OR($G1149="",$H1149="Mahsup"),"",$G1149&amp;"|"&amp;COUNTIFS($G$7:$G1149,$G1149,$H$7:$H1149,"&lt;&gt;Mahsup"))</f>
        <v/>
      </c>
    </row>
    <row r="1150" spans="1:21" ht="18" customHeight="1" x14ac:dyDescent="0.3">
      <c r="A1150" s="2"/>
      <c r="B1150" s="65" t="str">
        <f t="shared" si="85"/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 t="shared" si="86"/>
        <v/>
      </c>
      <c r="M1150" s="65" t="str">
        <f t="shared" ca="1" si="87"/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88"/>
        <v/>
      </c>
      <c r="S1150" s="1" t="str">
        <f t="shared" si="89"/>
        <v/>
      </c>
      <c r="T1150" s="1">
        <f>IF($E1150="",0,SUMPRODUCT((AY_SONU!$O$7:$O$42="Evet")*(AY_SONU!$B$7:$B$42=DATE(YEAR($E1150),MONTH($E1150),1))))</f>
        <v>0</v>
      </c>
      <c r="U1150" s="1" t="str">
        <f>IF(OR($G1150="",$H1150="Mahsup"),"",$G1150&amp;"|"&amp;COUNTIFS($G$7:$G1150,$G1150,$H$7:$H1150,"&lt;&gt;Mahsup"))</f>
        <v/>
      </c>
    </row>
    <row r="1151" spans="1:21" ht="18" customHeight="1" x14ac:dyDescent="0.3">
      <c r="A1151" s="2"/>
      <c r="B1151" s="65" t="str">
        <f t="shared" si="85"/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 t="shared" si="86"/>
        <v/>
      </c>
      <c r="M1151" s="65" t="str">
        <f t="shared" ca="1" si="87"/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88"/>
        <v/>
      </c>
      <c r="S1151" s="1" t="str">
        <f t="shared" si="89"/>
        <v/>
      </c>
      <c r="T1151" s="1">
        <f>IF($E1151="",0,SUMPRODUCT((AY_SONU!$O$7:$O$42="Evet")*(AY_SONU!$B$7:$B$42=DATE(YEAR($E1151),MONTH($E1151),1))))</f>
        <v>0</v>
      </c>
      <c r="U1151" s="1" t="str">
        <f>IF(OR($G1151="",$H1151="Mahsup"),"",$G1151&amp;"|"&amp;COUNTIFS($G$7:$G1151,$G1151,$H$7:$H1151,"&lt;&gt;Mahsup"))</f>
        <v/>
      </c>
    </row>
    <row r="1152" spans="1:21" ht="18" customHeight="1" x14ac:dyDescent="0.3">
      <c r="A1152" s="2"/>
      <c r="B1152" s="65" t="str">
        <f t="shared" si="85"/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 t="shared" si="86"/>
        <v/>
      </c>
      <c r="M1152" s="65" t="str">
        <f t="shared" ca="1" si="87"/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88"/>
        <v/>
      </c>
      <c r="S1152" s="1" t="str">
        <f t="shared" si="89"/>
        <v/>
      </c>
      <c r="T1152" s="1">
        <f>IF($E1152="",0,SUMPRODUCT((AY_SONU!$O$7:$O$42="Evet")*(AY_SONU!$B$7:$B$42=DATE(YEAR($E1152),MONTH($E1152),1))))</f>
        <v>0</v>
      </c>
      <c r="U1152" s="1" t="str">
        <f>IF(OR($G1152="",$H1152="Mahsup"),"",$G1152&amp;"|"&amp;COUNTIFS($G$7:$G1152,$G1152,$H$7:$H1152,"&lt;&gt;Mahsup"))</f>
        <v/>
      </c>
    </row>
    <row r="1153" spans="1:21" ht="18" customHeight="1" x14ac:dyDescent="0.3">
      <c r="A1153" s="2"/>
      <c r="B1153" s="65" t="str">
        <f t="shared" si="85"/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 t="shared" si="86"/>
        <v/>
      </c>
      <c r="M1153" s="65" t="str">
        <f t="shared" ca="1" si="87"/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88"/>
        <v/>
      </c>
      <c r="S1153" s="1" t="str">
        <f t="shared" si="89"/>
        <v/>
      </c>
      <c r="T1153" s="1">
        <f>IF($E1153="",0,SUMPRODUCT((AY_SONU!$O$7:$O$42="Evet")*(AY_SONU!$B$7:$B$42=DATE(YEAR($E1153),MONTH($E1153),1))))</f>
        <v>0</v>
      </c>
      <c r="U1153" s="1" t="str">
        <f>IF(OR($G1153="",$H1153="Mahsup"),"",$G1153&amp;"|"&amp;COUNTIFS($G$7:$G1153,$G1153,$H$7:$H1153,"&lt;&gt;Mahsup"))</f>
        <v/>
      </c>
    </row>
    <row r="1154" spans="1:21" ht="18" customHeight="1" x14ac:dyDescent="0.3">
      <c r="A1154" s="2"/>
      <c r="B1154" s="65" t="str">
        <f t="shared" si="85"/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 t="shared" si="86"/>
        <v/>
      </c>
      <c r="M1154" s="65" t="str">
        <f t="shared" ca="1" si="87"/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88"/>
        <v/>
      </c>
      <c r="S1154" s="1" t="str">
        <f t="shared" si="89"/>
        <v/>
      </c>
      <c r="T1154" s="1">
        <f>IF($E1154="",0,SUMPRODUCT((AY_SONU!$O$7:$O$42="Evet")*(AY_SONU!$B$7:$B$42=DATE(YEAR($E1154),MONTH($E1154),1))))</f>
        <v>0</v>
      </c>
      <c r="U1154" s="1" t="str">
        <f>IF(OR($G1154="",$H1154="Mahsup"),"",$G1154&amp;"|"&amp;COUNTIFS($G$7:$G1154,$G1154,$H$7:$H1154,"&lt;&gt;Mahsup"))</f>
        <v/>
      </c>
    </row>
    <row r="1155" spans="1:21" ht="18" customHeight="1" x14ac:dyDescent="0.3">
      <c r="A1155" s="2"/>
      <c r="B1155" s="65" t="str">
        <f t="shared" si="85"/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 t="shared" si="86"/>
        <v/>
      </c>
      <c r="M1155" s="65" t="str">
        <f t="shared" ca="1" si="87"/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88"/>
        <v/>
      </c>
      <c r="S1155" s="1" t="str">
        <f t="shared" si="89"/>
        <v/>
      </c>
      <c r="T1155" s="1">
        <f>IF($E1155="",0,SUMPRODUCT((AY_SONU!$O$7:$O$42="Evet")*(AY_SONU!$B$7:$B$42=DATE(YEAR($E1155),MONTH($E1155),1))))</f>
        <v>0</v>
      </c>
      <c r="U1155" s="1" t="str">
        <f>IF(OR($G1155="",$H1155="Mahsup"),"",$G1155&amp;"|"&amp;COUNTIFS($G$7:$G1155,$G1155,$H$7:$H1155,"&lt;&gt;Mahsup"))</f>
        <v/>
      </c>
    </row>
    <row r="1156" spans="1:21" ht="18" customHeight="1" x14ac:dyDescent="0.3">
      <c r="A1156" s="2"/>
      <c r="B1156" s="65" t="str">
        <f t="shared" si="85"/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 t="shared" si="86"/>
        <v/>
      </c>
      <c r="M1156" s="65" t="str">
        <f t="shared" ca="1" si="87"/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88"/>
        <v/>
      </c>
      <c r="S1156" s="1" t="str">
        <f t="shared" si="89"/>
        <v/>
      </c>
      <c r="T1156" s="1">
        <f>IF($E1156="",0,SUMPRODUCT((AY_SONU!$O$7:$O$42="Evet")*(AY_SONU!$B$7:$B$42=DATE(YEAR($E1156),MONTH($E1156),1))))</f>
        <v>0</v>
      </c>
      <c r="U1156" s="1" t="str">
        <f>IF(OR($G1156="",$H1156="Mahsup"),"",$G1156&amp;"|"&amp;COUNTIFS($G$7:$G1156,$G1156,$H$7:$H1156,"&lt;&gt;Mahsup"))</f>
        <v/>
      </c>
    </row>
    <row r="1157" spans="1:21" ht="18" customHeight="1" x14ac:dyDescent="0.3">
      <c r="A1157" s="2"/>
      <c r="B1157" s="65" t="str">
        <f t="shared" si="85"/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 t="shared" si="86"/>
        <v/>
      </c>
      <c r="M1157" s="65" t="str">
        <f t="shared" ca="1" si="87"/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88"/>
        <v/>
      </c>
      <c r="S1157" s="1" t="str">
        <f t="shared" si="89"/>
        <v/>
      </c>
      <c r="T1157" s="1">
        <f>IF($E1157="",0,SUMPRODUCT((AY_SONU!$O$7:$O$42="Evet")*(AY_SONU!$B$7:$B$42=DATE(YEAR($E1157),MONTH($E1157),1))))</f>
        <v>0</v>
      </c>
      <c r="U1157" s="1" t="str">
        <f>IF(OR($G1157="",$H1157="Mahsup"),"",$G1157&amp;"|"&amp;COUNTIFS($G$7:$G1157,$G1157,$H$7:$H1157,"&lt;&gt;Mahsup"))</f>
        <v/>
      </c>
    </row>
    <row r="1158" spans="1:21" ht="18" customHeight="1" x14ac:dyDescent="0.3">
      <c r="A1158" s="2"/>
      <c r="B1158" s="65" t="str">
        <f t="shared" si="85"/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 t="shared" si="86"/>
        <v/>
      </c>
      <c r="M1158" s="65" t="str">
        <f t="shared" ca="1" si="87"/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88"/>
        <v/>
      </c>
      <c r="S1158" s="1" t="str">
        <f t="shared" si="89"/>
        <v/>
      </c>
      <c r="T1158" s="1">
        <f>IF($E1158="",0,SUMPRODUCT((AY_SONU!$O$7:$O$42="Evet")*(AY_SONU!$B$7:$B$42=DATE(YEAR($E1158),MONTH($E1158),1))))</f>
        <v>0</v>
      </c>
      <c r="U1158" s="1" t="str">
        <f>IF(OR($G1158="",$H1158="Mahsup"),"",$G1158&amp;"|"&amp;COUNTIFS($G$7:$G1158,$G1158,$H$7:$H1158,"&lt;&gt;Mahsup"))</f>
        <v/>
      </c>
    </row>
    <row r="1159" spans="1:21" ht="18" customHeight="1" x14ac:dyDescent="0.3">
      <c r="A1159" s="2"/>
      <c r="B1159" s="65" t="str">
        <f t="shared" ref="B1159:B1222" si="90"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 t="shared" ref="L1159:L1222" si="91">IF($E1159="","",DATE(YEAR($E1159),MONTH($E1159),1))</f>
        <v/>
      </c>
      <c r="M1159" s="65" t="str">
        <f t="shared" ref="M1159:M1222" ca="1" si="92"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93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94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  <c r="U1159" s="1" t="str">
        <f>IF(OR($G1159="",$H1159="Mahsup"),"",$G1159&amp;"|"&amp;COUNTIFS($G$7:$G1159,$G1159,$H$7:$H1159,"&lt;&gt;Mahsup"))</f>
        <v/>
      </c>
    </row>
    <row r="1160" spans="1:21" ht="18" customHeight="1" x14ac:dyDescent="0.3">
      <c r="A1160" s="2"/>
      <c r="B1160" s="65" t="str">
        <f t="shared" si="90"/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 t="shared" si="91"/>
        <v/>
      </c>
      <c r="M1160" s="65" t="str">
        <f t="shared" ca="1" si="92"/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93"/>
        <v/>
      </c>
      <c r="S1160" s="1" t="str">
        <f t="shared" si="94"/>
        <v/>
      </c>
      <c r="T1160" s="1">
        <f>IF($E1160="",0,SUMPRODUCT((AY_SONU!$O$7:$O$42="Evet")*(AY_SONU!$B$7:$B$42=DATE(YEAR($E1160),MONTH($E1160),1))))</f>
        <v>0</v>
      </c>
      <c r="U1160" s="1" t="str">
        <f>IF(OR($G1160="",$H1160="Mahsup"),"",$G1160&amp;"|"&amp;COUNTIFS($G$7:$G1160,$G1160,$H$7:$H1160,"&lt;&gt;Mahsup"))</f>
        <v/>
      </c>
    </row>
    <row r="1161" spans="1:21" ht="18" customHeight="1" x14ac:dyDescent="0.3">
      <c r="A1161" s="2"/>
      <c r="B1161" s="65" t="str">
        <f t="shared" si="90"/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 t="shared" si="91"/>
        <v/>
      </c>
      <c r="M1161" s="65" t="str">
        <f t="shared" ca="1" si="92"/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93"/>
        <v/>
      </c>
      <c r="S1161" s="1" t="str">
        <f t="shared" si="94"/>
        <v/>
      </c>
      <c r="T1161" s="1">
        <f>IF($E1161="",0,SUMPRODUCT((AY_SONU!$O$7:$O$42="Evet")*(AY_SONU!$B$7:$B$42=DATE(YEAR($E1161),MONTH($E1161),1))))</f>
        <v>0</v>
      </c>
      <c r="U1161" s="1" t="str">
        <f>IF(OR($G1161="",$H1161="Mahsup"),"",$G1161&amp;"|"&amp;COUNTIFS($G$7:$G1161,$G1161,$H$7:$H1161,"&lt;&gt;Mahsup"))</f>
        <v/>
      </c>
    </row>
    <row r="1162" spans="1:21" ht="18" customHeight="1" x14ac:dyDescent="0.3">
      <c r="A1162" s="2"/>
      <c r="B1162" s="65" t="str">
        <f t="shared" si="90"/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 t="shared" si="91"/>
        <v/>
      </c>
      <c r="M1162" s="65" t="str">
        <f t="shared" ca="1" si="92"/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93"/>
        <v/>
      </c>
      <c r="S1162" s="1" t="str">
        <f t="shared" si="94"/>
        <v/>
      </c>
      <c r="T1162" s="1">
        <f>IF($E1162="",0,SUMPRODUCT((AY_SONU!$O$7:$O$42="Evet")*(AY_SONU!$B$7:$B$42=DATE(YEAR($E1162),MONTH($E1162),1))))</f>
        <v>0</v>
      </c>
      <c r="U1162" s="1" t="str">
        <f>IF(OR($G1162="",$H1162="Mahsup"),"",$G1162&amp;"|"&amp;COUNTIFS($G$7:$G1162,$G1162,$H$7:$H1162,"&lt;&gt;Mahsup"))</f>
        <v/>
      </c>
    </row>
    <row r="1163" spans="1:21" ht="18" customHeight="1" x14ac:dyDescent="0.3">
      <c r="A1163" s="2"/>
      <c r="B1163" s="65" t="str">
        <f t="shared" si="90"/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 t="shared" si="91"/>
        <v/>
      </c>
      <c r="M1163" s="65" t="str">
        <f t="shared" ca="1" si="92"/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93"/>
        <v/>
      </c>
      <c r="S1163" s="1" t="str">
        <f t="shared" si="94"/>
        <v/>
      </c>
      <c r="T1163" s="1">
        <f>IF($E1163="",0,SUMPRODUCT((AY_SONU!$O$7:$O$42="Evet")*(AY_SONU!$B$7:$B$42=DATE(YEAR($E1163),MONTH($E1163),1))))</f>
        <v>0</v>
      </c>
      <c r="U1163" s="1" t="str">
        <f>IF(OR($G1163="",$H1163="Mahsup"),"",$G1163&amp;"|"&amp;COUNTIFS($G$7:$G1163,$G1163,$H$7:$H1163,"&lt;&gt;Mahsup"))</f>
        <v/>
      </c>
    </row>
    <row r="1164" spans="1:21" ht="18" customHeight="1" x14ac:dyDescent="0.3">
      <c r="A1164" s="2"/>
      <c r="B1164" s="65" t="str">
        <f t="shared" si="90"/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 t="shared" si="91"/>
        <v/>
      </c>
      <c r="M1164" s="65" t="str">
        <f t="shared" ca="1" si="92"/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93"/>
        <v/>
      </c>
      <c r="S1164" s="1" t="str">
        <f t="shared" si="94"/>
        <v/>
      </c>
      <c r="T1164" s="1">
        <f>IF($E1164="",0,SUMPRODUCT((AY_SONU!$O$7:$O$42="Evet")*(AY_SONU!$B$7:$B$42=DATE(YEAR($E1164),MONTH($E1164),1))))</f>
        <v>0</v>
      </c>
      <c r="U1164" s="1" t="str">
        <f>IF(OR($G1164="",$H1164="Mahsup"),"",$G1164&amp;"|"&amp;COUNTIFS($G$7:$G1164,$G1164,$H$7:$H1164,"&lt;&gt;Mahsup"))</f>
        <v/>
      </c>
    </row>
    <row r="1165" spans="1:21" ht="18" customHeight="1" x14ac:dyDescent="0.3">
      <c r="A1165" s="2"/>
      <c r="B1165" s="65" t="str">
        <f t="shared" si="90"/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 t="shared" si="91"/>
        <v/>
      </c>
      <c r="M1165" s="65" t="str">
        <f t="shared" ca="1" si="92"/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93"/>
        <v/>
      </c>
      <c r="S1165" s="1" t="str">
        <f t="shared" si="94"/>
        <v/>
      </c>
      <c r="T1165" s="1">
        <f>IF($E1165="",0,SUMPRODUCT((AY_SONU!$O$7:$O$42="Evet")*(AY_SONU!$B$7:$B$42=DATE(YEAR($E1165),MONTH($E1165),1))))</f>
        <v>0</v>
      </c>
      <c r="U1165" s="1" t="str">
        <f>IF(OR($G1165="",$H1165="Mahsup"),"",$G1165&amp;"|"&amp;COUNTIFS($G$7:$G1165,$G1165,$H$7:$H1165,"&lt;&gt;Mahsup"))</f>
        <v/>
      </c>
    </row>
    <row r="1166" spans="1:21" ht="18" customHeight="1" x14ac:dyDescent="0.3">
      <c r="A1166" s="2"/>
      <c r="B1166" s="65" t="str">
        <f t="shared" si="90"/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 t="shared" si="91"/>
        <v/>
      </c>
      <c r="M1166" s="65" t="str">
        <f t="shared" ca="1" si="92"/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93"/>
        <v/>
      </c>
      <c r="S1166" s="1" t="str">
        <f t="shared" si="94"/>
        <v/>
      </c>
      <c r="T1166" s="1">
        <f>IF($E1166="",0,SUMPRODUCT((AY_SONU!$O$7:$O$42="Evet")*(AY_SONU!$B$7:$B$42=DATE(YEAR($E1166),MONTH($E1166),1))))</f>
        <v>0</v>
      </c>
      <c r="U1166" s="1" t="str">
        <f>IF(OR($G1166="",$H1166="Mahsup"),"",$G1166&amp;"|"&amp;COUNTIFS($G$7:$G1166,$G1166,$H$7:$H1166,"&lt;&gt;Mahsup"))</f>
        <v/>
      </c>
    </row>
    <row r="1167" spans="1:21" ht="18" customHeight="1" x14ac:dyDescent="0.3">
      <c r="A1167" s="2"/>
      <c r="B1167" s="65" t="str">
        <f t="shared" si="90"/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 t="shared" si="91"/>
        <v/>
      </c>
      <c r="M1167" s="65" t="str">
        <f t="shared" ca="1" si="92"/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93"/>
        <v/>
      </c>
      <c r="S1167" s="1" t="str">
        <f t="shared" si="94"/>
        <v/>
      </c>
      <c r="T1167" s="1">
        <f>IF($E1167="",0,SUMPRODUCT((AY_SONU!$O$7:$O$42="Evet")*(AY_SONU!$B$7:$B$42=DATE(YEAR($E1167),MONTH($E1167),1))))</f>
        <v>0</v>
      </c>
      <c r="U1167" s="1" t="str">
        <f>IF(OR($G1167="",$H1167="Mahsup"),"",$G1167&amp;"|"&amp;COUNTIFS($G$7:$G1167,$G1167,$H$7:$H1167,"&lt;&gt;Mahsup"))</f>
        <v/>
      </c>
    </row>
    <row r="1168" spans="1:21" ht="18" customHeight="1" x14ac:dyDescent="0.3">
      <c r="A1168" s="2"/>
      <c r="B1168" s="65" t="str">
        <f t="shared" si="90"/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 t="shared" si="91"/>
        <v/>
      </c>
      <c r="M1168" s="65" t="str">
        <f t="shared" ca="1" si="92"/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93"/>
        <v/>
      </c>
      <c r="S1168" s="1" t="str">
        <f t="shared" si="94"/>
        <v/>
      </c>
      <c r="T1168" s="1">
        <f>IF($E1168="",0,SUMPRODUCT((AY_SONU!$O$7:$O$42="Evet")*(AY_SONU!$B$7:$B$42=DATE(YEAR($E1168),MONTH($E1168),1))))</f>
        <v>0</v>
      </c>
      <c r="U1168" s="1" t="str">
        <f>IF(OR($G1168="",$H1168="Mahsup"),"",$G1168&amp;"|"&amp;COUNTIFS($G$7:$G1168,$G1168,$H$7:$H1168,"&lt;&gt;Mahsup"))</f>
        <v/>
      </c>
    </row>
    <row r="1169" spans="1:21" ht="18" customHeight="1" x14ac:dyDescent="0.3">
      <c r="A1169" s="2"/>
      <c r="B1169" s="65" t="str">
        <f t="shared" si="90"/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 t="shared" si="91"/>
        <v/>
      </c>
      <c r="M1169" s="65" t="str">
        <f t="shared" ca="1" si="92"/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93"/>
        <v/>
      </c>
      <c r="S1169" s="1" t="str">
        <f t="shared" si="94"/>
        <v/>
      </c>
      <c r="T1169" s="1">
        <f>IF($E1169="",0,SUMPRODUCT((AY_SONU!$O$7:$O$42="Evet")*(AY_SONU!$B$7:$B$42=DATE(YEAR($E1169),MONTH($E1169),1))))</f>
        <v>0</v>
      </c>
      <c r="U1169" s="1" t="str">
        <f>IF(OR($G1169="",$H1169="Mahsup"),"",$G1169&amp;"|"&amp;COUNTIFS($G$7:$G1169,$G1169,$H$7:$H1169,"&lt;&gt;Mahsup"))</f>
        <v/>
      </c>
    </row>
    <row r="1170" spans="1:21" ht="18" customHeight="1" x14ac:dyDescent="0.3">
      <c r="A1170" s="2"/>
      <c r="B1170" s="65" t="str">
        <f t="shared" si="90"/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 t="shared" si="91"/>
        <v/>
      </c>
      <c r="M1170" s="65" t="str">
        <f t="shared" ca="1" si="92"/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93"/>
        <v/>
      </c>
      <c r="S1170" s="1" t="str">
        <f t="shared" si="94"/>
        <v/>
      </c>
      <c r="T1170" s="1">
        <f>IF($E1170="",0,SUMPRODUCT((AY_SONU!$O$7:$O$42="Evet")*(AY_SONU!$B$7:$B$42=DATE(YEAR($E1170),MONTH($E1170),1))))</f>
        <v>0</v>
      </c>
      <c r="U1170" s="1" t="str">
        <f>IF(OR($G1170="",$H1170="Mahsup"),"",$G1170&amp;"|"&amp;COUNTIFS($G$7:$G1170,$G1170,$H$7:$H1170,"&lt;&gt;Mahsup"))</f>
        <v/>
      </c>
    </row>
    <row r="1171" spans="1:21" ht="18" customHeight="1" x14ac:dyDescent="0.3">
      <c r="A1171" s="2"/>
      <c r="B1171" s="65" t="str">
        <f t="shared" si="90"/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 t="shared" si="91"/>
        <v/>
      </c>
      <c r="M1171" s="65" t="str">
        <f t="shared" ca="1" si="92"/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93"/>
        <v/>
      </c>
      <c r="S1171" s="1" t="str">
        <f t="shared" si="94"/>
        <v/>
      </c>
      <c r="T1171" s="1">
        <f>IF($E1171="",0,SUMPRODUCT((AY_SONU!$O$7:$O$42="Evet")*(AY_SONU!$B$7:$B$42=DATE(YEAR($E1171),MONTH($E1171),1))))</f>
        <v>0</v>
      </c>
      <c r="U1171" s="1" t="str">
        <f>IF(OR($G1171="",$H1171="Mahsup"),"",$G1171&amp;"|"&amp;COUNTIFS($G$7:$G1171,$G1171,$H$7:$H1171,"&lt;&gt;Mahsup"))</f>
        <v/>
      </c>
    </row>
    <row r="1172" spans="1:21" ht="18" customHeight="1" x14ac:dyDescent="0.3">
      <c r="A1172" s="2"/>
      <c r="B1172" s="65" t="str">
        <f t="shared" si="90"/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 t="shared" si="91"/>
        <v/>
      </c>
      <c r="M1172" s="65" t="str">
        <f t="shared" ca="1" si="92"/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93"/>
        <v/>
      </c>
      <c r="S1172" s="1" t="str">
        <f t="shared" si="94"/>
        <v/>
      </c>
      <c r="T1172" s="1">
        <f>IF($E1172="",0,SUMPRODUCT((AY_SONU!$O$7:$O$42="Evet")*(AY_SONU!$B$7:$B$42=DATE(YEAR($E1172),MONTH($E1172),1))))</f>
        <v>0</v>
      </c>
      <c r="U1172" s="1" t="str">
        <f>IF(OR($G1172="",$H1172="Mahsup"),"",$G1172&amp;"|"&amp;COUNTIFS($G$7:$G1172,$G1172,$H$7:$H1172,"&lt;&gt;Mahsup"))</f>
        <v/>
      </c>
    </row>
    <row r="1173" spans="1:21" ht="18" customHeight="1" x14ac:dyDescent="0.3">
      <c r="A1173" s="2"/>
      <c r="B1173" s="65" t="str">
        <f t="shared" si="90"/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 t="shared" si="91"/>
        <v/>
      </c>
      <c r="M1173" s="65" t="str">
        <f t="shared" ca="1" si="92"/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93"/>
        <v/>
      </c>
      <c r="S1173" s="1" t="str">
        <f t="shared" si="94"/>
        <v/>
      </c>
      <c r="T1173" s="1">
        <f>IF($E1173="",0,SUMPRODUCT((AY_SONU!$O$7:$O$42="Evet")*(AY_SONU!$B$7:$B$42=DATE(YEAR($E1173),MONTH($E1173),1))))</f>
        <v>0</v>
      </c>
      <c r="U1173" s="1" t="str">
        <f>IF(OR($G1173="",$H1173="Mahsup"),"",$G1173&amp;"|"&amp;COUNTIFS($G$7:$G1173,$G1173,$H$7:$H1173,"&lt;&gt;Mahsup"))</f>
        <v/>
      </c>
    </row>
    <row r="1174" spans="1:21" ht="18" customHeight="1" x14ac:dyDescent="0.3">
      <c r="A1174" s="2"/>
      <c r="B1174" s="65" t="str">
        <f t="shared" si="90"/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 t="shared" si="91"/>
        <v/>
      </c>
      <c r="M1174" s="65" t="str">
        <f t="shared" ca="1" si="92"/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93"/>
        <v/>
      </c>
      <c r="S1174" s="1" t="str">
        <f t="shared" si="94"/>
        <v/>
      </c>
      <c r="T1174" s="1">
        <f>IF($E1174="",0,SUMPRODUCT((AY_SONU!$O$7:$O$42="Evet")*(AY_SONU!$B$7:$B$42=DATE(YEAR($E1174),MONTH($E1174),1))))</f>
        <v>0</v>
      </c>
      <c r="U1174" s="1" t="str">
        <f>IF(OR($G1174="",$H1174="Mahsup"),"",$G1174&amp;"|"&amp;COUNTIFS($G$7:$G1174,$G1174,$H$7:$H1174,"&lt;&gt;Mahsup"))</f>
        <v/>
      </c>
    </row>
    <row r="1175" spans="1:21" ht="18" customHeight="1" x14ac:dyDescent="0.3">
      <c r="A1175" s="2"/>
      <c r="B1175" s="65" t="str">
        <f t="shared" si="90"/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 t="shared" si="91"/>
        <v/>
      </c>
      <c r="M1175" s="65" t="str">
        <f t="shared" ca="1" si="92"/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93"/>
        <v/>
      </c>
      <c r="S1175" s="1" t="str">
        <f t="shared" si="94"/>
        <v/>
      </c>
      <c r="T1175" s="1">
        <f>IF($E1175="",0,SUMPRODUCT((AY_SONU!$O$7:$O$42="Evet")*(AY_SONU!$B$7:$B$42=DATE(YEAR($E1175),MONTH($E1175),1))))</f>
        <v>0</v>
      </c>
      <c r="U1175" s="1" t="str">
        <f>IF(OR($G1175="",$H1175="Mahsup"),"",$G1175&amp;"|"&amp;COUNTIFS($G$7:$G1175,$G1175,$H$7:$H1175,"&lt;&gt;Mahsup"))</f>
        <v/>
      </c>
    </row>
    <row r="1176" spans="1:21" ht="18" customHeight="1" x14ac:dyDescent="0.3">
      <c r="A1176" s="2"/>
      <c r="B1176" s="65" t="str">
        <f t="shared" si="90"/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 t="shared" si="91"/>
        <v/>
      </c>
      <c r="M1176" s="65" t="str">
        <f t="shared" ca="1" si="92"/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93"/>
        <v/>
      </c>
      <c r="S1176" s="1" t="str">
        <f t="shared" si="94"/>
        <v/>
      </c>
      <c r="T1176" s="1">
        <f>IF($E1176="",0,SUMPRODUCT((AY_SONU!$O$7:$O$42="Evet")*(AY_SONU!$B$7:$B$42=DATE(YEAR($E1176),MONTH($E1176),1))))</f>
        <v>0</v>
      </c>
      <c r="U1176" s="1" t="str">
        <f>IF(OR($G1176="",$H1176="Mahsup"),"",$G1176&amp;"|"&amp;COUNTIFS($G$7:$G1176,$G1176,$H$7:$H1176,"&lt;&gt;Mahsup"))</f>
        <v/>
      </c>
    </row>
    <row r="1177" spans="1:21" ht="18" customHeight="1" x14ac:dyDescent="0.3">
      <c r="A1177" s="2"/>
      <c r="B1177" s="65" t="str">
        <f t="shared" si="90"/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 t="shared" si="91"/>
        <v/>
      </c>
      <c r="M1177" s="65" t="str">
        <f t="shared" ca="1" si="92"/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93"/>
        <v/>
      </c>
      <c r="S1177" s="1" t="str">
        <f t="shared" si="94"/>
        <v/>
      </c>
      <c r="T1177" s="1">
        <f>IF($E1177="",0,SUMPRODUCT((AY_SONU!$O$7:$O$42="Evet")*(AY_SONU!$B$7:$B$42=DATE(YEAR($E1177),MONTH($E1177),1))))</f>
        <v>0</v>
      </c>
      <c r="U1177" s="1" t="str">
        <f>IF(OR($G1177="",$H1177="Mahsup"),"",$G1177&amp;"|"&amp;COUNTIFS($G$7:$G1177,$G1177,$H$7:$H1177,"&lt;&gt;Mahsup"))</f>
        <v/>
      </c>
    </row>
    <row r="1178" spans="1:21" ht="18" customHeight="1" x14ac:dyDescent="0.3">
      <c r="A1178" s="2"/>
      <c r="B1178" s="65" t="str">
        <f t="shared" si="90"/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 t="shared" si="91"/>
        <v/>
      </c>
      <c r="M1178" s="65" t="str">
        <f t="shared" ca="1" si="92"/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93"/>
        <v/>
      </c>
      <c r="S1178" s="1" t="str">
        <f t="shared" si="94"/>
        <v/>
      </c>
      <c r="T1178" s="1">
        <f>IF($E1178="",0,SUMPRODUCT((AY_SONU!$O$7:$O$42="Evet")*(AY_SONU!$B$7:$B$42=DATE(YEAR($E1178),MONTH($E1178),1))))</f>
        <v>0</v>
      </c>
      <c r="U1178" s="1" t="str">
        <f>IF(OR($G1178="",$H1178="Mahsup"),"",$G1178&amp;"|"&amp;COUNTIFS($G$7:$G1178,$G1178,$H$7:$H1178,"&lt;&gt;Mahsup"))</f>
        <v/>
      </c>
    </row>
    <row r="1179" spans="1:21" ht="18" customHeight="1" x14ac:dyDescent="0.3">
      <c r="A1179" s="2"/>
      <c r="B1179" s="65" t="str">
        <f t="shared" si="90"/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 t="shared" si="91"/>
        <v/>
      </c>
      <c r="M1179" s="65" t="str">
        <f t="shared" ca="1" si="92"/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93"/>
        <v/>
      </c>
      <c r="S1179" s="1" t="str">
        <f t="shared" si="94"/>
        <v/>
      </c>
      <c r="T1179" s="1">
        <f>IF($E1179="",0,SUMPRODUCT((AY_SONU!$O$7:$O$42="Evet")*(AY_SONU!$B$7:$B$42=DATE(YEAR($E1179),MONTH($E1179),1))))</f>
        <v>0</v>
      </c>
      <c r="U1179" s="1" t="str">
        <f>IF(OR($G1179="",$H1179="Mahsup"),"",$G1179&amp;"|"&amp;COUNTIFS($G$7:$G1179,$G1179,$H$7:$H1179,"&lt;&gt;Mahsup"))</f>
        <v/>
      </c>
    </row>
    <row r="1180" spans="1:21" ht="18" customHeight="1" x14ac:dyDescent="0.3">
      <c r="A1180" s="2"/>
      <c r="B1180" s="65" t="str">
        <f t="shared" si="90"/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 t="shared" si="91"/>
        <v/>
      </c>
      <c r="M1180" s="65" t="str">
        <f t="shared" ca="1" si="92"/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93"/>
        <v/>
      </c>
      <c r="S1180" s="1" t="str">
        <f t="shared" si="94"/>
        <v/>
      </c>
      <c r="T1180" s="1">
        <f>IF($E1180="",0,SUMPRODUCT((AY_SONU!$O$7:$O$42="Evet")*(AY_SONU!$B$7:$B$42=DATE(YEAR($E1180),MONTH($E1180),1))))</f>
        <v>0</v>
      </c>
      <c r="U1180" s="1" t="str">
        <f>IF(OR($G1180="",$H1180="Mahsup"),"",$G1180&amp;"|"&amp;COUNTIFS($G$7:$G1180,$G1180,$H$7:$H1180,"&lt;&gt;Mahsup"))</f>
        <v/>
      </c>
    </row>
    <row r="1181" spans="1:21" ht="18" customHeight="1" x14ac:dyDescent="0.3">
      <c r="A1181" s="2"/>
      <c r="B1181" s="65" t="str">
        <f t="shared" si="90"/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 t="shared" si="91"/>
        <v/>
      </c>
      <c r="M1181" s="65" t="str">
        <f t="shared" ca="1" si="92"/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93"/>
        <v/>
      </c>
      <c r="S1181" s="1" t="str">
        <f t="shared" si="94"/>
        <v/>
      </c>
      <c r="T1181" s="1">
        <f>IF($E1181="",0,SUMPRODUCT((AY_SONU!$O$7:$O$42="Evet")*(AY_SONU!$B$7:$B$42=DATE(YEAR($E1181),MONTH($E1181),1))))</f>
        <v>0</v>
      </c>
      <c r="U1181" s="1" t="str">
        <f>IF(OR($G1181="",$H1181="Mahsup"),"",$G1181&amp;"|"&amp;COUNTIFS($G$7:$G1181,$G1181,$H$7:$H1181,"&lt;&gt;Mahsup"))</f>
        <v/>
      </c>
    </row>
    <row r="1182" spans="1:21" ht="18" customHeight="1" x14ac:dyDescent="0.3">
      <c r="A1182" s="2"/>
      <c r="B1182" s="65" t="str">
        <f t="shared" si="90"/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 t="shared" si="91"/>
        <v/>
      </c>
      <c r="M1182" s="65" t="str">
        <f t="shared" ca="1" si="92"/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93"/>
        <v/>
      </c>
      <c r="S1182" s="1" t="str">
        <f t="shared" si="94"/>
        <v/>
      </c>
      <c r="T1182" s="1">
        <f>IF($E1182="",0,SUMPRODUCT((AY_SONU!$O$7:$O$42="Evet")*(AY_SONU!$B$7:$B$42=DATE(YEAR($E1182),MONTH($E1182),1))))</f>
        <v>0</v>
      </c>
      <c r="U1182" s="1" t="str">
        <f>IF(OR($G1182="",$H1182="Mahsup"),"",$G1182&amp;"|"&amp;COUNTIFS($G$7:$G1182,$G1182,$H$7:$H1182,"&lt;&gt;Mahsup"))</f>
        <v/>
      </c>
    </row>
    <row r="1183" spans="1:21" ht="18" customHeight="1" x14ac:dyDescent="0.3">
      <c r="A1183" s="2"/>
      <c r="B1183" s="65" t="str">
        <f t="shared" si="90"/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 t="shared" si="91"/>
        <v/>
      </c>
      <c r="M1183" s="65" t="str">
        <f t="shared" ca="1" si="92"/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93"/>
        <v/>
      </c>
      <c r="S1183" s="1" t="str">
        <f t="shared" si="94"/>
        <v/>
      </c>
      <c r="T1183" s="1">
        <f>IF($E1183="",0,SUMPRODUCT((AY_SONU!$O$7:$O$42="Evet")*(AY_SONU!$B$7:$B$42=DATE(YEAR($E1183),MONTH($E1183),1))))</f>
        <v>0</v>
      </c>
      <c r="U1183" s="1" t="str">
        <f>IF(OR($G1183="",$H1183="Mahsup"),"",$G1183&amp;"|"&amp;COUNTIFS($G$7:$G1183,$G1183,$H$7:$H1183,"&lt;&gt;Mahsup"))</f>
        <v/>
      </c>
    </row>
    <row r="1184" spans="1:21" ht="18" customHeight="1" x14ac:dyDescent="0.3">
      <c r="A1184" s="2"/>
      <c r="B1184" s="65" t="str">
        <f t="shared" si="90"/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 t="shared" si="91"/>
        <v/>
      </c>
      <c r="M1184" s="65" t="str">
        <f t="shared" ca="1" si="92"/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93"/>
        <v/>
      </c>
      <c r="S1184" s="1" t="str">
        <f t="shared" si="94"/>
        <v/>
      </c>
      <c r="T1184" s="1">
        <f>IF($E1184="",0,SUMPRODUCT((AY_SONU!$O$7:$O$42="Evet")*(AY_SONU!$B$7:$B$42=DATE(YEAR($E1184),MONTH($E1184),1))))</f>
        <v>0</v>
      </c>
      <c r="U1184" s="1" t="str">
        <f>IF(OR($G1184="",$H1184="Mahsup"),"",$G1184&amp;"|"&amp;COUNTIFS($G$7:$G1184,$G1184,$H$7:$H1184,"&lt;&gt;Mahsup"))</f>
        <v/>
      </c>
    </row>
    <row r="1185" spans="1:21" ht="18" customHeight="1" x14ac:dyDescent="0.3">
      <c r="A1185" s="2"/>
      <c r="B1185" s="65" t="str">
        <f t="shared" si="90"/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 t="shared" si="91"/>
        <v/>
      </c>
      <c r="M1185" s="65" t="str">
        <f t="shared" ca="1" si="92"/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93"/>
        <v/>
      </c>
      <c r="S1185" s="1" t="str">
        <f t="shared" si="94"/>
        <v/>
      </c>
      <c r="T1185" s="1">
        <f>IF($E1185="",0,SUMPRODUCT((AY_SONU!$O$7:$O$42="Evet")*(AY_SONU!$B$7:$B$42=DATE(YEAR($E1185),MONTH($E1185),1))))</f>
        <v>0</v>
      </c>
      <c r="U1185" s="1" t="str">
        <f>IF(OR($G1185="",$H1185="Mahsup"),"",$G1185&amp;"|"&amp;COUNTIFS($G$7:$G1185,$G1185,$H$7:$H1185,"&lt;&gt;Mahsup"))</f>
        <v/>
      </c>
    </row>
    <row r="1186" spans="1:21" ht="18" customHeight="1" x14ac:dyDescent="0.3">
      <c r="A1186" s="2"/>
      <c r="B1186" s="65" t="str">
        <f t="shared" si="90"/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 t="shared" si="91"/>
        <v/>
      </c>
      <c r="M1186" s="65" t="str">
        <f t="shared" ca="1" si="92"/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93"/>
        <v/>
      </c>
      <c r="S1186" s="1" t="str">
        <f t="shared" si="94"/>
        <v/>
      </c>
      <c r="T1186" s="1">
        <f>IF($E1186="",0,SUMPRODUCT((AY_SONU!$O$7:$O$42="Evet")*(AY_SONU!$B$7:$B$42=DATE(YEAR($E1186),MONTH($E1186),1))))</f>
        <v>0</v>
      </c>
      <c r="U1186" s="1" t="str">
        <f>IF(OR($G1186="",$H1186="Mahsup"),"",$G1186&amp;"|"&amp;COUNTIFS($G$7:$G1186,$G1186,$H$7:$H1186,"&lt;&gt;Mahsup"))</f>
        <v/>
      </c>
    </row>
    <row r="1187" spans="1:21" ht="18" customHeight="1" x14ac:dyDescent="0.3">
      <c r="A1187" s="2"/>
      <c r="B1187" s="65" t="str">
        <f t="shared" si="90"/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 t="shared" si="91"/>
        <v/>
      </c>
      <c r="M1187" s="65" t="str">
        <f t="shared" ca="1" si="92"/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93"/>
        <v/>
      </c>
      <c r="S1187" s="1" t="str">
        <f t="shared" si="94"/>
        <v/>
      </c>
      <c r="T1187" s="1">
        <f>IF($E1187="",0,SUMPRODUCT((AY_SONU!$O$7:$O$42="Evet")*(AY_SONU!$B$7:$B$42=DATE(YEAR($E1187),MONTH($E1187),1))))</f>
        <v>0</v>
      </c>
      <c r="U1187" s="1" t="str">
        <f>IF(OR($G1187="",$H1187="Mahsup"),"",$G1187&amp;"|"&amp;COUNTIFS($G$7:$G1187,$G1187,$H$7:$H1187,"&lt;&gt;Mahsup"))</f>
        <v/>
      </c>
    </row>
    <row r="1188" spans="1:21" ht="18" customHeight="1" x14ac:dyDescent="0.3">
      <c r="A1188" s="2"/>
      <c r="B1188" s="65" t="str">
        <f t="shared" si="90"/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 t="shared" si="91"/>
        <v/>
      </c>
      <c r="M1188" s="65" t="str">
        <f t="shared" ca="1" si="92"/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93"/>
        <v/>
      </c>
      <c r="S1188" s="1" t="str">
        <f t="shared" si="94"/>
        <v/>
      </c>
      <c r="T1188" s="1">
        <f>IF($E1188="",0,SUMPRODUCT((AY_SONU!$O$7:$O$42="Evet")*(AY_SONU!$B$7:$B$42=DATE(YEAR($E1188),MONTH($E1188),1))))</f>
        <v>0</v>
      </c>
      <c r="U1188" s="1" t="str">
        <f>IF(OR($G1188="",$H1188="Mahsup"),"",$G1188&amp;"|"&amp;COUNTIFS($G$7:$G1188,$G1188,$H$7:$H1188,"&lt;&gt;Mahsup"))</f>
        <v/>
      </c>
    </row>
    <row r="1189" spans="1:21" ht="18" customHeight="1" x14ac:dyDescent="0.3">
      <c r="A1189" s="2"/>
      <c r="B1189" s="65" t="str">
        <f t="shared" si="90"/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 t="shared" si="91"/>
        <v/>
      </c>
      <c r="M1189" s="65" t="str">
        <f t="shared" ca="1" si="92"/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93"/>
        <v/>
      </c>
      <c r="S1189" s="1" t="str">
        <f t="shared" si="94"/>
        <v/>
      </c>
      <c r="T1189" s="1">
        <f>IF($E1189="",0,SUMPRODUCT((AY_SONU!$O$7:$O$42="Evet")*(AY_SONU!$B$7:$B$42=DATE(YEAR($E1189),MONTH($E1189),1))))</f>
        <v>0</v>
      </c>
      <c r="U1189" s="1" t="str">
        <f>IF(OR($G1189="",$H1189="Mahsup"),"",$G1189&amp;"|"&amp;COUNTIFS($G$7:$G1189,$G1189,$H$7:$H1189,"&lt;&gt;Mahsup"))</f>
        <v/>
      </c>
    </row>
    <row r="1190" spans="1:21" ht="18" customHeight="1" x14ac:dyDescent="0.3">
      <c r="A1190" s="2"/>
      <c r="B1190" s="65" t="str">
        <f t="shared" si="90"/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 t="shared" si="91"/>
        <v/>
      </c>
      <c r="M1190" s="65" t="str">
        <f t="shared" ca="1" si="92"/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93"/>
        <v/>
      </c>
      <c r="S1190" s="1" t="str">
        <f t="shared" si="94"/>
        <v/>
      </c>
      <c r="T1190" s="1">
        <f>IF($E1190="",0,SUMPRODUCT((AY_SONU!$O$7:$O$42="Evet")*(AY_SONU!$B$7:$B$42=DATE(YEAR($E1190),MONTH($E1190),1))))</f>
        <v>0</v>
      </c>
      <c r="U1190" s="1" t="str">
        <f>IF(OR($G1190="",$H1190="Mahsup"),"",$G1190&amp;"|"&amp;COUNTIFS($G$7:$G1190,$G1190,$H$7:$H1190,"&lt;&gt;Mahsup"))</f>
        <v/>
      </c>
    </row>
    <row r="1191" spans="1:21" ht="18" customHeight="1" x14ac:dyDescent="0.3">
      <c r="A1191" s="2"/>
      <c r="B1191" s="65" t="str">
        <f t="shared" si="90"/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 t="shared" si="91"/>
        <v/>
      </c>
      <c r="M1191" s="65" t="str">
        <f t="shared" ca="1" si="92"/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93"/>
        <v/>
      </c>
      <c r="S1191" s="1" t="str">
        <f t="shared" si="94"/>
        <v/>
      </c>
      <c r="T1191" s="1">
        <f>IF($E1191="",0,SUMPRODUCT((AY_SONU!$O$7:$O$42="Evet")*(AY_SONU!$B$7:$B$42=DATE(YEAR($E1191),MONTH($E1191),1))))</f>
        <v>0</v>
      </c>
      <c r="U1191" s="1" t="str">
        <f>IF(OR($G1191="",$H1191="Mahsup"),"",$G1191&amp;"|"&amp;COUNTIFS($G$7:$G1191,$G1191,$H$7:$H1191,"&lt;&gt;Mahsup"))</f>
        <v/>
      </c>
    </row>
    <row r="1192" spans="1:21" ht="18" customHeight="1" x14ac:dyDescent="0.3">
      <c r="A1192" s="2"/>
      <c r="B1192" s="65" t="str">
        <f t="shared" si="90"/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 t="shared" si="91"/>
        <v/>
      </c>
      <c r="M1192" s="65" t="str">
        <f t="shared" ca="1" si="92"/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93"/>
        <v/>
      </c>
      <c r="S1192" s="1" t="str">
        <f t="shared" si="94"/>
        <v/>
      </c>
      <c r="T1192" s="1">
        <f>IF($E1192="",0,SUMPRODUCT((AY_SONU!$O$7:$O$42="Evet")*(AY_SONU!$B$7:$B$42=DATE(YEAR($E1192),MONTH($E1192),1))))</f>
        <v>0</v>
      </c>
      <c r="U1192" s="1" t="str">
        <f>IF(OR($G1192="",$H1192="Mahsup"),"",$G1192&amp;"|"&amp;COUNTIFS($G$7:$G1192,$G1192,$H$7:$H1192,"&lt;&gt;Mahsup"))</f>
        <v/>
      </c>
    </row>
    <row r="1193" spans="1:21" ht="18" customHeight="1" x14ac:dyDescent="0.3">
      <c r="A1193" s="2"/>
      <c r="B1193" s="65" t="str">
        <f t="shared" si="90"/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 t="shared" si="91"/>
        <v/>
      </c>
      <c r="M1193" s="65" t="str">
        <f t="shared" ca="1" si="92"/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93"/>
        <v/>
      </c>
      <c r="S1193" s="1" t="str">
        <f t="shared" si="94"/>
        <v/>
      </c>
      <c r="T1193" s="1">
        <f>IF($E1193="",0,SUMPRODUCT((AY_SONU!$O$7:$O$42="Evet")*(AY_SONU!$B$7:$B$42=DATE(YEAR($E1193),MONTH($E1193),1))))</f>
        <v>0</v>
      </c>
      <c r="U1193" s="1" t="str">
        <f>IF(OR($G1193="",$H1193="Mahsup"),"",$G1193&amp;"|"&amp;COUNTIFS($G$7:$G1193,$G1193,$H$7:$H1193,"&lt;&gt;Mahsup"))</f>
        <v/>
      </c>
    </row>
    <row r="1194" spans="1:21" ht="18" customHeight="1" x14ac:dyDescent="0.3">
      <c r="A1194" s="2"/>
      <c r="B1194" s="65" t="str">
        <f t="shared" si="90"/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 t="shared" si="91"/>
        <v/>
      </c>
      <c r="M1194" s="65" t="str">
        <f t="shared" ca="1" si="92"/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93"/>
        <v/>
      </c>
      <c r="S1194" s="1" t="str">
        <f t="shared" si="94"/>
        <v/>
      </c>
      <c r="T1194" s="1">
        <f>IF($E1194="",0,SUMPRODUCT((AY_SONU!$O$7:$O$42="Evet")*(AY_SONU!$B$7:$B$42=DATE(YEAR($E1194),MONTH($E1194),1))))</f>
        <v>0</v>
      </c>
      <c r="U1194" s="1" t="str">
        <f>IF(OR($G1194="",$H1194="Mahsup"),"",$G1194&amp;"|"&amp;COUNTIFS($G$7:$G1194,$G1194,$H$7:$H1194,"&lt;&gt;Mahsup"))</f>
        <v/>
      </c>
    </row>
    <row r="1195" spans="1:21" ht="18" customHeight="1" x14ac:dyDescent="0.3">
      <c r="A1195" s="2"/>
      <c r="B1195" s="65" t="str">
        <f t="shared" si="90"/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 t="shared" si="91"/>
        <v/>
      </c>
      <c r="M1195" s="65" t="str">
        <f t="shared" ca="1" si="92"/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93"/>
        <v/>
      </c>
      <c r="S1195" s="1" t="str">
        <f t="shared" si="94"/>
        <v/>
      </c>
      <c r="T1195" s="1">
        <f>IF($E1195="",0,SUMPRODUCT((AY_SONU!$O$7:$O$42="Evet")*(AY_SONU!$B$7:$B$42=DATE(YEAR($E1195),MONTH($E1195),1))))</f>
        <v>0</v>
      </c>
      <c r="U1195" s="1" t="str">
        <f>IF(OR($G1195="",$H1195="Mahsup"),"",$G1195&amp;"|"&amp;COUNTIFS($G$7:$G1195,$G1195,$H$7:$H1195,"&lt;&gt;Mahsup"))</f>
        <v/>
      </c>
    </row>
    <row r="1196" spans="1:21" ht="18" customHeight="1" x14ac:dyDescent="0.3">
      <c r="A1196" s="2"/>
      <c r="B1196" s="65" t="str">
        <f t="shared" si="90"/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 t="shared" si="91"/>
        <v/>
      </c>
      <c r="M1196" s="65" t="str">
        <f t="shared" ca="1" si="92"/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93"/>
        <v/>
      </c>
      <c r="S1196" s="1" t="str">
        <f t="shared" si="94"/>
        <v/>
      </c>
      <c r="T1196" s="1">
        <f>IF($E1196="",0,SUMPRODUCT((AY_SONU!$O$7:$O$42="Evet")*(AY_SONU!$B$7:$B$42=DATE(YEAR($E1196),MONTH($E1196),1))))</f>
        <v>0</v>
      </c>
      <c r="U1196" s="1" t="str">
        <f>IF(OR($G1196="",$H1196="Mahsup"),"",$G1196&amp;"|"&amp;COUNTIFS($G$7:$G1196,$G1196,$H$7:$H1196,"&lt;&gt;Mahsup"))</f>
        <v/>
      </c>
    </row>
    <row r="1197" spans="1:21" ht="18" customHeight="1" x14ac:dyDescent="0.3">
      <c r="A1197" s="2"/>
      <c r="B1197" s="65" t="str">
        <f t="shared" si="90"/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 t="shared" si="91"/>
        <v/>
      </c>
      <c r="M1197" s="65" t="str">
        <f t="shared" ca="1" si="92"/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93"/>
        <v/>
      </c>
      <c r="S1197" s="1" t="str">
        <f t="shared" si="94"/>
        <v/>
      </c>
      <c r="T1197" s="1">
        <f>IF($E1197="",0,SUMPRODUCT((AY_SONU!$O$7:$O$42="Evet")*(AY_SONU!$B$7:$B$42=DATE(YEAR($E1197),MONTH($E1197),1))))</f>
        <v>0</v>
      </c>
      <c r="U1197" s="1" t="str">
        <f>IF(OR($G1197="",$H1197="Mahsup"),"",$G1197&amp;"|"&amp;COUNTIFS($G$7:$G1197,$G1197,$H$7:$H1197,"&lt;&gt;Mahsup"))</f>
        <v/>
      </c>
    </row>
    <row r="1198" spans="1:21" ht="18" customHeight="1" x14ac:dyDescent="0.3">
      <c r="A1198" s="2"/>
      <c r="B1198" s="65" t="str">
        <f t="shared" si="90"/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 t="shared" si="91"/>
        <v/>
      </c>
      <c r="M1198" s="65" t="str">
        <f t="shared" ca="1" si="92"/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93"/>
        <v/>
      </c>
      <c r="S1198" s="1" t="str">
        <f t="shared" si="94"/>
        <v/>
      </c>
      <c r="T1198" s="1">
        <f>IF($E1198="",0,SUMPRODUCT((AY_SONU!$O$7:$O$42="Evet")*(AY_SONU!$B$7:$B$42=DATE(YEAR($E1198),MONTH($E1198),1))))</f>
        <v>0</v>
      </c>
      <c r="U1198" s="1" t="str">
        <f>IF(OR($G1198="",$H1198="Mahsup"),"",$G1198&amp;"|"&amp;COUNTIFS($G$7:$G1198,$G1198,$H$7:$H1198,"&lt;&gt;Mahsup"))</f>
        <v/>
      </c>
    </row>
    <row r="1199" spans="1:21" ht="18" customHeight="1" x14ac:dyDescent="0.3">
      <c r="A1199" s="2"/>
      <c r="B1199" s="65" t="str">
        <f t="shared" si="90"/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 t="shared" si="91"/>
        <v/>
      </c>
      <c r="M1199" s="65" t="str">
        <f t="shared" ca="1" si="92"/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93"/>
        <v/>
      </c>
      <c r="S1199" s="1" t="str">
        <f t="shared" si="94"/>
        <v/>
      </c>
      <c r="T1199" s="1">
        <f>IF($E1199="",0,SUMPRODUCT((AY_SONU!$O$7:$O$42="Evet")*(AY_SONU!$B$7:$B$42=DATE(YEAR($E1199),MONTH($E1199),1))))</f>
        <v>0</v>
      </c>
      <c r="U1199" s="1" t="str">
        <f>IF(OR($G1199="",$H1199="Mahsup"),"",$G1199&amp;"|"&amp;COUNTIFS($G$7:$G1199,$G1199,$H$7:$H1199,"&lt;&gt;Mahsup"))</f>
        <v/>
      </c>
    </row>
    <row r="1200" spans="1:21" ht="18" customHeight="1" x14ac:dyDescent="0.3">
      <c r="A1200" s="2"/>
      <c r="B1200" s="65" t="str">
        <f t="shared" si="90"/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 t="shared" si="91"/>
        <v/>
      </c>
      <c r="M1200" s="65" t="str">
        <f t="shared" ca="1" si="92"/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93"/>
        <v/>
      </c>
      <c r="S1200" s="1" t="str">
        <f t="shared" si="94"/>
        <v/>
      </c>
      <c r="T1200" s="1">
        <f>IF($E1200="",0,SUMPRODUCT((AY_SONU!$O$7:$O$42="Evet")*(AY_SONU!$B$7:$B$42=DATE(YEAR($E1200),MONTH($E1200),1))))</f>
        <v>0</v>
      </c>
      <c r="U1200" s="1" t="str">
        <f>IF(OR($G1200="",$H1200="Mahsup"),"",$G1200&amp;"|"&amp;COUNTIFS($G$7:$G1200,$G1200,$H$7:$H1200,"&lt;&gt;Mahsup"))</f>
        <v/>
      </c>
    </row>
    <row r="1201" spans="1:21" ht="18" customHeight="1" x14ac:dyDescent="0.3">
      <c r="A1201" s="2"/>
      <c r="B1201" s="65" t="str">
        <f t="shared" si="90"/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 t="shared" si="91"/>
        <v/>
      </c>
      <c r="M1201" s="65" t="str">
        <f t="shared" ca="1" si="92"/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93"/>
        <v/>
      </c>
      <c r="S1201" s="1" t="str">
        <f t="shared" si="94"/>
        <v/>
      </c>
      <c r="T1201" s="1">
        <f>IF($E1201="",0,SUMPRODUCT((AY_SONU!$O$7:$O$42="Evet")*(AY_SONU!$B$7:$B$42=DATE(YEAR($E1201),MONTH($E1201),1))))</f>
        <v>0</v>
      </c>
      <c r="U1201" s="1" t="str">
        <f>IF(OR($G1201="",$H1201="Mahsup"),"",$G1201&amp;"|"&amp;COUNTIFS($G$7:$G1201,$G1201,$H$7:$H1201,"&lt;&gt;Mahsup"))</f>
        <v/>
      </c>
    </row>
    <row r="1202" spans="1:21" ht="18" customHeight="1" x14ac:dyDescent="0.3">
      <c r="A1202" s="2"/>
      <c r="B1202" s="65" t="str">
        <f t="shared" si="90"/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 t="shared" si="91"/>
        <v/>
      </c>
      <c r="M1202" s="65" t="str">
        <f t="shared" ca="1" si="92"/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93"/>
        <v/>
      </c>
      <c r="S1202" s="1" t="str">
        <f t="shared" si="94"/>
        <v/>
      </c>
      <c r="T1202" s="1">
        <f>IF($E1202="",0,SUMPRODUCT((AY_SONU!$O$7:$O$42="Evet")*(AY_SONU!$B$7:$B$42=DATE(YEAR($E1202),MONTH($E1202),1))))</f>
        <v>0</v>
      </c>
      <c r="U1202" s="1" t="str">
        <f>IF(OR($G1202="",$H1202="Mahsup"),"",$G1202&amp;"|"&amp;COUNTIFS($G$7:$G1202,$G1202,$H$7:$H1202,"&lt;&gt;Mahsup"))</f>
        <v/>
      </c>
    </row>
    <row r="1203" spans="1:21" ht="18" customHeight="1" x14ac:dyDescent="0.3">
      <c r="A1203" s="2"/>
      <c r="B1203" s="65" t="str">
        <f t="shared" si="90"/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 t="shared" si="91"/>
        <v/>
      </c>
      <c r="M1203" s="65" t="str">
        <f t="shared" ca="1" si="92"/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93"/>
        <v/>
      </c>
      <c r="S1203" s="1" t="str">
        <f t="shared" si="94"/>
        <v/>
      </c>
      <c r="T1203" s="1">
        <f>IF($E1203="",0,SUMPRODUCT((AY_SONU!$O$7:$O$42="Evet")*(AY_SONU!$B$7:$B$42=DATE(YEAR($E1203),MONTH($E1203),1))))</f>
        <v>0</v>
      </c>
      <c r="U1203" s="1" t="str">
        <f>IF(OR($G1203="",$H1203="Mahsup"),"",$G1203&amp;"|"&amp;COUNTIFS($G$7:$G1203,$G1203,$H$7:$H1203,"&lt;&gt;Mahsup"))</f>
        <v/>
      </c>
    </row>
    <row r="1204" spans="1:21" ht="18" customHeight="1" x14ac:dyDescent="0.3">
      <c r="A1204" s="2"/>
      <c r="B1204" s="65" t="str">
        <f t="shared" si="90"/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 t="shared" si="91"/>
        <v/>
      </c>
      <c r="M1204" s="65" t="str">
        <f t="shared" ca="1" si="92"/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93"/>
        <v/>
      </c>
      <c r="S1204" s="1" t="str">
        <f t="shared" si="94"/>
        <v/>
      </c>
      <c r="T1204" s="1">
        <f>IF($E1204="",0,SUMPRODUCT((AY_SONU!$O$7:$O$42="Evet")*(AY_SONU!$B$7:$B$42=DATE(YEAR($E1204),MONTH($E1204),1))))</f>
        <v>0</v>
      </c>
      <c r="U1204" s="1" t="str">
        <f>IF(OR($G1204="",$H1204="Mahsup"),"",$G1204&amp;"|"&amp;COUNTIFS($G$7:$G1204,$G1204,$H$7:$H1204,"&lt;&gt;Mahsup"))</f>
        <v/>
      </c>
    </row>
    <row r="1205" spans="1:21" ht="18" customHeight="1" x14ac:dyDescent="0.3">
      <c r="A1205" s="2"/>
      <c r="B1205" s="65" t="str">
        <f t="shared" si="90"/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 t="shared" si="91"/>
        <v/>
      </c>
      <c r="M1205" s="65" t="str">
        <f t="shared" ca="1" si="92"/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93"/>
        <v/>
      </c>
      <c r="S1205" s="1" t="str">
        <f t="shared" si="94"/>
        <v/>
      </c>
      <c r="T1205" s="1">
        <f>IF($E1205="",0,SUMPRODUCT((AY_SONU!$O$7:$O$42="Evet")*(AY_SONU!$B$7:$B$42=DATE(YEAR($E1205),MONTH($E1205),1))))</f>
        <v>0</v>
      </c>
      <c r="U1205" s="1" t="str">
        <f>IF(OR($G1205="",$H1205="Mahsup"),"",$G1205&amp;"|"&amp;COUNTIFS($G$7:$G1205,$G1205,$H$7:$H1205,"&lt;&gt;Mahsup"))</f>
        <v/>
      </c>
    </row>
    <row r="1206" spans="1:21" ht="18" customHeight="1" x14ac:dyDescent="0.3">
      <c r="A1206" s="2"/>
      <c r="B1206" s="65" t="str">
        <f t="shared" si="90"/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 t="shared" si="91"/>
        <v/>
      </c>
      <c r="M1206" s="65" t="str">
        <f t="shared" ca="1" si="92"/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93"/>
        <v/>
      </c>
      <c r="S1206" s="1" t="str">
        <f t="shared" si="94"/>
        <v/>
      </c>
      <c r="T1206" s="1">
        <f>IF($E1206="",0,SUMPRODUCT((AY_SONU!$O$7:$O$42="Evet")*(AY_SONU!$B$7:$B$42=DATE(YEAR($E1206),MONTH($E1206),1))))</f>
        <v>0</v>
      </c>
      <c r="U1206" s="1" t="str">
        <f>IF(OR($G1206="",$H1206="Mahsup"),"",$G1206&amp;"|"&amp;COUNTIFS($G$7:$G1206,$G1206,$H$7:$H1206,"&lt;&gt;Mahsup"))</f>
        <v/>
      </c>
    </row>
    <row r="1207" spans="1:21" ht="18" customHeight="1" x14ac:dyDescent="0.3">
      <c r="A1207" s="2"/>
      <c r="B1207" s="65" t="str">
        <f t="shared" si="90"/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 t="shared" si="91"/>
        <v/>
      </c>
      <c r="M1207" s="65" t="str">
        <f t="shared" ca="1" si="92"/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93"/>
        <v/>
      </c>
      <c r="S1207" s="1" t="str">
        <f t="shared" si="94"/>
        <v/>
      </c>
      <c r="T1207" s="1">
        <f>IF($E1207="",0,SUMPRODUCT((AY_SONU!$O$7:$O$42="Evet")*(AY_SONU!$B$7:$B$42=DATE(YEAR($E1207),MONTH($E1207),1))))</f>
        <v>0</v>
      </c>
      <c r="U1207" s="1" t="str">
        <f>IF(OR($G1207="",$H1207="Mahsup"),"",$G1207&amp;"|"&amp;COUNTIFS($G$7:$G1207,$G1207,$H$7:$H1207,"&lt;&gt;Mahsup"))</f>
        <v/>
      </c>
    </row>
    <row r="1208" spans="1:21" ht="18" customHeight="1" x14ac:dyDescent="0.3">
      <c r="A1208" s="2"/>
      <c r="B1208" s="65" t="str">
        <f t="shared" si="90"/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 t="shared" si="91"/>
        <v/>
      </c>
      <c r="M1208" s="65" t="str">
        <f t="shared" ca="1" si="92"/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93"/>
        <v/>
      </c>
      <c r="S1208" s="1" t="str">
        <f t="shared" si="94"/>
        <v/>
      </c>
      <c r="T1208" s="1">
        <f>IF($E1208="",0,SUMPRODUCT((AY_SONU!$O$7:$O$42="Evet")*(AY_SONU!$B$7:$B$42=DATE(YEAR($E1208),MONTH($E1208),1))))</f>
        <v>0</v>
      </c>
      <c r="U1208" s="1" t="str">
        <f>IF(OR($G1208="",$H1208="Mahsup"),"",$G1208&amp;"|"&amp;COUNTIFS($G$7:$G1208,$G1208,$H$7:$H1208,"&lt;&gt;Mahsup"))</f>
        <v/>
      </c>
    </row>
    <row r="1209" spans="1:21" ht="18" customHeight="1" x14ac:dyDescent="0.3">
      <c r="A1209" s="2"/>
      <c r="B1209" s="65" t="str">
        <f t="shared" si="90"/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 t="shared" si="91"/>
        <v/>
      </c>
      <c r="M1209" s="65" t="str">
        <f t="shared" ca="1" si="92"/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93"/>
        <v/>
      </c>
      <c r="S1209" s="1" t="str">
        <f t="shared" si="94"/>
        <v/>
      </c>
      <c r="T1209" s="1">
        <f>IF($E1209="",0,SUMPRODUCT((AY_SONU!$O$7:$O$42="Evet")*(AY_SONU!$B$7:$B$42=DATE(YEAR($E1209),MONTH($E1209),1))))</f>
        <v>0</v>
      </c>
      <c r="U1209" s="1" t="str">
        <f>IF(OR($G1209="",$H1209="Mahsup"),"",$G1209&amp;"|"&amp;COUNTIFS($G$7:$G1209,$G1209,$H$7:$H1209,"&lt;&gt;Mahsup"))</f>
        <v/>
      </c>
    </row>
    <row r="1210" spans="1:21" ht="18" customHeight="1" x14ac:dyDescent="0.3">
      <c r="A1210" s="2"/>
      <c r="B1210" s="65" t="str">
        <f t="shared" si="90"/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 t="shared" si="91"/>
        <v/>
      </c>
      <c r="M1210" s="65" t="str">
        <f t="shared" ca="1" si="92"/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93"/>
        <v/>
      </c>
      <c r="S1210" s="1" t="str">
        <f t="shared" si="94"/>
        <v/>
      </c>
      <c r="T1210" s="1">
        <f>IF($E1210="",0,SUMPRODUCT((AY_SONU!$O$7:$O$42="Evet")*(AY_SONU!$B$7:$B$42=DATE(YEAR($E1210),MONTH($E1210),1))))</f>
        <v>0</v>
      </c>
      <c r="U1210" s="1" t="str">
        <f>IF(OR($G1210="",$H1210="Mahsup"),"",$G1210&amp;"|"&amp;COUNTIFS($G$7:$G1210,$G1210,$H$7:$H1210,"&lt;&gt;Mahsup"))</f>
        <v/>
      </c>
    </row>
    <row r="1211" spans="1:21" ht="18" customHeight="1" x14ac:dyDescent="0.3">
      <c r="A1211" s="2"/>
      <c r="B1211" s="65" t="str">
        <f t="shared" si="90"/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 t="shared" si="91"/>
        <v/>
      </c>
      <c r="M1211" s="65" t="str">
        <f t="shared" ca="1" si="92"/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93"/>
        <v/>
      </c>
      <c r="S1211" s="1" t="str">
        <f t="shared" si="94"/>
        <v/>
      </c>
      <c r="T1211" s="1">
        <f>IF($E1211="",0,SUMPRODUCT((AY_SONU!$O$7:$O$42="Evet")*(AY_SONU!$B$7:$B$42=DATE(YEAR($E1211),MONTH($E1211),1))))</f>
        <v>0</v>
      </c>
      <c r="U1211" s="1" t="str">
        <f>IF(OR($G1211="",$H1211="Mahsup"),"",$G1211&amp;"|"&amp;COUNTIFS($G$7:$G1211,$G1211,$H$7:$H1211,"&lt;&gt;Mahsup"))</f>
        <v/>
      </c>
    </row>
    <row r="1212" spans="1:21" ht="18" customHeight="1" x14ac:dyDescent="0.3">
      <c r="A1212" s="2"/>
      <c r="B1212" s="65" t="str">
        <f t="shared" si="90"/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 t="shared" si="91"/>
        <v/>
      </c>
      <c r="M1212" s="65" t="str">
        <f t="shared" ca="1" si="92"/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93"/>
        <v/>
      </c>
      <c r="S1212" s="1" t="str">
        <f t="shared" si="94"/>
        <v/>
      </c>
      <c r="T1212" s="1">
        <f>IF($E1212="",0,SUMPRODUCT((AY_SONU!$O$7:$O$42="Evet")*(AY_SONU!$B$7:$B$42=DATE(YEAR($E1212),MONTH($E1212),1))))</f>
        <v>0</v>
      </c>
      <c r="U1212" s="1" t="str">
        <f>IF(OR($G1212="",$H1212="Mahsup"),"",$G1212&amp;"|"&amp;COUNTIFS($G$7:$G1212,$G1212,$H$7:$H1212,"&lt;&gt;Mahsup"))</f>
        <v/>
      </c>
    </row>
    <row r="1213" spans="1:21" ht="18" customHeight="1" x14ac:dyDescent="0.3">
      <c r="A1213" s="2"/>
      <c r="B1213" s="65" t="str">
        <f t="shared" si="90"/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 t="shared" si="91"/>
        <v/>
      </c>
      <c r="M1213" s="65" t="str">
        <f t="shared" ca="1" si="92"/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93"/>
        <v/>
      </c>
      <c r="S1213" s="1" t="str">
        <f t="shared" si="94"/>
        <v/>
      </c>
      <c r="T1213" s="1">
        <f>IF($E1213="",0,SUMPRODUCT((AY_SONU!$O$7:$O$42="Evet")*(AY_SONU!$B$7:$B$42=DATE(YEAR($E1213),MONTH($E1213),1))))</f>
        <v>0</v>
      </c>
      <c r="U1213" s="1" t="str">
        <f>IF(OR($G1213="",$H1213="Mahsup"),"",$G1213&amp;"|"&amp;COUNTIFS($G$7:$G1213,$G1213,$H$7:$H1213,"&lt;&gt;Mahsup"))</f>
        <v/>
      </c>
    </row>
    <row r="1214" spans="1:21" ht="18" customHeight="1" x14ac:dyDescent="0.3">
      <c r="A1214" s="2"/>
      <c r="B1214" s="65" t="str">
        <f t="shared" si="90"/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 t="shared" si="91"/>
        <v/>
      </c>
      <c r="M1214" s="65" t="str">
        <f t="shared" ca="1" si="92"/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93"/>
        <v/>
      </c>
      <c r="S1214" s="1" t="str">
        <f t="shared" si="94"/>
        <v/>
      </c>
      <c r="T1214" s="1">
        <f>IF($E1214="",0,SUMPRODUCT((AY_SONU!$O$7:$O$42="Evet")*(AY_SONU!$B$7:$B$42=DATE(YEAR($E1214),MONTH($E1214),1))))</f>
        <v>0</v>
      </c>
      <c r="U1214" s="1" t="str">
        <f>IF(OR($G1214="",$H1214="Mahsup"),"",$G1214&amp;"|"&amp;COUNTIFS($G$7:$G1214,$G1214,$H$7:$H1214,"&lt;&gt;Mahsup"))</f>
        <v/>
      </c>
    </row>
    <row r="1215" spans="1:21" ht="18" customHeight="1" x14ac:dyDescent="0.3">
      <c r="A1215" s="2"/>
      <c r="B1215" s="65" t="str">
        <f t="shared" si="90"/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 t="shared" si="91"/>
        <v/>
      </c>
      <c r="M1215" s="65" t="str">
        <f t="shared" ca="1" si="92"/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93"/>
        <v/>
      </c>
      <c r="S1215" s="1" t="str">
        <f t="shared" si="94"/>
        <v/>
      </c>
      <c r="T1215" s="1">
        <f>IF($E1215="",0,SUMPRODUCT((AY_SONU!$O$7:$O$42="Evet")*(AY_SONU!$B$7:$B$42=DATE(YEAR($E1215),MONTH($E1215),1))))</f>
        <v>0</v>
      </c>
      <c r="U1215" s="1" t="str">
        <f>IF(OR($G1215="",$H1215="Mahsup"),"",$G1215&amp;"|"&amp;COUNTIFS($G$7:$G1215,$G1215,$H$7:$H1215,"&lt;&gt;Mahsup"))</f>
        <v/>
      </c>
    </row>
    <row r="1216" spans="1:21" ht="18" customHeight="1" x14ac:dyDescent="0.3">
      <c r="A1216" s="2"/>
      <c r="B1216" s="65" t="str">
        <f t="shared" si="90"/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 t="shared" si="91"/>
        <v/>
      </c>
      <c r="M1216" s="65" t="str">
        <f t="shared" ca="1" si="92"/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93"/>
        <v/>
      </c>
      <c r="S1216" s="1" t="str">
        <f t="shared" si="94"/>
        <v/>
      </c>
      <c r="T1216" s="1">
        <f>IF($E1216="",0,SUMPRODUCT((AY_SONU!$O$7:$O$42="Evet")*(AY_SONU!$B$7:$B$42=DATE(YEAR($E1216),MONTH($E1216),1))))</f>
        <v>0</v>
      </c>
      <c r="U1216" s="1" t="str">
        <f>IF(OR($G1216="",$H1216="Mahsup"),"",$G1216&amp;"|"&amp;COUNTIFS($G$7:$G1216,$G1216,$H$7:$H1216,"&lt;&gt;Mahsup"))</f>
        <v/>
      </c>
    </row>
    <row r="1217" spans="1:21" ht="18" customHeight="1" x14ac:dyDescent="0.3">
      <c r="A1217" s="2"/>
      <c r="B1217" s="65" t="str">
        <f t="shared" si="90"/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 t="shared" si="91"/>
        <v/>
      </c>
      <c r="M1217" s="65" t="str">
        <f t="shared" ca="1" si="92"/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93"/>
        <v/>
      </c>
      <c r="S1217" s="1" t="str">
        <f t="shared" si="94"/>
        <v/>
      </c>
      <c r="T1217" s="1">
        <f>IF($E1217="",0,SUMPRODUCT((AY_SONU!$O$7:$O$42="Evet")*(AY_SONU!$B$7:$B$42=DATE(YEAR($E1217),MONTH($E1217),1))))</f>
        <v>0</v>
      </c>
      <c r="U1217" s="1" t="str">
        <f>IF(OR($G1217="",$H1217="Mahsup"),"",$G1217&amp;"|"&amp;COUNTIFS($G$7:$G1217,$G1217,$H$7:$H1217,"&lt;&gt;Mahsup"))</f>
        <v/>
      </c>
    </row>
    <row r="1218" spans="1:21" ht="18" customHeight="1" x14ac:dyDescent="0.3">
      <c r="A1218" s="2"/>
      <c r="B1218" s="65" t="str">
        <f t="shared" si="90"/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 t="shared" si="91"/>
        <v/>
      </c>
      <c r="M1218" s="65" t="str">
        <f t="shared" ca="1" si="92"/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93"/>
        <v/>
      </c>
      <c r="S1218" s="1" t="str">
        <f t="shared" si="94"/>
        <v/>
      </c>
      <c r="T1218" s="1">
        <f>IF($E1218="",0,SUMPRODUCT((AY_SONU!$O$7:$O$42="Evet")*(AY_SONU!$B$7:$B$42=DATE(YEAR($E1218),MONTH($E1218),1))))</f>
        <v>0</v>
      </c>
      <c r="U1218" s="1" t="str">
        <f>IF(OR($G1218="",$H1218="Mahsup"),"",$G1218&amp;"|"&amp;COUNTIFS($G$7:$G1218,$G1218,$H$7:$H1218,"&lt;&gt;Mahsup"))</f>
        <v/>
      </c>
    </row>
    <row r="1219" spans="1:21" ht="18" customHeight="1" x14ac:dyDescent="0.3">
      <c r="A1219" s="2"/>
      <c r="B1219" s="65" t="str">
        <f t="shared" si="90"/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 t="shared" si="91"/>
        <v/>
      </c>
      <c r="M1219" s="65" t="str">
        <f t="shared" ca="1" si="92"/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93"/>
        <v/>
      </c>
      <c r="S1219" s="1" t="str">
        <f t="shared" si="94"/>
        <v/>
      </c>
      <c r="T1219" s="1">
        <f>IF($E1219="",0,SUMPRODUCT((AY_SONU!$O$7:$O$42="Evet")*(AY_SONU!$B$7:$B$42=DATE(YEAR($E1219),MONTH($E1219),1))))</f>
        <v>0</v>
      </c>
      <c r="U1219" s="1" t="str">
        <f>IF(OR($G1219="",$H1219="Mahsup"),"",$G1219&amp;"|"&amp;COUNTIFS($G$7:$G1219,$G1219,$H$7:$H1219,"&lt;&gt;Mahsup"))</f>
        <v/>
      </c>
    </row>
    <row r="1220" spans="1:21" ht="18" customHeight="1" x14ac:dyDescent="0.3">
      <c r="A1220" s="2"/>
      <c r="B1220" s="65" t="str">
        <f t="shared" si="90"/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 t="shared" si="91"/>
        <v/>
      </c>
      <c r="M1220" s="65" t="str">
        <f t="shared" ca="1" si="92"/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93"/>
        <v/>
      </c>
      <c r="S1220" s="1" t="str">
        <f t="shared" si="94"/>
        <v/>
      </c>
      <c r="T1220" s="1">
        <f>IF($E1220="",0,SUMPRODUCT((AY_SONU!$O$7:$O$42="Evet")*(AY_SONU!$B$7:$B$42=DATE(YEAR($E1220),MONTH($E1220),1))))</f>
        <v>0</v>
      </c>
      <c r="U1220" s="1" t="str">
        <f>IF(OR($G1220="",$H1220="Mahsup"),"",$G1220&amp;"|"&amp;COUNTIFS($G$7:$G1220,$G1220,$H$7:$H1220,"&lt;&gt;Mahsup"))</f>
        <v/>
      </c>
    </row>
    <row r="1221" spans="1:21" ht="18" customHeight="1" x14ac:dyDescent="0.3">
      <c r="A1221" s="2"/>
      <c r="B1221" s="65" t="str">
        <f t="shared" si="90"/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 t="shared" si="91"/>
        <v/>
      </c>
      <c r="M1221" s="65" t="str">
        <f t="shared" ca="1" si="92"/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93"/>
        <v/>
      </c>
      <c r="S1221" s="1" t="str">
        <f t="shared" si="94"/>
        <v/>
      </c>
      <c r="T1221" s="1">
        <f>IF($E1221="",0,SUMPRODUCT((AY_SONU!$O$7:$O$42="Evet")*(AY_SONU!$B$7:$B$42=DATE(YEAR($E1221),MONTH($E1221),1))))</f>
        <v>0</v>
      </c>
      <c r="U1221" s="1" t="str">
        <f>IF(OR($G1221="",$H1221="Mahsup"),"",$G1221&amp;"|"&amp;COUNTIFS($G$7:$G1221,$G1221,$H$7:$H1221,"&lt;&gt;Mahsup"))</f>
        <v/>
      </c>
    </row>
    <row r="1222" spans="1:21" ht="18" customHeight="1" x14ac:dyDescent="0.3">
      <c r="A1222" s="2"/>
      <c r="B1222" s="65" t="str">
        <f t="shared" si="90"/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 t="shared" si="91"/>
        <v/>
      </c>
      <c r="M1222" s="65" t="str">
        <f t="shared" ca="1" si="92"/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93"/>
        <v/>
      </c>
      <c r="S1222" s="1" t="str">
        <f t="shared" si="94"/>
        <v/>
      </c>
      <c r="T1222" s="1">
        <f>IF($E1222="",0,SUMPRODUCT((AY_SONU!$O$7:$O$42="Evet")*(AY_SONU!$B$7:$B$42=DATE(YEAR($E1222),MONTH($E1222),1))))</f>
        <v>0</v>
      </c>
      <c r="U1222" s="1" t="str">
        <f>IF(OR($G1222="",$H1222="Mahsup"),"",$G1222&amp;"|"&amp;COUNTIFS($G$7:$G1222,$G1222,$H$7:$H1222,"&lt;&gt;Mahsup"))</f>
        <v/>
      </c>
    </row>
    <row r="1223" spans="1:21" ht="18" customHeight="1" x14ac:dyDescent="0.3">
      <c r="A1223" s="2"/>
      <c r="B1223" s="65" t="str">
        <f t="shared" ref="B1223:B1286" si="95"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 t="shared" ref="L1223:L1286" si="96">IF($E1223="","",DATE(YEAR($E1223),MONTH($E1223),1))</f>
        <v/>
      </c>
      <c r="M1223" s="65" t="str">
        <f t="shared" ref="M1223:M1286" ca="1" si="97"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9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9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  <c r="U1223" s="1" t="str">
        <f>IF(OR($G1223="",$H1223="Mahsup"),"",$G1223&amp;"|"&amp;COUNTIFS($G$7:$G1223,$G1223,$H$7:$H1223,"&lt;&gt;Mahsup"))</f>
        <v/>
      </c>
    </row>
    <row r="1224" spans="1:21" ht="18" customHeight="1" x14ac:dyDescent="0.3">
      <c r="A1224" s="2"/>
      <c r="B1224" s="65" t="str">
        <f t="shared" si="95"/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 t="shared" si="96"/>
        <v/>
      </c>
      <c r="M1224" s="65" t="str">
        <f t="shared" ca="1" si="97"/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98"/>
        <v/>
      </c>
      <c r="S1224" s="1" t="str">
        <f t="shared" si="99"/>
        <v/>
      </c>
      <c r="T1224" s="1">
        <f>IF($E1224="",0,SUMPRODUCT((AY_SONU!$O$7:$O$42="Evet")*(AY_SONU!$B$7:$B$42=DATE(YEAR($E1224),MONTH($E1224),1))))</f>
        <v>0</v>
      </c>
      <c r="U1224" s="1" t="str">
        <f>IF(OR($G1224="",$H1224="Mahsup"),"",$G1224&amp;"|"&amp;COUNTIFS($G$7:$G1224,$G1224,$H$7:$H1224,"&lt;&gt;Mahsup"))</f>
        <v/>
      </c>
    </row>
    <row r="1225" spans="1:21" ht="18" customHeight="1" x14ac:dyDescent="0.3">
      <c r="A1225" s="2"/>
      <c r="B1225" s="65" t="str">
        <f t="shared" si="95"/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 t="shared" si="96"/>
        <v/>
      </c>
      <c r="M1225" s="65" t="str">
        <f t="shared" ca="1" si="97"/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98"/>
        <v/>
      </c>
      <c r="S1225" s="1" t="str">
        <f t="shared" si="99"/>
        <v/>
      </c>
      <c r="T1225" s="1">
        <f>IF($E1225="",0,SUMPRODUCT((AY_SONU!$O$7:$O$42="Evet")*(AY_SONU!$B$7:$B$42=DATE(YEAR($E1225),MONTH($E1225),1))))</f>
        <v>0</v>
      </c>
      <c r="U1225" s="1" t="str">
        <f>IF(OR($G1225="",$H1225="Mahsup"),"",$G1225&amp;"|"&amp;COUNTIFS($G$7:$G1225,$G1225,$H$7:$H1225,"&lt;&gt;Mahsup"))</f>
        <v/>
      </c>
    </row>
    <row r="1226" spans="1:21" ht="18" customHeight="1" x14ac:dyDescent="0.3">
      <c r="A1226" s="2"/>
      <c r="B1226" s="65" t="str">
        <f t="shared" si="95"/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 t="shared" si="96"/>
        <v/>
      </c>
      <c r="M1226" s="65" t="str">
        <f t="shared" ca="1" si="97"/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98"/>
        <v/>
      </c>
      <c r="S1226" s="1" t="str">
        <f t="shared" si="99"/>
        <v/>
      </c>
      <c r="T1226" s="1">
        <f>IF($E1226="",0,SUMPRODUCT((AY_SONU!$O$7:$O$42="Evet")*(AY_SONU!$B$7:$B$42=DATE(YEAR($E1226),MONTH($E1226),1))))</f>
        <v>0</v>
      </c>
      <c r="U1226" s="1" t="str">
        <f>IF(OR($G1226="",$H1226="Mahsup"),"",$G1226&amp;"|"&amp;COUNTIFS($G$7:$G1226,$G1226,$H$7:$H1226,"&lt;&gt;Mahsup"))</f>
        <v/>
      </c>
    </row>
    <row r="1227" spans="1:21" ht="18" customHeight="1" x14ac:dyDescent="0.3">
      <c r="A1227" s="2"/>
      <c r="B1227" s="65" t="str">
        <f t="shared" si="95"/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 t="shared" si="96"/>
        <v/>
      </c>
      <c r="M1227" s="65" t="str">
        <f t="shared" ca="1" si="97"/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98"/>
        <v/>
      </c>
      <c r="S1227" s="1" t="str">
        <f t="shared" si="99"/>
        <v/>
      </c>
      <c r="T1227" s="1">
        <f>IF($E1227="",0,SUMPRODUCT((AY_SONU!$O$7:$O$42="Evet")*(AY_SONU!$B$7:$B$42=DATE(YEAR($E1227),MONTH($E1227),1))))</f>
        <v>0</v>
      </c>
      <c r="U1227" s="1" t="str">
        <f>IF(OR($G1227="",$H1227="Mahsup"),"",$G1227&amp;"|"&amp;COUNTIFS($G$7:$G1227,$G1227,$H$7:$H1227,"&lt;&gt;Mahsup"))</f>
        <v/>
      </c>
    </row>
    <row r="1228" spans="1:21" ht="18" customHeight="1" x14ac:dyDescent="0.3">
      <c r="A1228" s="2"/>
      <c r="B1228" s="65" t="str">
        <f t="shared" si="95"/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 t="shared" si="96"/>
        <v/>
      </c>
      <c r="M1228" s="65" t="str">
        <f t="shared" ca="1" si="97"/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98"/>
        <v/>
      </c>
      <c r="S1228" s="1" t="str">
        <f t="shared" si="99"/>
        <v/>
      </c>
      <c r="T1228" s="1">
        <f>IF($E1228="",0,SUMPRODUCT((AY_SONU!$O$7:$O$42="Evet")*(AY_SONU!$B$7:$B$42=DATE(YEAR($E1228),MONTH($E1228),1))))</f>
        <v>0</v>
      </c>
      <c r="U1228" s="1" t="str">
        <f>IF(OR($G1228="",$H1228="Mahsup"),"",$G1228&amp;"|"&amp;COUNTIFS($G$7:$G1228,$G1228,$H$7:$H1228,"&lt;&gt;Mahsup"))</f>
        <v/>
      </c>
    </row>
    <row r="1229" spans="1:21" ht="18" customHeight="1" x14ac:dyDescent="0.3">
      <c r="A1229" s="2"/>
      <c r="B1229" s="65" t="str">
        <f t="shared" si="95"/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 t="shared" si="96"/>
        <v/>
      </c>
      <c r="M1229" s="65" t="str">
        <f t="shared" ca="1" si="97"/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98"/>
        <v/>
      </c>
      <c r="S1229" s="1" t="str">
        <f t="shared" si="99"/>
        <v/>
      </c>
      <c r="T1229" s="1">
        <f>IF($E1229="",0,SUMPRODUCT((AY_SONU!$O$7:$O$42="Evet")*(AY_SONU!$B$7:$B$42=DATE(YEAR($E1229),MONTH($E1229),1))))</f>
        <v>0</v>
      </c>
      <c r="U1229" s="1" t="str">
        <f>IF(OR($G1229="",$H1229="Mahsup"),"",$G1229&amp;"|"&amp;COUNTIFS($G$7:$G1229,$G1229,$H$7:$H1229,"&lt;&gt;Mahsup"))</f>
        <v/>
      </c>
    </row>
    <row r="1230" spans="1:21" ht="18" customHeight="1" x14ac:dyDescent="0.3">
      <c r="A1230" s="2"/>
      <c r="B1230" s="65" t="str">
        <f t="shared" si="95"/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 t="shared" si="96"/>
        <v/>
      </c>
      <c r="M1230" s="65" t="str">
        <f t="shared" ca="1" si="97"/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98"/>
        <v/>
      </c>
      <c r="S1230" s="1" t="str">
        <f t="shared" si="99"/>
        <v/>
      </c>
      <c r="T1230" s="1">
        <f>IF($E1230="",0,SUMPRODUCT((AY_SONU!$O$7:$O$42="Evet")*(AY_SONU!$B$7:$B$42=DATE(YEAR($E1230),MONTH($E1230),1))))</f>
        <v>0</v>
      </c>
      <c r="U1230" s="1" t="str">
        <f>IF(OR($G1230="",$H1230="Mahsup"),"",$G1230&amp;"|"&amp;COUNTIFS($G$7:$G1230,$G1230,$H$7:$H1230,"&lt;&gt;Mahsup"))</f>
        <v/>
      </c>
    </row>
    <row r="1231" spans="1:21" ht="18" customHeight="1" x14ac:dyDescent="0.3">
      <c r="A1231" s="2"/>
      <c r="B1231" s="65" t="str">
        <f t="shared" si="95"/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 t="shared" si="96"/>
        <v/>
      </c>
      <c r="M1231" s="65" t="str">
        <f t="shared" ca="1" si="97"/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98"/>
        <v/>
      </c>
      <c r="S1231" s="1" t="str">
        <f t="shared" si="99"/>
        <v/>
      </c>
      <c r="T1231" s="1">
        <f>IF($E1231="",0,SUMPRODUCT((AY_SONU!$O$7:$O$42="Evet")*(AY_SONU!$B$7:$B$42=DATE(YEAR($E1231),MONTH($E1231),1))))</f>
        <v>0</v>
      </c>
      <c r="U1231" s="1" t="str">
        <f>IF(OR($G1231="",$H1231="Mahsup"),"",$G1231&amp;"|"&amp;COUNTIFS($G$7:$G1231,$G1231,$H$7:$H1231,"&lt;&gt;Mahsup"))</f>
        <v/>
      </c>
    </row>
    <row r="1232" spans="1:21" ht="18" customHeight="1" x14ac:dyDescent="0.3">
      <c r="A1232" s="2"/>
      <c r="B1232" s="65" t="str">
        <f t="shared" si="95"/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 t="shared" si="96"/>
        <v/>
      </c>
      <c r="M1232" s="65" t="str">
        <f t="shared" ca="1" si="97"/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98"/>
        <v/>
      </c>
      <c r="S1232" s="1" t="str">
        <f t="shared" si="99"/>
        <v/>
      </c>
      <c r="T1232" s="1">
        <f>IF($E1232="",0,SUMPRODUCT((AY_SONU!$O$7:$O$42="Evet")*(AY_SONU!$B$7:$B$42=DATE(YEAR($E1232),MONTH($E1232),1))))</f>
        <v>0</v>
      </c>
      <c r="U1232" s="1" t="str">
        <f>IF(OR($G1232="",$H1232="Mahsup"),"",$G1232&amp;"|"&amp;COUNTIFS($G$7:$G1232,$G1232,$H$7:$H1232,"&lt;&gt;Mahsup"))</f>
        <v/>
      </c>
    </row>
    <row r="1233" spans="1:21" ht="18" customHeight="1" x14ac:dyDescent="0.3">
      <c r="A1233" s="2"/>
      <c r="B1233" s="65" t="str">
        <f t="shared" si="95"/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 t="shared" si="96"/>
        <v/>
      </c>
      <c r="M1233" s="65" t="str">
        <f t="shared" ca="1" si="97"/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98"/>
        <v/>
      </c>
      <c r="S1233" s="1" t="str">
        <f t="shared" si="99"/>
        <v/>
      </c>
      <c r="T1233" s="1">
        <f>IF($E1233="",0,SUMPRODUCT((AY_SONU!$O$7:$O$42="Evet")*(AY_SONU!$B$7:$B$42=DATE(YEAR($E1233),MONTH($E1233),1))))</f>
        <v>0</v>
      </c>
      <c r="U1233" s="1" t="str">
        <f>IF(OR($G1233="",$H1233="Mahsup"),"",$G1233&amp;"|"&amp;COUNTIFS($G$7:$G1233,$G1233,$H$7:$H1233,"&lt;&gt;Mahsup"))</f>
        <v/>
      </c>
    </row>
    <row r="1234" spans="1:21" ht="18" customHeight="1" x14ac:dyDescent="0.3">
      <c r="A1234" s="2"/>
      <c r="B1234" s="65" t="str">
        <f t="shared" si="95"/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 t="shared" si="96"/>
        <v/>
      </c>
      <c r="M1234" s="65" t="str">
        <f t="shared" ca="1" si="97"/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98"/>
        <v/>
      </c>
      <c r="S1234" s="1" t="str">
        <f t="shared" si="99"/>
        <v/>
      </c>
      <c r="T1234" s="1">
        <f>IF($E1234="",0,SUMPRODUCT((AY_SONU!$O$7:$O$42="Evet")*(AY_SONU!$B$7:$B$42=DATE(YEAR($E1234),MONTH($E1234),1))))</f>
        <v>0</v>
      </c>
      <c r="U1234" s="1" t="str">
        <f>IF(OR($G1234="",$H1234="Mahsup"),"",$G1234&amp;"|"&amp;COUNTIFS($G$7:$G1234,$G1234,$H$7:$H1234,"&lt;&gt;Mahsup"))</f>
        <v/>
      </c>
    </row>
    <row r="1235" spans="1:21" ht="18" customHeight="1" x14ac:dyDescent="0.3">
      <c r="A1235" s="2"/>
      <c r="B1235" s="65" t="str">
        <f t="shared" si="95"/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 t="shared" si="96"/>
        <v/>
      </c>
      <c r="M1235" s="65" t="str">
        <f t="shared" ca="1" si="97"/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98"/>
        <v/>
      </c>
      <c r="S1235" s="1" t="str">
        <f t="shared" si="99"/>
        <v/>
      </c>
      <c r="T1235" s="1">
        <f>IF($E1235="",0,SUMPRODUCT((AY_SONU!$O$7:$O$42="Evet")*(AY_SONU!$B$7:$B$42=DATE(YEAR($E1235),MONTH($E1235),1))))</f>
        <v>0</v>
      </c>
      <c r="U1235" s="1" t="str">
        <f>IF(OR($G1235="",$H1235="Mahsup"),"",$G1235&amp;"|"&amp;COUNTIFS($G$7:$G1235,$G1235,$H$7:$H1235,"&lt;&gt;Mahsup"))</f>
        <v/>
      </c>
    </row>
    <row r="1236" spans="1:21" ht="18" customHeight="1" x14ac:dyDescent="0.3">
      <c r="A1236" s="2"/>
      <c r="B1236" s="65" t="str">
        <f t="shared" si="95"/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 t="shared" si="96"/>
        <v/>
      </c>
      <c r="M1236" s="65" t="str">
        <f t="shared" ca="1" si="97"/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98"/>
        <v/>
      </c>
      <c r="S1236" s="1" t="str">
        <f t="shared" si="99"/>
        <v/>
      </c>
      <c r="T1236" s="1">
        <f>IF($E1236="",0,SUMPRODUCT((AY_SONU!$O$7:$O$42="Evet")*(AY_SONU!$B$7:$B$42=DATE(YEAR($E1236),MONTH($E1236),1))))</f>
        <v>0</v>
      </c>
      <c r="U1236" s="1" t="str">
        <f>IF(OR($G1236="",$H1236="Mahsup"),"",$G1236&amp;"|"&amp;COUNTIFS($G$7:$G1236,$G1236,$H$7:$H1236,"&lt;&gt;Mahsup"))</f>
        <v/>
      </c>
    </row>
    <row r="1237" spans="1:21" ht="18" customHeight="1" x14ac:dyDescent="0.3">
      <c r="A1237" s="2"/>
      <c r="B1237" s="65" t="str">
        <f t="shared" si="95"/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 t="shared" si="96"/>
        <v/>
      </c>
      <c r="M1237" s="65" t="str">
        <f t="shared" ca="1" si="97"/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98"/>
        <v/>
      </c>
      <c r="S1237" s="1" t="str">
        <f t="shared" si="99"/>
        <v/>
      </c>
      <c r="T1237" s="1">
        <f>IF($E1237="",0,SUMPRODUCT((AY_SONU!$O$7:$O$42="Evet")*(AY_SONU!$B$7:$B$42=DATE(YEAR($E1237),MONTH($E1237),1))))</f>
        <v>0</v>
      </c>
      <c r="U1237" s="1" t="str">
        <f>IF(OR($G1237="",$H1237="Mahsup"),"",$G1237&amp;"|"&amp;COUNTIFS($G$7:$G1237,$G1237,$H$7:$H1237,"&lt;&gt;Mahsup"))</f>
        <v/>
      </c>
    </row>
    <row r="1238" spans="1:21" ht="18" customHeight="1" x14ac:dyDescent="0.3">
      <c r="A1238" s="2"/>
      <c r="B1238" s="65" t="str">
        <f t="shared" si="95"/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 t="shared" si="96"/>
        <v/>
      </c>
      <c r="M1238" s="65" t="str">
        <f t="shared" ca="1" si="97"/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98"/>
        <v/>
      </c>
      <c r="S1238" s="1" t="str">
        <f t="shared" si="99"/>
        <v/>
      </c>
      <c r="T1238" s="1">
        <f>IF($E1238="",0,SUMPRODUCT((AY_SONU!$O$7:$O$42="Evet")*(AY_SONU!$B$7:$B$42=DATE(YEAR($E1238),MONTH($E1238),1))))</f>
        <v>0</v>
      </c>
      <c r="U1238" s="1" t="str">
        <f>IF(OR($G1238="",$H1238="Mahsup"),"",$G1238&amp;"|"&amp;COUNTIFS($G$7:$G1238,$G1238,$H$7:$H1238,"&lt;&gt;Mahsup"))</f>
        <v/>
      </c>
    </row>
    <row r="1239" spans="1:21" ht="18" customHeight="1" x14ac:dyDescent="0.3">
      <c r="A1239" s="2"/>
      <c r="B1239" s="65" t="str">
        <f t="shared" si="95"/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 t="shared" si="96"/>
        <v/>
      </c>
      <c r="M1239" s="65" t="str">
        <f t="shared" ca="1" si="97"/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98"/>
        <v/>
      </c>
      <c r="S1239" s="1" t="str">
        <f t="shared" si="99"/>
        <v/>
      </c>
      <c r="T1239" s="1">
        <f>IF($E1239="",0,SUMPRODUCT((AY_SONU!$O$7:$O$42="Evet")*(AY_SONU!$B$7:$B$42=DATE(YEAR($E1239),MONTH($E1239),1))))</f>
        <v>0</v>
      </c>
      <c r="U1239" s="1" t="str">
        <f>IF(OR($G1239="",$H1239="Mahsup"),"",$G1239&amp;"|"&amp;COUNTIFS($G$7:$G1239,$G1239,$H$7:$H1239,"&lt;&gt;Mahsup"))</f>
        <v/>
      </c>
    </row>
    <row r="1240" spans="1:21" ht="18" customHeight="1" x14ac:dyDescent="0.3">
      <c r="A1240" s="2"/>
      <c r="B1240" s="65" t="str">
        <f t="shared" si="95"/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 t="shared" si="96"/>
        <v/>
      </c>
      <c r="M1240" s="65" t="str">
        <f t="shared" ca="1" si="97"/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98"/>
        <v/>
      </c>
      <c r="S1240" s="1" t="str">
        <f t="shared" si="99"/>
        <v/>
      </c>
      <c r="T1240" s="1">
        <f>IF($E1240="",0,SUMPRODUCT((AY_SONU!$O$7:$O$42="Evet")*(AY_SONU!$B$7:$B$42=DATE(YEAR($E1240),MONTH($E1240),1))))</f>
        <v>0</v>
      </c>
      <c r="U1240" s="1" t="str">
        <f>IF(OR($G1240="",$H1240="Mahsup"),"",$G1240&amp;"|"&amp;COUNTIFS($G$7:$G1240,$G1240,$H$7:$H1240,"&lt;&gt;Mahsup"))</f>
        <v/>
      </c>
    </row>
    <row r="1241" spans="1:21" ht="18" customHeight="1" x14ac:dyDescent="0.3">
      <c r="A1241" s="2"/>
      <c r="B1241" s="65" t="str">
        <f t="shared" si="95"/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 t="shared" si="96"/>
        <v/>
      </c>
      <c r="M1241" s="65" t="str">
        <f t="shared" ca="1" si="97"/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98"/>
        <v/>
      </c>
      <c r="S1241" s="1" t="str">
        <f t="shared" si="99"/>
        <v/>
      </c>
      <c r="T1241" s="1">
        <f>IF($E1241="",0,SUMPRODUCT((AY_SONU!$O$7:$O$42="Evet")*(AY_SONU!$B$7:$B$42=DATE(YEAR($E1241),MONTH($E1241),1))))</f>
        <v>0</v>
      </c>
      <c r="U1241" s="1" t="str">
        <f>IF(OR($G1241="",$H1241="Mahsup"),"",$G1241&amp;"|"&amp;COUNTIFS($G$7:$G1241,$G1241,$H$7:$H1241,"&lt;&gt;Mahsup"))</f>
        <v/>
      </c>
    </row>
    <row r="1242" spans="1:21" ht="18" customHeight="1" x14ac:dyDescent="0.3">
      <c r="A1242" s="2"/>
      <c r="B1242" s="65" t="str">
        <f t="shared" si="95"/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 t="shared" si="96"/>
        <v/>
      </c>
      <c r="M1242" s="65" t="str">
        <f t="shared" ca="1" si="97"/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98"/>
        <v/>
      </c>
      <c r="S1242" s="1" t="str">
        <f t="shared" si="99"/>
        <v/>
      </c>
      <c r="T1242" s="1">
        <f>IF($E1242="",0,SUMPRODUCT((AY_SONU!$O$7:$O$42="Evet")*(AY_SONU!$B$7:$B$42=DATE(YEAR($E1242),MONTH($E1242),1))))</f>
        <v>0</v>
      </c>
      <c r="U1242" s="1" t="str">
        <f>IF(OR($G1242="",$H1242="Mahsup"),"",$G1242&amp;"|"&amp;COUNTIFS($G$7:$G1242,$G1242,$H$7:$H1242,"&lt;&gt;Mahsup"))</f>
        <v/>
      </c>
    </row>
    <row r="1243" spans="1:21" ht="18" customHeight="1" x14ac:dyDescent="0.3">
      <c r="A1243" s="2"/>
      <c r="B1243" s="65" t="str">
        <f t="shared" si="95"/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 t="shared" si="96"/>
        <v/>
      </c>
      <c r="M1243" s="65" t="str">
        <f t="shared" ca="1" si="97"/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98"/>
        <v/>
      </c>
      <c r="S1243" s="1" t="str">
        <f t="shared" si="99"/>
        <v/>
      </c>
      <c r="T1243" s="1">
        <f>IF($E1243="",0,SUMPRODUCT((AY_SONU!$O$7:$O$42="Evet")*(AY_SONU!$B$7:$B$42=DATE(YEAR($E1243),MONTH($E1243),1))))</f>
        <v>0</v>
      </c>
      <c r="U1243" s="1" t="str">
        <f>IF(OR($G1243="",$H1243="Mahsup"),"",$G1243&amp;"|"&amp;COUNTIFS($G$7:$G1243,$G1243,$H$7:$H1243,"&lt;&gt;Mahsup"))</f>
        <v/>
      </c>
    </row>
    <row r="1244" spans="1:21" ht="18" customHeight="1" x14ac:dyDescent="0.3">
      <c r="A1244" s="2"/>
      <c r="B1244" s="65" t="str">
        <f t="shared" si="95"/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 t="shared" si="96"/>
        <v/>
      </c>
      <c r="M1244" s="65" t="str">
        <f t="shared" ca="1" si="97"/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98"/>
        <v/>
      </c>
      <c r="S1244" s="1" t="str">
        <f t="shared" si="99"/>
        <v/>
      </c>
      <c r="T1244" s="1">
        <f>IF($E1244="",0,SUMPRODUCT((AY_SONU!$O$7:$O$42="Evet")*(AY_SONU!$B$7:$B$42=DATE(YEAR($E1244),MONTH($E1244),1))))</f>
        <v>0</v>
      </c>
      <c r="U1244" s="1" t="str">
        <f>IF(OR($G1244="",$H1244="Mahsup"),"",$G1244&amp;"|"&amp;COUNTIFS($G$7:$G1244,$G1244,$H$7:$H1244,"&lt;&gt;Mahsup"))</f>
        <v/>
      </c>
    </row>
    <row r="1245" spans="1:21" ht="18" customHeight="1" x14ac:dyDescent="0.3">
      <c r="A1245" s="2"/>
      <c r="B1245" s="65" t="str">
        <f t="shared" si="95"/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 t="shared" si="96"/>
        <v/>
      </c>
      <c r="M1245" s="65" t="str">
        <f t="shared" ca="1" si="97"/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98"/>
        <v/>
      </c>
      <c r="S1245" s="1" t="str">
        <f t="shared" si="99"/>
        <v/>
      </c>
      <c r="T1245" s="1">
        <f>IF($E1245="",0,SUMPRODUCT((AY_SONU!$O$7:$O$42="Evet")*(AY_SONU!$B$7:$B$42=DATE(YEAR($E1245),MONTH($E1245),1))))</f>
        <v>0</v>
      </c>
      <c r="U1245" s="1" t="str">
        <f>IF(OR($G1245="",$H1245="Mahsup"),"",$G1245&amp;"|"&amp;COUNTIFS($G$7:$G1245,$G1245,$H$7:$H1245,"&lt;&gt;Mahsup"))</f>
        <v/>
      </c>
    </row>
    <row r="1246" spans="1:21" ht="18" customHeight="1" x14ac:dyDescent="0.3">
      <c r="A1246" s="2"/>
      <c r="B1246" s="65" t="str">
        <f t="shared" si="95"/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 t="shared" si="96"/>
        <v/>
      </c>
      <c r="M1246" s="65" t="str">
        <f t="shared" ca="1" si="97"/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98"/>
        <v/>
      </c>
      <c r="S1246" s="1" t="str">
        <f t="shared" si="99"/>
        <v/>
      </c>
      <c r="T1246" s="1">
        <f>IF($E1246="",0,SUMPRODUCT((AY_SONU!$O$7:$O$42="Evet")*(AY_SONU!$B$7:$B$42=DATE(YEAR($E1246),MONTH($E1246),1))))</f>
        <v>0</v>
      </c>
      <c r="U1246" s="1" t="str">
        <f>IF(OR($G1246="",$H1246="Mahsup"),"",$G1246&amp;"|"&amp;COUNTIFS($G$7:$G1246,$G1246,$H$7:$H1246,"&lt;&gt;Mahsup"))</f>
        <v/>
      </c>
    </row>
    <row r="1247" spans="1:21" ht="18" customHeight="1" x14ac:dyDescent="0.3">
      <c r="A1247" s="2"/>
      <c r="B1247" s="65" t="str">
        <f t="shared" si="95"/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 t="shared" si="96"/>
        <v/>
      </c>
      <c r="M1247" s="65" t="str">
        <f t="shared" ca="1" si="97"/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98"/>
        <v/>
      </c>
      <c r="S1247" s="1" t="str">
        <f t="shared" si="99"/>
        <v/>
      </c>
      <c r="T1247" s="1">
        <f>IF($E1247="",0,SUMPRODUCT((AY_SONU!$O$7:$O$42="Evet")*(AY_SONU!$B$7:$B$42=DATE(YEAR($E1247),MONTH($E1247),1))))</f>
        <v>0</v>
      </c>
      <c r="U1247" s="1" t="str">
        <f>IF(OR($G1247="",$H1247="Mahsup"),"",$G1247&amp;"|"&amp;COUNTIFS($G$7:$G1247,$G1247,$H$7:$H1247,"&lt;&gt;Mahsup"))</f>
        <v/>
      </c>
    </row>
    <row r="1248" spans="1:21" ht="18" customHeight="1" x14ac:dyDescent="0.3">
      <c r="A1248" s="2"/>
      <c r="B1248" s="65" t="str">
        <f t="shared" si="95"/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 t="shared" si="96"/>
        <v/>
      </c>
      <c r="M1248" s="65" t="str">
        <f t="shared" ca="1" si="97"/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98"/>
        <v/>
      </c>
      <c r="S1248" s="1" t="str">
        <f t="shared" si="99"/>
        <v/>
      </c>
      <c r="T1248" s="1">
        <f>IF($E1248="",0,SUMPRODUCT((AY_SONU!$O$7:$O$42="Evet")*(AY_SONU!$B$7:$B$42=DATE(YEAR($E1248),MONTH($E1248),1))))</f>
        <v>0</v>
      </c>
      <c r="U1248" s="1" t="str">
        <f>IF(OR($G1248="",$H1248="Mahsup"),"",$G1248&amp;"|"&amp;COUNTIFS($G$7:$G1248,$G1248,$H$7:$H1248,"&lt;&gt;Mahsup"))</f>
        <v/>
      </c>
    </row>
    <row r="1249" spans="1:21" ht="18" customHeight="1" x14ac:dyDescent="0.3">
      <c r="A1249" s="2"/>
      <c r="B1249" s="65" t="str">
        <f t="shared" si="95"/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 t="shared" si="96"/>
        <v/>
      </c>
      <c r="M1249" s="65" t="str">
        <f t="shared" ca="1" si="97"/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98"/>
        <v/>
      </c>
      <c r="S1249" s="1" t="str">
        <f t="shared" si="99"/>
        <v/>
      </c>
      <c r="T1249" s="1">
        <f>IF($E1249="",0,SUMPRODUCT((AY_SONU!$O$7:$O$42="Evet")*(AY_SONU!$B$7:$B$42=DATE(YEAR($E1249),MONTH($E1249),1))))</f>
        <v>0</v>
      </c>
      <c r="U1249" s="1" t="str">
        <f>IF(OR($G1249="",$H1249="Mahsup"),"",$G1249&amp;"|"&amp;COUNTIFS($G$7:$G1249,$G1249,$H$7:$H1249,"&lt;&gt;Mahsup"))</f>
        <v/>
      </c>
    </row>
    <row r="1250" spans="1:21" ht="18" customHeight="1" x14ac:dyDescent="0.3">
      <c r="A1250" s="2"/>
      <c r="B1250" s="65" t="str">
        <f t="shared" si="95"/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 t="shared" si="96"/>
        <v/>
      </c>
      <c r="M1250" s="65" t="str">
        <f t="shared" ca="1" si="97"/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98"/>
        <v/>
      </c>
      <c r="S1250" s="1" t="str">
        <f t="shared" si="99"/>
        <v/>
      </c>
      <c r="T1250" s="1">
        <f>IF($E1250="",0,SUMPRODUCT((AY_SONU!$O$7:$O$42="Evet")*(AY_SONU!$B$7:$B$42=DATE(YEAR($E1250),MONTH($E1250),1))))</f>
        <v>0</v>
      </c>
      <c r="U1250" s="1" t="str">
        <f>IF(OR($G1250="",$H1250="Mahsup"),"",$G1250&amp;"|"&amp;COUNTIFS($G$7:$G1250,$G1250,$H$7:$H1250,"&lt;&gt;Mahsup"))</f>
        <v/>
      </c>
    </row>
    <row r="1251" spans="1:21" ht="18" customHeight="1" x14ac:dyDescent="0.3">
      <c r="A1251" s="2"/>
      <c r="B1251" s="65" t="str">
        <f t="shared" si="95"/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 t="shared" si="96"/>
        <v/>
      </c>
      <c r="M1251" s="65" t="str">
        <f t="shared" ca="1" si="97"/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98"/>
        <v/>
      </c>
      <c r="S1251" s="1" t="str">
        <f t="shared" si="99"/>
        <v/>
      </c>
      <c r="T1251" s="1">
        <f>IF($E1251="",0,SUMPRODUCT((AY_SONU!$O$7:$O$42="Evet")*(AY_SONU!$B$7:$B$42=DATE(YEAR($E1251),MONTH($E1251),1))))</f>
        <v>0</v>
      </c>
      <c r="U1251" s="1" t="str">
        <f>IF(OR($G1251="",$H1251="Mahsup"),"",$G1251&amp;"|"&amp;COUNTIFS($G$7:$G1251,$G1251,$H$7:$H1251,"&lt;&gt;Mahsup"))</f>
        <v/>
      </c>
    </row>
    <row r="1252" spans="1:21" ht="18" customHeight="1" x14ac:dyDescent="0.3">
      <c r="A1252" s="2"/>
      <c r="B1252" s="65" t="str">
        <f t="shared" si="95"/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 t="shared" si="96"/>
        <v/>
      </c>
      <c r="M1252" s="65" t="str">
        <f t="shared" ca="1" si="97"/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98"/>
        <v/>
      </c>
      <c r="S1252" s="1" t="str">
        <f t="shared" si="99"/>
        <v/>
      </c>
      <c r="T1252" s="1">
        <f>IF($E1252="",0,SUMPRODUCT((AY_SONU!$O$7:$O$42="Evet")*(AY_SONU!$B$7:$B$42=DATE(YEAR($E1252),MONTH($E1252),1))))</f>
        <v>0</v>
      </c>
      <c r="U1252" s="1" t="str">
        <f>IF(OR($G1252="",$H1252="Mahsup"),"",$G1252&amp;"|"&amp;COUNTIFS($G$7:$G1252,$G1252,$H$7:$H1252,"&lt;&gt;Mahsup"))</f>
        <v/>
      </c>
    </row>
    <row r="1253" spans="1:21" ht="18" customHeight="1" x14ac:dyDescent="0.3">
      <c r="A1253" s="2"/>
      <c r="B1253" s="65" t="str">
        <f t="shared" si="95"/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 t="shared" si="96"/>
        <v/>
      </c>
      <c r="M1253" s="65" t="str">
        <f t="shared" ca="1" si="97"/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98"/>
        <v/>
      </c>
      <c r="S1253" s="1" t="str">
        <f t="shared" si="99"/>
        <v/>
      </c>
      <c r="T1253" s="1">
        <f>IF($E1253="",0,SUMPRODUCT((AY_SONU!$O$7:$O$42="Evet")*(AY_SONU!$B$7:$B$42=DATE(YEAR($E1253),MONTH($E1253),1))))</f>
        <v>0</v>
      </c>
      <c r="U1253" s="1" t="str">
        <f>IF(OR($G1253="",$H1253="Mahsup"),"",$G1253&amp;"|"&amp;COUNTIFS($G$7:$G1253,$G1253,$H$7:$H1253,"&lt;&gt;Mahsup"))</f>
        <v/>
      </c>
    </row>
    <row r="1254" spans="1:21" ht="18" customHeight="1" x14ac:dyDescent="0.3">
      <c r="A1254" s="2"/>
      <c r="B1254" s="65" t="str">
        <f t="shared" si="95"/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 t="shared" si="96"/>
        <v/>
      </c>
      <c r="M1254" s="65" t="str">
        <f t="shared" ca="1" si="97"/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98"/>
        <v/>
      </c>
      <c r="S1254" s="1" t="str">
        <f t="shared" si="99"/>
        <v/>
      </c>
      <c r="T1254" s="1">
        <f>IF($E1254="",0,SUMPRODUCT((AY_SONU!$O$7:$O$42="Evet")*(AY_SONU!$B$7:$B$42=DATE(YEAR($E1254),MONTH($E1254),1))))</f>
        <v>0</v>
      </c>
      <c r="U1254" s="1" t="str">
        <f>IF(OR($G1254="",$H1254="Mahsup"),"",$G1254&amp;"|"&amp;COUNTIFS($G$7:$G1254,$G1254,$H$7:$H1254,"&lt;&gt;Mahsup"))</f>
        <v/>
      </c>
    </row>
    <row r="1255" spans="1:21" ht="18" customHeight="1" x14ac:dyDescent="0.3">
      <c r="A1255" s="2"/>
      <c r="B1255" s="65" t="str">
        <f t="shared" si="95"/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 t="shared" si="96"/>
        <v/>
      </c>
      <c r="M1255" s="65" t="str">
        <f t="shared" ca="1" si="97"/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98"/>
        <v/>
      </c>
      <c r="S1255" s="1" t="str">
        <f t="shared" si="99"/>
        <v/>
      </c>
      <c r="T1255" s="1">
        <f>IF($E1255="",0,SUMPRODUCT((AY_SONU!$O$7:$O$42="Evet")*(AY_SONU!$B$7:$B$42=DATE(YEAR($E1255),MONTH($E1255),1))))</f>
        <v>0</v>
      </c>
      <c r="U1255" s="1" t="str">
        <f>IF(OR($G1255="",$H1255="Mahsup"),"",$G1255&amp;"|"&amp;COUNTIFS($G$7:$G1255,$G1255,$H$7:$H1255,"&lt;&gt;Mahsup"))</f>
        <v/>
      </c>
    </row>
    <row r="1256" spans="1:21" ht="18" customHeight="1" x14ac:dyDescent="0.3">
      <c r="A1256" s="2"/>
      <c r="B1256" s="65" t="str">
        <f t="shared" si="95"/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 t="shared" si="96"/>
        <v/>
      </c>
      <c r="M1256" s="65" t="str">
        <f t="shared" ca="1" si="97"/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98"/>
        <v/>
      </c>
      <c r="S1256" s="1" t="str">
        <f t="shared" si="99"/>
        <v/>
      </c>
      <c r="T1256" s="1">
        <f>IF($E1256="",0,SUMPRODUCT((AY_SONU!$O$7:$O$42="Evet")*(AY_SONU!$B$7:$B$42=DATE(YEAR($E1256),MONTH($E1256),1))))</f>
        <v>0</v>
      </c>
      <c r="U1256" s="1" t="str">
        <f>IF(OR($G1256="",$H1256="Mahsup"),"",$G1256&amp;"|"&amp;COUNTIFS($G$7:$G1256,$G1256,$H$7:$H1256,"&lt;&gt;Mahsup"))</f>
        <v/>
      </c>
    </row>
    <row r="1257" spans="1:21" ht="18" customHeight="1" x14ac:dyDescent="0.3">
      <c r="A1257" s="2"/>
      <c r="B1257" s="65" t="str">
        <f t="shared" si="95"/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 t="shared" si="96"/>
        <v/>
      </c>
      <c r="M1257" s="65" t="str">
        <f t="shared" ca="1" si="97"/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98"/>
        <v/>
      </c>
      <c r="S1257" s="1" t="str">
        <f t="shared" si="99"/>
        <v/>
      </c>
      <c r="T1257" s="1">
        <f>IF($E1257="",0,SUMPRODUCT((AY_SONU!$O$7:$O$42="Evet")*(AY_SONU!$B$7:$B$42=DATE(YEAR($E1257),MONTH($E1257),1))))</f>
        <v>0</v>
      </c>
      <c r="U1257" s="1" t="str">
        <f>IF(OR($G1257="",$H1257="Mahsup"),"",$G1257&amp;"|"&amp;COUNTIFS($G$7:$G1257,$G1257,$H$7:$H1257,"&lt;&gt;Mahsup"))</f>
        <v/>
      </c>
    </row>
    <row r="1258" spans="1:21" ht="18" customHeight="1" x14ac:dyDescent="0.3">
      <c r="A1258" s="2"/>
      <c r="B1258" s="65" t="str">
        <f t="shared" si="95"/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 t="shared" si="96"/>
        <v/>
      </c>
      <c r="M1258" s="65" t="str">
        <f t="shared" ca="1" si="97"/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98"/>
        <v/>
      </c>
      <c r="S1258" s="1" t="str">
        <f t="shared" si="99"/>
        <v/>
      </c>
      <c r="T1258" s="1">
        <f>IF($E1258="",0,SUMPRODUCT((AY_SONU!$O$7:$O$42="Evet")*(AY_SONU!$B$7:$B$42=DATE(YEAR($E1258),MONTH($E1258),1))))</f>
        <v>0</v>
      </c>
      <c r="U1258" s="1" t="str">
        <f>IF(OR($G1258="",$H1258="Mahsup"),"",$G1258&amp;"|"&amp;COUNTIFS($G$7:$G1258,$G1258,$H$7:$H1258,"&lt;&gt;Mahsup"))</f>
        <v/>
      </c>
    </row>
    <row r="1259" spans="1:21" ht="18" customHeight="1" x14ac:dyDescent="0.3">
      <c r="A1259" s="2"/>
      <c r="B1259" s="65" t="str">
        <f t="shared" si="95"/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 t="shared" si="96"/>
        <v/>
      </c>
      <c r="M1259" s="65" t="str">
        <f t="shared" ca="1" si="97"/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98"/>
        <v/>
      </c>
      <c r="S1259" s="1" t="str">
        <f t="shared" si="99"/>
        <v/>
      </c>
      <c r="T1259" s="1">
        <f>IF($E1259="",0,SUMPRODUCT((AY_SONU!$O$7:$O$42="Evet")*(AY_SONU!$B$7:$B$42=DATE(YEAR($E1259),MONTH($E1259),1))))</f>
        <v>0</v>
      </c>
      <c r="U1259" s="1" t="str">
        <f>IF(OR($G1259="",$H1259="Mahsup"),"",$G1259&amp;"|"&amp;COUNTIFS($G$7:$G1259,$G1259,$H$7:$H1259,"&lt;&gt;Mahsup"))</f>
        <v/>
      </c>
    </row>
    <row r="1260" spans="1:21" ht="18" customHeight="1" x14ac:dyDescent="0.3">
      <c r="A1260" s="2"/>
      <c r="B1260" s="65" t="str">
        <f t="shared" si="95"/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 t="shared" si="96"/>
        <v/>
      </c>
      <c r="M1260" s="65" t="str">
        <f t="shared" ca="1" si="97"/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98"/>
        <v/>
      </c>
      <c r="S1260" s="1" t="str">
        <f t="shared" si="99"/>
        <v/>
      </c>
      <c r="T1260" s="1">
        <f>IF($E1260="",0,SUMPRODUCT((AY_SONU!$O$7:$O$42="Evet")*(AY_SONU!$B$7:$B$42=DATE(YEAR($E1260),MONTH($E1260),1))))</f>
        <v>0</v>
      </c>
      <c r="U1260" s="1" t="str">
        <f>IF(OR($G1260="",$H1260="Mahsup"),"",$G1260&amp;"|"&amp;COUNTIFS($G$7:$G1260,$G1260,$H$7:$H1260,"&lt;&gt;Mahsup"))</f>
        <v/>
      </c>
    </row>
    <row r="1261" spans="1:21" ht="18" customHeight="1" x14ac:dyDescent="0.3">
      <c r="A1261" s="2"/>
      <c r="B1261" s="65" t="str">
        <f t="shared" si="95"/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 t="shared" si="96"/>
        <v/>
      </c>
      <c r="M1261" s="65" t="str">
        <f t="shared" ca="1" si="97"/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98"/>
        <v/>
      </c>
      <c r="S1261" s="1" t="str">
        <f t="shared" si="99"/>
        <v/>
      </c>
      <c r="T1261" s="1">
        <f>IF($E1261="",0,SUMPRODUCT((AY_SONU!$O$7:$O$42="Evet")*(AY_SONU!$B$7:$B$42=DATE(YEAR($E1261),MONTH($E1261),1))))</f>
        <v>0</v>
      </c>
      <c r="U1261" s="1" t="str">
        <f>IF(OR($G1261="",$H1261="Mahsup"),"",$G1261&amp;"|"&amp;COUNTIFS($G$7:$G1261,$G1261,$H$7:$H1261,"&lt;&gt;Mahsup"))</f>
        <v/>
      </c>
    </row>
    <row r="1262" spans="1:21" ht="18" customHeight="1" x14ac:dyDescent="0.3">
      <c r="A1262" s="2"/>
      <c r="B1262" s="65" t="str">
        <f t="shared" si="95"/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 t="shared" si="96"/>
        <v/>
      </c>
      <c r="M1262" s="65" t="str">
        <f t="shared" ca="1" si="97"/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98"/>
        <v/>
      </c>
      <c r="S1262" s="1" t="str">
        <f t="shared" si="99"/>
        <v/>
      </c>
      <c r="T1262" s="1">
        <f>IF($E1262="",0,SUMPRODUCT((AY_SONU!$O$7:$O$42="Evet")*(AY_SONU!$B$7:$B$42=DATE(YEAR($E1262),MONTH($E1262),1))))</f>
        <v>0</v>
      </c>
      <c r="U1262" s="1" t="str">
        <f>IF(OR($G1262="",$H1262="Mahsup"),"",$G1262&amp;"|"&amp;COUNTIFS($G$7:$G1262,$G1262,$H$7:$H1262,"&lt;&gt;Mahsup"))</f>
        <v/>
      </c>
    </row>
    <row r="1263" spans="1:21" ht="18" customHeight="1" x14ac:dyDescent="0.3">
      <c r="A1263" s="2"/>
      <c r="B1263" s="65" t="str">
        <f t="shared" si="95"/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 t="shared" si="96"/>
        <v/>
      </c>
      <c r="M1263" s="65" t="str">
        <f t="shared" ca="1" si="97"/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98"/>
        <v/>
      </c>
      <c r="S1263" s="1" t="str">
        <f t="shared" si="99"/>
        <v/>
      </c>
      <c r="T1263" s="1">
        <f>IF($E1263="",0,SUMPRODUCT((AY_SONU!$O$7:$O$42="Evet")*(AY_SONU!$B$7:$B$42=DATE(YEAR($E1263),MONTH($E1263),1))))</f>
        <v>0</v>
      </c>
      <c r="U1263" s="1" t="str">
        <f>IF(OR($G1263="",$H1263="Mahsup"),"",$G1263&amp;"|"&amp;COUNTIFS($G$7:$G1263,$G1263,$H$7:$H1263,"&lt;&gt;Mahsup"))</f>
        <v/>
      </c>
    </row>
    <row r="1264" spans="1:21" ht="18" customHeight="1" x14ac:dyDescent="0.3">
      <c r="A1264" s="2"/>
      <c r="B1264" s="65" t="str">
        <f t="shared" si="95"/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 t="shared" si="96"/>
        <v/>
      </c>
      <c r="M1264" s="65" t="str">
        <f t="shared" ca="1" si="97"/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98"/>
        <v/>
      </c>
      <c r="S1264" s="1" t="str">
        <f t="shared" si="99"/>
        <v/>
      </c>
      <c r="T1264" s="1">
        <f>IF($E1264="",0,SUMPRODUCT((AY_SONU!$O$7:$O$42="Evet")*(AY_SONU!$B$7:$B$42=DATE(YEAR($E1264),MONTH($E1264),1))))</f>
        <v>0</v>
      </c>
      <c r="U1264" s="1" t="str">
        <f>IF(OR($G1264="",$H1264="Mahsup"),"",$G1264&amp;"|"&amp;COUNTIFS($G$7:$G1264,$G1264,$H$7:$H1264,"&lt;&gt;Mahsup"))</f>
        <v/>
      </c>
    </row>
    <row r="1265" spans="1:21" ht="18" customHeight="1" x14ac:dyDescent="0.3">
      <c r="A1265" s="2"/>
      <c r="B1265" s="65" t="str">
        <f t="shared" si="95"/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 t="shared" si="96"/>
        <v/>
      </c>
      <c r="M1265" s="65" t="str">
        <f t="shared" ca="1" si="97"/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98"/>
        <v/>
      </c>
      <c r="S1265" s="1" t="str">
        <f t="shared" si="99"/>
        <v/>
      </c>
      <c r="T1265" s="1">
        <f>IF($E1265="",0,SUMPRODUCT((AY_SONU!$O$7:$O$42="Evet")*(AY_SONU!$B$7:$B$42=DATE(YEAR($E1265),MONTH($E1265),1))))</f>
        <v>0</v>
      </c>
      <c r="U1265" s="1" t="str">
        <f>IF(OR($G1265="",$H1265="Mahsup"),"",$G1265&amp;"|"&amp;COUNTIFS($G$7:$G1265,$G1265,$H$7:$H1265,"&lt;&gt;Mahsup"))</f>
        <v/>
      </c>
    </row>
    <row r="1266" spans="1:21" ht="18" customHeight="1" x14ac:dyDescent="0.3">
      <c r="A1266" s="2"/>
      <c r="B1266" s="65" t="str">
        <f t="shared" si="95"/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 t="shared" si="96"/>
        <v/>
      </c>
      <c r="M1266" s="65" t="str">
        <f t="shared" ca="1" si="97"/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98"/>
        <v/>
      </c>
      <c r="S1266" s="1" t="str">
        <f t="shared" si="99"/>
        <v/>
      </c>
      <c r="T1266" s="1">
        <f>IF($E1266="",0,SUMPRODUCT((AY_SONU!$O$7:$O$42="Evet")*(AY_SONU!$B$7:$B$42=DATE(YEAR($E1266),MONTH($E1266),1))))</f>
        <v>0</v>
      </c>
      <c r="U1266" s="1" t="str">
        <f>IF(OR($G1266="",$H1266="Mahsup"),"",$G1266&amp;"|"&amp;COUNTIFS($G$7:$G1266,$G1266,$H$7:$H1266,"&lt;&gt;Mahsup"))</f>
        <v/>
      </c>
    </row>
    <row r="1267" spans="1:21" ht="18" customHeight="1" x14ac:dyDescent="0.3">
      <c r="A1267" s="2"/>
      <c r="B1267" s="65" t="str">
        <f t="shared" si="95"/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 t="shared" si="96"/>
        <v/>
      </c>
      <c r="M1267" s="65" t="str">
        <f t="shared" ca="1" si="97"/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98"/>
        <v/>
      </c>
      <c r="S1267" s="1" t="str">
        <f t="shared" si="99"/>
        <v/>
      </c>
      <c r="T1267" s="1">
        <f>IF($E1267="",0,SUMPRODUCT((AY_SONU!$O$7:$O$42="Evet")*(AY_SONU!$B$7:$B$42=DATE(YEAR($E1267),MONTH($E1267),1))))</f>
        <v>0</v>
      </c>
      <c r="U1267" s="1" t="str">
        <f>IF(OR($G1267="",$H1267="Mahsup"),"",$G1267&amp;"|"&amp;COUNTIFS($G$7:$G1267,$G1267,$H$7:$H1267,"&lt;&gt;Mahsup"))</f>
        <v/>
      </c>
    </row>
    <row r="1268" spans="1:21" ht="18" customHeight="1" x14ac:dyDescent="0.3">
      <c r="A1268" s="2"/>
      <c r="B1268" s="65" t="str">
        <f t="shared" si="95"/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 t="shared" si="96"/>
        <v/>
      </c>
      <c r="M1268" s="65" t="str">
        <f t="shared" ca="1" si="97"/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98"/>
        <v/>
      </c>
      <c r="S1268" s="1" t="str">
        <f t="shared" si="99"/>
        <v/>
      </c>
      <c r="T1268" s="1">
        <f>IF($E1268="",0,SUMPRODUCT((AY_SONU!$O$7:$O$42="Evet")*(AY_SONU!$B$7:$B$42=DATE(YEAR($E1268),MONTH($E1268),1))))</f>
        <v>0</v>
      </c>
      <c r="U1268" s="1" t="str">
        <f>IF(OR($G1268="",$H1268="Mahsup"),"",$G1268&amp;"|"&amp;COUNTIFS($G$7:$G1268,$G1268,$H$7:$H1268,"&lt;&gt;Mahsup"))</f>
        <v/>
      </c>
    </row>
    <row r="1269" spans="1:21" ht="18" customHeight="1" x14ac:dyDescent="0.3">
      <c r="A1269" s="2"/>
      <c r="B1269" s="65" t="str">
        <f t="shared" si="95"/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 t="shared" si="96"/>
        <v/>
      </c>
      <c r="M1269" s="65" t="str">
        <f t="shared" ca="1" si="97"/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98"/>
        <v/>
      </c>
      <c r="S1269" s="1" t="str">
        <f t="shared" si="99"/>
        <v/>
      </c>
      <c r="T1269" s="1">
        <f>IF($E1269="",0,SUMPRODUCT((AY_SONU!$O$7:$O$42="Evet")*(AY_SONU!$B$7:$B$42=DATE(YEAR($E1269),MONTH($E1269),1))))</f>
        <v>0</v>
      </c>
      <c r="U1269" s="1" t="str">
        <f>IF(OR($G1269="",$H1269="Mahsup"),"",$G1269&amp;"|"&amp;COUNTIFS($G$7:$G1269,$G1269,$H$7:$H1269,"&lt;&gt;Mahsup"))</f>
        <v/>
      </c>
    </row>
    <row r="1270" spans="1:21" ht="18" customHeight="1" x14ac:dyDescent="0.3">
      <c r="A1270" s="2"/>
      <c r="B1270" s="65" t="str">
        <f t="shared" si="95"/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 t="shared" si="96"/>
        <v/>
      </c>
      <c r="M1270" s="65" t="str">
        <f t="shared" ca="1" si="97"/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98"/>
        <v/>
      </c>
      <c r="S1270" s="1" t="str">
        <f t="shared" si="99"/>
        <v/>
      </c>
      <c r="T1270" s="1">
        <f>IF($E1270="",0,SUMPRODUCT((AY_SONU!$O$7:$O$42="Evet")*(AY_SONU!$B$7:$B$42=DATE(YEAR($E1270),MONTH($E1270),1))))</f>
        <v>0</v>
      </c>
      <c r="U1270" s="1" t="str">
        <f>IF(OR($G1270="",$H1270="Mahsup"),"",$G1270&amp;"|"&amp;COUNTIFS($G$7:$G1270,$G1270,$H$7:$H1270,"&lt;&gt;Mahsup"))</f>
        <v/>
      </c>
    </row>
    <row r="1271" spans="1:21" ht="18" customHeight="1" x14ac:dyDescent="0.3">
      <c r="A1271" s="2"/>
      <c r="B1271" s="65" t="str">
        <f t="shared" si="95"/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 t="shared" si="96"/>
        <v/>
      </c>
      <c r="M1271" s="65" t="str">
        <f t="shared" ca="1" si="97"/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98"/>
        <v/>
      </c>
      <c r="S1271" s="1" t="str">
        <f t="shared" si="99"/>
        <v/>
      </c>
      <c r="T1271" s="1">
        <f>IF($E1271="",0,SUMPRODUCT((AY_SONU!$O$7:$O$42="Evet")*(AY_SONU!$B$7:$B$42=DATE(YEAR($E1271),MONTH($E1271),1))))</f>
        <v>0</v>
      </c>
      <c r="U1271" s="1" t="str">
        <f>IF(OR($G1271="",$H1271="Mahsup"),"",$G1271&amp;"|"&amp;COUNTIFS($G$7:$G1271,$G1271,$H$7:$H1271,"&lt;&gt;Mahsup"))</f>
        <v/>
      </c>
    </row>
    <row r="1272" spans="1:21" ht="18" customHeight="1" x14ac:dyDescent="0.3">
      <c r="A1272" s="2"/>
      <c r="B1272" s="65" t="str">
        <f t="shared" si="95"/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 t="shared" si="96"/>
        <v/>
      </c>
      <c r="M1272" s="65" t="str">
        <f t="shared" ca="1" si="97"/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98"/>
        <v/>
      </c>
      <c r="S1272" s="1" t="str">
        <f t="shared" si="99"/>
        <v/>
      </c>
      <c r="T1272" s="1">
        <f>IF($E1272="",0,SUMPRODUCT((AY_SONU!$O$7:$O$42="Evet")*(AY_SONU!$B$7:$B$42=DATE(YEAR($E1272),MONTH($E1272),1))))</f>
        <v>0</v>
      </c>
      <c r="U1272" s="1" t="str">
        <f>IF(OR($G1272="",$H1272="Mahsup"),"",$G1272&amp;"|"&amp;COUNTIFS($G$7:$G1272,$G1272,$H$7:$H1272,"&lt;&gt;Mahsup"))</f>
        <v/>
      </c>
    </row>
    <row r="1273" spans="1:21" ht="18" customHeight="1" x14ac:dyDescent="0.3">
      <c r="A1273" s="2"/>
      <c r="B1273" s="65" t="str">
        <f t="shared" si="95"/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 t="shared" si="96"/>
        <v/>
      </c>
      <c r="M1273" s="65" t="str">
        <f t="shared" ca="1" si="97"/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98"/>
        <v/>
      </c>
      <c r="S1273" s="1" t="str">
        <f t="shared" si="99"/>
        <v/>
      </c>
      <c r="T1273" s="1">
        <f>IF($E1273="",0,SUMPRODUCT((AY_SONU!$O$7:$O$42="Evet")*(AY_SONU!$B$7:$B$42=DATE(YEAR($E1273),MONTH($E1273),1))))</f>
        <v>0</v>
      </c>
      <c r="U1273" s="1" t="str">
        <f>IF(OR($G1273="",$H1273="Mahsup"),"",$G1273&amp;"|"&amp;COUNTIFS($G$7:$G1273,$G1273,$H$7:$H1273,"&lt;&gt;Mahsup"))</f>
        <v/>
      </c>
    </row>
    <row r="1274" spans="1:21" ht="18" customHeight="1" x14ac:dyDescent="0.3">
      <c r="A1274" s="2"/>
      <c r="B1274" s="65" t="str">
        <f t="shared" si="95"/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 t="shared" si="96"/>
        <v/>
      </c>
      <c r="M1274" s="65" t="str">
        <f t="shared" ca="1" si="97"/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98"/>
        <v/>
      </c>
      <c r="S1274" s="1" t="str">
        <f t="shared" si="99"/>
        <v/>
      </c>
      <c r="T1274" s="1">
        <f>IF($E1274="",0,SUMPRODUCT((AY_SONU!$O$7:$O$42="Evet")*(AY_SONU!$B$7:$B$42=DATE(YEAR($E1274),MONTH($E1274),1))))</f>
        <v>0</v>
      </c>
      <c r="U1274" s="1" t="str">
        <f>IF(OR($G1274="",$H1274="Mahsup"),"",$G1274&amp;"|"&amp;COUNTIFS($G$7:$G1274,$G1274,$H$7:$H1274,"&lt;&gt;Mahsup"))</f>
        <v/>
      </c>
    </row>
    <row r="1275" spans="1:21" ht="18" customHeight="1" x14ac:dyDescent="0.3">
      <c r="A1275" s="2"/>
      <c r="B1275" s="65" t="str">
        <f t="shared" si="95"/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 t="shared" si="96"/>
        <v/>
      </c>
      <c r="M1275" s="65" t="str">
        <f t="shared" ca="1" si="97"/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98"/>
        <v/>
      </c>
      <c r="S1275" s="1" t="str">
        <f t="shared" si="99"/>
        <v/>
      </c>
      <c r="T1275" s="1">
        <f>IF($E1275="",0,SUMPRODUCT((AY_SONU!$O$7:$O$42="Evet")*(AY_SONU!$B$7:$B$42=DATE(YEAR($E1275),MONTH($E1275),1))))</f>
        <v>0</v>
      </c>
      <c r="U1275" s="1" t="str">
        <f>IF(OR($G1275="",$H1275="Mahsup"),"",$G1275&amp;"|"&amp;COUNTIFS($G$7:$G1275,$G1275,$H$7:$H1275,"&lt;&gt;Mahsup"))</f>
        <v/>
      </c>
    </row>
    <row r="1276" spans="1:21" ht="18" customHeight="1" x14ac:dyDescent="0.3">
      <c r="A1276" s="2"/>
      <c r="B1276" s="65" t="str">
        <f t="shared" si="95"/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 t="shared" si="96"/>
        <v/>
      </c>
      <c r="M1276" s="65" t="str">
        <f t="shared" ca="1" si="97"/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98"/>
        <v/>
      </c>
      <c r="S1276" s="1" t="str">
        <f t="shared" si="99"/>
        <v/>
      </c>
      <c r="T1276" s="1">
        <f>IF($E1276="",0,SUMPRODUCT((AY_SONU!$O$7:$O$42="Evet")*(AY_SONU!$B$7:$B$42=DATE(YEAR($E1276),MONTH($E1276),1))))</f>
        <v>0</v>
      </c>
      <c r="U1276" s="1" t="str">
        <f>IF(OR($G1276="",$H1276="Mahsup"),"",$G1276&amp;"|"&amp;COUNTIFS($G$7:$G1276,$G1276,$H$7:$H1276,"&lt;&gt;Mahsup"))</f>
        <v/>
      </c>
    </row>
    <row r="1277" spans="1:21" ht="18" customHeight="1" x14ac:dyDescent="0.3">
      <c r="A1277" s="2"/>
      <c r="B1277" s="65" t="str">
        <f t="shared" si="95"/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 t="shared" si="96"/>
        <v/>
      </c>
      <c r="M1277" s="65" t="str">
        <f t="shared" ca="1" si="97"/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98"/>
        <v/>
      </c>
      <c r="S1277" s="1" t="str">
        <f t="shared" si="99"/>
        <v/>
      </c>
      <c r="T1277" s="1">
        <f>IF($E1277="",0,SUMPRODUCT((AY_SONU!$O$7:$O$42="Evet")*(AY_SONU!$B$7:$B$42=DATE(YEAR($E1277),MONTH($E1277),1))))</f>
        <v>0</v>
      </c>
      <c r="U1277" s="1" t="str">
        <f>IF(OR($G1277="",$H1277="Mahsup"),"",$G1277&amp;"|"&amp;COUNTIFS($G$7:$G1277,$G1277,$H$7:$H1277,"&lt;&gt;Mahsup"))</f>
        <v/>
      </c>
    </row>
    <row r="1278" spans="1:21" ht="18" customHeight="1" x14ac:dyDescent="0.3">
      <c r="A1278" s="2"/>
      <c r="B1278" s="65" t="str">
        <f t="shared" si="95"/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 t="shared" si="96"/>
        <v/>
      </c>
      <c r="M1278" s="65" t="str">
        <f t="shared" ca="1" si="97"/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98"/>
        <v/>
      </c>
      <c r="S1278" s="1" t="str">
        <f t="shared" si="99"/>
        <v/>
      </c>
      <c r="T1278" s="1">
        <f>IF($E1278="",0,SUMPRODUCT((AY_SONU!$O$7:$O$42="Evet")*(AY_SONU!$B$7:$B$42=DATE(YEAR($E1278),MONTH($E1278),1))))</f>
        <v>0</v>
      </c>
      <c r="U1278" s="1" t="str">
        <f>IF(OR($G1278="",$H1278="Mahsup"),"",$G1278&amp;"|"&amp;COUNTIFS($G$7:$G1278,$G1278,$H$7:$H1278,"&lt;&gt;Mahsup"))</f>
        <v/>
      </c>
    </row>
    <row r="1279" spans="1:21" ht="18" customHeight="1" x14ac:dyDescent="0.3">
      <c r="A1279" s="2"/>
      <c r="B1279" s="65" t="str">
        <f t="shared" si="95"/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 t="shared" si="96"/>
        <v/>
      </c>
      <c r="M1279" s="65" t="str">
        <f t="shared" ca="1" si="97"/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98"/>
        <v/>
      </c>
      <c r="S1279" s="1" t="str">
        <f t="shared" si="99"/>
        <v/>
      </c>
      <c r="T1279" s="1">
        <f>IF($E1279="",0,SUMPRODUCT((AY_SONU!$O$7:$O$42="Evet")*(AY_SONU!$B$7:$B$42=DATE(YEAR($E1279),MONTH($E1279),1))))</f>
        <v>0</v>
      </c>
      <c r="U1279" s="1" t="str">
        <f>IF(OR($G1279="",$H1279="Mahsup"),"",$G1279&amp;"|"&amp;COUNTIFS($G$7:$G1279,$G1279,$H$7:$H1279,"&lt;&gt;Mahsup"))</f>
        <v/>
      </c>
    </row>
    <row r="1280" spans="1:21" ht="18" customHeight="1" x14ac:dyDescent="0.3">
      <c r="A1280" s="2"/>
      <c r="B1280" s="65" t="str">
        <f t="shared" si="95"/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 t="shared" si="96"/>
        <v/>
      </c>
      <c r="M1280" s="65" t="str">
        <f t="shared" ca="1" si="97"/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98"/>
        <v/>
      </c>
      <c r="S1280" s="1" t="str">
        <f t="shared" si="99"/>
        <v/>
      </c>
      <c r="T1280" s="1">
        <f>IF($E1280="",0,SUMPRODUCT((AY_SONU!$O$7:$O$42="Evet")*(AY_SONU!$B$7:$B$42=DATE(YEAR($E1280),MONTH($E1280),1))))</f>
        <v>0</v>
      </c>
      <c r="U1280" s="1" t="str">
        <f>IF(OR($G1280="",$H1280="Mahsup"),"",$G1280&amp;"|"&amp;COUNTIFS($G$7:$G1280,$G1280,$H$7:$H1280,"&lt;&gt;Mahsup"))</f>
        <v/>
      </c>
    </row>
    <row r="1281" spans="1:21" ht="18" customHeight="1" x14ac:dyDescent="0.3">
      <c r="A1281" s="2"/>
      <c r="B1281" s="65" t="str">
        <f t="shared" si="95"/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 t="shared" si="96"/>
        <v/>
      </c>
      <c r="M1281" s="65" t="str">
        <f t="shared" ca="1" si="97"/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98"/>
        <v/>
      </c>
      <c r="S1281" s="1" t="str">
        <f t="shared" si="99"/>
        <v/>
      </c>
      <c r="T1281" s="1">
        <f>IF($E1281="",0,SUMPRODUCT((AY_SONU!$O$7:$O$42="Evet")*(AY_SONU!$B$7:$B$42=DATE(YEAR($E1281),MONTH($E1281),1))))</f>
        <v>0</v>
      </c>
      <c r="U1281" s="1" t="str">
        <f>IF(OR($G1281="",$H1281="Mahsup"),"",$G1281&amp;"|"&amp;COUNTIFS($G$7:$G1281,$G1281,$H$7:$H1281,"&lt;&gt;Mahsup"))</f>
        <v/>
      </c>
    </row>
    <row r="1282" spans="1:21" ht="18" customHeight="1" x14ac:dyDescent="0.3">
      <c r="A1282" s="2"/>
      <c r="B1282" s="65" t="str">
        <f t="shared" si="95"/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 t="shared" si="96"/>
        <v/>
      </c>
      <c r="M1282" s="65" t="str">
        <f t="shared" ca="1" si="97"/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98"/>
        <v/>
      </c>
      <c r="S1282" s="1" t="str">
        <f t="shared" si="99"/>
        <v/>
      </c>
      <c r="T1282" s="1">
        <f>IF($E1282="",0,SUMPRODUCT((AY_SONU!$O$7:$O$42="Evet")*(AY_SONU!$B$7:$B$42=DATE(YEAR($E1282),MONTH($E1282),1))))</f>
        <v>0</v>
      </c>
      <c r="U1282" s="1" t="str">
        <f>IF(OR($G1282="",$H1282="Mahsup"),"",$G1282&amp;"|"&amp;COUNTIFS($G$7:$G1282,$G1282,$H$7:$H1282,"&lt;&gt;Mahsup"))</f>
        <v/>
      </c>
    </row>
    <row r="1283" spans="1:21" ht="18" customHeight="1" x14ac:dyDescent="0.3">
      <c r="A1283" s="2"/>
      <c r="B1283" s="65" t="str">
        <f t="shared" si="95"/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 t="shared" si="96"/>
        <v/>
      </c>
      <c r="M1283" s="65" t="str">
        <f t="shared" ca="1" si="97"/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98"/>
        <v/>
      </c>
      <c r="S1283" s="1" t="str">
        <f t="shared" si="99"/>
        <v/>
      </c>
      <c r="T1283" s="1">
        <f>IF($E1283="",0,SUMPRODUCT((AY_SONU!$O$7:$O$42="Evet")*(AY_SONU!$B$7:$B$42=DATE(YEAR($E1283),MONTH($E1283),1))))</f>
        <v>0</v>
      </c>
      <c r="U1283" s="1" t="str">
        <f>IF(OR($G1283="",$H1283="Mahsup"),"",$G1283&amp;"|"&amp;COUNTIFS($G$7:$G1283,$G1283,$H$7:$H1283,"&lt;&gt;Mahsup"))</f>
        <v/>
      </c>
    </row>
    <row r="1284" spans="1:21" ht="18" customHeight="1" x14ac:dyDescent="0.3">
      <c r="A1284" s="2"/>
      <c r="B1284" s="65" t="str">
        <f t="shared" si="95"/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 t="shared" si="96"/>
        <v/>
      </c>
      <c r="M1284" s="65" t="str">
        <f t="shared" ca="1" si="97"/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98"/>
        <v/>
      </c>
      <c r="S1284" s="1" t="str">
        <f t="shared" si="99"/>
        <v/>
      </c>
      <c r="T1284" s="1">
        <f>IF($E1284="",0,SUMPRODUCT((AY_SONU!$O$7:$O$42="Evet")*(AY_SONU!$B$7:$B$42=DATE(YEAR($E1284),MONTH($E1284),1))))</f>
        <v>0</v>
      </c>
      <c r="U1284" s="1" t="str">
        <f>IF(OR($G1284="",$H1284="Mahsup"),"",$G1284&amp;"|"&amp;COUNTIFS($G$7:$G1284,$G1284,$H$7:$H1284,"&lt;&gt;Mahsup"))</f>
        <v/>
      </c>
    </row>
    <row r="1285" spans="1:21" ht="18" customHeight="1" x14ac:dyDescent="0.3">
      <c r="A1285" s="2"/>
      <c r="B1285" s="65" t="str">
        <f t="shared" si="95"/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 t="shared" si="96"/>
        <v/>
      </c>
      <c r="M1285" s="65" t="str">
        <f t="shared" ca="1" si="97"/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98"/>
        <v/>
      </c>
      <c r="S1285" s="1" t="str">
        <f t="shared" si="99"/>
        <v/>
      </c>
      <c r="T1285" s="1">
        <f>IF($E1285="",0,SUMPRODUCT((AY_SONU!$O$7:$O$42="Evet")*(AY_SONU!$B$7:$B$42=DATE(YEAR($E1285),MONTH($E1285),1))))</f>
        <v>0</v>
      </c>
      <c r="U1285" s="1" t="str">
        <f>IF(OR($G1285="",$H1285="Mahsup"),"",$G1285&amp;"|"&amp;COUNTIFS($G$7:$G1285,$G1285,$H$7:$H1285,"&lt;&gt;Mahsup"))</f>
        <v/>
      </c>
    </row>
    <row r="1286" spans="1:21" ht="18" customHeight="1" x14ac:dyDescent="0.3">
      <c r="A1286" s="2"/>
      <c r="B1286" s="65" t="str">
        <f t="shared" si="95"/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 t="shared" si="96"/>
        <v/>
      </c>
      <c r="M1286" s="65" t="str">
        <f t="shared" ca="1" si="97"/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98"/>
        <v/>
      </c>
      <c r="S1286" s="1" t="str">
        <f t="shared" si="99"/>
        <v/>
      </c>
      <c r="T1286" s="1">
        <f>IF($E1286="",0,SUMPRODUCT((AY_SONU!$O$7:$O$42="Evet")*(AY_SONU!$B$7:$B$42=DATE(YEAR($E1286),MONTH($E1286),1))))</f>
        <v>0</v>
      </c>
      <c r="U1286" s="1" t="str">
        <f>IF(OR($G1286="",$H1286="Mahsup"),"",$G1286&amp;"|"&amp;COUNTIFS($G$7:$G1286,$G1286,$H$7:$H1286,"&lt;&gt;Mahsup"))</f>
        <v/>
      </c>
    </row>
    <row r="1287" spans="1:21" ht="18" customHeight="1" x14ac:dyDescent="0.3">
      <c r="A1287" s="2"/>
      <c r="B1287" s="65" t="str">
        <f t="shared" ref="B1287:B1350" si="100"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 t="shared" ref="L1287:L1350" si="101">IF($E1287="","",DATE(YEAR($E1287),MONTH($E1287),1))</f>
        <v/>
      </c>
      <c r="M1287" s="65" t="str">
        <f t="shared" ref="M1287:M1350" ca="1" si="102"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103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104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  <c r="U1287" s="1" t="str">
        <f>IF(OR($G1287="",$H1287="Mahsup"),"",$G1287&amp;"|"&amp;COUNTIFS($G$7:$G1287,$G1287,$H$7:$H1287,"&lt;&gt;Mahsup"))</f>
        <v/>
      </c>
    </row>
    <row r="1288" spans="1:21" ht="18" customHeight="1" x14ac:dyDescent="0.3">
      <c r="A1288" s="2"/>
      <c r="B1288" s="65" t="str">
        <f t="shared" si="100"/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 t="shared" si="101"/>
        <v/>
      </c>
      <c r="M1288" s="65" t="str">
        <f t="shared" ca="1" si="102"/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103"/>
        <v/>
      </c>
      <c r="S1288" s="1" t="str">
        <f t="shared" si="104"/>
        <v/>
      </c>
      <c r="T1288" s="1">
        <f>IF($E1288="",0,SUMPRODUCT((AY_SONU!$O$7:$O$42="Evet")*(AY_SONU!$B$7:$B$42=DATE(YEAR($E1288),MONTH($E1288),1))))</f>
        <v>0</v>
      </c>
      <c r="U1288" s="1" t="str">
        <f>IF(OR($G1288="",$H1288="Mahsup"),"",$G1288&amp;"|"&amp;COUNTIFS($G$7:$G1288,$G1288,$H$7:$H1288,"&lt;&gt;Mahsup"))</f>
        <v/>
      </c>
    </row>
    <row r="1289" spans="1:21" ht="18" customHeight="1" x14ac:dyDescent="0.3">
      <c r="A1289" s="2"/>
      <c r="B1289" s="65" t="str">
        <f t="shared" si="100"/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 t="shared" si="101"/>
        <v/>
      </c>
      <c r="M1289" s="65" t="str">
        <f t="shared" ca="1" si="102"/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103"/>
        <v/>
      </c>
      <c r="S1289" s="1" t="str">
        <f t="shared" si="104"/>
        <v/>
      </c>
      <c r="T1289" s="1">
        <f>IF($E1289="",0,SUMPRODUCT((AY_SONU!$O$7:$O$42="Evet")*(AY_SONU!$B$7:$B$42=DATE(YEAR($E1289),MONTH($E1289),1))))</f>
        <v>0</v>
      </c>
      <c r="U1289" s="1" t="str">
        <f>IF(OR($G1289="",$H1289="Mahsup"),"",$G1289&amp;"|"&amp;COUNTIFS($G$7:$G1289,$G1289,$H$7:$H1289,"&lt;&gt;Mahsup"))</f>
        <v/>
      </c>
    </row>
    <row r="1290" spans="1:21" ht="18" customHeight="1" x14ac:dyDescent="0.3">
      <c r="A1290" s="2"/>
      <c r="B1290" s="65" t="str">
        <f t="shared" si="100"/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 t="shared" si="101"/>
        <v/>
      </c>
      <c r="M1290" s="65" t="str">
        <f t="shared" ca="1" si="102"/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103"/>
        <v/>
      </c>
      <c r="S1290" s="1" t="str">
        <f t="shared" si="104"/>
        <v/>
      </c>
      <c r="T1290" s="1">
        <f>IF($E1290="",0,SUMPRODUCT((AY_SONU!$O$7:$O$42="Evet")*(AY_SONU!$B$7:$B$42=DATE(YEAR($E1290),MONTH($E1290),1))))</f>
        <v>0</v>
      </c>
      <c r="U1290" s="1" t="str">
        <f>IF(OR($G1290="",$H1290="Mahsup"),"",$G1290&amp;"|"&amp;COUNTIFS($G$7:$G1290,$G1290,$H$7:$H1290,"&lt;&gt;Mahsup"))</f>
        <v/>
      </c>
    </row>
    <row r="1291" spans="1:21" ht="18" customHeight="1" x14ac:dyDescent="0.3">
      <c r="A1291" s="2"/>
      <c r="B1291" s="65" t="str">
        <f t="shared" si="100"/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 t="shared" si="101"/>
        <v/>
      </c>
      <c r="M1291" s="65" t="str">
        <f t="shared" ca="1" si="102"/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103"/>
        <v/>
      </c>
      <c r="S1291" s="1" t="str">
        <f t="shared" si="104"/>
        <v/>
      </c>
      <c r="T1291" s="1">
        <f>IF($E1291="",0,SUMPRODUCT((AY_SONU!$O$7:$O$42="Evet")*(AY_SONU!$B$7:$B$42=DATE(YEAR($E1291),MONTH($E1291),1))))</f>
        <v>0</v>
      </c>
      <c r="U1291" s="1" t="str">
        <f>IF(OR($G1291="",$H1291="Mahsup"),"",$G1291&amp;"|"&amp;COUNTIFS($G$7:$G1291,$G1291,$H$7:$H1291,"&lt;&gt;Mahsup"))</f>
        <v/>
      </c>
    </row>
    <row r="1292" spans="1:21" ht="18" customHeight="1" x14ac:dyDescent="0.3">
      <c r="A1292" s="2"/>
      <c r="B1292" s="65" t="str">
        <f t="shared" si="100"/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 t="shared" si="101"/>
        <v/>
      </c>
      <c r="M1292" s="65" t="str">
        <f t="shared" ca="1" si="102"/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103"/>
        <v/>
      </c>
      <c r="S1292" s="1" t="str">
        <f t="shared" si="104"/>
        <v/>
      </c>
      <c r="T1292" s="1">
        <f>IF($E1292="",0,SUMPRODUCT((AY_SONU!$O$7:$O$42="Evet")*(AY_SONU!$B$7:$B$42=DATE(YEAR($E1292),MONTH($E1292),1))))</f>
        <v>0</v>
      </c>
      <c r="U1292" s="1" t="str">
        <f>IF(OR($G1292="",$H1292="Mahsup"),"",$G1292&amp;"|"&amp;COUNTIFS($G$7:$G1292,$G1292,$H$7:$H1292,"&lt;&gt;Mahsup"))</f>
        <v/>
      </c>
    </row>
    <row r="1293" spans="1:21" ht="18" customHeight="1" x14ac:dyDescent="0.3">
      <c r="A1293" s="2"/>
      <c r="B1293" s="65" t="str">
        <f t="shared" si="100"/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 t="shared" si="101"/>
        <v/>
      </c>
      <c r="M1293" s="65" t="str">
        <f t="shared" ca="1" si="102"/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103"/>
        <v/>
      </c>
      <c r="S1293" s="1" t="str">
        <f t="shared" si="104"/>
        <v/>
      </c>
      <c r="T1293" s="1">
        <f>IF($E1293="",0,SUMPRODUCT((AY_SONU!$O$7:$O$42="Evet")*(AY_SONU!$B$7:$B$42=DATE(YEAR($E1293),MONTH($E1293),1))))</f>
        <v>0</v>
      </c>
      <c r="U1293" s="1" t="str">
        <f>IF(OR($G1293="",$H1293="Mahsup"),"",$G1293&amp;"|"&amp;COUNTIFS($G$7:$G1293,$G1293,$H$7:$H1293,"&lt;&gt;Mahsup"))</f>
        <v/>
      </c>
    </row>
    <row r="1294" spans="1:21" ht="18" customHeight="1" x14ac:dyDescent="0.3">
      <c r="A1294" s="2"/>
      <c r="B1294" s="65" t="str">
        <f t="shared" si="100"/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 t="shared" si="101"/>
        <v/>
      </c>
      <c r="M1294" s="65" t="str">
        <f t="shared" ca="1" si="102"/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103"/>
        <v/>
      </c>
      <c r="S1294" s="1" t="str">
        <f t="shared" si="104"/>
        <v/>
      </c>
      <c r="T1294" s="1">
        <f>IF($E1294="",0,SUMPRODUCT((AY_SONU!$O$7:$O$42="Evet")*(AY_SONU!$B$7:$B$42=DATE(YEAR($E1294),MONTH($E1294),1))))</f>
        <v>0</v>
      </c>
      <c r="U1294" s="1" t="str">
        <f>IF(OR($G1294="",$H1294="Mahsup"),"",$G1294&amp;"|"&amp;COUNTIFS($G$7:$G1294,$G1294,$H$7:$H1294,"&lt;&gt;Mahsup"))</f>
        <v/>
      </c>
    </row>
    <row r="1295" spans="1:21" ht="18" customHeight="1" x14ac:dyDescent="0.3">
      <c r="A1295" s="2"/>
      <c r="B1295" s="65" t="str">
        <f t="shared" si="100"/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 t="shared" si="101"/>
        <v/>
      </c>
      <c r="M1295" s="65" t="str">
        <f t="shared" ca="1" si="102"/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103"/>
        <v/>
      </c>
      <c r="S1295" s="1" t="str">
        <f t="shared" si="104"/>
        <v/>
      </c>
      <c r="T1295" s="1">
        <f>IF($E1295="",0,SUMPRODUCT((AY_SONU!$O$7:$O$42="Evet")*(AY_SONU!$B$7:$B$42=DATE(YEAR($E1295),MONTH($E1295),1))))</f>
        <v>0</v>
      </c>
      <c r="U1295" s="1" t="str">
        <f>IF(OR($G1295="",$H1295="Mahsup"),"",$G1295&amp;"|"&amp;COUNTIFS($G$7:$G1295,$G1295,$H$7:$H1295,"&lt;&gt;Mahsup"))</f>
        <v/>
      </c>
    </row>
    <row r="1296" spans="1:21" ht="18" customHeight="1" x14ac:dyDescent="0.3">
      <c r="A1296" s="2"/>
      <c r="B1296" s="65" t="str">
        <f t="shared" si="100"/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 t="shared" si="101"/>
        <v/>
      </c>
      <c r="M1296" s="65" t="str">
        <f t="shared" ca="1" si="102"/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103"/>
        <v/>
      </c>
      <c r="S1296" s="1" t="str">
        <f t="shared" si="104"/>
        <v/>
      </c>
      <c r="T1296" s="1">
        <f>IF($E1296="",0,SUMPRODUCT((AY_SONU!$O$7:$O$42="Evet")*(AY_SONU!$B$7:$B$42=DATE(YEAR($E1296),MONTH($E1296),1))))</f>
        <v>0</v>
      </c>
      <c r="U1296" s="1" t="str">
        <f>IF(OR($G1296="",$H1296="Mahsup"),"",$G1296&amp;"|"&amp;COUNTIFS($G$7:$G1296,$G1296,$H$7:$H1296,"&lt;&gt;Mahsup"))</f>
        <v/>
      </c>
    </row>
    <row r="1297" spans="1:21" ht="18" customHeight="1" x14ac:dyDescent="0.3">
      <c r="A1297" s="2"/>
      <c r="B1297" s="65" t="str">
        <f t="shared" si="100"/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 t="shared" si="101"/>
        <v/>
      </c>
      <c r="M1297" s="65" t="str">
        <f t="shared" ca="1" si="102"/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103"/>
        <v/>
      </c>
      <c r="S1297" s="1" t="str">
        <f t="shared" si="104"/>
        <v/>
      </c>
      <c r="T1297" s="1">
        <f>IF($E1297="",0,SUMPRODUCT((AY_SONU!$O$7:$O$42="Evet")*(AY_SONU!$B$7:$B$42=DATE(YEAR($E1297),MONTH($E1297),1))))</f>
        <v>0</v>
      </c>
      <c r="U1297" s="1" t="str">
        <f>IF(OR($G1297="",$H1297="Mahsup"),"",$G1297&amp;"|"&amp;COUNTIFS($G$7:$G1297,$G1297,$H$7:$H1297,"&lt;&gt;Mahsup"))</f>
        <v/>
      </c>
    </row>
    <row r="1298" spans="1:21" ht="18" customHeight="1" x14ac:dyDescent="0.3">
      <c r="A1298" s="2"/>
      <c r="B1298" s="65" t="str">
        <f t="shared" si="100"/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 t="shared" si="101"/>
        <v/>
      </c>
      <c r="M1298" s="65" t="str">
        <f t="shared" ca="1" si="102"/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103"/>
        <v/>
      </c>
      <c r="S1298" s="1" t="str">
        <f t="shared" si="104"/>
        <v/>
      </c>
      <c r="T1298" s="1">
        <f>IF($E1298="",0,SUMPRODUCT((AY_SONU!$O$7:$O$42="Evet")*(AY_SONU!$B$7:$B$42=DATE(YEAR($E1298),MONTH($E1298),1))))</f>
        <v>0</v>
      </c>
      <c r="U1298" s="1" t="str">
        <f>IF(OR($G1298="",$H1298="Mahsup"),"",$G1298&amp;"|"&amp;COUNTIFS($G$7:$G1298,$G1298,$H$7:$H1298,"&lt;&gt;Mahsup"))</f>
        <v/>
      </c>
    </row>
    <row r="1299" spans="1:21" ht="18" customHeight="1" x14ac:dyDescent="0.3">
      <c r="A1299" s="2"/>
      <c r="B1299" s="65" t="str">
        <f t="shared" si="100"/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 t="shared" si="101"/>
        <v/>
      </c>
      <c r="M1299" s="65" t="str">
        <f t="shared" ca="1" si="102"/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103"/>
        <v/>
      </c>
      <c r="S1299" s="1" t="str">
        <f t="shared" si="104"/>
        <v/>
      </c>
      <c r="T1299" s="1">
        <f>IF($E1299="",0,SUMPRODUCT((AY_SONU!$O$7:$O$42="Evet")*(AY_SONU!$B$7:$B$42=DATE(YEAR($E1299),MONTH($E1299),1))))</f>
        <v>0</v>
      </c>
      <c r="U1299" s="1" t="str">
        <f>IF(OR($G1299="",$H1299="Mahsup"),"",$G1299&amp;"|"&amp;COUNTIFS($G$7:$G1299,$G1299,$H$7:$H1299,"&lt;&gt;Mahsup"))</f>
        <v/>
      </c>
    </row>
    <row r="1300" spans="1:21" ht="18" customHeight="1" x14ac:dyDescent="0.3">
      <c r="A1300" s="2"/>
      <c r="B1300" s="65" t="str">
        <f t="shared" si="100"/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 t="shared" si="101"/>
        <v/>
      </c>
      <c r="M1300" s="65" t="str">
        <f t="shared" ca="1" si="102"/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103"/>
        <v/>
      </c>
      <c r="S1300" s="1" t="str">
        <f t="shared" si="104"/>
        <v/>
      </c>
      <c r="T1300" s="1">
        <f>IF($E1300="",0,SUMPRODUCT((AY_SONU!$O$7:$O$42="Evet")*(AY_SONU!$B$7:$B$42=DATE(YEAR($E1300),MONTH($E1300),1))))</f>
        <v>0</v>
      </c>
      <c r="U1300" s="1" t="str">
        <f>IF(OR($G1300="",$H1300="Mahsup"),"",$G1300&amp;"|"&amp;COUNTIFS($G$7:$G1300,$G1300,$H$7:$H1300,"&lt;&gt;Mahsup"))</f>
        <v/>
      </c>
    </row>
    <row r="1301" spans="1:21" ht="18" customHeight="1" x14ac:dyDescent="0.3">
      <c r="A1301" s="2"/>
      <c r="B1301" s="65" t="str">
        <f t="shared" si="100"/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 t="shared" si="101"/>
        <v/>
      </c>
      <c r="M1301" s="65" t="str">
        <f t="shared" ca="1" si="102"/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103"/>
        <v/>
      </c>
      <c r="S1301" s="1" t="str">
        <f t="shared" si="104"/>
        <v/>
      </c>
      <c r="T1301" s="1">
        <f>IF($E1301="",0,SUMPRODUCT((AY_SONU!$O$7:$O$42="Evet")*(AY_SONU!$B$7:$B$42=DATE(YEAR($E1301),MONTH($E1301),1))))</f>
        <v>0</v>
      </c>
      <c r="U1301" s="1" t="str">
        <f>IF(OR($G1301="",$H1301="Mahsup"),"",$G1301&amp;"|"&amp;COUNTIFS($G$7:$G1301,$G1301,$H$7:$H1301,"&lt;&gt;Mahsup"))</f>
        <v/>
      </c>
    </row>
    <row r="1302" spans="1:21" ht="18" customHeight="1" x14ac:dyDescent="0.3">
      <c r="A1302" s="2"/>
      <c r="B1302" s="65" t="str">
        <f t="shared" si="100"/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 t="shared" si="101"/>
        <v/>
      </c>
      <c r="M1302" s="65" t="str">
        <f t="shared" ca="1" si="102"/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103"/>
        <v/>
      </c>
      <c r="S1302" s="1" t="str">
        <f t="shared" si="104"/>
        <v/>
      </c>
      <c r="T1302" s="1">
        <f>IF($E1302="",0,SUMPRODUCT((AY_SONU!$O$7:$O$42="Evet")*(AY_SONU!$B$7:$B$42=DATE(YEAR($E1302),MONTH($E1302),1))))</f>
        <v>0</v>
      </c>
      <c r="U1302" s="1" t="str">
        <f>IF(OR($G1302="",$H1302="Mahsup"),"",$G1302&amp;"|"&amp;COUNTIFS($G$7:$G1302,$G1302,$H$7:$H1302,"&lt;&gt;Mahsup"))</f>
        <v/>
      </c>
    </row>
    <row r="1303" spans="1:21" ht="18" customHeight="1" x14ac:dyDescent="0.3">
      <c r="A1303" s="2"/>
      <c r="B1303" s="65" t="str">
        <f t="shared" si="100"/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 t="shared" si="101"/>
        <v/>
      </c>
      <c r="M1303" s="65" t="str">
        <f t="shared" ca="1" si="102"/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103"/>
        <v/>
      </c>
      <c r="S1303" s="1" t="str">
        <f t="shared" si="104"/>
        <v/>
      </c>
      <c r="T1303" s="1">
        <f>IF($E1303="",0,SUMPRODUCT((AY_SONU!$O$7:$O$42="Evet")*(AY_SONU!$B$7:$B$42=DATE(YEAR($E1303),MONTH($E1303),1))))</f>
        <v>0</v>
      </c>
      <c r="U1303" s="1" t="str">
        <f>IF(OR($G1303="",$H1303="Mahsup"),"",$G1303&amp;"|"&amp;COUNTIFS($G$7:$G1303,$G1303,$H$7:$H1303,"&lt;&gt;Mahsup"))</f>
        <v/>
      </c>
    </row>
    <row r="1304" spans="1:21" ht="18" customHeight="1" x14ac:dyDescent="0.3">
      <c r="A1304" s="2"/>
      <c r="B1304" s="65" t="str">
        <f t="shared" si="100"/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 t="shared" si="101"/>
        <v/>
      </c>
      <c r="M1304" s="65" t="str">
        <f t="shared" ca="1" si="102"/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103"/>
        <v/>
      </c>
      <c r="S1304" s="1" t="str">
        <f t="shared" si="104"/>
        <v/>
      </c>
      <c r="T1304" s="1">
        <f>IF($E1304="",0,SUMPRODUCT((AY_SONU!$O$7:$O$42="Evet")*(AY_SONU!$B$7:$B$42=DATE(YEAR($E1304),MONTH($E1304),1))))</f>
        <v>0</v>
      </c>
      <c r="U1304" s="1" t="str">
        <f>IF(OR($G1304="",$H1304="Mahsup"),"",$G1304&amp;"|"&amp;COUNTIFS($G$7:$G1304,$G1304,$H$7:$H1304,"&lt;&gt;Mahsup"))</f>
        <v/>
      </c>
    </row>
    <row r="1305" spans="1:21" ht="18" customHeight="1" x14ac:dyDescent="0.3">
      <c r="A1305" s="2"/>
      <c r="B1305" s="65" t="str">
        <f t="shared" si="100"/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 t="shared" si="101"/>
        <v/>
      </c>
      <c r="M1305" s="65" t="str">
        <f t="shared" ca="1" si="102"/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103"/>
        <v/>
      </c>
      <c r="S1305" s="1" t="str">
        <f t="shared" si="104"/>
        <v/>
      </c>
      <c r="T1305" s="1">
        <f>IF($E1305="",0,SUMPRODUCT((AY_SONU!$O$7:$O$42="Evet")*(AY_SONU!$B$7:$B$42=DATE(YEAR($E1305),MONTH($E1305),1))))</f>
        <v>0</v>
      </c>
      <c r="U1305" s="1" t="str">
        <f>IF(OR($G1305="",$H1305="Mahsup"),"",$G1305&amp;"|"&amp;COUNTIFS($G$7:$G1305,$G1305,$H$7:$H1305,"&lt;&gt;Mahsup"))</f>
        <v/>
      </c>
    </row>
    <row r="1306" spans="1:21" ht="18" customHeight="1" x14ac:dyDescent="0.3">
      <c r="A1306" s="2"/>
      <c r="B1306" s="65" t="str">
        <f t="shared" si="100"/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 t="shared" si="101"/>
        <v/>
      </c>
      <c r="M1306" s="65" t="str">
        <f t="shared" ca="1" si="102"/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103"/>
        <v/>
      </c>
      <c r="S1306" s="1" t="str">
        <f t="shared" si="104"/>
        <v/>
      </c>
      <c r="T1306" s="1">
        <f>IF($E1306="",0,SUMPRODUCT((AY_SONU!$O$7:$O$42="Evet")*(AY_SONU!$B$7:$B$42=DATE(YEAR($E1306),MONTH($E1306),1))))</f>
        <v>0</v>
      </c>
      <c r="U1306" s="1" t="str">
        <f>IF(OR($G1306="",$H1306="Mahsup"),"",$G1306&amp;"|"&amp;COUNTIFS($G$7:$G1306,$G1306,$H$7:$H1306,"&lt;&gt;Mahsup"))</f>
        <v/>
      </c>
    </row>
    <row r="1307" spans="1:21" ht="18" customHeight="1" x14ac:dyDescent="0.3">
      <c r="A1307" s="2"/>
      <c r="B1307" s="65" t="str">
        <f t="shared" si="100"/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 t="shared" si="101"/>
        <v/>
      </c>
      <c r="M1307" s="65" t="str">
        <f t="shared" ca="1" si="102"/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103"/>
        <v/>
      </c>
      <c r="S1307" s="1" t="str">
        <f t="shared" si="104"/>
        <v/>
      </c>
      <c r="T1307" s="1">
        <f>IF($E1307="",0,SUMPRODUCT((AY_SONU!$O$7:$O$42="Evet")*(AY_SONU!$B$7:$B$42=DATE(YEAR($E1307),MONTH($E1307),1))))</f>
        <v>0</v>
      </c>
      <c r="U1307" s="1" t="str">
        <f>IF(OR($G1307="",$H1307="Mahsup"),"",$G1307&amp;"|"&amp;COUNTIFS($G$7:$G1307,$G1307,$H$7:$H1307,"&lt;&gt;Mahsup"))</f>
        <v/>
      </c>
    </row>
    <row r="1308" spans="1:21" ht="18" customHeight="1" x14ac:dyDescent="0.3">
      <c r="A1308" s="2"/>
      <c r="B1308" s="65" t="str">
        <f t="shared" si="100"/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 t="shared" si="101"/>
        <v/>
      </c>
      <c r="M1308" s="65" t="str">
        <f t="shared" ca="1" si="102"/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103"/>
        <v/>
      </c>
      <c r="S1308" s="1" t="str">
        <f t="shared" si="104"/>
        <v/>
      </c>
      <c r="T1308" s="1">
        <f>IF($E1308="",0,SUMPRODUCT((AY_SONU!$O$7:$O$42="Evet")*(AY_SONU!$B$7:$B$42=DATE(YEAR($E1308),MONTH($E1308),1))))</f>
        <v>0</v>
      </c>
      <c r="U1308" s="1" t="str">
        <f>IF(OR($G1308="",$H1308="Mahsup"),"",$G1308&amp;"|"&amp;COUNTIFS($G$7:$G1308,$G1308,$H$7:$H1308,"&lt;&gt;Mahsup"))</f>
        <v/>
      </c>
    </row>
    <row r="1309" spans="1:21" ht="18" customHeight="1" x14ac:dyDescent="0.3">
      <c r="A1309" s="2"/>
      <c r="B1309" s="65" t="str">
        <f t="shared" si="100"/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 t="shared" si="101"/>
        <v/>
      </c>
      <c r="M1309" s="65" t="str">
        <f t="shared" ca="1" si="102"/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103"/>
        <v/>
      </c>
      <c r="S1309" s="1" t="str">
        <f t="shared" si="104"/>
        <v/>
      </c>
      <c r="T1309" s="1">
        <f>IF($E1309="",0,SUMPRODUCT((AY_SONU!$O$7:$O$42="Evet")*(AY_SONU!$B$7:$B$42=DATE(YEAR($E1309),MONTH($E1309),1))))</f>
        <v>0</v>
      </c>
      <c r="U1309" s="1" t="str">
        <f>IF(OR($G1309="",$H1309="Mahsup"),"",$G1309&amp;"|"&amp;COUNTIFS($G$7:$G1309,$G1309,$H$7:$H1309,"&lt;&gt;Mahsup"))</f>
        <v/>
      </c>
    </row>
    <row r="1310" spans="1:21" ht="18" customHeight="1" x14ac:dyDescent="0.3">
      <c r="A1310" s="2"/>
      <c r="B1310" s="65" t="str">
        <f t="shared" si="100"/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 t="shared" si="101"/>
        <v/>
      </c>
      <c r="M1310" s="65" t="str">
        <f t="shared" ca="1" si="102"/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103"/>
        <v/>
      </c>
      <c r="S1310" s="1" t="str">
        <f t="shared" si="104"/>
        <v/>
      </c>
      <c r="T1310" s="1">
        <f>IF($E1310="",0,SUMPRODUCT((AY_SONU!$O$7:$O$42="Evet")*(AY_SONU!$B$7:$B$42=DATE(YEAR($E1310),MONTH($E1310),1))))</f>
        <v>0</v>
      </c>
      <c r="U1310" s="1" t="str">
        <f>IF(OR($G1310="",$H1310="Mahsup"),"",$G1310&amp;"|"&amp;COUNTIFS($G$7:$G1310,$G1310,$H$7:$H1310,"&lt;&gt;Mahsup"))</f>
        <v/>
      </c>
    </row>
    <row r="1311" spans="1:21" ht="18" customHeight="1" x14ac:dyDescent="0.3">
      <c r="A1311" s="2"/>
      <c r="B1311" s="65" t="str">
        <f t="shared" si="100"/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 t="shared" si="101"/>
        <v/>
      </c>
      <c r="M1311" s="65" t="str">
        <f t="shared" ca="1" si="102"/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103"/>
        <v/>
      </c>
      <c r="S1311" s="1" t="str">
        <f t="shared" si="104"/>
        <v/>
      </c>
      <c r="T1311" s="1">
        <f>IF($E1311="",0,SUMPRODUCT((AY_SONU!$O$7:$O$42="Evet")*(AY_SONU!$B$7:$B$42=DATE(YEAR($E1311),MONTH($E1311),1))))</f>
        <v>0</v>
      </c>
      <c r="U1311" s="1" t="str">
        <f>IF(OR($G1311="",$H1311="Mahsup"),"",$G1311&amp;"|"&amp;COUNTIFS($G$7:$G1311,$G1311,$H$7:$H1311,"&lt;&gt;Mahsup"))</f>
        <v/>
      </c>
    </row>
    <row r="1312" spans="1:21" ht="18" customHeight="1" x14ac:dyDescent="0.3">
      <c r="A1312" s="2"/>
      <c r="B1312" s="65" t="str">
        <f t="shared" si="100"/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 t="shared" si="101"/>
        <v/>
      </c>
      <c r="M1312" s="65" t="str">
        <f t="shared" ca="1" si="102"/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103"/>
        <v/>
      </c>
      <c r="S1312" s="1" t="str">
        <f t="shared" si="104"/>
        <v/>
      </c>
      <c r="T1312" s="1">
        <f>IF($E1312="",0,SUMPRODUCT((AY_SONU!$O$7:$O$42="Evet")*(AY_SONU!$B$7:$B$42=DATE(YEAR($E1312),MONTH($E1312),1))))</f>
        <v>0</v>
      </c>
      <c r="U1312" s="1" t="str">
        <f>IF(OR($G1312="",$H1312="Mahsup"),"",$G1312&amp;"|"&amp;COUNTIFS($G$7:$G1312,$G1312,$H$7:$H1312,"&lt;&gt;Mahsup"))</f>
        <v/>
      </c>
    </row>
    <row r="1313" spans="1:21" ht="18" customHeight="1" x14ac:dyDescent="0.3">
      <c r="A1313" s="2"/>
      <c r="B1313" s="65" t="str">
        <f t="shared" si="100"/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 t="shared" si="101"/>
        <v/>
      </c>
      <c r="M1313" s="65" t="str">
        <f t="shared" ca="1" si="102"/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103"/>
        <v/>
      </c>
      <c r="S1313" s="1" t="str">
        <f t="shared" si="104"/>
        <v/>
      </c>
      <c r="T1313" s="1">
        <f>IF($E1313="",0,SUMPRODUCT((AY_SONU!$O$7:$O$42="Evet")*(AY_SONU!$B$7:$B$42=DATE(YEAR($E1313),MONTH($E1313),1))))</f>
        <v>0</v>
      </c>
      <c r="U1313" s="1" t="str">
        <f>IF(OR($G1313="",$H1313="Mahsup"),"",$G1313&amp;"|"&amp;COUNTIFS($G$7:$G1313,$G1313,$H$7:$H1313,"&lt;&gt;Mahsup"))</f>
        <v/>
      </c>
    </row>
    <row r="1314" spans="1:21" ht="18" customHeight="1" x14ac:dyDescent="0.3">
      <c r="A1314" s="2"/>
      <c r="B1314" s="65" t="str">
        <f t="shared" si="100"/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 t="shared" si="101"/>
        <v/>
      </c>
      <c r="M1314" s="65" t="str">
        <f t="shared" ca="1" si="102"/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103"/>
        <v/>
      </c>
      <c r="S1314" s="1" t="str">
        <f t="shared" si="104"/>
        <v/>
      </c>
      <c r="T1314" s="1">
        <f>IF($E1314="",0,SUMPRODUCT((AY_SONU!$O$7:$O$42="Evet")*(AY_SONU!$B$7:$B$42=DATE(YEAR($E1314),MONTH($E1314),1))))</f>
        <v>0</v>
      </c>
      <c r="U1314" s="1" t="str">
        <f>IF(OR($G1314="",$H1314="Mahsup"),"",$G1314&amp;"|"&amp;COUNTIFS($G$7:$G1314,$G1314,$H$7:$H1314,"&lt;&gt;Mahsup"))</f>
        <v/>
      </c>
    </row>
    <row r="1315" spans="1:21" ht="18" customHeight="1" x14ac:dyDescent="0.3">
      <c r="A1315" s="2"/>
      <c r="B1315" s="65" t="str">
        <f t="shared" si="100"/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 t="shared" si="101"/>
        <v/>
      </c>
      <c r="M1315" s="65" t="str">
        <f t="shared" ca="1" si="102"/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103"/>
        <v/>
      </c>
      <c r="S1315" s="1" t="str">
        <f t="shared" si="104"/>
        <v/>
      </c>
      <c r="T1315" s="1">
        <f>IF($E1315="",0,SUMPRODUCT((AY_SONU!$O$7:$O$42="Evet")*(AY_SONU!$B$7:$B$42=DATE(YEAR($E1315),MONTH($E1315),1))))</f>
        <v>0</v>
      </c>
      <c r="U1315" s="1" t="str">
        <f>IF(OR($G1315="",$H1315="Mahsup"),"",$G1315&amp;"|"&amp;COUNTIFS($G$7:$G1315,$G1315,$H$7:$H1315,"&lt;&gt;Mahsup"))</f>
        <v/>
      </c>
    </row>
    <row r="1316" spans="1:21" ht="18" customHeight="1" x14ac:dyDescent="0.3">
      <c r="A1316" s="2"/>
      <c r="B1316" s="65" t="str">
        <f t="shared" si="100"/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 t="shared" si="101"/>
        <v/>
      </c>
      <c r="M1316" s="65" t="str">
        <f t="shared" ca="1" si="102"/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103"/>
        <v/>
      </c>
      <c r="S1316" s="1" t="str">
        <f t="shared" si="104"/>
        <v/>
      </c>
      <c r="T1316" s="1">
        <f>IF($E1316="",0,SUMPRODUCT((AY_SONU!$O$7:$O$42="Evet")*(AY_SONU!$B$7:$B$42=DATE(YEAR($E1316),MONTH($E1316),1))))</f>
        <v>0</v>
      </c>
      <c r="U1316" s="1" t="str">
        <f>IF(OR($G1316="",$H1316="Mahsup"),"",$G1316&amp;"|"&amp;COUNTIFS($G$7:$G1316,$G1316,$H$7:$H1316,"&lt;&gt;Mahsup"))</f>
        <v/>
      </c>
    </row>
    <row r="1317" spans="1:21" ht="18" customHeight="1" x14ac:dyDescent="0.3">
      <c r="A1317" s="2"/>
      <c r="B1317" s="65" t="str">
        <f t="shared" si="100"/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 t="shared" si="101"/>
        <v/>
      </c>
      <c r="M1317" s="65" t="str">
        <f t="shared" ca="1" si="102"/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103"/>
        <v/>
      </c>
      <c r="S1317" s="1" t="str">
        <f t="shared" si="104"/>
        <v/>
      </c>
      <c r="T1317" s="1">
        <f>IF($E1317="",0,SUMPRODUCT((AY_SONU!$O$7:$O$42="Evet")*(AY_SONU!$B$7:$B$42=DATE(YEAR($E1317),MONTH($E1317),1))))</f>
        <v>0</v>
      </c>
      <c r="U1317" s="1" t="str">
        <f>IF(OR($G1317="",$H1317="Mahsup"),"",$G1317&amp;"|"&amp;COUNTIFS($G$7:$G1317,$G1317,$H$7:$H1317,"&lt;&gt;Mahsup"))</f>
        <v/>
      </c>
    </row>
    <row r="1318" spans="1:21" ht="18" customHeight="1" x14ac:dyDescent="0.3">
      <c r="A1318" s="2"/>
      <c r="B1318" s="65" t="str">
        <f t="shared" si="100"/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 t="shared" si="101"/>
        <v/>
      </c>
      <c r="M1318" s="65" t="str">
        <f t="shared" ca="1" si="102"/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103"/>
        <v/>
      </c>
      <c r="S1318" s="1" t="str">
        <f t="shared" si="104"/>
        <v/>
      </c>
      <c r="T1318" s="1">
        <f>IF($E1318="",0,SUMPRODUCT((AY_SONU!$O$7:$O$42="Evet")*(AY_SONU!$B$7:$B$42=DATE(YEAR($E1318),MONTH($E1318),1))))</f>
        <v>0</v>
      </c>
      <c r="U1318" s="1" t="str">
        <f>IF(OR($G1318="",$H1318="Mahsup"),"",$G1318&amp;"|"&amp;COUNTIFS($G$7:$G1318,$G1318,$H$7:$H1318,"&lt;&gt;Mahsup"))</f>
        <v/>
      </c>
    </row>
    <row r="1319" spans="1:21" ht="18" customHeight="1" x14ac:dyDescent="0.3">
      <c r="A1319" s="2"/>
      <c r="B1319" s="65" t="str">
        <f t="shared" si="100"/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 t="shared" si="101"/>
        <v/>
      </c>
      <c r="M1319" s="65" t="str">
        <f t="shared" ca="1" si="102"/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103"/>
        <v/>
      </c>
      <c r="S1319" s="1" t="str">
        <f t="shared" si="104"/>
        <v/>
      </c>
      <c r="T1319" s="1">
        <f>IF($E1319="",0,SUMPRODUCT((AY_SONU!$O$7:$O$42="Evet")*(AY_SONU!$B$7:$B$42=DATE(YEAR($E1319),MONTH($E1319),1))))</f>
        <v>0</v>
      </c>
      <c r="U1319" s="1" t="str">
        <f>IF(OR($G1319="",$H1319="Mahsup"),"",$G1319&amp;"|"&amp;COUNTIFS($G$7:$G1319,$G1319,$H$7:$H1319,"&lt;&gt;Mahsup"))</f>
        <v/>
      </c>
    </row>
    <row r="1320" spans="1:21" ht="18" customHeight="1" x14ac:dyDescent="0.3">
      <c r="A1320" s="2"/>
      <c r="B1320" s="65" t="str">
        <f t="shared" si="100"/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 t="shared" si="101"/>
        <v/>
      </c>
      <c r="M1320" s="65" t="str">
        <f t="shared" ca="1" si="102"/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103"/>
        <v/>
      </c>
      <c r="S1320" s="1" t="str">
        <f t="shared" si="104"/>
        <v/>
      </c>
      <c r="T1320" s="1">
        <f>IF($E1320="",0,SUMPRODUCT((AY_SONU!$O$7:$O$42="Evet")*(AY_SONU!$B$7:$B$42=DATE(YEAR($E1320),MONTH($E1320),1))))</f>
        <v>0</v>
      </c>
      <c r="U1320" s="1" t="str">
        <f>IF(OR($G1320="",$H1320="Mahsup"),"",$G1320&amp;"|"&amp;COUNTIFS($G$7:$G1320,$G1320,$H$7:$H1320,"&lt;&gt;Mahsup"))</f>
        <v/>
      </c>
    </row>
    <row r="1321" spans="1:21" ht="18" customHeight="1" x14ac:dyDescent="0.3">
      <c r="A1321" s="2"/>
      <c r="B1321" s="65" t="str">
        <f t="shared" si="100"/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 t="shared" si="101"/>
        <v/>
      </c>
      <c r="M1321" s="65" t="str">
        <f t="shared" ca="1" si="102"/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103"/>
        <v/>
      </c>
      <c r="S1321" s="1" t="str">
        <f t="shared" si="104"/>
        <v/>
      </c>
      <c r="T1321" s="1">
        <f>IF($E1321="",0,SUMPRODUCT((AY_SONU!$O$7:$O$42="Evet")*(AY_SONU!$B$7:$B$42=DATE(YEAR($E1321),MONTH($E1321),1))))</f>
        <v>0</v>
      </c>
      <c r="U1321" s="1" t="str">
        <f>IF(OR($G1321="",$H1321="Mahsup"),"",$G1321&amp;"|"&amp;COUNTIFS($G$7:$G1321,$G1321,$H$7:$H1321,"&lt;&gt;Mahsup"))</f>
        <v/>
      </c>
    </row>
    <row r="1322" spans="1:21" ht="18" customHeight="1" x14ac:dyDescent="0.3">
      <c r="A1322" s="2"/>
      <c r="B1322" s="65" t="str">
        <f t="shared" si="100"/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 t="shared" si="101"/>
        <v/>
      </c>
      <c r="M1322" s="65" t="str">
        <f t="shared" ca="1" si="102"/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103"/>
        <v/>
      </c>
      <c r="S1322" s="1" t="str">
        <f t="shared" si="104"/>
        <v/>
      </c>
      <c r="T1322" s="1">
        <f>IF($E1322="",0,SUMPRODUCT((AY_SONU!$O$7:$O$42="Evet")*(AY_SONU!$B$7:$B$42=DATE(YEAR($E1322),MONTH($E1322),1))))</f>
        <v>0</v>
      </c>
      <c r="U1322" s="1" t="str">
        <f>IF(OR($G1322="",$H1322="Mahsup"),"",$G1322&amp;"|"&amp;COUNTIFS($G$7:$G1322,$G1322,$H$7:$H1322,"&lt;&gt;Mahsup"))</f>
        <v/>
      </c>
    </row>
    <row r="1323" spans="1:21" ht="18" customHeight="1" x14ac:dyDescent="0.3">
      <c r="A1323" s="2"/>
      <c r="B1323" s="65" t="str">
        <f t="shared" si="100"/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 t="shared" si="101"/>
        <v/>
      </c>
      <c r="M1323" s="65" t="str">
        <f t="shared" ca="1" si="102"/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103"/>
        <v/>
      </c>
      <c r="S1323" s="1" t="str">
        <f t="shared" si="104"/>
        <v/>
      </c>
      <c r="T1323" s="1">
        <f>IF($E1323="",0,SUMPRODUCT((AY_SONU!$O$7:$O$42="Evet")*(AY_SONU!$B$7:$B$42=DATE(YEAR($E1323),MONTH($E1323),1))))</f>
        <v>0</v>
      </c>
      <c r="U1323" s="1" t="str">
        <f>IF(OR($G1323="",$H1323="Mahsup"),"",$G1323&amp;"|"&amp;COUNTIFS($G$7:$G1323,$G1323,$H$7:$H1323,"&lt;&gt;Mahsup"))</f>
        <v/>
      </c>
    </row>
    <row r="1324" spans="1:21" ht="18" customHeight="1" x14ac:dyDescent="0.3">
      <c r="A1324" s="2"/>
      <c r="B1324" s="65" t="str">
        <f t="shared" si="100"/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 t="shared" si="101"/>
        <v/>
      </c>
      <c r="M1324" s="65" t="str">
        <f t="shared" ca="1" si="102"/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103"/>
        <v/>
      </c>
      <c r="S1324" s="1" t="str">
        <f t="shared" si="104"/>
        <v/>
      </c>
      <c r="T1324" s="1">
        <f>IF($E1324="",0,SUMPRODUCT((AY_SONU!$O$7:$O$42="Evet")*(AY_SONU!$B$7:$B$42=DATE(YEAR($E1324),MONTH($E1324),1))))</f>
        <v>0</v>
      </c>
      <c r="U1324" s="1" t="str">
        <f>IF(OR($G1324="",$H1324="Mahsup"),"",$G1324&amp;"|"&amp;COUNTIFS($G$7:$G1324,$G1324,$H$7:$H1324,"&lt;&gt;Mahsup"))</f>
        <v/>
      </c>
    </row>
    <row r="1325" spans="1:21" ht="18" customHeight="1" x14ac:dyDescent="0.3">
      <c r="A1325" s="2"/>
      <c r="B1325" s="65" t="str">
        <f t="shared" si="100"/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 t="shared" si="101"/>
        <v/>
      </c>
      <c r="M1325" s="65" t="str">
        <f t="shared" ca="1" si="102"/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103"/>
        <v/>
      </c>
      <c r="S1325" s="1" t="str">
        <f t="shared" si="104"/>
        <v/>
      </c>
      <c r="T1325" s="1">
        <f>IF($E1325="",0,SUMPRODUCT((AY_SONU!$O$7:$O$42="Evet")*(AY_SONU!$B$7:$B$42=DATE(YEAR($E1325),MONTH($E1325),1))))</f>
        <v>0</v>
      </c>
      <c r="U1325" s="1" t="str">
        <f>IF(OR($G1325="",$H1325="Mahsup"),"",$G1325&amp;"|"&amp;COUNTIFS($G$7:$G1325,$G1325,$H$7:$H1325,"&lt;&gt;Mahsup"))</f>
        <v/>
      </c>
    </row>
    <row r="1326" spans="1:21" ht="18" customHeight="1" x14ac:dyDescent="0.3">
      <c r="A1326" s="2"/>
      <c r="B1326" s="65" t="str">
        <f t="shared" si="100"/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 t="shared" si="101"/>
        <v/>
      </c>
      <c r="M1326" s="65" t="str">
        <f t="shared" ca="1" si="102"/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103"/>
        <v/>
      </c>
      <c r="S1326" s="1" t="str">
        <f t="shared" si="104"/>
        <v/>
      </c>
      <c r="T1326" s="1">
        <f>IF($E1326="",0,SUMPRODUCT((AY_SONU!$O$7:$O$42="Evet")*(AY_SONU!$B$7:$B$42=DATE(YEAR($E1326),MONTH($E1326),1))))</f>
        <v>0</v>
      </c>
      <c r="U1326" s="1" t="str">
        <f>IF(OR($G1326="",$H1326="Mahsup"),"",$G1326&amp;"|"&amp;COUNTIFS($G$7:$G1326,$G1326,$H$7:$H1326,"&lt;&gt;Mahsup"))</f>
        <v/>
      </c>
    </row>
    <row r="1327" spans="1:21" ht="18" customHeight="1" x14ac:dyDescent="0.3">
      <c r="A1327" s="2"/>
      <c r="B1327" s="65" t="str">
        <f t="shared" si="100"/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 t="shared" si="101"/>
        <v/>
      </c>
      <c r="M1327" s="65" t="str">
        <f t="shared" ca="1" si="102"/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103"/>
        <v/>
      </c>
      <c r="S1327" s="1" t="str">
        <f t="shared" si="104"/>
        <v/>
      </c>
      <c r="T1327" s="1">
        <f>IF($E1327="",0,SUMPRODUCT((AY_SONU!$O$7:$O$42="Evet")*(AY_SONU!$B$7:$B$42=DATE(YEAR($E1327),MONTH($E1327),1))))</f>
        <v>0</v>
      </c>
      <c r="U1327" s="1" t="str">
        <f>IF(OR($G1327="",$H1327="Mahsup"),"",$G1327&amp;"|"&amp;COUNTIFS($G$7:$G1327,$G1327,$H$7:$H1327,"&lt;&gt;Mahsup"))</f>
        <v/>
      </c>
    </row>
    <row r="1328" spans="1:21" ht="18" customHeight="1" x14ac:dyDescent="0.3">
      <c r="A1328" s="2"/>
      <c r="B1328" s="65" t="str">
        <f t="shared" si="100"/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 t="shared" si="101"/>
        <v/>
      </c>
      <c r="M1328" s="65" t="str">
        <f t="shared" ca="1" si="102"/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103"/>
        <v/>
      </c>
      <c r="S1328" s="1" t="str">
        <f t="shared" si="104"/>
        <v/>
      </c>
      <c r="T1328" s="1">
        <f>IF($E1328="",0,SUMPRODUCT((AY_SONU!$O$7:$O$42="Evet")*(AY_SONU!$B$7:$B$42=DATE(YEAR($E1328),MONTH($E1328),1))))</f>
        <v>0</v>
      </c>
      <c r="U1328" s="1" t="str">
        <f>IF(OR($G1328="",$H1328="Mahsup"),"",$G1328&amp;"|"&amp;COUNTIFS($G$7:$G1328,$G1328,$H$7:$H1328,"&lt;&gt;Mahsup"))</f>
        <v/>
      </c>
    </row>
    <row r="1329" spans="1:21" ht="18" customHeight="1" x14ac:dyDescent="0.3">
      <c r="A1329" s="2"/>
      <c r="B1329" s="65" t="str">
        <f t="shared" si="100"/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 t="shared" si="101"/>
        <v/>
      </c>
      <c r="M1329" s="65" t="str">
        <f t="shared" ca="1" si="102"/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103"/>
        <v/>
      </c>
      <c r="S1329" s="1" t="str">
        <f t="shared" si="104"/>
        <v/>
      </c>
      <c r="T1329" s="1">
        <f>IF($E1329="",0,SUMPRODUCT((AY_SONU!$O$7:$O$42="Evet")*(AY_SONU!$B$7:$B$42=DATE(YEAR($E1329),MONTH($E1329),1))))</f>
        <v>0</v>
      </c>
      <c r="U1329" s="1" t="str">
        <f>IF(OR($G1329="",$H1329="Mahsup"),"",$G1329&amp;"|"&amp;COUNTIFS($G$7:$G1329,$G1329,$H$7:$H1329,"&lt;&gt;Mahsup"))</f>
        <v/>
      </c>
    </row>
    <row r="1330" spans="1:21" ht="18" customHeight="1" x14ac:dyDescent="0.3">
      <c r="A1330" s="2"/>
      <c r="B1330" s="65" t="str">
        <f t="shared" si="100"/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 t="shared" si="101"/>
        <v/>
      </c>
      <c r="M1330" s="65" t="str">
        <f t="shared" ca="1" si="102"/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103"/>
        <v/>
      </c>
      <c r="S1330" s="1" t="str">
        <f t="shared" si="104"/>
        <v/>
      </c>
      <c r="T1330" s="1">
        <f>IF($E1330="",0,SUMPRODUCT((AY_SONU!$O$7:$O$42="Evet")*(AY_SONU!$B$7:$B$42=DATE(YEAR($E1330),MONTH($E1330),1))))</f>
        <v>0</v>
      </c>
      <c r="U1330" s="1" t="str">
        <f>IF(OR($G1330="",$H1330="Mahsup"),"",$G1330&amp;"|"&amp;COUNTIFS($G$7:$G1330,$G1330,$H$7:$H1330,"&lt;&gt;Mahsup"))</f>
        <v/>
      </c>
    </row>
    <row r="1331" spans="1:21" ht="18" customHeight="1" x14ac:dyDescent="0.3">
      <c r="A1331" s="2"/>
      <c r="B1331" s="65" t="str">
        <f t="shared" si="100"/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 t="shared" si="101"/>
        <v/>
      </c>
      <c r="M1331" s="65" t="str">
        <f t="shared" ca="1" si="102"/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103"/>
        <v/>
      </c>
      <c r="S1331" s="1" t="str">
        <f t="shared" si="104"/>
        <v/>
      </c>
      <c r="T1331" s="1">
        <f>IF($E1331="",0,SUMPRODUCT((AY_SONU!$O$7:$O$42="Evet")*(AY_SONU!$B$7:$B$42=DATE(YEAR($E1331),MONTH($E1331),1))))</f>
        <v>0</v>
      </c>
      <c r="U1331" s="1" t="str">
        <f>IF(OR($G1331="",$H1331="Mahsup"),"",$G1331&amp;"|"&amp;COUNTIFS($G$7:$G1331,$G1331,$H$7:$H1331,"&lt;&gt;Mahsup"))</f>
        <v/>
      </c>
    </row>
    <row r="1332" spans="1:21" ht="18" customHeight="1" x14ac:dyDescent="0.3">
      <c r="A1332" s="2"/>
      <c r="B1332" s="65" t="str">
        <f t="shared" si="100"/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 t="shared" si="101"/>
        <v/>
      </c>
      <c r="M1332" s="65" t="str">
        <f t="shared" ca="1" si="102"/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103"/>
        <v/>
      </c>
      <c r="S1332" s="1" t="str">
        <f t="shared" si="104"/>
        <v/>
      </c>
      <c r="T1332" s="1">
        <f>IF($E1332="",0,SUMPRODUCT((AY_SONU!$O$7:$O$42="Evet")*(AY_SONU!$B$7:$B$42=DATE(YEAR($E1332),MONTH($E1332),1))))</f>
        <v>0</v>
      </c>
      <c r="U1332" s="1" t="str">
        <f>IF(OR($G1332="",$H1332="Mahsup"),"",$G1332&amp;"|"&amp;COUNTIFS($G$7:$G1332,$G1332,$H$7:$H1332,"&lt;&gt;Mahsup"))</f>
        <v/>
      </c>
    </row>
    <row r="1333" spans="1:21" ht="18" customHeight="1" x14ac:dyDescent="0.3">
      <c r="A1333" s="2"/>
      <c r="B1333" s="65" t="str">
        <f t="shared" si="100"/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 t="shared" si="101"/>
        <v/>
      </c>
      <c r="M1333" s="65" t="str">
        <f t="shared" ca="1" si="102"/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103"/>
        <v/>
      </c>
      <c r="S1333" s="1" t="str">
        <f t="shared" si="104"/>
        <v/>
      </c>
      <c r="T1333" s="1">
        <f>IF($E1333="",0,SUMPRODUCT((AY_SONU!$O$7:$O$42="Evet")*(AY_SONU!$B$7:$B$42=DATE(YEAR($E1333),MONTH($E1333),1))))</f>
        <v>0</v>
      </c>
      <c r="U1333" s="1" t="str">
        <f>IF(OR($G1333="",$H1333="Mahsup"),"",$G1333&amp;"|"&amp;COUNTIFS($G$7:$G1333,$G1333,$H$7:$H1333,"&lt;&gt;Mahsup"))</f>
        <v/>
      </c>
    </row>
    <row r="1334" spans="1:21" ht="18" customHeight="1" x14ac:dyDescent="0.3">
      <c r="A1334" s="2"/>
      <c r="B1334" s="65" t="str">
        <f t="shared" si="100"/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 t="shared" si="101"/>
        <v/>
      </c>
      <c r="M1334" s="65" t="str">
        <f t="shared" ca="1" si="102"/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103"/>
        <v/>
      </c>
      <c r="S1334" s="1" t="str">
        <f t="shared" si="104"/>
        <v/>
      </c>
      <c r="T1334" s="1">
        <f>IF($E1334="",0,SUMPRODUCT((AY_SONU!$O$7:$O$42="Evet")*(AY_SONU!$B$7:$B$42=DATE(YEAR($E1334),MONTH($E1334),1))))</f>
        <v>0</v>
      </c>
      <c r="U1334" s="1" t="str">
        <f>IF(OR($G1334="",$H1334="Mahsup"),"",$G1334&amp;"|"&amp;COUNTIFS($G$7:$G1334,$G1334,$H$7:$H1334,"&lt;&gt;Mahsup"))</f>
        <v/>
      </c>
    </row>
    <row r="1335" spans="1:21" ht="18" customHeight="1" x14ac:dyDescent="0.3">
      <c r="A1335" s="2"/>
      <c r="B1335" s="65" t="str">
        <f t="shared" si="100"/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 t="shared" si="101"/>
        <v/>
      </c>
      <c r="M1335" s="65" t="str">
        <f t="shared" ca="1" si="102"/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103"/>
        <v/>
      </c>
      <c r="S1335" s="1" t="str">
        <f t="shared" si="104"/>
        <v/>
      </c>
      <c r="T1335" s="1">
        <f>IF($E1335="",0,SUMPRODUCT((AY_SONU!$O$7:$O$42="Evet")*(AY_SONU!$B$7:$B$42=DATE(YEAR($E1335),MONTH($E1335),1))))</f>
        <v>0</v>
      </c>
      <c r="U1335" s="1" t="str">
        <f>IF(OR($G1335="",$H1335="Mahsup"),"",$G1335&amp;"|"&amp;COUNTIFS($G$7:$G1335,$G1335,$H$7:$H1335,"&lt;&gt;Mahsup"))</f>
        <v/>
      </c>
    </row>
    <row r="1336" spans="1:21" ht="18" customHeight="1" x14ac:dyDescent="0.3">
      <c r="A1336" s="2"/>
      <c r="B1336" s="65" t="str">
        <f t="shared" si="100"/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 t="shared" si="101"/>
        <v/>
      </c>
      <c r="M1336" s="65" t="str">
        <f t="shared" ca="1" si="102"/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103"/>
        <v/>
      </c>
      <c r="S1336" s="1" t="str">
        <f t="shared" si="104"/>
        <v/>
      </c>
      <c r="T1336" s="1">
        <f>IF($E1336="",0,SUMPRODUCT((AY_SONU!$O$7:$O$42="Evet")*(AY_SONU!$B$7:$B$42=DATE(YEAR($E1336),MONTH($E1336),1))))</f>
        <v>0</v>
      </c>
      <c r="U1336" s="1" t="str">
        <f>IF(OR($G1336="",$H1336="Mahsup"),"",$G1336&amp;"|"&amp;COUNTIFS($G$7:$G1336,$G1336,$H$7:$H1336,"&lt;&gt;Mahsup"))</f>
        <v/>
      </c>
    </row>
    <row r="1337" spans="1:21" ht="18" customHeight="1" x14ac:dyDescent="0.3">
      <c r="A1337" s="2"/>
      <c r="B1337" s="65" t="str">
        <f t="shared" si="100"/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 t="shared" si="101"/>
        <v/>
      </c>
      <c r="M1337" s="65" t="str">
        <f t="shared" ca="1" si="102"/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103"/>
        <v/>
      </c>
      <c r="S1337" s="1" t="str">
        <f t="shared" si="104"/>
        <v/>
      </c>
      <c r="T1337" s="1">
        <f>IF($E1337="",0,SUMPRODUCT((AY_SONU!$O$7:$O$42="Evet")*(AY_SONU!$B$7:$B$42=DATE(YEAR($E1337),MONTH($E1337),1))))</f>
        <v>0</v>
      </c>
      <c r="U1337" s="1" t="str">
        <f>IF(OR($G1337="",$H1337="Mahsup"),"",$G1337&amp;"|"&amp;COUNTIFS($G$7:$G1337,$G1337,$H$7:$H1337,"&lt;&gt;Mahsup"))</f>
        <v/>
      </c>
    </row>
    <row r="1338" spans="1:21" ht="18" customHeight="1" x14ac:dyDescent="0.3">
      <c r="A1338" s="2"/>
      <c r="B1338" s="65" t="str">
        <f t="shared" si="100"/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 t="shared" si="101"/>
        <v/>
      </c>
      <c r="M1338" s="65" t="str">
        <f t="shared" ca="1" si="102"/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103"/>
        <v/>
      </c>
      <c r="S1338" s="1" t="str">
        <f t="shared" si="104"/>
        <v/>
      </c>
      <c r="T1338" s="1">
        <f>IF($E1338="",0,SUMPRODUCT((AY_SONU!$O$7:$O$42="Evet")*(AY_SONU!$B$7:$B$42=DATE(YEAR($E1338),MONTH($E1338),1))))</f>
        <v>0</v>
      </c>
      <c r="U1338" s="1" t="str">
        <f>IF(OR($G1338="",$H1338="Mahsup"),"",$G1338&amp;"|"&amp;COUNTIFS($G$7:$G1338,$G1338,$H$7:$H1338,"&lt;&gt;Mahsup"))</f>
        <v/>
      </c>
    </row>
    <row r="1339" spans="1:21" ht="18" customHeight="1" x14ac:dyDescent="0.3">
      <c r="A1339" s="2"/>
      <c r="B1339" s="65" t="str">
        <f t="shared" si="100"/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 t="shared" si="101"/>
        <v/>
      </c>
      <c r="M1339" s="65" t="str">
        <f t="shared" ca="1" si="102"/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103"/>
        <v/>
      </c>
      <c r="S1339" s="1" t="str">
        <f t="shared" si="104"/>
        <v/>
      </c>
      <c r="T1339" s="1">
        <f>IF($E1339="",0,SUMPRODUCT((AY_SONU!$O$7:$O$42="Evet")*(AY_SONU!$B$7:$B$42=DATE(YEAR($E1339),MONTH($E1339),1))))</f>
        <v>0</v>
      </c>
      <c r="U1339" s="1" t="str">
        <f>IF(OR($G1339="",$H1339="Mahsup"),"",$G1339&amp;"|"&amp;COUNTIFS($G$7:$G1339,$G1339,$H$7:$H1339,"&lt;&gt;Mahsup"))</f>
        <v/>
      </c>
    </row>
    <row r="1340" spans="1:21" ht="18" customHeight="1" x14ac:dyDescent="0.3">
      <c r="A1340" s="2"/>
      <c r="B1340" s="65" t="str">
        <f t="shared" si="100"/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 t="shared" si="101"/>
        <v/>
      </c>
      <c r="M1340" s="65" t="str">
        <f t="shared" ca="1" si="102"/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103"/>
        <v/>
      </c>
      <c r="S1340" s="1" t="str">
        <f t="shared" si="104"/>
        <v/>
      </c>
      <c r="T1340" s="1">
        <f>IF($E1340="",0,SUMPRODUCT((AY_SONU!$O$7:$O$42="Evet")*(AY_SONU!$B$7:$B$42=DATE(YEAR($E1340),MONTH($E1340),1))))</f>
        <v>0</v>
      </c>
      <c r="U1340" s="1" t="str">
        <f>IF(OR($G1340="",$H1340="Mahsup"),"",$G1340&amp;"|"&amp;COUNTIFS($G$7:$G1340,$G1340,$H$7:$H1340,"&lt;&gt;Mahsup"))</f>
        <v/>
      </c>
    </row>
    <row r="1341" spans="1:21" ht="18" customHeight="1" x14ac:dyDescent="0.3">
      <c r="A1341" s="2"/>
      <c r="B1341" s="65" t="str">
        <f t="shared" si="100"/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 t="shared" si="101"/>
        <v/>
      </c>
      <c r="M1341" s="65" t="str">
        <f t="shared" ca="1" si="102"/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103"/>
        <v/>
      </c>
      <c r="S1341" s="1" t="str">
        <f t="shared" si="104"/>
        <v/>
      </c>
      <c r="T1341" s="1">
        <f>IF($E1341="",0,SUMPRODUCT((AY_SONU!$O$7:$O$42="Evet")*(AY_SONU!$B$7:$B$42=DATE(YEAR($E1341),MONTH($E1341),1))))</f>
        <v>0</v>
      </c>
      <c r="U1341" s="1" t="str">
        <f>IF(OR($G1341="",$H1341="Mahsup"),"",$G1341&amp;"|"&amp;COUNTIFS($G$7:$G1341,$G1341,$H$7:$H1341,"&lt;&gt;Mahsup"))</f>
        <v/>
      </c>
    </row>
    <row r="1342" spans="1:21" ht="18" customHeight="1" x14ac:dyDescent="0.3">
      <c r="A1342" s="2"/>
      <c r="B1342" s="65" t="str">
        <f t="shared" si="100"/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 t="shared" si="101"/>
        <v/>
      </c>
      <c r="M1342" s="65" t="str">
        <f t="shared" ca="1" si="102"/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103"/>
        <v/>
      </c>
      <c r="S1342" s="1" t="str">
        <f t="shared" si="104"/>
        <v/>
      </c>
      <c r="T1342" s="1">
        <f>IF($E1342="",0,SUMPRODUCT((AY_SONU!$O$7:$O$42="Evet")*(AY_SONU!$B$7:$B$42=DATE(YEAR($E1342),MONTH($E1342),1))))</f>
        <v>0</v>
      </c>
      <c r="U1342" s="1" t="str">
        <f>IF(OR($G1342="",$H1342="Mahsup"),"",$G1342&amp;"|"&amp;COUNTIFS($G$7:$G1342,$G1342,$H$7:$H1342,"&lt;&gt;Mahsup"))</f>
        <v/>
      </c>
    </row>
    <row r="1343" spans="1:21" ht="18" customHeight="1" x14ac:dyDescent="0.3">
      <c r="A1343" s="2"/>
      <c r="B1343" s="65" t="str">
        <f t="shared" si="100"/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 t="shared" si="101"/>
        <v/>
      </c>
      <c r="M1343" s="65" t="str">
        <f t="shared" ca="1" si="102"/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103"/>
        <v/>
      </c>
      <c r="S1343" s="1" t="str">
        <f t="shared" si="104"/>
        <v/>
      </c>
      <c r="T1343" s="1">
        <f>IF($E1343="",0,SUMPRODUCT((AY_SONU!$O$7:$O$42="Evet")*(AY_SONU!$B$7:$B$42=DATE(YEAR($E1343),MONTH($E1343),1))))</f>
        <v>0</v>
      </c>
      <c r="U1343" s="1" t="str">
        <f>IF(OR($G1343="",$H1343="Mahsup"),"",$G1343&amp;"|"&amp;COUNTIFS($G$7:$G1343,$G1343,$H$7:$H1343,"&lt;&gt;Mahsup"))</f>
        <v/>
      </c>
    </row>
    <row r="1344" spans="1:21" ht="18" customHeight="1" x14ac:dyDescent="0.3">
      <c r="A1344" s="2"/>
      <c r="B1344" s="65" t="str">
        <f t="shared" si="100"/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 t="shared" si="101"/>
        <v/>
      </c>
      <c r="M1344" s="65" t="str">
        <f t="shared" ca="1" si="102"/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103"/>
        <v/>
      </c>
      <c r="S1344" s="1" t="str">
        <f t="shared" si="104"/>
        <v/>
      </c>
      <c r="T1344" s="1">
        <f>IF($E1344="",0,SUMPRODUCT((AY_SONU!$O$7:$O$42="Evet")*(AY_SONU!$B$7:$B$42=DATE(YEAR($E1344),MONTH($E1344),1))))</f>
        <v>0</v>
      </c>
      <c r="U1344" s="1" t="str">
        <f>IF(OR($G1344="",$H1344="Mahsup"),"",$G1344&amp;"|"&amp;COUNTIFS($G$7:$G1344,$G1344,$H$7:$H1344,"&lt;&gt;Mahsup"))</f>
        <v/>
      </c>
    </row>
    <row r="1345" spans="1:21" ht="18" customHeight="1" x14ac:dyDescent="0.3">
      <c r="A1345" s="2"/>
      <c r="B1345" s="65" t="str">
        <f t="shared" si="100"/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 t="shared" si="101"/>
        <v/>
      </c>
      <c r="M1345" s="65" t="str">
        <f t="shared" ca="1" si="102"/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103"/>
        <v/>
      </c>
      <c r="S1345" s="1" t="str">
        <f t="shared" si="104"/>
        <v/>
      </c>
      <c r="T1345" s="1">
        <f>IF($E1345="",0,SUMPRODUCT((AY_SONU!$O$7:$O$42="Evet")*(AY_SONU!$B$7:$B$42=DATE(YEAR($E1345),MONTH($E1345),1))))</f>
        <v>0</v>
      </c>
      <c r="U1345" s="1" t="str">
        <f>IF(OR($G1345="",$H1345="Mahsup"),"",$G1345&amp;"|"&amp;COUNTIFS($G$7:$G1345,$G1345,$H$7:$H1345,"&lt;&gt;Mahsup"))</f>
        <v/>
      </c>
    </row>
    <row r="1346" spans="1:21" ht="18" customHeight="1" x14ac:dyDescent="0.3">
      <c r="A1346" s="2"/>
      <c r="B1346" s="65" t="str">
        <f t="shared" si="100"/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 t="shared" si="101"/>
        <v/>
      </c>
      <c r="M1346" s="65" t="str">
        <f t="shared" ca="1" si="102"/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103"/>
        <v/>
      </c>
      <c r="S1346" s="1" t="str">
        <f t="shared" si="104"/>
        <v/>
      </c>
      <c r="T1346" s="1">
        <f>IF($E1346="",0,SUMPRODUCT((AY_SONU!$O$7:$O$42="Evet")*(AY_SONU!$B$7:$B$42=DATE(YEAR($E1346),MONTH($E1346),1))))</f>
        <v>0</v>
      </c>
      <c r="U1346" s="1" t="str">
        <f>IF(OR($G1346="",$H1346="Mahsup"),"",$G1346&amp;"|"&amp;COUNTIFS($G$7:$G1346,$G1346,$H$7:$H1346,"&lt;&gt;Mahsup"))</f>
        <v/>
      </c>
    </row>
    <row r="1347" spans="1:21" ht="18" customHeight="1" x14ac:dyDescent="0.3">
      <c r="A1347" s="2"/>
      <c r="B1347" s="65" t="str">
        <f t="shared" si="100"/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 t="shared" si="101"/>
        <v/>
      </c>
      <c r="M1347" s="65" t="str">
        <f t="shared" ca="1" si="102"/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103"/>
        <v/>
      </c>
      <c r="S1347" s="1" t="str">
        <f t="shared" si="104"/>
        <v/>
      </c>
      <c r="T1347" s="1">
        <f>IF($E1347="",0,SUMPRODUCT((AY_SONU!$O$7:$O$42="Evet")*(AY_SONU!$B$7:$B$42=DATE(YEAR($E1347),MONTH($E1347),1))))</f>
        <v>0</v>
      </c>
      <c r="U1347" s="1" t="str">
        <f>IF(OR($G1347="",$H1347="Mahsup"),"",$G1347&amp;"|"&amp;COUNTIFS($G$7:$G1347,$G1347,$H$7:$H1347,"&lt;&gt;Mahsup"))</f>
        <v/>
      </c>
    </row>
    <row r="1348" spans="1:21" ht="18" customHeight="1" x14ac:dyDescent="0.3">
      <c r="A1348" s="2"/>
      <c r="B1348" s="65" t="str">
        <f t="shared" si="100"/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 t="shared" si="101"/>
        <v/>
      </c>
      <c r="M1348" s="65" t="str">
        <f t="shared" ca="1" si="102"/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103"/>
        <v/>
      </c>
      <c r="S1348" s="1" t="str">
        <f t="shared" si="104"/>
        <v/>
      </c>
      <c r="T1348" s="1">
        <f>IF($E1348="",0,SUMPRODUCT((AY_SONU!$O$7:$O$42="Evet")*(AY_SONU!$B$7:$B$42=DATE(YEAR($E1348),MONTH($E1348),1))))</f>
        <v>0</v>
      </c>
      <c r="U1348" s="1" t="str">
        <f>IF(OR($G1348="",$H1348="Mahsup"),"",$G1348&amp;"|"&amp;COUNTIFS($G$7:$G1348,$G1348,$H$7:$H1348,"&lt;&gt;Mahsup"))</f>
        <v/>
      </c>
    </row>
    <row r="1349" spans="1:21" ht="18" customHeight="1" x14ac:dyDescent="0.3">
      <c r="A1349" s="2"/>
      <c r="B1349" s="65" t="str">
        <f t="shared" si="100"/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 t="shared" si="101"/>
        <v/>
      </c>
      <c r="M1349" s="65" t="str">
        <f t="shared" ca="1" si="102"/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103"/>
        <v/>
      </c>
      <c r="S1349" s="1" t="str">
        <f t="shared" si="104"/>
        <v/>
      </c>
      <c r="T1349" s="1">
        <f>IF($E1349="",0,SUMPRODUCT((AY_SONU!$O$7:$O$42="Evet")*(AY_SONU!$B$7:$B$42=DATE(YEAR($E1349),MONTH($E1349),1))))</f>
        <v>0</v>
      </c>
      <c r="U1349" s="1" t="str">
        <f>IF(OR($G1349="",$H1349="Mahsup"),"",$G1349&amp;"|"&amp;COUNTIFS($G$7:$G1349,$G1349,$H$7:$H1349,"&lt;&gt;Mahsup"))</f>
        <v/>
      </c>
    </row>
    <row r="1350" spans="1:21" ht="18" customHeight="1" x14ac:dyDescent="0.3">
      <c r="A1350" s="2"/>
      <c r="B1350" s="65" t="str">
        <f t="shared" si="100"/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 t="shared" si="101"/>
        <v/>
      </c>
      <c r="M1350" s="65" t="str">
        <f t="shared" ca="1" si="102"/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103"/>
        <v/>
      </c>
      <c r="S1350" s="1" t="str">
        <f t="shared" si="104"/>
        <v/>
      </c>
      <c r="T1350" s="1">
        <f>IF($E1350="",0,SUMPRODUCT((AY_SONU!$O$7:$O$42="Evet")*(AY_SONU!$B$7:$B$42=DATE(YEAR($E1350),MONTH($E1350),1))))</f>
        <v>0</v>
      </c>
      <c r="U1350" s="1" t="str">
        <f>IF(OR($G1350="",$H1350="Mahsup"),"",$G1350&amp;"|"&amp;COUNTIFS($G$7:$G1350,$G1350,$H$7:$H1350,"&lt;&gt;Mahsup"))</f>
        <v/>
      </c>
    </row>
    <row r="1351" spans="1:21" ht="18" customHeight="1" x14ac:dyDescent="0.3">
      <c r="A1351" s="2"/>
      <c r="B1351" s="65" t="str">
        <f t="shared" ref="B1351:B1414" si="105"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 t="shared" ref="L1351:L1414" si="106">IF($E1351="","",DATE(YEAR($E1351),MONTH($E1351),1))</f>
        <v/>
      </c>
      <c r="M1351" s="65" t="str">
        <f t="shared" ref="M1351:M1414" ca="1" si="107"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108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109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  <c r="U1351" s="1" t="str">
        <f>IF(OR($G1351="",$H1351="Mahsup"),"",$G1351&amp;"|"&amp;COUNTIFS($G$7:$G1351,$G1351,$H$7:$H1351,"&lt;&gt;Mahsup"))</f>
        <v/>
      </c>
    </row>
    <row r="1352" spans="1:21" ht="18" customHeight="1" x14ac:dyDescent="0.3">
      <c r="A1352" s="2"/>
      <c r="B1352" s="65" t="str">
        <f t="shared" si="105"/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 t="shared" si="106"/>
        <v/>
      </c>
      <c r="M1352" s="65" t="str">
        <f t="shared" ca="1" si="107"/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108"/>
        <v/>
      </c>
      <c r="S1352" s="1" t="str">
        <f t="shared" si="109"/>
        <v/>
      </c>
      <c r="T1352" s="1">
        <f>IF($E1352="",0,SUMPRODUCT((AY_SONU!$O$7:$O$42="Evet")*(AY_SONU!$B$7:$B$42=DATE(YEAR($E1352),MONTH($E1352),1))))</f>
        <v>0</v>
      </c>
      <c r="U1352" s="1" t="str">
        <f>IF(OR($G1352="",$H1352="Mahsup"),"",$G1352&amp;"|"&amp;COUNTIFS($G$7:$G1352,$G1352,$H$7:$H1352,"&lt;&gt;Mahsup"))</f>
        <v/>
      </c>
    </row>
    <row r="1353" spans="1:21" ht="18" customHeight="1" x14ac:dyDescent="0.3">
      <c r="A1353" s="2"/>
      <c r="B1353" s="65" t="str">
        <f t="shared" si="105"/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 t="shared" si="106"/>
        <v/>
      </c>
      <c r="M1353" s="65" t="str">
        <f t="shared" ca="1" si="107"/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108"/>
        <v/>
      </c>
      <c r="S1353" s="1" t="str">
        <f t="shared" si="109"/>
        <v/>
      </c>
      <c r="T1353" s="1">
        <f>IF($E1353="",0,SUMPRODUCT((AY_SONU!$O$7:$O$42="Evet")*(AY_SONU!$B$7:$B$42=DATE(YEAR($E1353),MONTH($E1353),1))))</f>
        <v>0</v>
      </c>
      <c r="U1353" s="1" t="str">
        <f>IF(OR($G1353="",$H1353="Mahsup"),"",$G1353&amp;"|"&amp;COUNTIFS($G$7:$G1353,$G1353,$H$7:$H1353,"&lt;&gt;Mahsup"))</f>
        <v/>
      </c>
    </row>
    <row r="1354" spans="1:21" ht="18" customHeight="1" x14ac:dyDescent="0.3">
      <c r="A1354" s="2"/>
      <c r="B1354" s="65" t="str">
        <f t="shared" si="105"/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 t="shared" si="106"/>
        <v/>
      </c>
      <c r="M1354" s="65" t="str">
        <f t="shared" ca="1" si="107"/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108"/>
        <v/>
      </c>
      <c r="S1354" s="1" t="str">
        <f t="shared" si="109"/>
        <v/>
      </c>
      <c r="T1354" s="1">
        <f>IF($E1354="",0,SUMPRODUCT((AY_SONU!$O$7:$O$42="Evet")*(AY_SONU!$B$7:$B$42=DATE(YEAR($E1354),MONTH($E1354),1))))</f>
        <v>0</v>
      </c>
      <c r="U1354" s="1" t="str">
        <f>IF(OR($G1354="",$H1354="Mahsup"),"",$G1354&amp;"|"&amp;COUNTIFS($G$7:$G1354,$G1354,$H$7:$H1354,"&lt;&gt;Mahsup"))</f>
        <v/>
      </c>
    </row>
    <row r="1355" spans="1:21" ht="18" customHeight="1" x14ac:dyDescent="0.3">
      <c r="A1355" s="2"/>
      <c r="B1355" s="65" t="str">
        <f t="shared" si="105"/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 t="shared" si="106"/>
        <v/>
      </c>
      <c r="M1355" s="65" t="str">
        <f t="shared" ca="1" si="107"/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108"/>
        <v/>
      </c>
      <c r="S1355" s="1" t="str">
        <f t="shared" si="109"/>
        <v/>
      </c>
      <c r="T1355" s="1">
        <f>IF($E1355="",0,SUMPRODUCT((AY_SONU!$O$7:$O$42="Evet")*(AY_SONU!$B$7:$B$42=DATE(YEAR($E1355),MONTH($E1355),1))))</f>
        <v>0</v>
      </c>
      <c r="U1355" s="1" t="str">
        <f>IF(OR($G1355="",$H1355="Mahsup"),"",$G1355&amp;"|"&amp;COUNTIFS($G$7:$G1355,$G1355,$H$7:$H1355,"&lt;&gt;Mahsup"))</f>
        <v/>
      </c>
    </row>
    <row r="1356" spans="1:21" ht="18" customHeight="1" x14ac:dyDescent="0.3">
      <c r="A1356" s="2"/>
      <c r="B1356" s="65" t="str">
        <f t="shared" si="105"/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 t="shared" si="106"/>
        <v/>
      </c>
      <c r="M1356" s="65" t="str">
        <f t="shared" ca="1" si="107"/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108"/>
        <v/>
      </c>
      <c r="S1356" s="1" t="str">
        <f t="shared" si="109"/>
        <v/>
      </c>
      <c r="T1356" s="1">
        <f>IF($E1356="",0,SUMPRODUCT((AY_SONU!$O$7:$O$42="Evet")*(AY_SONU!$B$7:$B$42=DATE(YEAR($E1356),MONTH($E1356),1))))</f>
        <v>0</v>
      </c>
      <c r="U1356" s="1" t="str">
        <f>IF(OR($G1356="",$H1356="Mahsup"),"",$G1356&amp;"|"&amp;COUNTIFS($G$7:$G1356,$G1356,$H$7:$H1356,"&lt;&gt;Mahsup"))</f>
        <v/>
      </c>
    </row>
    <row r="1357" spans="1:21" ht="18" customHeight="1" x14ac:dyDescent="0.3">
      <c r="A1357" s="2"/>
      <c r="B1357" s="65" t="str">
        <f t="shared" si="105"/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 t="shared" si="106"/>
        <v/>
      </c>
      <c r="M1357" s="65" t="str">
        <f t="shared" ca="1" si="107"/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108"/>
        <v/>
      </c>
      <c r="S1357" s="1" t="str">
        <f t="shared" si="109"/>
        <v/>
      </c>
      <c r="T1357" s="1">
        <f>IF($E1357="",0,SUMPRODUCT((AY_SONU!$O$7:$O$42="Evet")*(AY_SONU!$B$7:$B$42=DATE(YEAR($E1357),MONTH($E1357),1))))</f>
        <v>0</v>
      </c>
      <c r="U1357" s="1" t="str">
        <f>IF(OR($G1357="",$H1357="Mahsup"),"",$G1357&amp;"|"&amp;COUNTIFS($G$7:$G1357,$G1357,$H$7:$H1357,"&lt;&gt;Mahsup"))</f>
        <v/>
      </c>
    </row>
    <row r="1358" spans="1:21" ht="18" customHeight="1" x14ac:dyDescent="0.3">
      <c r="A1358" s="2"/>
      <c r="B1358" s="65" t="str">
        <f t="shared" si="105"/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 t="shared" si="106"/>
        <v/>
      </c>
      <c r="M1358" s="65" t="str">
        <f t="shared" ca="1" si="107"/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108"/>
        <v/>
      </c>
      <c r="S1358" s="1" t="str">
        <f t="shared" si="109"/>
        <v/>
      </c>
      <c r="T1358" s="1">
        <f>IF($E1358="",0,SUMPRODUCT((AY_SONU!$O$7:$O$42="Evet")*(AY_SONU!$B$7:$B$42=DATE(YEAR($E1358),MONTH($E1358),1))))</f>
        <v>0</v>
      </c>
      <c r="U1358" s="1" t="str">
        <f>IF(OR($G1358="",$H1358="Mahsup"),"",$G1358&amp;"|"&amp;COUNTIFS($G$7:$G1358,$G1358,$H$7:$H1358,"&lt;&gt;Mahsup"))</f>
        <v/>
      </c>
    </row>
    <row r="1359" spans="1:21" ht="18" customHeight="1" x14ac:dyDescent="0.3">
      <c r="A1359" s="2"/>
      <c r="B1359" s="65" t="str">
        <f t="shared" si="105"/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 t="shared" si="106"/>
        <v/>
      </c>
      <c r="M1359" s="65" t="str">
        <f t="shared" ca="1" si="107"/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108"/>
        <v/>
      </c>
      <c r="S1359" s="1" t="str">
        <f t="shared" si="109"/>
        <v/>
      </c>
      <c r="T1359" s="1">
        <f>IF($E1359="",0,SUMPRODUCT((AY_SONU!$O$7:$O$42="Evet")*(AY_SONU!$B$7:$B$42=DATE(YEAR($E1359),MONTH($E1359),1))))</f>
        <v>0</v>
      </c>
      <c r="U1359" s="1" t="str">
        <f>IF(OR($G1359="",$H1359="Mahsup"),"",$G1359&amp;"|"&amp;COUNTIFS($G$7:$G1359,$G1359,$H$7:$H1359,"&lt;&gt;Mahsup"))</f>
        <v/>
      </c>
    </row>
    <row r="1360" spans="1:21" ht="18" customHeight="1" x14ac:dyDescent="0.3">
      <c r="A1360" s="2"/>
      <c r="B1360" s="65" t="str">
        <f t="shared" si="105"/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 t="shared" si="106"/>
        <v/>
      </c>
      <c r="M1360" s="65" t="str">
        <f t="shared" ca="1" si="107"/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108"/>
        <v/>
      </c>
      <c r="S1360" s="1" t="str">
        <f t="shared" si="109"/>
        <v/>
      </c>
      <c r="T1360" s="1">
        <f>IF($E1360="",0,SUMPRODUCT((AY_SONU!$O$7:$O$42="Evet")*(AY_SONU!$B$7:$B$42=DATE(YEAR($E1360),MONTH($E1360),1))))</f>
        <v>0</v>
      </c>
      <c r="U1360" s="1" t="str">
        <f>IF(OR($G1360="",$H1360="Mahsup"),"",$G1360&amp;"|"&amp;COUNTIFS($G$7:$G1360,$G1360,$H$7:$H1360,"&lt;&gt;Mahsup"))</f>
        <v/>
      </c>
    </row>
    <row r="1361" spans="1:21" ht="18" customHeight="1" x14ac:dyDescent="0.3">
      <c r="A1361" s="2"/>
      <c r="B1361" s="65" t="str">
        <f t="shared" si="105"/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 t="shared" si="106"/>
        <v/>
      </c>
      <c r="M1361" s="65" t="str">
        <f t="shared" ca="1" si="107"/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108"/>
        <v/>
      </c>
      <c r="S1361" s="1" t="str">
        <f t="shared" si="109"/>
        <v/>
      </c>
      <c r="T1361" s="1">
        <f>IF($E1361="",0,SUMPRODUCT((AY_SONU!$O$7:$O$42="Evet")*(AY_SONU!$B$7:$B$42=DATE(YEAR($E1361),MONTH($E1361),1))))</f>
        <v>0</v>
      </c>
      <c r="U1361" s="1" t="str">
        <f>IF(OR($G1361="",$H1361="Mahsup"),"",$G1361&amp;"|"&amp;COUNTIFS($G$7:$G1361,$G1361,$H$7:$H1361,"&lt;&gt;Mahsup"))</f>
        <v/>
      </c>
    </row>
    <row r="1362" spans="1:21" ht="18" customHeight="1" x14ac:dyDescent="0.3">
      <c r="A1362" s="2"/>
      <c r="B1362" s="65" t="str">
        <f t="shared" si="105"/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 t="shared" si="106"/>
        <v/>
      </c>
      <c r="M1362" s="65" t="str">
        <f t="shared" ca="1" si="107"/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108"/>
        <v/>
      </c>
      <c r="S1362" s="1" t="str">
        <f t="shared" si="109"/>
        <v/>
      </c>
      <c r="T1362" s="1">
        <f>IF($E1362="",0,SUMPRODUCT((AY_SONU!$O$7:$O$42="Evet")*(AY_SONU!$B$7:$B$42=DATE(YEAR($E1362),MONTH($E1362),1))))</f>
        <v>0</v>
      </c>
      <c r="U1362" s="1" t="str">
        <f>IF(OR($G1362="",$H1362="Mahsup"),"",$G1362&amp;"|"&amp;COUNTIFS($G$7:$G1362,$G1362,$H$7:$H1362,"&lt;&gt;Mahsup"))</f>
        <v/>
      </c>
    </row>
    <row r="1363" spans="1:21" ht="18" customHeight="1" x14ac:dyDescent="0.3">
      <c r="A1363" s="2"/>
      <c r="B1363" s="65" t="str">
        <f t="shared" si="105"/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 t="shared" si="106"/>
        <v/>
      </c>
      <c r="M1363" s="65" t="str">
        <f t="shared" ca="1" si="107"/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108"/>
        <v/>
      </c>
      <c r="S1363" s="1" t="str">
        <f t="shared" si="109"/>
        <v/>
      </c>
      <c r="T1363" s="1">
        <f>IF($E1363="",0,SUMPRODUCT((AY_SONU!$O$7:$O$42="Evet")*(AY_SONU!$B$7:$B$42=DATE(YEAR($E1363),MONTH($E1363),1))))</f>
        <v>0</v>
      </c>
      <c r="U1363" s="1" t="str">
        <f>IF(OR($G1363="",$H1363="Mahsup"),"",$G1363&amp;"|"&amp;COUNTIFS($G$7:$G1363,$G1363,$H$7:$H1363,"&lt;&gt;Mahsup"))</f>
        <v/>
      </c>
    </row>
    <row r="1364" spans="1:21" ht="18" customHeight="1" x14ac:dyDescent="0.3">
      <c r="A1364" s="2"/>
      <c r="B1364" s="65" t="str">
        <f t="shared" si="105"/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 t="shared" si="106"/>
        <v/>
      </c>
      <c r="M1364" s="65" t="str">
        <f t="shared" ca="1" si="107"/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108"/>
        <v/>
      </c>
      <c r="S1364" s="1" t="str">
        <f t="shared" si="109"/>
        <v/>
      </c>
      <c r="T1364" s="1">
        <f>IF($E1364="",0,SUMPRODUCT((AY_SONU!$O$7:$O$42="Evet")*(AY_SONU!$B$7:$B$42=DATE(YEAR($E1364),MONTH($E1364),1))))</f>
        <v>0</v>
      </c>
      <c r="U1364" s="1" t="str">
        <f>IF(OR($G1364="",$H1364="Mahsup"),"",$G1364&amp;"|"&amp;COUNTIFS($G$7:$G1364,$G1364,$H$7:$H1364,"&lt;&gt;Mahsup"))</f>
        <v/>
      </c>
    </row>
    <row r="1365" spans="1:21" ht="18" customHeight="1" x14ac:dyDescent="0.3">
      <c r="A1365" s="2"/>
      <c r="B1365" s="65" t="str">
        <f t="shared" si="105"/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 t="shared" si="106"/>
        <v/>
      </c>
      <c r="M1365" s="65" t="str">
        <f t="shared" ca="1" si="107"/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108"/>
        <v/>
      </c>
      <c r="S1365" s="1" t="str">
        <f t="shared" si="109"/>
        <v/>
      </c>
      <c r="T1365" s="1">
        <f>IF($E1365="",0,SUMPRODUCT((AY_SONU!$O$7:$O$42="Evet")*(AY_SONU!$B$7:$B$42=DATE(YEAR($E1365),MONTH($E1365),1))))</f>
        <v>0</v>
      </c>
      <c r="U1365" s="1" t="str">
        <f>IF(OR($G1365="",$H1365="Mahsup"),"",$G1365&amp;"|"&amp;COUNTIFS($G$7:$G1365,$G1365,$H$7:$H1365,"&lt;&gt;Mahsup"))</f>
        <v/>
      </c>
    </row>
    <row r="1366" spans="1:21" ht="18" customHeight="1" x14ac:dyDescent="0.3">
      <c r="A1366" s="2"/>
      <c r="B1366" s="65" t="str">
        <f t="shared" si="105"/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 t="shared" si="106"/>
        <v/>
      </c>
      <c r="M1366" s="65" t="str">
        <f t="shared" ca="1" si="107"/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108"/>
        <v/>
      </c>
      <c r="S1366" s="1" t="str">
        <f t="shared" si="109"/>
        <v/>
      </c>
      <c r="T1366" s="1">
        <f>IF($E1366="",0,SUMPRODUCT((AY_SONU!$O$7:$O$42="Evet")*(AY_SONU!$B$7:$B$42=DATE(YEAR($E1366),MONTH($E1366),1))))</f>
        <v>0</v>
      </c>
      <c r="U1366" s="1" t="str">
        <f>IF(OR($G1366="",$H1366="Mahsup"),"",$G1366&amp;"|"&amp;COUNTIFS($G$7:$G1366,$G1366,$H$7:$H1366,"&lt;&gt;Mahsup"))</f>
        <v/>
      </c>
    </row>
    <row r="1367" spans="1:21" ht="18" customHeight="1" x14ac:dyDescent="0.3">
      <c r="A1367" s="2"/>
      <c r="B1367" s="65" t="str">
        <f t="shared" si="105"/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 t="shared" si="106"/>
        <v/>
      </c>
      <c r="M1367" s="65" t="str">
        <f t="shared" ca="1" si="107"/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108"/>
        <v/>
      </c>
      <c r="S1367" s="1" t="str">
        <f t="shared" si="109"/>
        <v/>
      </c>
      <c r="T1367" s="1">
        <f>IF($E1367="",0,SUMPRODUCT((AY_SONU!$O$7:$O$42="Evet")*(AY_SONU!$B$7:$B$42=DATE(YEAR($E1367),MONTH($E1367),1))))</f>
        <v>0</v>
      </c>
      <c r="U1367" s="1" t="str">
        <f>IF(OR($G1367="",$H1367="Mahsup"),"",$G1367&amp;"|"&amp;COUNTIFS($G$7:$G1367,$G1367,$H$7:$H1367,"&lt;&gt;Mahsup"))</f>
        <v/>
      </c>
    </row>
    <row r="1368" spans="1:21" ht="18" customHeight="1" x14ac:dyDescent="0.3">
      <c r="A1368" s="2"/>
      <c r="B1368" s="65" t="str">
        <f t="shared" si="105"/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 t="shared" si="106"/>
        <v/>
      </c>
      <c r="M1368" s="65" t="str">
        <f t="shared" ca="1" si="107"/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108"/>
        <v/>
      </c>
      <c r="S1368" s="1" t="str">
        <f t="shared" si="109"/>
        <v/>
      </c>
      <c r="T1368" s="1">
        <f>IF($E1368="",0,SUMPRODUCT((AY_SONU!$O$7:$O$42="Evet")*(AY_SONU!$B$7:$B$42=DATE(YEAR($E1368),MONTH($E1368),1))))</f>
        <v>0</v>
      </c>
      <c r="U1368" s="1" t="str">
        <f>IF(OR($G1368="",$H1368="Mahsup"),"",$G1368&amp;"|"&amp;COUNTIFS($G$7:$G1368,$G1368,$H$7:$H1368,"&lt;&gt;Mahsup"))</f>
        <v/>
      </c>
    </row>
    <row r="1369" spans="1:21" ht="18" customHeight="1" x14ac:dyDescent="0.3">
      <c r="A1369" s="2"/>
      <c r="B1369" s="65" t="str">
        <f t="shared" si="105"/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 t="shared" si="106"/>
        <v/>
      </c>
      <c r="M1369" s="65" t="str">
        <f t="shared" ca="1" si="107"/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108"/>
        <v/>
      </c>
      <c r="S1369" s="1" t="str">
        <f t="shared" si="109"/>
        <v/>
      </c>
      <c r="T1369" s="1">
        <f>IF($E1369="",0,SUMPRODUCT((AY_SONU!$O$7:$O$42="Evet")*(AY_SONU!$B$7:$B$42=DATE(YEAR($E1369),MONTH($E1369),1))))</f>
        <v>0</v>
      </c>
      <c r="U1369" s="1" t="str">
        <f>IF(OR($G1369="",$H1369="Mahsup"),"",$G1369&amp;"|"&amp;COUNTIFS($G$7:$G1369,$G1369,$H$7:$H1369,"&lt;&gt;Mahsup"))</f>
        <v/>
      </c>
    </row>
    <row r="1370" spans="1:21" ht="18" customHeight="1" x14ac:dyDescent="0.3">
      <c r="A1370" s="2"/>
      <c r="B1370" s="65" t="str">
        <f t="shared" si="105"/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 t="shared" si="106"/>
        <v/>
      </c>
      <c r="M1370" s="65" t="str">
        <f t="shared" ca="1" si="107"/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108"/>
        <v/>
      </c>
      <c r="S1370" s="1" t="str">
        <f t="shared" si="109"/>
        <v/>
      </c>
      <c r="T1370" s="1">
        <f>IF($E1370="",0,SUMPRODUCT((AY_SONU!$O$7:$O$42="Evet")*(AY_SONU!$B$7:$B$42=DATE(YEAR($E1370),MONTH($E1370),1))))</f>
        <v>0</v>
      </c>
      <c r="U1370" s="1" t="str">
        <f>IF(OR($G1370="",$H1370="Mahsup"),"",$G1370&amp;"|"&amp;COUNTIFS($G$7:$G1370,$G1370,$H$7:$H1370,"&lt;&gt;Mahsup"))</f>
        <v/>
      </c>
    </row>
    <row r="1371" spans="1:21" ht="18" customHeight="1" x14ac:dyDescent="0.3">
      <c r="A1371" s="2"/>
      <c r="B1371" s="65" t="str">
        <f t="shared" si="105"/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 t="shared" si="106"/>
        <v/>
      </c>
      <c r="M1371" s="65" t="str">
        <f t="shared" ca="1" si="107"/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108"/>
        <v/>
      </c>
      <c r="S1371" s="1" t="str">
        <f t="shared" si="109"/>
        <v/>
      </c>
      <c r="T1371" s="1">
        <f>IF($E1371="",0,SUMPRODUCT((AY_SONU!$O$7:$O$42="Evet")*(AY_SONU!$B$7:$B$42=DATE(YEAR($E1371),MONTH($E1371),1))))</f>
        <v>0</v>
      </c>
      <c r="U1371" s="1" t="str">
        <f>IF(OR($G1371="",$H1371="Mahsup"),"",$G1371&amp;"|"&amp;COUNTIFS($G$7:$G1371,$G1371,$H$7:$H1371,"&lt;&gt;Mahsup"))</f>
        <v/>
      </c>
    </row>
    <row r="1372" spans="1:21" ht="18" customHeight="1" x14ac:dyDescent="0.3">
      <c r="A1372" s="2"/>
      <c r="B1372" s="65" t="str">
        <f t="shared" si="105"/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 t="shared" si="106"/>
        <v/>
      </c>
      <c r="M1372" s="65" t="str">
        <f t="shared" ca="1" si="107"/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108"/>
        <v/>
      </c>
      <c r="S1372" s="1" t="str">
        <f t="shared" si="109"/>
        <v/>
      </c>
      <c r="T1372" s="1">
        <f>IF($E1372="",0,SUMPRODUCT((AY_SONU!$O$7:$O$42="Evet")*(AY_SONU!$B$7:$B$42=DATE(YEAR($E1372),MONTH($E1372),1))))</f>
        <v>0</v>
      </c>
      <c r="U1372" s="1" t="str">
        <f>IF(OR($G1372="",$H1372="Mahsup"),"",$G1372&amp;"|"&amp;COUNTIFS($G$7:$G1372,$G1372,$H$7:$H1372,"&lt;&gt;Mahsup"))</f>
        <v/>
      </c>
    </row>
    <row r="1373" spans="1:21" ht="18" customHeight="1" x14ac:dyDescent="0.3">
      <c r="A1373" s="2"/>
      <c r="B1373" s="65" t="str">
        <f t="shared" si="105"/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 t="shared" si="106"/>
        <v/>
      </c>
      <c r="M1373" s="65" t="str">
        <f t="shared" ca="1" si="107"/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108"/>
        <v/>
      </c>
      <c r="S1373" s="1" t="str">
        <f t="shared" si="109"/>
        <v/>
      </c>
      <c r="T1373" s="1">
        <f>IF($E1373="",0,SUMPRODUCT((AY_SONU!$O$7:$O$42="Evet")*(AY_SONU!$B$7:$B$42=DATE(YEAR($E1373),MONTH($E1373),1))))</f>
        <v>0</v>
      </c>
      <c r="U1373" s="1" t="str">
        <f>IF(OR($G1373="",$H1373="Mahsup"),"",$G1373&amp;"|"&amp;COUNTIFS($G$7:$G1373,$G1373,$H$7:$H1373,"&lt;&gt;Mahsup"))</f>
        <v/>
      </c>
    </row>
    <row r="1374" spans="1:21" ht="18" customHeight="1" x14ac:dyDescent="0.3">
      <c r="A1374" s="2"/>
      <c r="B1374" s="65" t="str">
        <f t="shared" si="105"/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 t="shared" si="106"/>
        <v/>
      </c>
      <c r="M1374" s="65" t="str">
        <f t="shared" ca="1" si="107"/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108"/>
        <v/>
      </c>
      <c r="S1374" s="1" t="str">
        <f t="shared" si="109"/>
        <v/>
      </c>
      <c r="T1374" s="1">
        <f>IF($E1374="",0,SUMPRODUCT((AY_SONU!$O$7:$O$42="Evet")*(AY_SONU!$B$7:$B$42=DATE(YEAR($E1374),MONTH($E1374),1))))</f>
        <v>0</v>
      </c>
      <c r="U1374" s="1" t="str">
        <f>IF(OR($G1374="",$H1374="Mahsup"),"",$G1374&amp;"|"&amp;COUNTIFS($G$7:$G1374,$G1374,$H$7:$H1374,"&lt;&gt;Mahsup"))</f>
        <v/>
      </c>
    </row>
    <row r="1375" spans="1:21" ht="18" customHeight="1" x14ac:dyDescent="0.3">
      <c r="A1375" s="2"/>
      <c r="B1375" s="65" t="str">
        <f t="shared" si="105"/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 t="shared" si="106"/>
        <v/>
      </c>
      <c r="M1375" s="65" t="str">
        <f t="shared" ca="1" si="107"/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108"/>
        <v/>
      </c>
      <c r="S1375" s="1" t="str">
        <f t="shared" si="109"/>
        <v/>
      </c>
      <c r="T1375" s="1">
        <f>IF($E1375="",0,SUMPRODUCT((AY_SONU!$O$7:$O$42="Evet")*(AY_SONU!$B$7:$B$42=DATE(YEAR($E1375),MONTH($E1375),1))))</f>
        <v>0</v>
      </c>
      <c r="U1375" s="1" t="str">
        <f>IF(OR($G1375="",$H1375="Mahsup"),"",$G1375&amp;"|"&amp;COUNTIFS($G$7:$G1375,$G1375,$H$7:$H1375,"&lt;&gt;Mahsup"))</f>
        <v/>
      </c>
    </row>
    <row r="1376" spans="1:21" ht="18" customHeight="1" x14ac:dyDescent="0.3">
      <c r="A1376" s="2"/>
      <c r="B1376" s="65" t="str">
        <f t="shared" si="105"/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 t="shared" si="106"/>
        <v/>
      </c>
      <c r="M1376" s="65" t="str">
        <f t="shared" ca="1" si="107"/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108"/>
        <v/>
      </c>
      <c r="S1376" s="1" t="str">
        <f t="shared" si="109"/>
        <v/>
      </c>
      <c r="T1376" s="1">
        <f>IF($E1376="",0,SUMPRODUCT((AY_SONU!$O$7:$O$42="Evet")*(AY_SONU!$B$7:$B$42=DATE(YEAR($E1376),MONTH($E1376),1))))</f>
        <v>0</v>
      </c>
      <c r="U1376" s="1" t="str">
        <f>IF(OR($G1376="",$H1376="Mahsup"),"",$G1376&amp;"|"&amp;COUNTIFS($G$7:$G1376,$G1376,$H$7:$H1376,"&lt;&gt;Mahsup"))</f>
        <v/>
      </c>
    </row>
    <row r="1377" spans="1:21" ht="18" customHeight="1" x14ac:dyDescent="0.3">
      <c r="A1377" s="2"/>
      <c r="B1377" s="65" t="str">
        <f t="shared" si="105"/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 t="shared" si="106"/>
        <v/>
      </c>
      <c r="M1377" s="65" t="str">
        <f t="shared" ca="1" si="107"/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108"/>
        <v/>
      </c>
      <c r="S1377" s="1" t="str">
        <f t="shared" si="109"/>
        <v/>
      </c>
      <c r="T1377" s="1">
        <f>IF($E1377="",0,SUMPRODUCT((AY_SONU!$O$7:$O$42="Evet")*(AY_SONU!$B$7:$B$42=DATE(YEAR($E1377),MONTH($E1377),1))))</f>
        <v>0</v>
      </c>
      <c r="U1377" s="1" t="str">
        <f>IF(OR($G1377="",$H1377="Mahsup"),"",$G1377&amp;"|"&amp;COUNTIFS($G$7:$G1377,$G1377,$H$7:$H1377,"&lt;&gt;Mahsup"))</f>
        <v/>
      </c>
    </row>
    <row r="1378" spans="1:21" ht="18" customHeight="1" x14ac:dyDescent="0.3">
      <c r="A1378" s="2"/>
      <c r="B1378" s="65" t="str">
        <f t="shared" si="105"/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 t="shared" si="106"/>
        <v/>
      </c>
      <c r="M1378" s="65" t="str">
        <f t="shared" ca="1" si="107"/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108"/>
        <v/>
      </c>
      <c r="S1378" s="1" t="str">
        <f t="shared" si="109"/>
        <v/>
      </c>
      <c r="T1378" s="1">
        <f>IF($E1378="",0,SUMPRODUCT((AY_SONU!$O$7:$O$42="Evet")*(AY_SONU!$B$7:$B$42=DATE(YEAR($E1378),MONTH($E1378),1))))</f>
        <v>0</v>
      </c>
      <c r="U1378" s="1" t="str">
        <f>IF(OR($G1378="",$H1378="Mahsup"),"",$G1378&amp;"|"&amp;COUNTIFS($G$7:$G1378,$G1378,$H$7:$H1378,"&lt;&gt;Mahsup"))</f>
        <v/>
      </c>
    </row>
    <row r="1379" spans="1:21" ht="18" customHeight="1" x14ac:dyDescent="0.3">
      <c r="A1379" s="2"/>
      <c r="B1379" s="65" t="str">
        <f t="shared" si="105"/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 t="shared" si="106"/>
        <v/>
      </c>
      <c r="M1379" s="65" t="str">
        <f t="shared" ca="1" si="107"/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108"/>
        <v/>
      </c>
      <c r="S1379" s="1" t="str">
        <f t="shared" si="109"/>
        <v/>
      </c>
      <c r="T1379" s="1">
        <f>IF($E1379="",0,SUMPRODUCT((AY_SONU!$O$7:$O$42="Evet")*(AY_SONU!$B$7:$B$42=DATE(YEAR($E1379),MONTH($E1379),1))))</f>
        <v>0</v>
      </c>
      <c r="U1379" s="1" t="str">
        <f>IF(OR($G1379="",$H1379="Mahsup"),"",$G1379&amp;"|"&amp;COUNTIFS($G$7:$G1379,$G1379,$H$7:$H1379,"&lt;&gt;Mahsup"))</f>
        <v/>
      </c>
    </row>
    <row r="1380" spans="1:21" ht="18" customHeight="1" x14ac:dyDescent="0.3">
      <c r="A1380" s="2"/>
      <c r="B1380" s="65" t="str">
        <f t="shared" si="105"/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 t="shared" si="106"/>
        <v/>
      </c>
      <c r="M1380" s="65" t="str">
        <f t="shared" ca="1" si="107"/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108"/>
        <v/>
      </c>
      <c r="S1380" s="1" t="str">
        <f t="shared" si="109"/>
        <v/>
      </c>
      <c r="T1380" s="1">
        <f>IF($E1380="",0,SUMPRODUCT((AY_SONU!$O$7:$O$42="Evet")*(AY_SONU!$B$7:$B$42=DATE(YEAR($E1380),MONTH($E1380),1))))</f>
        <v>0</v>
      </c>
      <c r="U1380" s="1" t="str">
        <f>IF(OR($G1380="",$H1380="Mahsup"),"",$G1380&amp;"|"&amp;COUNTIFS($G$7:$G1380,$G1380,$H$7:$H1380,"&lt;&gt;Mahsup"))</f>
        <v/>
      </c>
    </row>
    <row r="1381" spans="1:21" ht="18" customHeight="1" x14ac:dyDescent="0.3">
      <c r="A1381" s="2"/>
      <c r="B1381" s="65" t="str">
        <f t="shared" si="105"/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 t="shared" si="106"/>
        <v/>
      </c>
      <c r="M1381" s="65" t="str">
        <f t="shared" ca="1" si="107"/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108"/>
        <v/>
      </c>
      <c r="S1381" s="1" t="str">
        <f t="shared" si="109"/>
        <v/>
      </c>
      <c r="T1381" s="1">
        <f>IF($E1381="",0,SUMPRODUCT((AY_SONU!$O$7:$O$42="Evet")*(AY_SONU!$B$7:$B$42=DATE(YEAR($E1381),MONTH($E1381),1))))</f>
        <v>0</v>
      </c>
      <c r="U1381" s="1" t="str">
        <f>IF(OR($G1381="",$H1381="Mahsup"),"",$G1381&amp;"|"&amp;COUNTIFS($G$7:$G1381,$G1381,$H$7:$H1381,"&lt;&gt;Mahsup"))</f>
        <v/>
      </c>
    </row>
    <row r="1382" spans="1:21" ht="18" customHeight="1" x14ac:dyDescent="0.3">
      <c r="A1382" s="2"/>
      <c r="B1382" s="65" t="str">
        <f t="shared" si="105"/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 t="shared" si="106"/>
        <v/>
      </c>
      <c r="M1382" s="65" t="str">
        <f t="shared" ca="1" si="107"/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108"/>
        <v/>
      </c>
      <c r="S1382" s="1" t="str">
        <f t="shared" si="109"/>
        <v/>
      </c>
      <c r="T1382" s="1">
        <f>IF($E1382="",0,SUMPRODUCT((AY_SONU!$O$7:$O$42="Evet")*(AY_SONU!$B$7:$B$42=DATE(YEAR($E1382),MONTH($E1382),1))))</f>
        <v>0</v>
      </c>
      <c r="U1382" s="1" t="str">
        <f>IF(OR($G1382="",$H1382="Mahsup"),"",$G1382&amp;"|"&amp;COUNTIFS($G$7:$G1382,$G1382,$H$7:$H1382,"&lt;&gt;Mahsup"))</f>
        <v/>
      </c>
    </row>
    <row r="1383" spans="1:21" ht="18" customHeight="1" x14ac:dyDescent="0.3">
      <c r="A1383" s="2"/>
      <c r="B1383" s="65" t="str">
        <f t="shared" si="105"/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 t="shared" si="106"/>
        <v/>
      </c>
      <c r="M1383" s="65" t="str">
        <f t="shared" ca="1" si="107"/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108"/>
        <v/>
      </c>
      <c r="S1383" s="1" t="str">
        <f t="shared" si="109"/>
        <v/>
      </c>
      <c r="T1383" s="1">
        <f>IF($E1383="",0,SUMPRODUCT((AY_SONU!$O$7:$O$42="Evet")*(AY_SONU!$B$7:$B$42=DATE(YEAR($E1383),MONTH($E1383),1))))</f>
        <v>0</v>
      </c>
      <c r="U1383" s="1" t="str">
        <f>IF(OR($G1383="",$H1383="Mahsup"),"",$G1383&amp;"|"&amp;COUNTIFS($G$7:$G1383,$G1383,$H$7:$H1383,"&lt;&gt;Mahsup"))</f>
        <v/>
      </c>
    </row>
    <row r="1384" spans="1:21" ht="18" customHeight="1" x14ac:dyDescent="0.3">
      <c r="A1384" s="2"/>
      <c r="B1384" s="65" t="str">
        <f t="shared" si="105"/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 t="shared" si="106"/>
        <v/>
      </c>
      <c r="M1384" s="65" t="str">
        <f t="shared" ca="1" si="107"/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108"/>
        <v/>
      </c>
      <c r="S1384" s="1" t="str">
        <f t="shared" si="109"/>
        <v/>
      </c>
      <c r="T1384" s="1">
        <f>IF($E1384="",0,SUMPRODUCT((AY_SONU!$O$7:$O$42="Evet")*(AY_SONU!$B$7:$B$42=DATE(YEAR($E1384),MONTH($E1384),1))))</f>
        <v>0</v>
      </c>
      <c r="U1384" s="1" t="str">
        <f>IF(OR($G1384="",$H1384="Mahsup"),"",$G1384&amp;"|"&amp;COUNTIFS($G$7:$G1384,$G1384,$H$7:$H1384,"&lt;&gt;Mahsup"))</f>
        <v/>
      </c>
    </row>
    <row r="1385" spans="1:21" ht="18" customHeight="1" x14ac:dyDescent="0.3">
      <c r="A1385" s="2"/>
      <c r="B1385" s="65" t="str">
        <f t="shared" si="105"/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 t="shared" si="106"/>
        <v/>
      </c>
      <c r="M1385" s="65" t="str">
        <f t="shared" ca="1" si="107"/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108"/>
        <v/>
      </c>
      <c r="S1385" s="1" t="str">
        <f t="shared" si="109"/>
        <v/>
      </c>
      <c r="T1385" s="1">
        <f>IF($E1385="",0,SUMPRODUCT((AY_SONU!$O$7:$O$42="Evet")*(AY_SONU!$B$7:$B$42=DATE(YEAR($E1385),MONTH($E1385),1))))</f>
        <v>0</v>
      </c>
      <c r="U1385" s="1" t="str">
        <f>IF(OR($G1385="",$H1385="Mahsup"),"",$G1385&amp;"|"&amp;COUNTIFS($G$7:$G1385,$G1385,$H$7:$H1385,"&lt;&gt;Mahsup"))</f>
        <v/>
      </c>
    </row>
    <row r="1386" spans="1:21" ht="18" customHeight="1" x14ac:dyDescent="0.3">
      <c r="A1386" s="2"/>
      <c r="B1386" s="65" t="str">
        <f t="shared" si="105"/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 t="shared" si="106"/>
        <v/>
      </c>
      <c r="M1386" s="65" t="str">
        <f t="shared" ca="1" si="107"/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108"/>
        <v/>
      </c>
      <c r="S1386" s="1" t="str">
        <f t="shared" si="109"/>
        <v/>
      </c>
      <c r="T1386" s="1">
        <f>IF($E1386="",0,SUMPRODUCT((AY_SONU!$O$7:$O$42="Evet")*(AY_SONU!$B$7:$B$42=DATE(YEAR($E1386),MONTH($E1386),1))))</f>
        <v>0</v>
      </c>
      <c r="U1386" s="1" t="str">
        <f>IF(OR($G1386="",$H1386="Mahsup"),"",$G1386&amp;"|"&amp;COUNTIFS($G$7:$G1386,$G1386,$H$7:$H1386,"&lt;&gt;Mahsup"))</f>
        <v/>
      </c>
    </row>
    <row r="1387" spans="1:21" ht="18" customHeight="1" x14ac:dyDescent="0.3">
      <c r="A1387" s="2"/>
      <c r="B1387" s="65" t="str">
        <f t="shared" si="105"/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 t="shared" si="106"/>
        <v/>
      </c>
      <c r="M1387" s="65" t="str">
        <f t="shared" ca="1" si="107"/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108"/>
        <v/>
      </c>
      <c r="S1387" s="1" t="str">
        <f t="shared" si="109"/>
        <v/>
      </c>
      <c r="T1387" s="1">
        <f>IF($E1387="",0,SUMPRODUCT((AY_SONU!$O$7:$O$42="Evet")*(AY_SONU!$B$7:$B$42=DATE(YEAR($E1387),MONTH($E1387),1))))</f>
        <v>0</v>
      </c>
      <c r="U1387" s="1" t="str">
        <f>IF(OR($G1387="",$H1387="Mahsup"),"",$G1387&amp;"|"&amp;COUNTIFS($G$7:$G1387,$G1387,$H$7:$H1387,"&lt;&gt;Mahsup"))</f>
        <v/>
      </c>
    </row>
    <row r="1388" spans="1:21" ht="18" customHeight="1" x14ac:dyDescent="0.3">
      <c r="A1388" s="2"/>
      <c r="B1388" s="65" t="str">
        <f t="shared" si="105"/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 t="shared" si="106"/>
        <v/>
      </c>
      <c r="M1388" s="65" t="str">
        <f t="shared" ca="1" si="107"/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108"/>
        <v/>
      </c>
      <c r="S1388" s="1" t="str">
        <f t="shared" si="109"/>
        <v/>
      </c>
      <c r="T1388" s="1">
        <f>IF($E1388="",0,SUMPRODUCT((AY_SONU!$O$7:$O$42="Evet")*(AY_SONU!$B$7:$B$42=DATE(YEAR($E1388),MONTH($E1388),1))))</f>
        <v>0</v>
      </c>
      <c r="U1388" s="1" t="str">
        <f>IF(OR($G1388="",$H1388="Mahsup"),"",$G1388&amp;"|"&amp;COUNTIFS($G$7:$G1388,$G1388,$H$7:$H1388,"&lt;&gt;Mahsup"))</f>
        <v/>
      </c>
    </row>
    <row r="1389" spans="1:21" ht="18" customHeight="1" x14ac:dyDescent="0.3">
      <c r="A1389" s="2"/>
      <c r="B1389" s="65" t="str">
        <f t="shared" si="105"/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 t="shared" si="106"/>
        <v/>
      </c>
      <c r="M1389" s="65" t="str">
        <f t="shared" ca="1" si="107"/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108"/>
        <v/>
      </c>
      <c r="S1389" s="1" t="str">
        <f t="shared" si="109"/>
        <v/>
      </c>
      <c r="T1389" s="1">
        <f>IF($E1389="",0,SUMPRODUCT((AY_SONU!$O$7:$O$42="Evet")*(AY_SONU!$B$7:$B$42=DATE(YEAR($E1389),MONTH($E1389),1))))</f>
        <v>0</v>
      </c>
      <c r="U1389" s="1" t="str">
        <f>IF(OR($G1389="",$H1389="Mahsup"),"",$G1389&amp;"|"&amp;COUNTIFS($G$7:$G1389,$G1389,$H$7:$H1389,"&lt;&gt;Mahsup"))</f>
        <v/>
      </c>
    </row>
    <row r="1390" spans="1:21" ht="18" customHeight="1" x14ac:dyDescent="0.3">
      <c r="A1390" s="2"/>
      <c r="B1390" s="65" t="str">
        <f t="shared" si="105"/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 t="shared" si="106"/>
        <v/>
      </c>
      <c r="M1390" s="65" t="str">
        <f t="shared" ca="1" si="107"/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108"/>
        <v/>
      </c>
      <c r="S1390" s="1" t="str">
        <f t="shared" si="109"/>
        <v/>
      </c>
      <c r="T1390" s="1">
        <f>IF($E1390="",0,SUMPRODUCT((AY_SONU!$O$7:$O$42="Evet")*(AY_SONU!$B$7:$B$42=DATE(YEAR($E1390),MONTH($E1390),1))))</f>
        <v>0</v>
      </c>
      <c r="U1390" s="1" t="str">
        <f>IF(OR($G1390="",$H1390="Mahsup"),"",$G1390&amp;"|"&amp;COUNTIFS($G$7:$G1390,$G1390,$H$7:$H1390,"&lt;&gt;Mahsup"))</f>
        <v/>
      </c>
    </row>
    <row r="1391" spans="1:21" ht="18" customHeight="1" x14ac:dyDescent="0.3">
      <c r="A1391" s="2"/>
      <c r="B1391" s="65" t="str">
        <f t="shared" si="105"/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 t="shared" si="106"/>
        <v/>
      </c>
      <c r="M1391" s="65" t="str">
        <f t="shared" ca="1" si="107"/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108"/>
        <v/>
      </c>
      <c r="S1391" s="1" t="str">
        <f t="shared" si="109"/>
        <v/>
      </c>
      <c r="T1391" s="1">
        <f>IF($E1391="",0,SUMPRODUCT((AY_SONU!$O$7:$O$42="Evet")*(AY_SONU!$B$7:$B$42=DATE(YEAR($E1391),MONTH($E1391),1))))</f>
        <v>0</v>
      </c>
      <c r="U1391" s="1" t="str">
        <f>IF(OR($G1391="",$H1391="Mahsup"),"",$G1391&amp;"|"&amp;COUNTIFS($G$7:$G1391,$G1391,$H$7:$H1391,"&lt;&gt;Mahsup"))</f>
        <v/>
      </c>
    </row>
    <row r="1392" spans="1:21" ht="18" customHeight="1" x14ac:dyDescent="0.3">
      <c r="A1392" s="2"/>
      <c r="B1392" s="65" t="str">
        <f t="shared" si="105"/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 t="shared" si="106"/>
        <v/>
      </c>
      <c r="M1392" s="65" t="str">
        <f t="shared" ca="1" si="107"/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108"/>
        <v/>
      </c>
      <c r="S1392" s="1" t="str">
        <f t="shared" si="109"/>
        <v/>
      </c>
      <c r="T1392" s="1">
        <f>IF($E1392="",0,SUMPRODUCT((AY_SONU!$O$7:$O$42="Evet")*(AY_SONU!$B$7:$B$42=DATE(YEAR($E1392),MONTH($E1392),1))))</f>
        <v>0</v>
      </c>
      <c r="U1392" s="1" t="str">
        <f>IF(OR($G1392="",$H1392="Mahsup"),"",$G1392&amp;"|"&amp;COUNTIFS($G$7:$G1392,$G1392,$H$7:$H1392,"&lt;&gt;Mahsup"))</f>
        <v/>
      </c>
    </row>
    <row r="1393" spans="1:21" ht="18" customHeight="1" x14ac:dyDescent="0.3">
      <c r="A1393" s="2"/>
      <c r="B1393" s="65" t="str">
        <f t="shared" si="105"/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 t="shared" si="106"/>
        <v/>
      </c>
      <c r="M1393" s="65" t="str">
        <f t="shared" ca="1" si="107"/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108"/>
        <v/>
      </c>
      <c r="S1393" s="1" t="str">
        <f t="shared" si="109"/>
        <v/>
      </c>
      <c r="T1393" s="1">
        <f>IF($E1393="",0,SUMPRODUCT((AY_SONU!$O$7:$O$42="Evet")*(AY_SONU!$B$7:$B$42=DATE(YEAR($E1393),MONTH($E1393),1))))</f>
        <v>0</v>
      </c>
      <c r="U1393" s="1" t="str">
        <f>IF(OR($G1393="",$H1393="Mahsup"),"",$G1393&amp;"|"&amp;COUNTIFS($G$7:$G1393,$G1393,$H$7:$H1393,"&lt;&gt;Mahsup"))</f>
        <v/>
      </c>
    </row>
    <row r="1394" spans="1:21" ht="18" customHeight="1" x14ac:dyDescent="0.3">
      <c r="A1394" s="2"/>
      <c r="B1394" s="65" t="str">
        <f t="shared" si="105"/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 t="shared" si="106"/>
        <v/>
      </c>
      <c r="M1394" s="65" t="str">
        <f t="shared" ca="1" si="107"/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108"/>
        <v/>
      </c>
      <c r="S1394" s="1" t="str">
        <f t="shared" si="109"/>
        <v/>
      </c>
      <c r="T1394" s="1">
        <f>IF($E1394="",0,SUMPRODUCT((AY_SONU!$O$7:$O$42="Evet")*(AY_SONU!$B$7:$B$42=DATE(YEAR($E1394),MONTH($E1394),1))))</f>
        <v>0</v>
      </c>
      <c r="U1394" s="1" t="str">
        <f>IF(OR($G1394="",$H1394="Mahsup"),"",$G1394&amp;"|"&amp;COUNTIFS($G$7:$G1394,$G1394,$H$7:$H1394,"&lt;&gt;Mahsup"))</f>
        <v/>
      </c>
    </row>
    <row r="1395" spans="1:21" ht="18" customHeight="1" x14ac:dyDescent="0.3">
      <c r="A1395" s="2"/>
      <c r="B1395" s="65" t="str">
        <f t="shared" si="105"/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 t="shared" si="106"/>
        <v/>
      </c>
      <c r="M1395" s="65" t="str">
        <f t="shared" ca="1" si="107"/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108"/>
        <v/>
      </c>
      <c r="S1395" s="1" t="str">
        <f t="shared" si="109"/>
        <v/>
      </c>
      <c r="T1395" s="1">
        <f>IF($E1395="",0,SUMPRODUCT((AY_SONU!$O$7:$O$42="Evet")*(AY_SONU!$B$7:$B$42=DATE(YEAR($E1395),MONTH($E1395),1))))</f>
        <v>0</v>
      </c>
      <c r="U1395" s="1" t="str">
        <f>IF(OR($G1395="",$H1395="Mahsup"),"",$G1395&amp;"|"&amp;COUNTIFS($G$7:$G1395,$G1395,$H$7:$H1395,"&lt;&gt;Mahsup"))</f>
        <v/>
      </c>
    </row>
    <row r="1396" spans="1:21" ht="18" customHeight="1" x14ac:dyDescent="0.3">
      <c r="A1396" s="2"/>
      <c r="B1396" s="65" t="str">
        <f t="shared" si="105"/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 t="shared" si="106"/>
        <v/>
      </c>
      <c r="M1396" s="65" t="str">
        <f t="shared" ca="1" si="107"/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108"/>
        <v/>
      </c>
      <c r="S1396" s="1" t="str">
        <f t="shared" si="109"/>
        <v/>
      </c>
      <c r="T1396" s="1">
        <f>IF($E1396="",0,SUMPRODUCT((AY_SONU!$O$7:$O$42="Evet")*(AY_SONU!$B$7:$B$42=DATE(YEAR($E1396),MONTH($E1396),1))))</f>
        <v>0</v>
      </c>
      <c r="U1396" s="1" t="str">
        <f>IF(OR($G1396="",$H1396="Mahsup"),"",$G1396&amp;"|"&amp;COUNTIFS($G$7:$G1396,$G1396,$H$7:$H1396,"&lt;&gt;Mahsup"))</f>
        <v/>
      </c>
    </row>
    <row r="1397" spans="1:21" ht="18" customHeight="1" x14ac:dyDescent="0.3">
      <c r="A1397" s="2"/>
      <c r="B1397" s="65" t="str">
        <f t="shared" si="105"/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 t="shared" si="106"/>
        <v/>
      </c>
      <c r="M1397" s="65" t="str">
        <f t="shared" ca="1" si="107"/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108"/>
        <v/>
      </c>
      <c r="S1397" s="1" t="str">
        <f t="shared" si="109"/>
        <v/>
      </c>
      <c r="T1397" s="1">
        <f>IF($E1397="",0,SUMPRODUCT((AY_SONU!$O$7:$O$42="Evet")*(AY_SONU!$B$7:$B$42=DATE(YEAR($E1397),MONTH($E1397),1))))</f>
        <v>0</v>
      </c>
      <c r="U1397" s="1" t="str">
        <f>IF(OR($G1397="",$H1397="Mahsup"),"",$G1397&amp;"|"&amp;COUNTIFS($G$7:$G1397,$G1397,$H$7:$H1397,"&lt;&gt;Mahsup"))</f>
        <v/>
      </c>
    </row>
    <row r="1398" spans="1:21" ht="18" customHeight="1" x14ac:dyDescent="0.3">
      <c r="A1398" s="2"/>
      <c r="B1398" s="65" t="str">
        <f t="shared" si="105"/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 t="shared" si="106"/>
        <v/>
      </c>
      <c r="M1398" s="65" t="str">
        <f t="shared" ca="1" si="107"/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108"/>
        <v/>
      </c>
      <c r="S1398" s="1" t="str">
        <f t="shared" si="109"/>
        <v/>
      </c>
      <c r="T1398" s="1">
        <f>IF($E1398="",0,SUMPRODUCT((AY_SONU!$O$7:$O$42="Evet")*(AY_SONU!$B$7:$B$42=DATE(YEAR($E1398),MONTH($E1398),1))))</f>
        <v>0</v>
      </c>
      <c r="U1398" s="1" t="str">
        <f>IF(OR($G1398="",$H1398="Mahsup"),"",$G1398&amp;"|"&amp;COUNTIFS($G$7:$G1398,$G1398,$H$7:$H1398,"&lt;&gt;Mahsup"))</f>
        <v/>
      </c>
    </row>
    <row r="1399" spans="1:21" ht="18" customHeight="1" x14ac:dyDescent="0.3">
      <c r="A1399" s="2"/>
      <c r="B1399" s="65" t="str">
        <f t="shared" si="105"/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 t="shared" si="106"/>
        <v/>
      </c>
      <c r="M1399" s="65" t="str">
        <f t="shared" ca="1" si="107"/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108"/>
        <v/>
      </c>
      <c r="S1399" s="1" t="str">
        <f t="shared" si="109"/>
        <v/>
      </c>
      <c r="T1399" s="1">
        <f>IF($E1399="",0,SUMPRODUCT((AY_SONU!$O$7:$O$42="Evet")*(AY_SONU!$B$7:$B$42=DATE(YEAR($E1399),MONTH($E1399),1))))</f>
        <v>0</v>
      </c>
      <c r="U1399" s="1" t="str">
        <f>IF(OR($G1399="",$H1399="Mahsup"),"",$G1399&amp;"|"&amp;COUNTIFS($G$7:$G1399,$G1399,$H$7:$H1399,"&lt;&gt;Mahsup"))</f>
        <v/>
      </c>
    </row>
    <row r="1400" spans="1:21" ht="18" customHeight="1" x14ac:dyDescent="0.3">
      <c r="A1400" s="2"/>
      <c r="B1400" s="65" t="str">
        <f t="shared" si="105"/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 t="shared" si="106"/>
        <v/>
      </c>
      <c r="M1400" s="65" t="str">
        <f t="shared" ca="1" si="107"/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108"/>
        <v/>
      </c>
      <c r="S1400" s="1" t="str">
        <f t="shared" si="109"/>
        <v/>
      </c>
      <c r="T1400" s="1">
        <f>IF($E1400="",0,SUMPRODUCT((AY_SONU!$O$7:$O$42="Evet")*(AY_SONU!$B$7:$B$42=DATE(YEAR($E1400),MONTH($E1400),1))))</f>
        <v>0</v>
      </c>
      <c r="U1400" s="1" t="str">
        <f>IF(OR($G1400="",$H1400="Mahsup"),"",$G1400&amp;"|"&amp;COUNTIFS($G$7:$G1400,$G1400,$H$7:$H1400,"&lt;&gt;Mahsup"))</f>
        <v/>
      </c>
    </row>
    <row r="1401" spans="1:21" ht="18" customHeight="1" x14ac:dyDescent="0.3">
      <c r="A1401" s="2"/>
      <c r="B1401" s="65" t="str">
        <f t="shared" si="105"/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 t="shared" si="106"/>
        <v/>
      </c>
      <c r="M1401" s="65" t="str">
        <f t="shared" ca="1" si="107"/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108"/>
        <v/>
      </c>
      <c r="S1401" s="1" t="str">
        <f t="shared" si="109"/>
        <v/>
      </c>
      <c r="T1401" s="1">
        <f>IF($E1401="",0,SUMPRODUCT((AY_SONU!$O$7:$O$42="Evet")*(AY_SONU!$B$7:$B$42=DATE(YEAR($E1401),MONTH($E1401),1))))</f>
        <v>0</v>
      </c>
      <c r="U1401" s="1" t="str">
        <f>IF(OR($G1401="",$H1401="Mahsup"),"",$G1401&amp;"|"&amp;COUNTIFS($G$7:$G1401,$G1401,$H$7:$H1401,"&lt;&gt;Mahsup"))</f>
        <v/>
      </c>
    </row>
    <row r="1402" spans="1:21" ht="18" customHeight="1" x14ac:dyDescent="0.3">
      <c r="A1402" s="2"/>
      <c r="B1402" s="65" t="str">
        <f t="shared" si="105"/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 t="shared" si="106"/>
        <v/>
      </c>
      <c r="M1402" s="65" t="str">
        <f t="shared" ca="1" si="107"/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108"/>
        <v/>
      </c>
      <c r="S1402" s="1" t="str">
        <f t="shared" si="109"/>
        <v/>
      </c>
      <c r="T1402" s="1">
        <f>IF($E1402="",0,SUMPRODUCT((AY_SONU!$O$7:$O$42="Evet")*(AY_SONU!$B$7:$B$42=DATE(YEAR($E1402),MONTH($E1402),1))))</f>
        <v>0</v>
      </c>
      <c r="U1402" s="1" t="str">
        <f>IF(OR($G1402="",$H1402="Mahsup"),"",$G1402&amp;"|"&amp;COUNTIFS($G$7:$G1402,$G1402,$H$7:$H1402,"&lt;&gt;Mahsup"))</f>
        <v/>
      </c>
    </row>
    <row r="1403" spans="1:21" ht="18" customHeight="1" x14ac:dyDescent="0.3">
      <c r="A1403" s="2"/>
      <c r="B1403" s="65" t="str">
        <f t="shared" si="105"/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 t="shared" si="106"/>
        <v/>
      </c>
      <c r="M1403" s="65" t="str">
        <f t="shared" ca="1" si="107"/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108"/>
        <v/>
      </c>
      <c r="S1403" s="1" t="str">
        <f t="shared" si="109"/>
        <v/>
      </c>
      <c r="T1403" s="1">
        <f>IF($E1403="",0,SUMPRODUCT((AY_SONU!$O$7:$O$42="Evet")*(AY_SONU!$B$7:$B$42=DATE(YEAR($E1403),MONTH($E1403),1))))</f>
        <v>0</v>
      </c>
      <c r="U1403" s="1" t="str">
        <f>IF(OR($G1403="",$H1403="Mahsup"),"",$G1403&amp;"|"&amp;COUNTIFS($G$7:$G1403,$G1403,$H$7:$H1403,"&lt;&gt;Mahsup"))</f>
        <v/>
      </c>
    </row>
    <row r="1404" spans="1:21" ht="18" customHeight="1" x14ac:dyDescent="0.3">
      <c r="A1404" s="2"/>
      <c r="B1404" s="65" t="str">
        <f t="shared" si="105"/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 t="shared" si="106"/>
        <v/>
      </c>
      <c r="M1404" s="65" t="str">
        <f t="shared" ca="1" si="107"/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108"/>
        <v/>
      </c>
      <c r="S1404" s="1" t="str">
        <f t="shared" si="109"/>
        <v/>
      </c>
      <c r="T1404" s="1">
        <f>IF($E1404="",0,SUMPRODUCT((AY_SONU!$O$7:$O$42="Evet")*(AY_SONU!$B$7:$B$42=DATE(YEAR($E1404),MONTH($E1404),1))))</f>
        <v>0</v>
      </c>
      <c r="U1404" s="1" t="str">
        <f>IF(OR($G1404="",$H1404="Mahsup"),"",$G1404&amp;"|"&amp;COUNTIFS($G$7:$G1404,$G1404,$H$7:$H1404,"&lt;&gt;Mahsup"))</f>
        <v/>
      </c>
    </row>
    <row r="1405" spans="1:21" ht="18" customHeight="1" x14ac:dyDescent="0.3">
      <c r="A1405" s="2"/>
      <c r="B1405" s="65" t="str">
        <f t="shared" si="105"/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 t="shared" si="106"/>
        <v/>
      </c>
      <c r="M1405" s="65" t="str">
        <f t="shared" ca="1" si="107"/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108"/>
        <v/>
      </c>
      <c r="S1405" s="1" t="str">
        <f t="shared" si="109"/>
        <v/>
      </c>
      <c r="T1405" s="1">
        <f>IF($E1405="",0,SUMPRODUCT((AY_SONU!$O$7:$O$42="Evet")*(AY_SONU!$B$7:$B$42=DATE(YEAR($E1405),MONTH($E1405),1))))</f>
        <v>0</v>
      </c>
      <c r="U1405" s="1" t="str">
        <f>IF(OR($G1405="",$H1405="Mahsup"),"",$G1405&amp;"|"&amp;COUNTIFS($G$7:$G1405,$G1405,$H$7:$H1405,"&lt;&gt;Mahsup"))</f>
        <v/>
      </c>
    </row>
    <row r="1406" spans="1:21" ht="18" customHeight="1" x14ac:dyDescent="0.3">
      <c r="A1406" s="2"/>
      <c r="B1406" s="65" t="str">
        <f t="shared" si="105"/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 t="shared" si="106"/>
        <v/>
      </c>
      <c r="M1406" s="65" t="str">
        <f t="shared" ca="1" si="107"/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108"/>
        <v/>
      </c>
      <c r="S1406" s="1" t="str">
        <f t="shared" si="109"/>
        <v/>
      </c>
      <c r="T1406" s="1">
        <f>IF($E1406="",0,SUMPRODUCT((AY_SONU!$O$7:$O$42="Evet")*(AY_SONU!$B$7:$B$42=DATE(YEAR($E1406),MONTH($E1406),1))))</f>
        <v>0</v>
      </c>
      <c r="U1406" s="1" t="str">
        <f>IF(OR($G1406="",$H1406="Mahsup"),"",$G1406&amp;"|"&amp;COUNTIFS($G$7:$G1406,$G1406,$H$7:$H1406,"&lt;&gt;Mahsup"))</f>
        <v/>
      </c>
    </row>
    <row r="1407" spans="1:21" ht="18" customHeight="1" x14ac:dyDescent="0.3">
      <c r="A1407" s="2"/>
      <c r="B1407" s="65" t="str">
        <f t="shared" si="105"/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 t="shared" si="106"/>
        <v/>
      </c>
      <c r="M1407" s="65" t="str">
        <f t="shared" ca="1" si="107"/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108"/>
        <v/>
      </c>
      <c r="S1407" s="1" t="str">
        <f t="shared" si="109"/>
        <v/>
      </c>
      <c r="T1407" s="1">
        <f>IF($E1407="",0,SUMPRODUCT((AY_SONU!$O$7:$O$42="Evet")*(AY_SONU!$B$7:$B$42=DATE(YEAR($E1407),MONTH($E1407),1))))</f>
        <v>0</v>
      </c>
      <c r="U1407" s="1" t="str">
        <f>IF(OR($G1407="",$H1407="Mahsup"),"",$G1407&amp;"|"&amp;COUNTIFS($G$7:$G1407,$G1407,$H$7:$H1407,"&lt;&gt;Mahsup"))</f>
        <v/>
      </c>
    </row>
    <row r="1408" spans="1:21" ht="18" customHeight="1" x14ac:dyDescent="0.3">
      <c r="A1408" s="2"/>
      <c r="B1408" s="65" t="str">
        <f t="shared" si="105"/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 t="shared" si="106"/>
        <v/>
      </c>
      <c r="M1408" s="65" t="str">
        <f t="shared" ca="1" si="107"/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108"/>
        <v/>
      </c>
      <c r="S1408" s="1" t="str">
        <f t="shared" si="109"/>
        <v/>
      </c>
      <c r="T1408" s="1">
        <f>IF($E1408="",0,SUMPRODUCT((AY_SONU!$O$7:$O$42="Evet")*(AY_SONU!$B$7:$B$42=DATE(YEAR($E1408),MONTH($E1408),1))))</f>
        <v>0</v>
      </c>
      <c r="U1408" s="1" t="str">
        <f>IF(OR($G1408="",$H1408="Mahsup"),"",$G1408&amp;"|"&amp;COUNTIFS($G$7:$G1408,$G1408,$H$7:$H1408,"&lt;&gt;Mahsup"))</f>
        <v/>
      </c>
    </row>
    <row r="1409" spans="1:21" ht="18" customHeight="1" x14ac:dyDescent="0.3">
      <c r="A1409" s="2"/>
      <c r="B1409" s="65" t="str">
        <f t="shared" si="105"/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 t="shared" si="106"/>
        <v/>
      </c>
      <c r="M1409" s="65" t="str">
        <f t="shared" ca="1" si="107"/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108"/>
        <v/>
      </c>
      <c r="S1409" s="1" t="str">
        <f t="shared" si="109"/>
        <v/>
      </c>
      <c r="T1409" s="1">
        <f>IF($E1409="",0,SUMPRODUCT((AY_SONU!$O$7:$O$42="Evet")*(AY_SONU!$B$7:$B$42=DATE(YEAR($E1409),MONTH($E1409),1))))</f>
        <v>0</v>
      </c>
      <c r="U1409" s="1" t="str">
        <f>IF(OR($G1409="",$H1409="Mahsup"),"",$G1409&amp;"|"&amp;COUNTIFS($G$7:$G1409,$G1409,$H$7:$H1409,"&lt;&gt;Mahsup"))</f>
        <v/>
      </c>
    </row>
    <row r="1410" spans="1:21" ht="18" customHeight="1" x14ac:dyDescent="0.3">
      <c r="A1410" s="2"/>
      <c r="B1410" s="65" t="str">
        <f t="shared" si="105"/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 t="shared" si="106"/>
        <v/>
      </c>
      <c r="M1410" s="65" t="str">
        <f t="shared" ca="1" si="107"/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108"/>
        <v/>
      </c>
      <c r="S1410" s="1" t="str">
        <f t="shared" si="109"/>
        <v/>
      </c>
      <c r="T1410" s="1">
        <f>IF($E1410="",0,SUMPRODUCT((AY_SONU!$O$7:$O$42="Evet")*(AY_SONU!$B$7:$B$42=DATE(YEAR($E1410),MONTH($E1410),1))))</f>
        <v>0</v>
      </c>
      <c r="U1410" s="1" t="str">
        <f>IF(OR($G1410="",$H1410="Mahsup"),"",$G1410&amp;"|"&amp;COUNTIFS($G$7:$G1410,$G1410,$H$7:$H1410,"&lt;&gt;Mahsup"))</f>
        <v/>
      </c>
    </row>
    <row r="1411" spans="1:21" ht="18" customHeight="1" x14ac:dyDescent="0.3">
      <c r="A1411" s="2"/>
      <c r="B1411" s="65" t="str">
        <f t="shared" si="105"/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 t="shared" si="106"/>
        <v/>
      </c>
      <c r="M1411" s="65" t="str">
        <f t="shared" ca="1" si="107"/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108"/>
        <v/>
      </c>
      <c r="S1411" s="1" t="str">
        <f t="shared" si="109"/>
        <v/>
      </c>
      <c r="T1411" s="1">
        <f>IF($E1411="",0,SUMPRODUCT((AY_SONU!$O$7:$O$42="Evet")*(AY_SONU!$B$7:$B$42=DATE(YEAR($E1411),MONTH($E1411),1))))</f>
        <v>0</v>
      </c>
      <c r="U1411" s="1" t="str">
        <f>IF(OR($G1411="",$H1411="Mahsup"),"",$G1411&amp;"|"&amp;COUNTIFS($G$7:$G1411,$G1411,$H$7:$H1411,"&lt;&gt;Mahsup"))</f>
        <v/>
      </c>
    </row>
    <row r="1412" spans="1:21" ht="18" customHeight="1" x14ac:dyDescent="0.3">
      <c r="A1412" s="2"/>
      <c r="B1412" s="65" t="str">
        <f t="shared" si="105"/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 t="shared" si="106"/>
        <v/>
      </c>
      <c r="M1412" s="65" t="str">
        <f t="shared" ca="1" si="107"/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108"/>
        <v/>
      </c>
      <c r="S1412" s="1" t="str">
        <f t="shared" si="109"/>
        <v/>
      </c>
      <c r="T1412" s="1">
        <f>IF($E1412="",0,SUMPRODUCT((AY_SONU!$O$7:$O$42="Evet")*(AY_SONU!$B$7:$B$42=DATE(YEAR($E1412),MONTH($E1412),1))))</f>
        <v>0</v>
      </c>
      <c r="U1412" s="1" t="str">
        <f>IF(OR($G1412="",$H1412="Mahsup"),"",$G1412&amp;"|"&amp;COUNTIFS($G$7:$G1412,$G1412,$H$7:$H1412,"&lt;&gt;Mahsup"))</f>
        <v/>
      </c>
    </row>
    <row r="1413" spans="1:21" ht="18" customHeight="1" x14ac:dyDescent="0.3">
      <c r="A1413" s="2"/>
      <c r="B1413" s="65" t="str">
        <f t="shared" si="105"/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 t="shared" si="106"/>
        <v/>
      </c>
      <c r="M1413" s="65" t="str">
        <f t="shared" ca="1" si="107"/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108"/>
        <v/>
      </c>
      <c r="S1413" s="1" t="str">
        <f t="shared" si="109"/>
        <v/>
      </c>
      <c r="T1413" s="1">
        <f>IF($E1413="",0,SUMPRODUCT((AY_SONU!$O$7:$O$42="Evet")*(AY_SONU!$B$7:$B$42=DATE(YEAR($E1413),MONTH($E1413),1))))</f>
        <v>0</v>
      </c>
      <c r="U1413" s="1" t="str">
        <f>IF(OR($G1413="",$H1413="Mahsup"),"",$G1413&amp;"|"&amp;COUNTIFS($G$7:$G1413,$G1413,$H$7:$H1413,"&lt;&gt;Mahsup"))</f>
        <v/>
      </c>
    </row>
    <row r="1414" spans="1:21" ht="18" customHeight="1" x14ac:dyDescent="0.3">
      <c r="A1414" s="2"/>
      <c r="B1414" s="65" t="str">
        <f t="shared" si="105"/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 t="shared" si="106"/>
        <v/>
      </c>
      <c r="M1414" s="65" t="str">
        <f t="shared" ca="1" si="107"/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108"/>
        <v/>
      </c>
      <c r="S1414" s="1" t="str">
        <f t="shared" si="109"/>
        <v/>
      </c>
      <c r="T1414" s="1">
        <f>IF($E1414="",0,SUMPRODUCT((AY_SONU!$O$7:$O$42="Evet")*(AY_SONU!$B$7:$B$42=DATE(YEAR($E1414),MONTH($E1414),1))))</f>
        <v>0</v>
      </c>
      <c r="U1414" s="1" t="str">
        <f>IF(OR($G1414="",$H1414="Mahsup"),"",$G1414&amp;"|"&amp;COUNTIFS($G$7:$G1414,$G1414,$H$7:$H1414,"&lt;&gt;Mahsup"))</f>
        <v/>
      </c>
    </row>
    <row r="1415" spans="1:21" ht="18" customHeight="1" x14ac:dyDescent="0.3">
      <c r="A1415" s="2"/>
      <c r="B1415" s="65" t="str">
        <f t="shared" ref="B1415:B1478" si="110"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 t="shared" ref="L1415:L1478" si="111">IF($E1415="","",DATE(YEAR($E1415),MONTH($E1415),1))</f>
        <v/>
      </c>
      <c r="M1415" s="65" t="str">
        <f t="shared" ref="M1415:M1478" ca="1" si="112"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113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114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  <c r="U1415" s="1" t="str">
        <f>IF(OR($G1415="",$H1415="Mahsup"),"",$G1415&amp;"|"&amp;COUNTIFS($G$7:$G1415,$G1415,$H$7:$H1415,"&lt;&gt;Mahsup"))</f>
        <v/>
      </c>
    </row>
    <row r="1416" spans="1:21" ht="18" customHeight="1" x14ac:dyDescent="0.3">
      <c r="A1416" s="2"/>
      <c r="B1416" s="65" t="str">
        <f t="shared" si="110"/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 t="shared" si="111"/>
        <v/>
      </c>
      <c r="M1416" s="65" t="str">
        <f t="shared" ca="1" si="112"/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113"/>
        <v/>
      </c>
      <c r="S1416" s="1" t="str">
        <f t="shared" si="114"/>
        <v/>
      </c>
      <c r="T1416" s="1">
        <f>IF($E1416="",0,SUMPRODUCT((AY_SONU!$O$7:$O$42="Evet")*(AY_SONU!$B$7:$B$42=DATE(YEAR($E1416),MONTH($E1416),1))))</f>
        <v>0</v>
      </c>
      <c r="U1416" s="1" t="str">
        <f>IF(OR($G1416="",$H1416="Mahsup"),"",$G1416&amp;"|"&amp;COUNTIFS($G$7:$G1416,$G1416,$H$7:$H1416,"&lt;&gt;Mahsup"))</f>
        <v/>
      </c>
    </row>
    <row r="1417" spans="1:21" ht="18" customHeight="1" x14ac:dyDescent="0.3">
      <c r="A1417" s="2"/>
      <c r="B1417" s="65" t="str">
        <f t="shared" si="110"/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 t="shared" si="111"/>
        <v/>
      </c>
      <c r="M1417" s="65" t="str">
        <f t="shared" ca="1" si="112"/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113"/>
        <v/>
      </c>
      <c r="S1417" s="1" t="str">
        <f t="shared" si="114"/>
        <v/>
      </c>
      <c r="T1417" s="1">
        <f>IF($E1417="",0,SUMPRODUCT((AY_SONU!$O$7:$O$42="Evet")*(AY_SONU!$B$7:$B$42=DATE(YEAR($E1417),MONTH($E1417),1))))</f>
        <v>0</v>
      </c>
      <c r="U1417" s="1" t="str">
        <f>IF(OR($G1417="",$H1417="Mahsup"),"",$G1417&amp;"|"&amp;COUNTIFS($G$7:$G1417,$G1417,$H$7:$H1417,"&lt;&gt;Mahsup"))</f>
        <v/>
      </c>
    </row>
    <row r="1418" spans="1:21" ht="18" customHeight="1" x14ac:dyDescent="0.3">
      <c r="A1418" s="2"/>
      <c r="B1418" s="65" t="str">
        <f t="shared" si="110"/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 t="shared" si="111"/>
        <v/>
      </c>
      <c r="M1418" s="65" t="str">
        <f t="shared" ca="1" si="112"/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113"/>
        <v/>
      </c>
      <c r="S1418" s="1" t="str">
        <f t="shared" si="114"/>
        <v/>
      </c>
      <c r="T1418" s="1">
        <f>IF($E1418="",0,SUMPRODUCT((AY_SONU!$O$7:$O$42="Evet")*(AY_SONU!$B$7:$B$42=DATE(YEAR($E1418),MONTH($E1418),1))))</f>
        <v>0</v>
      </c>
      <c r="U1418" s="1" t="str">
        <f>IF(OR($G1418="",$H1418="Mahsup"),"",$G1418&amp;"|"&amp;COUNTIFS($G$7:$G1418,$G1418,$H$7:$H1418,"&lt;&gt;Mahsup"))</f>
        <v/>
      </c>
    </row>
    <row r="1419" spans="1:21" ht="18" customHeight="1" x14ac:dyDescent="0.3">
      <c r="A1419" s="2"/>
      <c r="B1419" s="65" t="str">
        <f t="shared" si="110"/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 t="shared" si="111"/>
        <v/>
      </c>
      <c r="M1419" s="65" t="str">
        <f t="shared" ca="1" si="112"/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113"/>
        <v/>
      </c>
      <c r="S1419" s="1" t="str">
        <f t="shared" si="114"/>
        <v/>
      </c>
      <c r="T1419" s="1">
        <f>IF($E1419="",0,SUMPRODUCT((AY_SONU!$O$7:$O$42="Evet")*(AY_SONU!$B$7:$B$42=DATE(YEAR($E1419),MONTH($E1419),1))))</f>
        <v>0</v>
      </c>
      <c r="U1419" s="1" t="str">
        <f>IF(OR($G1419="",$H1419="Mahsup"),"",$G1419&amp;"|"&amp;COUNTIFS($G$7:$G1419,$G1419,$H$7:$H1419,"&lt;&gt;Mahsup"))</f>
        <v/>
      </c>
    </row>
    <row r="1420" spans="1:21" ht="18" customHeight="1" x14ac:dyDescent="0.3">
      <c r="A1420" s="2"/>
      <c r="B1420" s="65" t="str">
        <f t="shared" si="110"/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 t="shared" si="111"/>
        <v/>
      </c>
      <c r="M1420" s="65" t="str">
        <f t="shared" ca="1" si="112"/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113"/>
        <v/>
      </c>
      <c r="S1420" s="1" t="str">
        <f t="shared" si="114"/>
        <v/>
      </c>
      <c r="T1420" s="1">
        <f>IF($E1420="",0,SUMPRODUCT((AY_SONU!$O$7:$O$42="Evet")*(AY_SONU!$B$7:$B$42=DATE(YEAR($E1420),MONTH($E1420),1))))</f>
        <v>0</v>
      </c>
      <c r="U1420" s="1" t="str">
        <f>IF(OR($G1420="",$H1420="Mahsup"),"",$G1420&amp;"|"&amp;COUNTIFS($G$7:$G1420,$G1420,$H$7:$H1420,"&lt;&gt;Mahsup"))</f>
        <v/>
      </c>
    </row>
    <row r="1421" spans="1:21" ht="18" customHeight="1" x14ac:dyDescent="0.3">
      <c r="A1421" s="2"/>
      <c r="B1421" s="65" t="str">
        <f t="shared" si="110"/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 t="shared" si="111"/>
        <v/>
      </c>
      <c r="M1421" s="65" t="str">
        <f t="shared" ca="1" si="112"/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113"/>
        <v/>
      </c>
      <c r="S1421" s="1" t="str">
        <f t="shared" si="114"/>
        <v/>
      </c>
      <c r="T1421" s="1">
        <f>IF($E1421="",0,SUMPRODUCT((AY_SONU!$O$7:$O$42="Evet")*(AY_SONU!$B$7:$B$42=DATE(YEAR($E1421),MONTH($E1421),1))))</f>
        <v>0</v>
      </c>
      <c r="U1421" s="1" t="str">
        <f>IF(OR($G1421="",$H1421="Mahsup"),"",$G1421&amp;"|"&amp;COUNTIFS($G$7:$G1421,$G1421,$H$7:$H1421,"&lt;&gt;Mahsup"))</f>
        <v/>
      </c>
    </row>
    <row r="1422" spans="1:21" ht="18" customHeight="1" x14ac:dyDescent="0.3">
      <c r="A1422" s="2"/>
      <c r="B1422" s="65" t="str">
        <f t="shared" si="110"/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 t="shared" si="111"/>
        <v/>
      </c>
      <c r="M1422" s="65" t="str">
        <f t="shared" ca="1" si="112"/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113"/>
        <v/>
      </c>
      <c r="S1422" s="1" t="str">
        <f t="shared" si="114"/>
        <v/>
      </c>
      <c r="T1422" s="1">
        <f>IF($E1422="",0,SUMPRODUCT((AY_SONU!$O$7:$O$42="Evet")*(AY_SONU!$B$7:$B$42=DATE(YEAR($E1422),MONTH($E1422),1))))</f>
        <v>0</v>
      </c>
      <c r="U1422" s="1" t="str">
        <f>IF(OR($G1422="",$H1422="Mahsup"),"",$G1422&amp;"|"&amp;COUNTIFS($G$7:$G1422,$G1422,$H$7:$H1422,"&lt;&gt;Mahsup"))</f>
        <v/>
      </c>
    </row>
    <row r="1423" spans="1:21" ht="18" customHeight="1" x14ac:dyDescent="0.3">
      <c r="A1423" s="2"/>
      <c r="B1423" s="65" t="str">
        <f t="shared" si="110"/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 t="shared" si="111"/>
        <v/>
      </c>
      <c r="M1423" s="65" t="str">
        <f t="shared" ca="1" si="112"/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113"/>
        <v/>
      </c>
      <c r="S1423" s="1" t="str">
        <f t="shared" si="114"/>
        <v/>
      </c>
      <c r="T1423" s="1">
        <f>IF($E1423="",0,SUMPRODUCT((AY_SONU!$O$7:$O$42="Evet")*(AY_SONU!$B$7:$B$42=DATE(YEAR($E1423),MONTH($E1423),1))))</f>
        <v>0</v>
      </c>
      <c r="U1423" s="1" t="str">
        <f>IF(OR($G1423="",$H1423="Mahsup"),"",$G1423&amp;"|"&amp;COUNTIFS($G$7:$G1423,$G1423,$H$7:$H1423,"&lt;&gt;Mahsup"))</f>
        <v/>
      </c>
    </row>
    <row r="1424" spans="1:21" ht="18" customHeight="1" x14ac:dyDescent="0.3">
      <c r="A1424" s="2"/>
      <c r="B1424" s="65" t="str">
        <f t="shared" si="110"/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 t="shared" si="111"/>
        <v/>
      </c>
      <c r="M1424" s="65" t="str">
        <f t="shared" ca="1" si="112"/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113"/>
        <v/>
      </c>
      <c r="S1424" s="1" t="str">
        <f t="shared" si="114"/>
        <v/>
      </c>
      <c r="T1424" s="1">
        <f>IF($E1424="",0,SUMPRODUCT((AY_SONU!$O$7:$O$42="Evet")*(AY_SONU!$B$7:$B$42=DATE(YEAR($E1424),MONTH($E1424),1))))</f>
        <v>0</v>
      </c>
      <c r="U1424" s="1" t="str">
        <f>IF(OR($G1424="",$H1424="Mahsup"),"",$G1424&amp;"|"&amp;COUNTIFS($G$7:$G1424,$G1424,$H$7:$H1424,"&lt;&gt;Mahsup"))</f>
        <v/>
      </c>
    </row>
    <row r="1425" spans="1:21" ht="18" customHeight="1" x14ac:dyDescent="0.3">
      <c r="A1425" s="2"/>
      <c r="B1425" s="65" t="str">
        <f t="shared" si="110"/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 t="shared" si="111"/>
        <v/>
      </c>
      <c r="M1425" s="65" t="str">
        <f t="shared" ca="1" si="112"/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113"/>
        <v/>
      </c>
      <c r="S1425" s="1" t="str">
        <f t="shared" si="114"/>
        <v/>
      </c>
      <c r="T1425" s="1">
        <f>IF($E1425="",0,SUMPRODUCT((AY_SONU!$O$7:$O$42="Evet")*(AY_SONU!$B$7:$B$42=DATE(YEAR($E1425),MONTH($E1425),1))))</f>
        <v>0</v>
      </c>
      <c r="U1425" s="1" t="str">
        <f>IF(OR($G1425="",$H1425="Mahsup"),"",$G1425&amp;"|"&amp;COUNTIFS($G$7:$G1425,$G1425,$H$7:$H1425,"&lt;&gt;Mahsup"))</f>
        <v/>
      </c>
    </row>
    <row r="1426" spans="1:21" ht="18" customHeight="1" x14ac:dyDescent="0.3">
      <c r="A1426" s="2"/>
      <c r="B1426" s="65" t="str">
        <f t="shared" si="110"/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 t="shared" si="111"/>
        <v/>
      </c>
      <c r="M1426" s="65" t="str">
        <f t="shared" ca="1" si="112"/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113"/>
        <v/>
      </c>
      <c r="S1426" s="1" t="str">
        <f t="shared" si="114"/>
        <v/>
      </c>
      <c r="T1426" s="1">
        <f>IF($E1426="",0,SUMPRODUCT((AY_SONU!$O$7:$O$42="Evet")*(AY_SONU!$B$7:$B$42=DATE(YEAR($E1426),MONTH($E1426),1))))</f>
        <v>0</v>
      </c>
      <c r="U1426" s="1" t="str">
        <f>IF(OR($G1426="",$H1426="Mahsup"),"",$G1426&amp;"|"&amp;COUNTIFS($G$7:$G1426,$G1426,$H$7:$H1426,"&lt;&gt;Mahsup"))</f>
        <v/>
      </c>
    </row>
    <row r="1427" spans="1:21" ht="18" customHeight="1" x14ac:dyDescent="0.3">
      <c r="A1427" s="2"/>
      <c r="B1427" s="65" t="str">
        <f t="shared" si="110"/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 t="shared" si="111"/>
        <v/>
      </c>
      <c r="M1427" s="65" t="str">
        <f t="shared" ca="1" si="112"/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113"/>
        <v/>
      </c>
      <c r="S1427" s="1" t="str">
        <f t="shared" si="114"/>
        <v/>
      </c>
      <c r="T1427" s="1">
        <f>IF($E1427="",0,SUMPRODUCT((AY_SONU!$O$7:$O$42="Evet")*(AY_SONU!$B$7:$B$42=DATE(YEAR($E1427),MONTH($E1427),1))))</f>
        <v>0</v>
      </c>
      <c r="U1427" s="1" t="str">
        <f>IF(OR($G1427="",$H1427="Mahsup"),"",$G1427&amp;"|"&amp;COUNTIFS($G$7:$G1427,$G1427,$H$7:$H1427,"&lt;&gt;Mahsup"))</f>
        <v/>
      </c>
    </row>
    <row r="1428" spans="1:21" ht="18" customHeight="1" x14ac:dyDescent="0.3">
      <c r="A1428" s="2"/>
      <c r="B1428" s="65" t="str">
        <f t="shared" si="110"/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 t="shared" si="111"/>
        <v/>
      </c>
      <c r="M1428" s="65" t="str">
        <f t="shared" ca="1" si="112"/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113"/>
        <v/>
      </c>
      <c r="S1428" s="1" t="str">
        <f t="shared" si="114"/>
        <v/>
      </c>
      <c r="T1428" s="1">
        <f>IF($E1428="",0,SUMPRODUCT((AY_SONU!$O$7:$O$42="Evet")*(AY_SONU!$B$7:$B$42=DATE(YEAR($E1428),MONTH($E1428),1))))</f>
        <v>0</v>
      </c>
      <c r="U1428" s="1" t="str">
        <f>IF(OR($G1428="",$H1428="Mahsup"),"",$G1428&amp;"|"&amp;COUNTIFS($G$7:$G1428,$G1428,$H$7:$H1428,"&lt;&gt;Mahsup"))</f>
        <v/>
      </c>
    </row>
    <row r="1429" spans="1:21" ht="18" customHeight="1" x14ac:dyDescent="0.3">
      <c r="A1429" s="2"/>
      <c r="B1429" s="65" t="str">
        <f t="shared" si="110"/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 t="shared" si="111"/>
        <v/>
      </c>
      <c r="M1429" s="65" t="str">
        <f t="shared" ca="1" si="112"/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113"/>
        <v/>
      </c>
      <c r="S1429" s="1" t="str">
        <f t="shared" si="114"/>
        <v/>
      </c>
      <c r="T1429" s="1">
        <f>IF($E1429="",0,SUMPRODUCT((AY_SONU!$O$7:$O$42="Evet")*(AY_SONU!$B$7:$B$42=DATE(YEAR($E1429),MONTH($E1429),1))))</f>
        <v>0</v>
      </c>
      <c r="U1429" s="1" t="str">
        <f>IF(OR($G1429="",$H1429="Mahsup"),"",$G1429&amp;"|"&amp;COUNTIFS($G$7:$G1429,$G1429,$H$7:$H1429,"&lt;&gt;Mahsup"))</f>
        <v/>
      </c>
    </row>
    <row r="1430" spans="1:21" ht="18" customHeight="1" x14ac:dyDescent="0.3">
      <c r="A1430" s="2"/>
      <c r="B1430" s="65" t="str">
        <f t="shared" si="110"/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 t="shared" si="111"/>
        <v/>
      </c>
      <c r="M1430" s="65" t="str">
        <f t="shared" ca="1" si="112"/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113"/>
        <v/>
      </c>
      <c r="S1430" s="1" t="str">
        <f t="shared" si="114"/>
        <v/>
      </c>
      <c r="T1430" s="1">
        <f>IF($E1430="",0,SUMPRODUCT((AY_SONU!$O$7:$O$42="Evet")*(AY_SONU!$B$7:$B$42=DATE(YEAR($E1430),MONTH($E1430),1))))</f>
        <v>0</v>
      </c>
      <c r="U1430" s="1" t="str">
        <f>IF(OR($G1430="",$H1430="Mahsup"),"",$G1430&amp;"|"&amp;COUNTIFS($G$7:$G1430,$G1430,$H$7:$H1430,"&lt;&gt;Mahsup"))</f>
        <v/>
      </c>
    </row>
    <row r="1431" spans="1:21" ht="18" customHeight="1" x14ac:dyDescent="0.3">
      <c r="A1431" s="2"/>
      <c r="B1431" s="65" t="str">
        <f t="shared" si="110"/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 t="shared" si="111"/>
        <v/>
      </c>
      <c r="M1431" s="65" t="str">
        <f t="shared" ca="1" si="112"/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113"/>
        <v/>
      </c>
      <c r="S1431" s="1" t="str">
        <f t="shared" si="114"/>
        <v/>
      </c>
      <c r="T1431" s="1">
        <f>IF($E1431="",0,SUMPRODUCT((AY_SONU!$O$7:$O$42="Evet")*(AY_SONU!$B$7:$B$42=DATE(YEAR($E1431),MONTH($E1431),1))))</f>
        <v>0</v>
      </c>
      <c r="U1431" s="1" t="str">
        <f>IF(OR($G1431="",$H1431="Mahsup"),"",$G1431&amp;"|"&amp;COUNTIFS($G$7:$G1431,$G1431,$H$7:$H1431,"&lt;&gt;Mahsup"))</f>
        <v/>
      </c>
    </row>
    <row r="1432" spans="1:21" ht="18" customHeight="1" x14ac:dyDescent="0.3">
      <c r="A1432" s="2"/>
      <c r="B1432" s="65" t="str">
        <f t="shared" si="110"/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 t="shared" si="111"/>
        <v/>
      </c>
      <c r="M1432" s="65" t="str">
        <f t="shared" ca="1" si="112"/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113"/>
        <v/>
      </c>
      <c r="S1432" s="1" t="str">
        <f t="shared" si="114"/>
        <v/>
      </c>
      <c r="T1432" s="1">
        <f>IF($E1432="",0,SUMPRODUCT((AY_SONU!$O$7:$O$42="Evet")*(AY_SONU!$B$7:$B$42=DATE(YEAR($E1432),MONTH($E1432),1))))</f>
        <v>0</v>
      </c>
      <c r="U1432" s="1" t="str">
        <f>IF(OR($G1432="",$H1432="Mahsup"),"",$G1432&amp;"|"&amp;COUNTIFS($G$7:$G1432,$G1432,$H$7:$H1432,"&lt;&gt;Mahsup"))</f>
        <v/>
      </c>
    </row>
    <row r="1433" spans="1:21" ht="18" customHeight="1" x14ac:dyDescent="0.3">
      <c r="A1433" s="2"/>
      <c r="B1433" s="65" t="str">
        <f t="shared" si="110"/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 t="shared" si="111"/>
        <v/>
      </c>
      <c r="M1433" s="65" t="str">
        <f t="shared" ca="1" si="112"/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113"/>
        <v/>
      </c>
      <c r="S1433" s="1" t="str">
        <f t="shared" si="114"/>
        <v/>
      </c>
      <c r="T1433" s="1">
        <f>IF($E1433="",0,SUMPRODUCT((AY_SONU!$O$7:$O$42="Evet")*(AY_SONU!$B$7:$B$42=DATE(YEAR($E1433),MONTH($E1433),1))))</f>
        <v>0</v>
      </c>
      <c r="U1433" s="1" t="str">
        <f>IF(OR($G1433="",$H1433="Mahsup"),"",$G1433&amp;"|"&amp;COUNTIFS($G$7:$G1433,$G1433,$H$7:$H1433,"&lt;&gt;Mahsup"))</f>
        <v/>
      </c>
    </row>
    <row r="1434" spans="1:21" ht="18" customHeight="1" x14ac:dyDescent="0.3">
      <c r="A1434" s="2"/>
      <c r="B1434" s="65" t="str">
        <f t="shared" si="110"/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 t="shared" si="111"/>
        <v/>
      </c>
      <c r="M1434" s="65" t="str">
        <f t="shared" ca="1" si="112"/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113"/>
        <v/>
      </c>
      <c r="S1434" s="1" t="str">
        <f t="shared" si="114"/>
        <v/>
      </c>
      <c r="T1434" s="1">
        <f>IF($E1434="",0,SUMPRODUCT((AY_SONU!$O$7:$O$42="Evet")*(AY_SONU!$B$7:$B$42=DATE(YEAR($E1434),MONTH($E1434),1))))</f>
        <v>0</v>
      </c>
      <c r="U1434" s="1" t="str">
        <f>IF(OR($G1434="",$H1434="Mahsup"),"",$G1434&amp;"|"&amp;COUNTIFS($G$7:$G1434,$G1434,$H$7:$H1434,"&lt;&gt;Mahsup"))</f>
        <v/>
      </c>
    </row>
    <row r="1435" spans="1:21" ht="18" customHeight="1" x14ac:dyDescent="0.3">
      <c r="A1435" s="2"/>
      <c r="B1435" s="65" t="str">
        <f t="shared" si="110"/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 t="shared" si="111"/>
        <v/>
      </c>
      <c r="M1435" s="65" t="str">
        <f t="shared" ca="1" si="112"/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113"/>
        <v/>
      </c>
      <c r="S1435" s="1" t="str">
        <f t="shared" si="114"/>
        <v/>
      </c>
      <c r="T1435" s="1">
        <f>IF($E1435="",0,SUMPRODUCT((AY_SONU!$O$7:$O$42="Evet")*(AY_SONU!$B$7:$B$42=DATE(YEAR($E1435),MONTH($E1435),1))))</f>
        <v>0</v>
      </c>
      <c r="U1435" s="1" t="str">
        <f>IF(OR($G1435="",$H1435="Mahsup"),"",$G1435&amp;"|"&amp;COUNTIFS($G$7:$G1435,$G1435,$H$7:$H1435,"&lt;&gt;Mahsup"))</f>
        <v/>
      </c>
    </row>
    <row r="1436" spans="1:21" ht="18" customHeight="1" x14ac:dyDescent="0.3">
      <c r="A1436" s="2"/>
      <c r="B1436" s="65" t="str">
        <f t="shared" si="110"/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 t="shared" si="111"/>
        <v/>
      </c>
      <c r="M1436" s="65" t="str">
        <f t="shared" ca="1" si="112"/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113"/>
        <v/>
      </c>
      <c r="S1436" s="1" t="str">
        <f t="shared" si="114"/>
        <v/>
      </c>
      <c r="T1436" s="1">
        <f>IF($E1436="",0,SUMPRODUCT((AY_SONU!$O$7:$O$42="Evet")*(AY_SONU!$B$7:$B$42=DATE(YEAR($E1436),MONTH($E1436),1))))</f>
        <v>0</v>
      </c>
      <c r="U1436" s="1" t="str">
        <f>IF(OR($G1436="",$H1436="Mahsup"),"",$G1436&amp;"|"&amp;COUNTIFS($G$7:$G1436,$G1436,$H$7:$H1436,"&lt;&gt;Mahsup"))</f>
        <v/>
      </c>
    </row>
    <row r="1437" spans="1:21" ht="18" customHeight="1" x14ac:dyDescent="0.3">
      <c r="A1437" s="2"/>
      <c r="B1437" s="65" t="str">
        <f t="shared" si="110"/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 t="shared" si="111"/>
        <v/>
      </c>
      <c r="M1437" s="65" t="str">
        <f t="shared" ca="1" si="112"/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113"/>
        <v/>
      </c>
      <c r="S1437" s="1" t="str">
        <f t="shared" si="114"/>
        <v/>
      </c>
      <c r="T1437" s="1">
        <f>IF($E1437="",0,SUMPRODUCT((AY_SONU!$O$7:$O$42="Evet")*(AY_SONU!$B$7:$B$42=DATE(YEAR($E1437),MONTH($E1437),1))))</f>
        <v>0</v>
      </c>
      <c r="U1437" s="1" t="str">
        <f>IF(OR($G1437="",$H1437="Mahsup"),"",$G1437&amp;"|"&amp;COUNTIFS($G$7:$G1437,$G1437,$H$7:$H1437,"&lt;&gt;Mahsup"))</f>
        <v/>
      </c>
    </row>
    <row r="1438" spans="1:21" ht="18" customHeight="1" x14ac:dyDescent="0.3">
      <c r="A1438" s="2"/>
      <c r="B1438" s="65" t="str">
        <f t="shared" si="110"/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 t="shared" si="111"/>
        <v/>
      </c>
      <c r="M1438" s="65" t="str">
        <f t="shared" ca="1" si="112"/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113"/>
        <v/>
      </c>
      <c r="S1438" s="1" t="str">
        <f t="shared" si="114"/>
        <v/>
      </c>
      <c r="T1438" s="1">
        <f>IF($E1438="",0,SUMPRODUCT((AY_SONU!$O$7:$O$42="Evet")*(AY_SONU!$B$7:$B$42=DATE(YEAR($E1438),MONTH($E1438),1))))</f>
        <v>0</v>
      </c>
      <c r="U1438" s="1" t="str">
        <f>IF(OR($G1438="",$H1438="Mahsup"),"",$G1438&amp;"|"&amp;COUNTIFS($G$7:$G1438,$G1438,$H$7:$H1438,"&lt;&gt;Mahsup"))</f>
        <v/>
      </c>
    </row>
    <row r="1439" spans="1:21" ht="18" customHeight="1" x14ac:dyDescent="0.3">
      <c r="A1439" s="2"/>
      <c r="B1439" s="65" t="str">
        <f t="shared" si="110"/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 t="shared" si="111"/>
        <v/>
      </c>
      <c r="M1439" s="65" t="str">
        <f t="shared" ca="1" si="112"/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113"/>
        <v/>
      </c>
      <c r="S1439" s="1" t="str">
        <f t="shared" si="114"/>
        <v/>
      </c>
      <c r="T1439" s="1">
        <f>IF($E1439="",0,SUMPRODUCT((AY_SONU!$O$7:$O$42="Evet")*(AY_SONU!$B$7:$B$42=DATE(YEAR($E1439),MONTH($E1439),1))))</f>
        <v>0</v>
      </c>
      <c r="U1439" s="1" t="str">
        <f>IF(OR($G1439="",$H1439="Mahsup"),"",$G1439&amp;"|"&amp;COUNTIFS($G$7:$G1439,$G1439,$H$7:$H1439,"&lt;&gt;Mahsup"))</f>
        <v/>
      </c>
    </row>
    <row r="1440" spans="1:21" ht="18" customHeight="1" x14ac:dyDescent="0.3">
      <c r="A1440" s="2"/>
      <c r="B1440" s="65" t="str">
        <f t="shared" si="110"/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 t="shared" si="111"/>
        <v/>
      </c>
      <c r="M1440" s="65" t="str">
        <f t="shared" ca="1" si="112"/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113"/>
        <v/>
      </c>
      <c r="S1440" s="1" t="str">
        <f t="shared" si="114"/>
        <v/>
      </c>
      <c r="T1440" s="1">
        <f>IF($E1440="",0,SUMPRODUCT((AY_SONU!$O$7:$O$42="Evet")*(AY_SONU!$B$7:$B$42=DATE(YEAR($E1440),MONTH($E1440),1))))</f>
        <v>0</v>
      </c>
      <c r="U1440" s="1" t="str">
        <f>IF(OR($G1440="",$H1440="Mahsup"),"",$G1440&amp;"|"&amp;COUNTIFS($G$7:$G1440,$G1440,$H$7:$H1440,"&lt;&gt;Mahsup"))</f>
        <v/>
      </c>
    </row>
    <row r="1441" spans="1:21" ht="18" customHeight="1" x14ac:dyDescent="0.3">
      <c r="A1441" s="2"/>
      <c r="B1441" s="65" t="str">
        <f t="shared" si="110"/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 t="shared" si="111"/>
        <v/>
      </c>
      <c r="M1441" s="65" t="str">
        <f t="shared" ca="1" si="112"/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113"/>
        <v/>
      </c>
      <c r="S1441" s="1" t="str">
        <f t="shared" si="114"/>
        <v/>
      </c>
      <c r="T1441" s="1">
        <f>IF($E1441="",0,SUMPRODUCT((AY_SONU!$O$7:$O$42="Evet")*(AY_SONU!$B$7:$B$42=DATE(YEAR($E1441),MONTH($E1441),1))))</f>
        <v>0</v>
      </c>
      <c r="U1441" s="1" t="str">
        <f>IF(OR($G1441="",$H1441="Mahsup"),"",$G1441&amp;"|"&amp;COUNTIFS($G$7:$G1441,$G1441,$H$7:$H1441,"&lt;&gt;Mahsup"))</f>
        <v/>
      </c>
    </row>
    <row r="1442" spans="1:21" ht="18" customHeight="1" x14ac:dyDescent="0.3">
      <c r="A1442" s="2"/>
      <c r="B1442" s="65" t="str">
        <f t="shared" si="110"/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 t="shared" si="111"/>
        <v/>
      </c>
      <c r="M1442" s="65" t="str">
        <f t="shared" ca="1" si="112"/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113"/>
        <v/>
      </c>
      <c r="S1442" s="1" t="str">
        <f t="shared" si="114"/>
        <v/>
      </c>
      <c r="T1442" s="1">
        <f>IF($E1442="",0,SUMPRODUCT((AY_SONU!$O$7:$O$42="Evet")*(AY_SONU!$B$7:$B$42=DATE(YEAR($E1442),MONTH($E1442),1))))</f>
        <v>0</v>
      </c>
      <c r="U1442" s="1" t="str">
        <f>IF(OR($G1442="",$H1442="Mahsup"),"",$G1442&amp;"|"&amp;COUNTIFS($G$7:$G1442,$G1442,$H$7:$H1442,"&lt;&gt;Mahsup"))</f>
        <v/>
      </c>
    </row>
    <row r="1443" spans="1:21" ht="18" customHeight="1" x14ac:dyDescent="0.3">
      <c r="A1443" s="2"/>
      <c r="B1443" s="65" t="str">
        <f t="shared" si="110"/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 t="shared" si="111"/>
        <v/>
      </c>
      <c r="M1443" s="65" t="str">
        <f t="shared" ca="1" si="112"/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113"/>
        <v/>
      </c>
      <c r="S1443" s="1" t="str">
        <f t="shared" si="114"/>
        <v/>
      </c>
      <c r="T1443" s="1">
        <f>IF($E1443="",0,SUMPRODUCT((AY_SONU!$O$7:$O$42="Evet")*(AY_SONU!$B$7:$B$42=DATE(YEAR($E1443),MONTH($E1443),1))))</f>
        <v>0</v>
      </c>
      <c r="U1443" s="1" t="str">
        <f>IF(OR($G1443="",$H1443="Mahsup"),"",$G1443&amp;"|"&amp;COUNTIFS($G$7:$G1443,$G1443,$H$7:$H1443,"&lt;&gt;Mahsup"))</f>
        <v/>
      </c>
    </row>
    <row r="1444" spans="1:21" ht="18" customHeight="1" x14ac:dyDescent="0.3">
      <c r="A1444" s="2"/>
      <c r="B1444" s="65" t="str">
        <f t="shared" si="110"/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 t="shared" si="111"/>
        <v/>
      </c>
      <c r="M1444" s="65" t="str">
        <f t="shared" ca="1" si="112"/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113"/>
        <v/>
      </c>
      <c r="S1444" s="1" t="str">
        <f t="shared" si="114"/>
        <v/>
      </c>
      <c r="T1444" s="1">
        <f>IF($E1444="",0,SUMPRODUCT((AY_SONU!$O$7:$O$42="Evet")*(AY_SONU!$B$7:$B$42=DATE(YEAR($E1444),MONTH($E1444),1))))</f>
        <v>0</v>
      </c>
      <c r="U1444" s="1" t="str">
        <f>IF(OR($G1444="",$H1444="Mahsup"),"",$G1444&amp;"|"&amp;COUNTIFS($G$7:$G1444,$G1444,$H$7:$H1444,"&lt;&gt;Mahsup"))</f>
        <v/>
      </c>
    </row>
    <row r="1445" spans="1:21" ht="18" customHeight="1" x14ac:dyDescent="0.3">
      <c r="A1445" s="2"/>
      <c r="B1445" s="65" t="str">
        <f t="shared" si="110"/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 t="shared" si="111"/>
        <v/>
      </c>
      <c r="M1445" s="65" t="str">
        <f t="shared" ca="1" si="112"/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113"/>
        <v/>
      </c>
      <c r="S1445" s="1" t="str">
        <f t="shared" si="114"/>
        <v/>
      </c>
      <c r="T1445" s="1">
        <f>IF($E1445="",0,SUMPRODUCT((AY_SONU!$O$7:$O$42="Evet")*(AY_SONU!$B$7:$B$42=DATE(YEAR($E1445),MONTH($E1445),1))))</f>
        <v>0</v>
      </c>
      <c r="U1445" s="1" t="str">
        <f>IF(OR($G1445="",$H1445="Mahsup"),"",$G1445&amp;"|"&amp;COUNTIFS($G$7:$G1445,$G1445,$H$7:$H1445,"&lt;&gt;Mahsup"))</f>
        <v/>
      </c>
    </row>
    <row r="1446" spans="1:21" ht="18" customHeight="1" x14ac:dyDescent="0.3">
      <c r="A1446" s="2"/>
      <c r="B1446" s="65" t="str">
        <f t="shared" si="110"/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 t="shared" si="111"/>
        <v/>
      </c>
      <c r="M1446" s="65" t="str">
        <f t="shared" ca="1" si="112"/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113"/>
        <v/>
      </c>
      <c r="S1446" s="1" t="str">
        <f t="shared" si="114"/>
        <v/>
      </c>
      <c r="T1446" s="1">
        <f>IF($E1446="",0,SUMPRODUCT((AY_SONU!$O$7:$O$42="Evet")*(AY_SONU!$B$7:$B$42=DATE(YEAR($E1446),MONTH($E1446),1))))</f>
        <v>0</v>
      </c>
      <c r="U1446" s="1" t="str">
        <f>IF(OR($G1446="",$H1446="Mahsup"),"",$G1446&amp;"|"&amp;COUNTIFS($G$7:$G1446,$G1446,$H$7:$H1446,"&lt;&gt;Mahsup"))</f>
        <v/>
      </c>
    </row>
    <row r="1447" spans="1:21" ht="18" customHeight="1" x14ac:dyDescent="0.3">
      <c r="A1447" s="2"/>
      <c r="B1447" s="65" t="str">
        <f t="shared" si="110"/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 t="shared" si="111"/>
        <v/>
      </c>
      <c r="M1447" s="65" t="str">
        <f t="shared" ca="1" si="112"/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113"/>
        <v/>
      </c>
      <c r="S1447" s="1" t="str">
        <f t="shared" si="114"/>
        <v/>
      </c>
      <c r="T1447" s="1">
        <f>IF($E1447="",0,SUMPRODUCT((AY_SONU!$O$7:$O$42="Evet")*(AY_SONU!$B$7:$B$42=DATE(YEAR($E1447),MONTH($E1447),1))))</f>
        <v>0</v>
      </c>
      <c r="U1447" s="1" t="str">
        <f>IF(OR($G1447="",$H1447="Mahsup"),"",$G1447&amp;"|"&amp;COUNTIFS($G$7:$G1447,$G1447,$H$7:$H1447,"&lt;&gt;Mahsup"))</f>
        <v/>
      </c>
    </row>
    <row r="1448" spans="1:21" ht="18" customHeight="1" x14ac:dyDescent="0.3">
      <c r="A1448" s="2"/>
      <c r="B1448" s="65" t="str">
        <f t="shared" si="110"/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 t="shared" si="111"/>
        <v/>
      </c>
      <c r="M1448" s="65" t="str">
        <f t="shared" ca="1" si="112"/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113"/>
        <v/>
      </c>
      <c r="S1448" s="1" t="str">
        <f t="shared" si="114"/>
        <v/>
      </c>
      <c r="T1448" s="1">
        <f>IF($E1448="",0,SUMPRODUCT((AY_SONU!$O$7:$O$42="Evet")*(AY_SONU!$B$7:$B$42=DATE(YEAR($E1448),MONTH($E1448),1))))</f>
        <v>0</v>
      </c>
      <c r="U1448" s="1" t="str">
        <f>IF(OR($G1448="",$H1448="Mahsup"),"",$G1448&amp;"|"&amp;COUNTIFS($G$7:$G1448,$G1448,$H$7:$H1448,"&lt;&gt;Mahsup"))</f>
        <v/>
      </c>
    </row>
    <row r="1449" spans="1:21" ht="18" customHeight="1" x14ac:dyDescent="0.3">
      <c r="A1449" s="2"/>
      <c r="B1449" s="65" t="str">
        <f t="shared" si="110"/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 t="shared" si="111"/>
        <v/>
      </c>
      <c r="M1449" s="65" t="str">
        <f t="shared" ca="1" si="112"/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113"/>
        <v/>
      </c>
      <c r="S1449" s="1" t="str">
        <f t="shared" si="114"/>
        <v/>
      </c>
      <c r="T1449" s="1">
        <f>IF($E1449="",0,SUMPRODUCT((AY_SONU!$O$7:$O$42="Evet")*(AY_SONU!$B$7:$B$42=DATE(YEAR($E1449),MONTH($E1449),1))))</f>
        <v>0</v>
      </c>
      <c r="U1449" s="1" t="str">
        <f>IF(OR($G1449="",$H1449="Mahsup"),"",$G1449&amp;"|"&amp;COUNTIFS($G$7:$G1449,$G1449,$H$7:$H1449,"&lt;&gt;Mahsup"))</f>
        <v/>
      </c>
    </row>
    <row r="1450" spans="1:21" ht="18" customHeight="1" x14ac:dyDescent="0.3">
      <c r="A1450" s="2"/>
      <c r="B1450" s="65" t="str">
        <f t="shared" si="110"/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 t="shared" si="111"/>
        <v/>
      </c>
      <c r="M1450" s="65" t="str">
        <f t="shared" ca="1" si="112"/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113"/>
        <v/>
      </c>
      <c r="S1450" s="1" t="str">
        <f t="shared" si="114"/>
        <v/>
      </c>
      <c r="T1450" s="1">
        <f>IF($E1450="",0,SUMPRODUCT((AY_SONU!$O$7:$O$42="Evet")*(AY_SONU!$B$7:$B$42=DATE(YEAR($E1450),MONTH($E1450),1))))</f>
        <v>0</v>
      </c>
      <c r="U1450" s="1" t="str">
        <f>IF(OR($G1450="",$H1450="Mahsup"),"",$G1450&amp;"|"&amp;COUNTIFS($G$7:$G1450,$G1450,$H$7:$H1450,"&lt;&gt;Mahsup"))</f>
        <v/>
      </c>
    </row>
    <row r="1451" spans="1:21" ht="18" customHeight="1" x14ac:dyDescent="0.3">
      <c r="A1451" s="2"/>
      <c r="B1451" s="65" t="str">
        <f t="shared" si="110"/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 t="shared" si="111"/>
        <v/>
      </c>
      <c r="M1451" s="65" t="str">
        <f t="shared" ca="1" si="112"/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113"/>
        <v/>
      </c>
      <c r="S1451" s="1" t="str">
        <f t="shared" si="114"/>
        <v/>
      </c>
      <c r="T1451" s="1">
        <f>IF($E1451="",0,SUMPRODUCT((AY_SONU!$O$7:$O$42="Evet")*(AY_SONU!$B$7:$B$42=DATE(YEAR($E1451),MONTH($E1451),1))))</f>
        <v>0</v>
      </c>
      <c r="U1451" s="1" t="str">
        <f>IF(OR($G1451="",$H1451="Mahsup"),"",$G1451&amp;"|"&amp;COUNTIFS($G$7:$G1451,$G1451,$H$7:$H1451,"&lt;&gt;Mahsup"))</f>
        <v/>
      </c>
    </row>
    <row r="1452" spans="1:21" ht="18" customHeight="1" x14ac:dyDescent="0.3">
      <c r="A1452" s="2"/>
      <c r="B1452" s="65" t="str">
        <f t="shared" si="110"/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 t="shared" si="111"/>
        <v/>
      </c>
      <c r="M1452" s="65" t="str">
        <f t="shared" ca="1" si="112"/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113"/>
        <v/>
      </c>
      <c r="S1452" s="1" t="str">
        <f t="shared" si="114"/>
        <v/>
      </c>
      <c r="T1452" s="1">
        <f>IF($E1452="",0,SUMPRODUCT((AY_SONU!$O$7:$O$42="Evet")*(AY_SONU!$B$7:$B$42=DATE(YEAR($E1452),MONTH($E1452),1))))</f>
        <v>0</v>
      </c>
      <c r="U1452" s="1" t="str">
        <f>IF(OR($G1452="",$H1452="Mahsup"),"",$G1452&amp;"|"&amp;COUNTIFS($G$7:$G1452,$G1452,$H$7:$H1452,"&lt;&gt;Mahsup"))</f>
        <v/>
      </c>
    </row>
    <row r="1453" spans="1:21" ht="18" customHeight="1" x14ac:dyDescent="0.3">
      <c r="A1453" s="2"/>
      <c r="B1453" s="65" t="str">
        <f t="shared" si="110"/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 t="shared" si="111"/>
        <v/>
      </c>
      <c r="M1453" s="65" t="str">
        <f t="shared" ca="1" si="112"/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113"/>
        <v/>
      </c>
      <c r="S1453" s="1" t="str">
        <f t="shared" si="114"/>
        <v/>
      </c>
      <c r="T1453" s="1">
        <f>IF($E1453="",0,SUMPRODUCT((AY_SONU!$O$7:$O$42="Evet")*(AY_SONU!$B$7:$B$42=DATE(YEAR($E1453),MONTH($E1453),1))))</f>
        <v>0</v>
      </c>
      <c r="U1453" s="1" t="str">
        <f>IF(OR($G1453="",$H1453="Mahsup"),"",$G1453&amp;"|"&amp;COUNTIFS($G$7:$G1453,$G1453,$H$7:$H1453,"&lt;&gt;Mahsup"))</f>
        <v/>
      </c>
    </row>
    <row r="1454" spans="1:21" ht="18" customHeight="1" x14ac:dyDescent="0.3">
      <c r="A1454" s="2"/>
      <c r="B1454" s="65" t="str">
        <f t="shared" si="110"/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 t="shared" si="111"/>
        <v/>
      </c>
      <c r="M1454" s="65" t="str">
        <f t="shared" ca="1" si="112"/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113"/>
        <v/>
      </c>
      <c r="S1454" s="1" t="str">
        <f t="shared" si="114"/>
        <v/>
      </c>
      <c r="T1454" s="1">
        <f>IF($E1454="",0,SUMPRODUCT((AY_SONU!$O$7:$O$42="Evet")*(AY_SONU!$B$7:$B$42=DATE(YEAR($E1454),MONTH($E1454),1))))</f>
        <v>0</v>
      </c>
      <c r="U1454" s="1" t="str">
        <f>IF(OR($G1454="",$H1454="Mahsup"),"",$G1454&amp;"|"&amp;COUNTIFS($G$7:$G1454,$G1454,$H$7:$H1454,"&lt;&gt;Mahsup"))</f>
        <v/>
      </c>
    </row>
    <row r="1455" spans="1:21" ht="18" customHeight="1" x14ac:dyDescent="0.3">
      <c r="A1455" s="2"/>
      <c r="B1455" s="65" t="str">
        <f t="shared" si="110"/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 t="shared" si="111"/>
        <v/>
      </c>
      <c r="M1455" s="65" t="str">
        <f t="shared" ca="1" si="112"/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113"/>
        <v/>
      </c>
      <c r="S1455" s="1" t="str">
        <f t="shared" si="114"/>
        <v/>
      </c>
      <c r="T1455" s="1">
        <f>IF($E1455="",0,SUMPRODUCT((AY_SONU!$O$7:$O$42="Evet")*(AY_SONU!$B$7:$B$42=DATE(YEAR($E1455),MONTH($E1455),1))))</f>
        <v>0</v>
      </c>
      <c r="U1455" s="1" t="str">
        <f>IF(OR($G1455="",$H1455="Mahsup"),"",$G1455&amp;"|"&amp;COUNTIFS($G$7:$G1455,$G1455,$H$7:$H1455,"&lt;&gt;Mahsup"))</f>
        <v/>
      </c>
    </row>
    <row r="1456" spans="1:21" ht="18" customHeight="1" x14ac:dyDescent="0.3">
      <c r="A1456" s="2"/>
      <c r="B1456" s="65" t="str">
        <f t="shared" si="110"/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 t="shared" si="111"/>
        <v/>
      </c>
      <c r="M1456" s="65" t="str">
        <f t="shared" ca="1" si="112"/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113"/>
        <v/>
      </c>
      <c r="S1456" s="1" t="str">
        <f t="shared" si="114"/>
        <v/>
      </c>
      <c r="T1456" s="1">
        <f>IF($E1456="",0,SUMPRODUCT((AY_SONU!$O$7:$O$42="Evet")*(AY_SONU!$B$7:$B$42=DATE(YEAR($E1456),MONTH($E1456),1))))</f>
        <v>0</v>
      </c>
      <c r="U1456" s="1" t="str">
        <f>IF(OR($G1456="",$H1456="Mahsup"),"",$G1456&amp;"|"&amp;COUNTIFS($G$7:$G1456,$G1456,$H$7:$H1456,"&lt;&gt;Mahsup"))</f>
        <v/>
      </c>
    </row>
    <row r="1457" spans="1:21" ht="18" customHeight="1" x14ac:dyDescent="0.3">
      <c r="A1457" s="2"/>
      <c r="B1457" s="65" t="str">
        <f t="shared" si="110"/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 t="shared" si="111"/>
        <v/>
      </c>
      <c r="M1457" s="65" t="str">
        <f t="shared" ca="1" si="112"/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113"/>
        <v/>
      </c>
      <c r="S1457" s="1" t="str">
        <f t="shared" si="114"/>
        <v/>
      </c>
      <c r="T1457" s="1">
        <f>IF($E1457="",0,SUMPRODUCT((AY_SONU!$O$7:$O$42="Evet")*(AY_SONU!$B$7:$B$42=DATE(YEAR($E1457),MONTH($E1457),1))))</f>
        <v>0</v>
      </c>
      <c r="U1457" s="1" t="str">
        <f>IF(OR($G1457="",$H1457="Mahsup"),"",$G1457&amp;"|"&amp;COUNTIFS($G$7:$G1457,$G1457,$H$7:$H1457,"&lt;&gt;Mahsup"))</f>
        <v/>
      </c>
    </row>
    <row r="1458" spans="1:21" ht="18" customHeight="1" x14ac:dyDescent="0.3">
      <c r="A1458" s="2"/>
      <c r="B1458" s="65" t="str">
        <f t="shared" si="110"/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 t="shared" si="111"/>
        <v/>
      </c>
      <c r="M1458" s="65" t="str">
        <f t="shared" ca="1" si="112"/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113"/>
        <v/>
      </c>
      <c r="S1458" s="1" t="str">
        <f t="shared" si="114"/>
        <v/>
      </c>
      <c r="T1458" s="1">
        <f>IF($E1458="",0,SUMPRODUCT((AY_SONU!$O$7:$O$42="Evet")*(AY_SONU!$B$7:$B$42=DATE(YEAR($E1458),MONTH($E1458),1))))</f>
        <v>0</v>
      </c>
      <c r="U1458" s="1" t="str">
        <f>IF(OR($G1458="",$H1458="Mahsup"),"",$G1458&amp;"|"&amp;COUNTIFS($G$7:$G1458,$G1458,$H$7:$H1458,"&lt;&gt;Mahsup"))</f>
        <v/>
      </c>
    </row>
    <row r="1459" spans="1:21" ht="18" customHeight="1" x14ac:dyDescent="0.3">
      <c r="A1459" s="2"/>
      <c r="B1459" s="65" t="str">
        <f t="shared" si="110"/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 t="shared" si="111"/>
        <v/>
      </c>
      <c r="M1459" s="65" t="str">
        <f t="shared" ca="1" si="112"/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113"/>
        <v/>
      </c>
      <c r="S1459" s="1" t="str">
        <f t="shared" si="114"/>
        <v/>
      </c>
      <c r="T1459" s="1">
        <f>IF($E1459="",0,SUMPRODUCT((AY_SONU!$O$7:$O$42="Evet")*(AY_SONU!$B$7:$B$42=DATE(YEAR($E1459),MONTH($E1459),1))))</f>
        <v>0</v>
      </c>
      <c r="U1459" s="1" t="str">
        <f>IF(OR($G1459="",$H1459="Mahsup"),"",$G1459&amp;"|"&amp;COUNTIFS($G$7:$G1459,$G1459,$H$7:$H1459,"&lt;&gt;Mahsup"))</f>
        <v/>
      </c>
    </row>
    <row r="1460" spans="1:21" ht="18" customHeight="1" x14ac:dyDescent="0.3">
      <c r="A1460" s="2"/>
      <c r="B1460" s="65" t="str">
        <f t="shared" si="110"/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 t="shared" si="111"/>
        <v/>
      </c>
      <c r="M1460" s="65" t="str">
        <f t="shared" ca="1" si="112"/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113"/>
        <v/>
      </c>
      <c r="S1460" s="1" t="str">
        <f t="shared" si="114"/>
        <v/>
      </c>
      <c r="T1460" s="1">
        <f>IF($E1460="",0,SUMPRODUCT((AY_SONU!$O$7:$O$42="Evet")*(AY_SONU!$B$7:$B$42=DATE(YEAR($E1460),MONTH($E1460),1))))</f>
        <v>0</v>
      </c>
      <c r="U1460" s="1" t="str">
        <f>IF(OR($G1460="",$H1460="Mahsup"),"",$G1460&amp;"|"&amp;COUNTIFS($G$7:$G1460,$G1460,$H$7:$H1460,"&lt;&gt;Mahsup"))</f>
        <v/>
      </c>
    </row>
    <row r="1461" spans="1:21" ht="18" customHeight="1" x14ac:dyDescent="0.3">
      <c r="A1461" s="2"/>
      <c r="B1461" s="65" t="str">
        <f t="shared" si="110"/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 t="shared" si="111"/>
        <v/>
      </c>
      <c r="M1461" s="65" t="str">
        <f t="shared" ca="1" si="112"/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113"/>
        <v/>
      </c>
      <c r="S1461" s="1" t="str">
        <f t="shared" si="114"/>
        <v/>
      </c>
      <c r="T1461" s="1">
        <f>IF($E1461="",0,SUMPRODUCT((AY_SONU!$O$7:$O$42="Evet")*(AY_SONU!$B$7:$B$42=DATE(YEAR($E1461),MONTH($E1461),1))))</f>
        <v>0</v>
      </c>
      <c r="U1461" s="1" t="str">
        <f>IF(OR($G1461="",$H1461="Mahsup"),"",$G1461&amp;"|"&amp;COUNTIFS($G$7:$G1461,$G1461,$H$7:$H1461,"&lt;&gt;Mahsup"))</f>
        <v/>
      </c>
    </row>
    <row r="1462" spans="1:21" ht="18" customHeight="1" x14ac:dyDescent="0.3">
      <c r="A1462" s="2"/>
      <c r="B1462" s="65" t="str">
        <f t="shared" si="110"/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 t="shared" si="111"/>
        <v/>
      </c>
      <c r="M1462" s="65" t="str">
        <f t="shared" ca="1" si="112"/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113"/>
        <v/>
      </c>
      <c r="S1462" s="1" t="str">
        <f t="shared" si="114"/>
        <v/>
      </c>
      <c r="T1462" s="1">
        <f>IF($E1462="",0,SUMPRODUCT((AY_SONU!$O$7:$O$42="Evet")*(AY_SONU!$B$7:$B$42=DATE(YEAR($E1462),MONTH($E1462),1))))</f>
        <v>0</v>
      </c>
      <c r="U1462" s="1" t="str">
        <f>IF(OR($G1462="",$H1462="Mahsup"),"",$G1462&amp;"|"&amp;COUNTIFS($G$7:$G1462,$G1462,$H$7:$H1462,"&lt;&gt;Mahsup"))</f>
        <v/>
      </c>
    </row>
    <row r="1463" spans="1:21" ht="18" customHeight="1" x14ac:dyDescent="0.3">
      <c r="A1463" s="2"/>
      <c r="B1463" s="65" t="str">
        <f t="shared" si="110"/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 t="shared" si="111"/>
        <v/>
      </c>
      <c r="M1463" s="65" t="str">
        <f t="shared" ca="1" si="112"/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113"/>
        <v/>
      </c>
      <c r="S1463" s="1" t="str">
        <f t="shared" si="114"/>
        <v/>
      </c>
      <c r="T1463" s="1">
        <f>IF($E1463="",0,SUMPRODUCT((AY_SONU!$O$7:$O$42="Evet")*(AY_SONU!$B$7:$B$42=DATE(YEAR($E1463),MONTH($E1463),1))))</f>
        <v>0</v>
      </c>
      <c r="U1463" s="1" t="str">
        <f>IF(OR($G1463="",$H1463="Mahsup"),"",$G1463&amp;"|"&amp;COUNTIFS($G$7:$G1463,$G1463,$H$7:$H1463,"&lt;&gt;Mahsup"))</f>
        <v/>
      </c>
    </row>
    <row r="1464" spans="1:21" ht="18" customHeight="1" x14ac:dyDescent="0.3">
      <c r="A1464" s="2"/>
      <c r="B1464" s="65" t="str">
        <f t="shared" si="110"/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 t="shared" si="111"/>
        <v/>
      </c>
      <c r="M1464" s="65" t="str">
        <f t="shared" ca="1" si="112"/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113"/>
        <v/>
      </c>
      <c r="S1464" s="1" t="str">
        <f t="shared" si="114"/>
        <v/>
      </c>
      <c r="T1464" s="1">
        <f>IF($E1464="",0,SUMPRODUCT((AY_SONU!$O$7:$O$42="Evet")*(AY_SONU!$B$7:$B$42=DATE(YEAR($E1464),MONTH($E1464),1))))</f>
        <v>0</v>
      </c>
      <c r="U1464" s="1" t="str">
        <f>IF(OR($G1464="",$H1464="Mahsup"),"",$G1464&amp;"|"&amp;COUNTIFS($G$7:$G1464,$G1464,$H$7:$H1464,"&lt;&gt;Mahsup"))</f>
        <v/>
      </c>
    </row>
    <row r="1465" spans="1:21" ht="18" customHeight="1" x14ac:dyDescent="0.3">
      <c r="A1465" s="2"/>
      <c r="B1465" s="65" t="str">
        <f t="shared" si="110"/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 t="shared" si="111"/>
        <v/>
      </c>
      <c r="M1465" s="65" t="str">
        <f t="shared" ca="1" si="112"/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113"/>
        <v/>
      </c>
      <c r="S1465" s="1" t="str">
        <f t="shared" si="114"/>
        <v/>
      </c>
      <c r="T1465" s="1">
        <f>IF($E1465="",0,SUMPRODUCT((AY_SONU!$O$7:$O$42="Evet")*(AY_SONU!$B$7:$B$42=DATE(YEAR($E1465),MONTH($E1465),1))))</f>
        <v>0</v>
      </c>
      <c r="U1465" s="1" t="str">
        <f>IF(OR($G1465="",$H1465="Mahsup"),"",$G1465&amp;"|"&amp;COUNTIFS($G$7:$G1465,$G1465,$H$7:$H1465,"&lt;&gt;Mahsup"))</f>
        <v/>
      </c>
    </row>
    <row r="1466" spans="1:21" ht="18" customHeight="1" x14ac:dyDescent="0.3">
      <c r="A1466" s="2"/>
      <c r="B1466" s="65" t="str">
        <f t="shared" si="110"/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 t="shared" si="111"/>
        <v/>
      </c>
      <c r="M1466" s="65" t="str">
        <f t="shared" ca="1" si="112"/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113"/>
        <v/>
      </c>
      <c r="S1466" s="1" t="str">
        <f t="shared" si="114"/>
        <v/>
      </c>
      <c r="T1466" s="1">
        <f>IF($E1466="",0,SUMPRODUCT((AY_SONU!$O$7:$O$42="Evet")*(AY_SONU!$B$7:$B$42=DATE(YEAR($E1466),MONTH($E1466),1))))</f>
        <v>0</v>
      </c>
      <c r="U1466" s="1" t="str">
        <f>IF(OR($G1466="",$H1466="Mahsup"),"",$G1466&amp;"|"&amp;COUNTIFS($G$7:$G1466,$G1466,$H$7:$H1466,"&lt;&gt;Mahsup"))</f>
        <v/>
      </c>
    </row>
    <row r="1467" spans="1:21" ht="18" customHeight="1" x14ac:dyDescent="0.3">
      <c r="A1467" s="2"/>
      <c r="B1467" s="65" t="str">
        <f t="shared" si="110"/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 t="shared" si="111"/>
        <v/>
      </c>
      <c r="M1467" s="65" t="str">
        <f t="shared" ca="1" si="112"/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113"/>
        <v/>
      </c>
      <c r="S1467" s="1" t="str">
        <f t="shared" si="114"/>
        <v/>
      </c>
      <c r="T1467" s="1">
        <f>IF($E1467="",0,SUMPRODUCT((AY_SONU!$O$7:$O$42="Evet")*(AY_SONU!$B$7:$B$42=DATE(YEAR($E1467),MONTH($E1467),1))))</f>
        <v>0</v>
      </c>
      <c r="U1467" s="1" t="str">
        <f>IF(OR($G1467="",$H1467="Mahsup"),"",$G1467&amp;"|"&amp;COUNTIFS($G$7:$G1467,$G1467,$H$7:$H1467,"&lt;&gt;Mahsup"))</f>
        <v/>
      </c>
    </row>
    <row r="1468" spans="1:21" ht="18" customHeight="1" x14ac:dyDescent="0.3">
      <c r="A1468" s="2"/>
      <c r="B1468" s="65" t="str">
        <f t="shared" si="110"/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 t="shared" si="111"/>
        <v/>
      </c>
      <c r="M1468" s="65" t="str">
        <f t="shared" ca="1" si="112"/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113"/>
        <v/>
      </c>
      <c r="S1468" s="1" t="str">
        <f t="shared" si="114"/>
        <v/>
      </c>
      <c r="T1468" s="1">
        <f>IF($E1468="",0,SUMPRODUCT((AY_SONU!$O$7:$O$42="Evet")*(AY_SONU!$B$7:$B$42=DATE(YEAR($E1468),MONTH($E1468),1))))</f>
        <v>0</v>
      </c>
      <c r="U1468" s="1" t="str">
        <f>IF(OR($G1468="",$H1468="Mahsup"),"",$G1468&amp;"|"&amp;COUNTIFS($G$7:$G1468,$G1468,$H$7:$H1468,"&lt;&gt;Mahsup"))</f>
        <v/>
      </c>
    </row>
    <row r="1469" spans="1:21" ht="18" customHeight="1" x14ac:dyDescent="0.3">
      <c r="A1469" s="2"/>
      <c r="B1469" s="65" t="str">
        <f t="shared" si="110"/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 t="shared" si="111"/>
        <v/>
      </c>
      <c r="M1469" s="65" t="str">
        <f t="shared" ca="1" si="112"/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113"/>
        <v/>
      </c>
      <c r="S1469" s="1" t="str">
        <f t="shared" si="114"/>
        <v/>
      </c>
      <c r="T1469" s="1">
        <f>IF($E1469="",0,SUMPRODUCT((AY_SONU!$O$7:$O$42="Evet")*(AY_SONU!$B$7:$B$42=DATE(YEAR($E1469),MONTH($E1469),1))))</f>
        <v>0</v>
      </c>
      <c r="U1469" s="1" t="str">
        <f>IF(OR($G1469="",$H1469="Mahsup"),"",$G1469&amp;"|"&amp;COUNTIFS($G$7:$G1469,$G1469,$H$7:$H1469,"&lt;&gt;Mahsup"))</f>
        <v/>
      </c>
    </row>
    <row r="1470" spans="1:21" ht="18" customHeight="1" x14ac:dyDescent="0.3">
      <c r="A1470" s="2"/>
      <c r="B1470" s="65" t="str">
        <f t="shared" si="110"/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 t="shared" si="111"/>
        <v/>
      </c>
      <c r="M1470" s="65" t="str">
        <f t="shared" ca="1" si="112"/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113"/>
        <v/>
      </c>
      <c r="S1470" s="1" t="str">
        <f t="shared" si="114"/>
        <v/>
      </c>
      <c r="T1470" s="1">
        <f>IF($E1470="",0,SUMPRODUCT((AY_SONU!$O$7:$O$42="Evet")*(AY_SONU!$B$7:$B$42=DATE(YEAR($E1470),MONTH($E1470),1))))</f>
        <v>0</v>
      </c>
      <c r="U1470" s="1" t="str">
        <f>IF(OR($G1470="",$H1470="Mahsup"),"",$G1470&amp;"|"&amp;COUNTIFS($G$7:$G1470,$G1470,$H$7:$H1470,"&lt;&gt;Mahsup"))</f>
        <v/>
      </c>
    </row>
    <row r="1471" spans="1:21" ht="18" customHeight="1" x14ac:dyDescent="0.3">
      <c r="A1471" s="2"/>
      <c r="B1471" s="65" t="str">
        <f t="shared" si="110"/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 t="shared" si="111"/>
        <v/>
      </c>
      <c r="M1471" s="65" t="str">
        <f t="shared" ca="1" si="112"/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113"/>
        <v/>
      </c>
      <c r="S1471" s="1" t="str">
        <f t="shared" si="114"/>
        <v/>
      </c>
      <c r="T1471" s="1">
        <f>IF($E1471="",0,SUMPRODUCT((AY_SONU!$O$7:$O$42="Evet")*(AY_SONU!$B$7:$B$42=DATE(YEAR($E1471),MONTH($E1471),1))))</f>
        <v>0</v>
      </c>
      <c r="U1471" s="1" t="str">
        <f>IF(OR($G1471="",$H1471="Mahsup"),"",$G1471&amp;"|"&amp;COUNTIFS($G$7:$G1471,$G1471,$H$7:$H1471,"&lt;&gt;Mahsup"))</f>
        <v/>
      </c>
    </row>
    <row r="1472" spans="1:21" ht="18" customHeight="1" x14ac:dyDescent="0.3">
      <c r="A1472" s="2"/>
      <c r="B1472" s="65" t="str">
        <f t="shared" si="110"/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 t="shared" si="111"/>
        <v/>
      </c>
      <c r="M1472" s="65" t="str">
        <f t="shared" ca="1" si="112"/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113"/>
        <v/>
      </c>
      <c r="S1472" s="1" t="str">
        <f t="shared" si="114"/>
        <v/>
      </c>
      <c r="T1472" s="1">
        <f>IF($E1472="",0,SUMPRODUCT((AY_SONU!$O$7:$O$42="Evet")*(AY_SONU!$B$7:$B$42=DATE(YEAR($E1472),MONTH($E1472),1))))</f>
        <v>0</v>
      </c>
      <c r="U1472" s="1" t="str">
        <f>IF(OR($G1472="",$H1472="Mahsup"),"",$G1472&amp;"|"&amp;COUNTIFS($G$7:$G1472,$G1472,$H$7:$H1472,"&lt;&gt;Mahsup"))</f>
        <v/>
      </c>
    </row>
    <row r="1473" spans="1:21" ht="18" customHeight="1" x14ac:dyDescent="0.3">
      <c r="A1473" s="2"/>
      <c r="B1473" s="65" t="str">
        <f t="shared" si="110"/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 t="shared" si="111"/>
        <v/>
      </c>
      <c r="M1473" s="65" t="str">
        <f t="shared" ca="1" si="112"/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113"/>
        <v/>
      </c>
      <c r="S1473" s="1" t="str">
        <f t="shared" si="114"/>
        <v/>
      </c>
      <c r="T1473" s="1">
        <f>IF($E1473="",0,SUMPRODUCT((AY_SONU!$O$7:$O$42="Evet")*(AY_SONU!$B$7:$B$42=DATE(YEAR($E1473),MONTH($E1473),1))))</f>
        <v>0</v>
      </c>
      <c r="U1473" s="1" t="str">
        <f>IF(OR($G1473="",$H1473="Mahsup"),"",$G1473&amp;"|"&amp;COUNTIFS($G$7:$G1473,$G1473,$H$7:$H1473,"&lt;&gt;Mahsup"))</f>
        <v/>
      </c>
    </row>
    <row r="1474" spans="1:21" ht="18" customHeight="1" x14ac:dyDescent="0.3">
      <c r="A1474" s="2"/>
      <c r="B1474" s="65" t="str">
        <f t="shared" si="110"/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 t="shared" si="111"/>
        <v/>
      </c>
      <c r="M1474" s="65" t="str">
        <f t="shared" ca="1" si="112"/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113"/>
        <v/>
      </c>
      <c r="S1474" s="1" t="str">
        <f t="shared" si="114"/>
        <v/>
      </c>
      <c r="T1474" s="1">
        <f>IF($E1474="",0,SUMPRODUCT((AY_SONU!$O$7:$O$42="Evet")*(AY_SONU!$B$7:$B$42=DATE(YEAR($E1474),MONTH($E1474),1))))</f>
        <v>0</v>
      </c>
      <c r="U1474" s="1" t="str">
        <f>IF(OR($G1474="",$H1474="Mahsup"),"",$G1474&amp;"|"&amp;COUNTIFS($G$7:$G1474,$G1474,$H$7:$H1474,"&lt;&gt;Mahsup"))</f>
        <v/>
      </c>
    </row>
    <row r="1475" spans="1:21" ht="18" customHeight="1" x14ac:dyDescent="0.3">
      <c r="A1475" s="2"/>
      <c r="B1475" s="65" t="str">
        <f t="shared" si="110"/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 t="shared" si="111"/>
        <v/>
      </c>
      <c r="M1475" s="65" t="str">
        <f t="shared" ca="1" si="112"/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113"/>
        <v/>
      </c>
      <c r="S1475" s="1" t="str">
        <f t="shared" si="114"/>
        <v/>
      </c>
      <c r="T1475" s="1">
        <f>IF($E1475="",0,SUMPRODUCT((AY_SONU!$O$7:$O$42="Evet")*(AY_SONU!$B$7:$B$42=DATE(YEAR($E1475),MONTH($E1475),1))))</f>
        <v>0</v>
      </c>
      <c r="U1475" s="1" t="str">
        <f>IF(OR($G1475="",$H1475="Mahsup"),"",$G1475&amp;"|"&amp;COUNTIFS($G$7:$G1475,$G1475,$H$7:$H1475,"&lt;&gt;Mahsup"))</f>
        <v/>
      </c>
    </row>
    <row r="1476" spans="1:21" ht="18" customHeight="1" x14ac:dyDescent="0.3">
      <c r="A1476" s="2"/>
      <c r="B1476" s="65" t="str">
        <f t="shared" si="110"/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 t="shared" si="111"/>
        <v/>
      </c>
      <c r="M1476" s="65" t="str">
        <f t="shared" ca="1" si="112"/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113"/>
        <v/>
      </c>
      <c r="S1476" s="1" t="str">
        <f t="shared" si="114"/>
        <v/>
      </c>
      <c r="T1476" s="1">
        <f>IF($E1476="",0,SUMPRODUCT((AY_SONU!$O$7:$O$42="Evet")*(AY_SONU!$B$7:$B$42=DATE(YEAR($E1476),MONTH($E1476),1))))</f>
        <v>0</v>
      </c>
      <c r="U1476" s="1" t="str">
        <f>IF(OR($G1476="",$H1476="Mahsup"),"",$G1476&amp;"|"&amp;COUNTIFS($G$7:$G1476,$G1476,$H$7:$H1476,"&lt;&gt;Mahsup"))</f>
        <v/>
      </c>
    </row>
    <row r="1477" spans="1:21" ht="18" customHeight="1" x14ac:dyDescent="0.3">
      <c r="A1477" s="2"/>
      <c r="B1477" s="65" t="str">
        <f t="shared" si="110"/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 t="shared" si="111"/>
        <v/>
      </c>
      <c r="M1477" s="65" t="str">
        <f t="shared" ca="1" si="112"/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113"/>
        <v/>
      </c>
      <c r="S1477" s="1" t="str">
        <f t="shared" si="114"/>
        <v/>
      </c>
      <c r="T1477" s="1">
        <f>IF($E1477="",0,SUMPRODUCT((AY_SONU!$O$7:$O$42="Evet")*(AY_SONU!$B$7:$B$42=DATE(YEAR($E1477),MONTH($E1477),1))))</f>
        <v>0</v>
      </c>
      <c r="U1477" s="1" t="str">
        <f>IF(OR($G1477="",$H1477="Mahsup"),"",$G1477&amp;"|"&amp;COUNTIFS($G$7:$G1477,$G1477,$H$7:$H1477,"&lt;&gt;Mahsup"))</f>
        <v/>
      </c>
    </row>
    <row r="1478" spans="1:21" ht="18" customHeight="1" x14ac:dyDescent="0.3">
      <c r="A1478" s="2"/>
      <c r="B1478" s="65" t="str">
        <f t="shared" si="110"/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 t="shared" si="111"/>
        <v/>
      </c>
      <c r="M1478" s="65" t="str">
        <f t="shared" ca="1" si="112"/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113"/>
        <v/>
      </c>
      <c r="S1478" s="1" t="str">
        <f t="shared" si="114"/>
        <v/>
      </c>
      <c r="T1478" s="1">
        <f>IF($E1478="",0,SUMPRODUCT((AY_SONU!$O$7:$O$42="Evet")*(AY_SONU!$B$7:$B$42=DATE(YEAR($E1478),MONTH($E1478),1))))</f>
        <v>0</v>
      </c>
      <c r="U1478" s="1" t="str">
        <f>IF(OR($G1478="",$H1478="Mahsup"),"",$G1478&amp;"|"&amp;COUNTIFS($G$7:$G1478,$G1478,$H$7:$H1478,"&lt;&gt;Mahsup"))</f>
        <v/>
      </c>
    </row>
    <row r="1479" spans="1:21" ht="18" customHeight="1" x14ac:dyDescent="0.3">
      <c r="A1479" s="2"/>
      <c r="B1479" s="65" t="str">
        <f t="shared" ref="B1479:B1542" si="115"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 t="shared" ref="L1479:L1542" si="116">IF($E1479="","",DATE(YEAR($E1479),MONTH($E1479),1))</f>
        <v/>
      </c>
      <c r="M1479" s="65" t="str">
        <f t="shared" ref="M1479:M1542" ca="1" si="117"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118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119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  <c r="U1479" s="1" t="str">
        <f>IF(OR($G1479="",$H1479="Mahsup"),"",$G1479&amp;"|"&amp;COUNTIFS($G$7:$G1479,$G1479,$H$7:$H1479,"&lt;&gt;Mahsup"))</f>
        <v/>
      </c>
    </row>
    <row r="1480" spans="1:21" ht="18" customHeight="1" x14ac:dyDescent="0.3">
      <c r="A1480" s="2"/>
      <c r="B1480" s="65" t="str">
        <f t="shared" si="115"/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 t="shared" si="116"/>
        <v/>
      </c>
      <c r="M1480" s="65" t="str">
        <f t="shared" ca="1" si="117"/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118"/>
        <v/>
      </c>
      <c r="S1480" s="1" t="str">
        <f t="shared" si="119"/>
        <v/>
      </c>
      <c r="T1480" s="1">
        <f>IF($E1480="",0,SUMPRODUCT((AY_SONU!$O$7:$O$42="Evet")*(AY_SONU!$B$7:$B$42=DATE(YEAR($E1480),MONTH($E1480),1))))</f>
        <v>0</v>
      </c>
      <c r="U1480" s="1" t="str">
        <f>IF(OR($G1480="",$H1480="Mahsup"),"",$G1480&amp;"|"&amp;COUNTIFS($G$7:$G1480,$G1480,$H$7:$H1480,"&lt;&gt;Mahsup"))</f>
        <v/>
      </c>
    </row>
    <row r="1481" spans="1:21" ht="18" customHeight="1" x14ac:dyDescent="0.3">
      <c r="A1481" s="2"/>
      <c r="B1481" s="65" t="str">
        <f t="shared" si="115"/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 t="shared" si="116"/>
        <v/>
      </c>
      <c r="M1481" s="65" t="str">
        <f t="shared" ca="1" si="117"/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118"/>
        <v/>
      </c>
      <c r="S1481" s="1" t="str">
        <f t="shared" si="119"/>
        <v/>
      </c>
      <c r="T1481" s="1">
        <f>IF($E1481="",0,SUMPRODUCT((AY_SONU!$O$7:$O$42="Evet")*(AY_SONU!$B$7:$B$42=DATE(YEAR($E1481),MONTH($E1481),1))))</f>
        <v>0</v>
      </c>
      <c r="U1481" s="1" t="str">
        <f>IF(OR($G1481="",$H1481="Mahsup"),"",$G1481&amp;"|"&amp;COUNTIFS($G$7:$G1481,$G1481,$H$7:$H1481,"&lt;&gt;Mahsup"))</f>
        <v/>
      </c>
    </row>
    <row r="1482" spans="1:21" ht="18" customHeight="1" x14ac:dyDescent="0.3">
      <c r="A1482" s="2"/>
      <c r="B1482" s="65" t="str">
        <f t="shared" si="115"/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 t="shared" si="116"/>
        <v/>
      </c>
      <c r="M1482" s="65" t="str">
        <f t="shared" ca="1" si="117"/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118"/>
        <v/>
      </c>
      <c r="S1482" s="1" t="str">
        <f t="shared" si="119"/>
        <v/>
      </c>
      <c r="T1482" s="1">
        <f>IF($E1482="",0,SUMPRODUCT((AY_SONU!$O$7:$O$42="Evet")*(AY_SONU!$B$7:$B$42=DATE(YEAR($E1482),MONTH($E1482),1))))</f>
        <v>0</v>
      </c>
      <c r="U1482" s="1" t="str">
        <f>IF(OR($G1482="",$H1482="Mahsup"),"",$G1482&amp;"|"&amp;COUNTIFS($G$7:$G1482,$G1482,$H$7:$H1482,"&lt;&gt;Mahsup"))</f>
        <v/>
      </c>
    </row>
    <row r="1483" spans="1:21" ht="18" customHeight="1" x14ac:dyDescent="0.3">
      <c r="A1483" s="2"/>
      <c r="B1483" s="65" t="str">
        <f t="shared" si="115"/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 t="shared" si="116"/>
        <v/>
      </c>
      <c r="M1483" s="65" t="str">
        <f t="shared" ca="1" si="117"/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118"/>
        <v/>
      </c>
      <c r="S1483" s="1" t="str">
        <f t="shared" si="119"/>
        <v/>
      </c>
      <c r="T1483" s="1">
        <f>IF($E1483="",0,SUMPRODUCT((AY_SONU!$O$7:$O$42="Evet")*(AY_SONU!$B$7:$B$42=DATE(YEAR($E1483),MONTH($E1483),1))))</f>
        <v>0</v>
      </c>
      <c r="U1483" s="1" t="str">
        <f>IF(OR($G1483="",$H1483="Mahsup"),"",$G1483&amp;"|"&amp;COUNTIFS($G$7:$G1483,$G1483,$H$7:$H1483,"&lt;&gt;Mahsup"))</f>
        <v/>
      </c>
    </row>
    <row r="1484" spans="1:21" ht="18" customHeight="1" x14ac:dyDescent="0.3">
      <c r="A1484" s="2"/>
      <c r="B1484" s="65" t="str">
        <f t="shared" si="115"/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 t="shared" si="116"/>
        <v/>
      </c>
      <c r="M1484" s="65" t="str">
        <f t="shared" ca="1" si="117"/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118"/>
        <v/>
      </c>
      <c r="S1484" s="1" t="str">
        <f t="shared" si="119"/>
        <v/>
      </c>
      <c r="T1484" s="1">
        <f>IF($E1484="",0,SUMPRODUCT((AY_SONU!$O$7:$O$42="Evet")*(AY_SONU!$B$7:$B$42=DATE(YEAR($E1484),MONTH($E1484),1))))</f>
        <v>0</v>
      </c>
      <c r="U1484" s="1" t="str">
        <f>IF(OR($G1484="",$H1484="Mahsup"),"",$G1484&amp;"|"&amp;COUNTIFS($G$7:$G1484,$G1484,$H$7:$H1484,"&lt;&gt;Mahsup"))</f>
        <v/>
      </c>
    </row>
    <row r="1485" spans="1:21" ht="18" customHeight="1" x14ac:dyDescent="0.3">
      <c r="A1485" s="2"/>
      <c r="B1485" s="65" t="str">
        <f t="shared" si="115"/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 t="shared" si="116"/>
        <v/>
      </c>
      <c r="M1485" s="65" t="str">
        <f t="shared" ca="1" si="117"/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118"/>
        <v/>
      </c>
      <c r="S1485" s="1" t="str">
        <f t="shared" si="119"/>
        <v/>
      </c>
      <c r="T1485" s="1">
        <f>IF($E1485="",0,SUMPRODUCT((AY_SONU!$O$7:$O$42="Evet")*(AY_SONU!$B$7:$B$42=DATE(YEAR($E1485),MONTH($E1485),1))))</f>
        <v>0</v>
      </c>
      <c r="U1485" s="1" t="str">
        <f>IF(OR($G1485="",$H1485="Mahsup"),"",$G1485&amp;"|"&amp;COUNTIFS($G$7:$G1485,$G1485,$H$7:$H1485,"&lt;&gt;Mahsup"))</f>
        <v/>
      </c>
    </row>
    <row r="1486" spans="1:21" ht="18" customHeight="1" x14ac:dyDescent="0.3">
      <c r="A1486" s="2"/>
      <c r="B1486" s="65" t="str">
        <f t="shared" si="115"/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 t="shared" si="116"/>
        <v/>
      </c>
      <c r="M1486" s="65" t="str">
        <f t="shared" ca="1" si="117"/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118"/>
        <v/>
      </c>
      <c r="S1486" s="1" t="str">
        <f t="shared" si="119"/>
        <v/>
      </c>
      <c r="T1486" s="1">
        <f>IF($E1486="",0,SUMPRODUCT((AY_SONU!$O$7:$O$42="Evet")*(AY_SONU!$B$7:$B$42=DATE(YEAR($E1486),MONTH($E1486),1))))</f>
        <v>0</v>
      </c>
      <c r="U1486" s="1" t="str">
        <f>IF(OR($G1486="",$H1486="Mahsup"),"",$G1486&amp;"|"&amp;COUNTIFS($G$7:$G1486,$G1486,$H$7:$H1486,"&lt;&gt;Mahsup"))</f>
        <v/>
      </c>
    </row>
    <row r="1487" spans="1:21" ht="18" customHeight="1" x14ac:dyDescent="0.3">
      <c r="A1487" s="2"/>
      <c r="B1487" s="65" t="str">
        <f t="shared" si="115"/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 t="shared" si="116"/>
        <v/>
      </c>
      <c r="M1487" s="65" t="str">
        <f t="shared" ca="1" si="117"/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118"/>
        <v/>
      </c>
      <c r="S1487" s="1" t="str">
        <f t="shared" si="119"/>
        <v/>
      </c>
      <c r="T1487" s="1">
        <f>IF($E1487="",0,SUMPRODUCT((AY_SONU!$O$7:$O$42="Evet")*(AY_SONU!$B$7:$B$42=DATE(YEAR($E1487),MONTH($E1487),1))))</f>
        <v>0</v>
      </c>
      <c r="U1487" s="1" t="str">
        <f>IF(OR($G1487="",$H1487="Mahsup"),"",$G1487&amp;"|"&amp;COUNTIFS($G$7:$G1487,$G1487,$H$7:$H1487,"&lt;&gt;Mahsup"))</f>
        <v/>
      </c>
    </row>
    <row r="1488" spans="1:21" ht="18" customHeight="1" x14ac:dyDescent="0.3">
      <c r="A1488" s="2"/>
      <c r="B1488" s="65" t="str">
        <f t="shared" si="115"/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 t="shared" si="116"/>
        <v/>
      </c>
      <c r="M1488" s="65" t="str">
        <f t="shared" ca="1" si="117"/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118"/>
        <v/>
      </c>
      <c r="S1488" s="1" t="str">
        <f t="shared" si="119"/>
        <v/>
      </c>
      <c r="T1488" s="1">
        <f>IF($E1488="",0,SUMPRODUCT((AY_SONU!$O$7:$O$42="Evet")*(AY_SONU!$B$7:$B$42=DATE(YEAR($E1488),MONTH($E1488),1))))</f>
        <v>0</v>
      </c>
      <c r="U1488" s="1" t="str">
        <f>IF(OR($G1488="",$H1488="Mahsup"),"",$G1488&amp;"|"&amp;COUNTIFS($G$7:$G1488,$G1488,$H$7:$H1488,"&lt;&gt;Mahsup"))</f>
        <v/>
      </c>
    </row>
    <row r="1489" spans="1:21" ht="18" customHeight="1" x14ac:dyDescent="0.3">
      <c r="A1489" s="2"/>
      <c r="B1489" s="65" t="str">
        <f t="shared" si="115"/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 t="shared" si="116"/>
        <v/>
      </c>
      <c r="M1489" s="65" t="str">
        <f t="shared" ca="1" si="117"/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118"/>
        <v/>
      </c>
      <c r="S1489" s="1" t="str">
        <f t="shared" si="119"/>
        <v/>
      </c>
      <c r="T1489" s="1">
        <f>IF($E1489="",0,SUMPRODUCT((AY_SONU!$O$7:$O$42="Evet")*(AY_SONU!$B$7:$B$42=DATE(YEAR($E1489),MONTH($E1489),1))))</f>
        <v>0</v>
      </c>
      <c r="U1489" s="1" t="str">
        <f>IF(OR($G1489="",$H1489="Mahsup"),"",$G1489&amp;"|"&amp;COUNTIFS($G$7:$G1489,$G1489,$H$7:$H1489,"&lt;&gt;Mahsup"))</f>
        <v/>
      </c>
    </row>
    <row r="1490" spans="1:21" ht="18" customHeight="1" x14ac:dyDescent="0.3">
      <c r="A1490" s="2"/>
      <c r="B1490" s="65" t="str">
        <f t="shared" si="115"/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 t="shared" si="116"/>
        <v/>
      </c>
      <c r="M1490" s="65" t="str">
        <f t="shared" ca="1" si="117"/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118"/>
        <v/>
      </c>
      <c r="S1490" s="1" t="str">
        <f t="shared" si="119"/>
        <v/>
      </c>
      <c r="T1490" s="1">
        <f>IF($E1490="",0,SUMPRODUCT((AY_SONU!$O$7:$O$42="Evet")*(AY_SONU!$B$7:$B$42=DATE(YEAR($E1490),MONTH($E1490),1))))</f>
        <v>0</v>
      </c>
      <c r="U1490" s="1" t="str">
        <f>IF(OR($G1490="",$H1490="Mahsup"),"",$G1490&amp;"|"&amp;COUNTIFS($G$7:$G1490,$G1490,$H$7:$H1490,"&lt;&gt;Mahsup"))</f>
        <v/>
      </c>
    </row>
    <row r="1491" spans="1:21" ht="18" customHeight="1" x14ac:dyDescent="0.3">
      <c r="A1491" s="2"/>
      <c r="B1491" s="65" t="str">
        <f t="shared" si="115"/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 t="shared" si="116"/>
        <v/>
      </c>
      <c r="M1491" s="65" t="str">
        <f t="shared" ca="1" si="117"/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118"/>
        <v/>
      </c>
      <c r="S1491" s="1" t="str">
        <f t="shared" si="119"/>
        <v/>
      </c>
      <c r="T1491" s="1">
        <f>IF($E1491="",0,SUMPRODUCT((AY_SONU!$O$7:$O$42="Evet")*(AY_SONU!$B$7:$B$42=DATE(YEAR($E1491),MONTH($E1491),1))))</f>
        <v>0</v>
      </c>
      <c r="U1491" s="1" t="str">
        <f>IF(OR($G1491="",$H1491="Mahsup"),"",$G1491&amp;"|"&amp;COUNTIFS($G$7:$G1491,$G1491,$H$7:$H1491,"&lt;&gt;Mahsup"))</f>
        <v/>
      </c>
    </row>
    <row r="1492" spans="1:21" ht="18" customHeight="1" x14ac:dyDescent="0.3">
      <c r="A1492" s="2"/>
      <c r="B1492" s="65" t="str">
        <f t="shared" si="115"/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 t="shared" si="116"/>
        <v/>
      </c>
      <c r="M1492" s="65" t="str">
        <f t="shared" ca="1" si="117"/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118"/>
        <v/>
      </c>
      <c r="S1492" s="1" t="str">
        <f t="shared" si="119"/>
        <v/>
      </c>
      <c r="T1492" s="1">
        <f>IF($E1492="",0,SUMPRODUCT((AY_SONU!$O$7:$O$42="Evet")*(AY_SONU!$B$7:$B$42=DATE(YEAR($E1492),MONTH($E1492),1))))</f>
        <v>0</v>
      </c>
      <c r="U1492" s="1" t="str">
        <f>IF(OR($G1492="",$H1492="Mahsup"),"",$G1492&amp;"|"&amp;COUNTIFS($G$7:$G1492,$G1492,$H$7:$H1492,"&lt;&gt;Mahsup"))</f>
        <v/>
      </c>
    </row>
    <row r="1493" spans="1:21" ht="18" customHeight="1" x14ac:dyDescent="0.3">
      <c r="A1493" s="2"/>
      <c r="B1493" s="65" t="str">
        <f t="shared" si="115"/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 t="shared" si="116"/>
        <v/>
      </c>
      <c r="M1493" s="65" t="str">
        <f t="shared" ca="1" si="117"/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118"/>
        <v/>
      </c>
      <c r="S1493" s="1" t="str">
        <f t="shared" si="119"/>
        <v/>
      </c>
      <c r="T1493" s="1">
        <f>IF($E1493="",0,SUMPRODUCT((AY_SONU!$O$7:$O$42="Evet")*(AY_SONU!$B$7:$B$42=DATE(YEAR($E1493),MONTH($E1493),1))))</f>
        <v>0</v>
      </c>
      <c r="U1493" s="1" t="str">
        <f>IF(OR($G1493="",$H1493="Mahsup"),"",$G1493&amp;"|"&amp;COUNTIFS($G$7:$G1493,$G1493,$H$7:$H1493,"&lt;&gt;Mahsup"))</f>
        <v/>
      </c>
    </row>
    <row r="1494" spans="1:21" ht="18" customHeight="1" x14ac:dyDescent="0.3">
      <c r="A1494" s="2"/>
      <c r="B1494" s="65" t="str">
        <f t="shared" si="115"/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 t="shared" si="116"/>
        <v/>
      </c>
      <c r="M1494" s="65" t="str">
        <f t="shared" ca="1" si="117"/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118"/>
        <v/>
      </c>
      <c r="S1494" s="1" t="str">
        <f t="shared" si="119"/>
        <v/>
      </c>
      <c r="T1494" s="1">
        <f>IF($E1494="",0,SUMPRODUCT((AY_SONU!$O$7:$O$42="Evet")*(AY_SONU!$B$7:$B$42=DATE(YEAR($E1494),MONTH($E1494),1))))</f>
        <v>0</v>
      </c>
      <c r="U1494" s="1" t="str">
        <f>IF(OR($G1494="",$H1494="Mahsup"),"",$G1494&amp;"|"&amp;COUNTIFS($G$7:$G1494,$G1494,$H$7:$H1494,"&lt;&gt;Mahsup"))</f>
        <v/>
      </c>
    </row>
    <row r="1495" spans="1:21" ht="18" customHeight="1" x14ac:dyDescent="0.3">
      <c r="A1495" s="2"/>
      <c r="B1495" s="65" t="str">
        <f t="shared" si="115"/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 t="shared" si="116"/>
        <v/>
      </c>
      <c r="M1495" s="65" t="str">
        <f t="shared" ca="1" si="117"/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118"/>
        <v/>
      </c>
      <c r="S1495" s="1" t="str">
        <f t="shared" si="119"/>
        <v/>
      </c>
      <c r="T1495" s="1">
        <f>IF($E1495="",0,SUMPRODUCT((AY_SONU!$O$7:$O$42="Evet")*(AY_SONU!$B$7:$B$42=DATE(YEAR($E1495),MONTH($E1495),1))))</f>
        <v>0</v>
      </c>
      <c r="U1495" s="1" t="str">
        <f>IF(OR($G1495="",$H1495="Mahsup"),"",$G1495&amp;"|"&amp;COUNTIFS($G$7:$G1495,$G1495,$H$7:$H1495,"&lt;&gt;Mahsup"))</f>
        <v/>
      </c>
    </row>
    <row r="1496" spans="1:21" ht="18" customHeight="1" x14ac:dyDescent="0.3">
      <c r="A1496" s="2"/>
      <c r="B1496" s="65" t="str">
        <f t="shared" si="115"/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 t="shared" si="116"/>
        <v/>
      </c>
      <c r="M1496" s="65" t="str">
        <f t="shared" ca="1" si="117"/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118"/>
        <v/>
      </c>
      <c r="S1496" s="1" t="str">
        <f t="shared" si="119"/>
        <v/>
      </c>
      <c r="T1496" s="1">
        <f>IF($E1496="",0,SUMPRODUCT((AY_SONU!$O$7:$O$42="Evet")*(AY_SONU!$B$7:$B$42=DATE(YEAR($E1496),MONTH($E1496),1))))</f>
        <v>0</v>
      </c>
      <c r="U1496" s="1" t="str">
        <f>IF(OR($G1496="",$H1496="Mahsup"),"",$G1496&amp;"|"&amp;COUNTIFS($G$7:$G1496,$G1496,$H$7:$H1496,"&lt;&gt;Mahsup"))</f>
        <v/>
      </c>
    </row>
    <row r="1497" spans="1:21" ht="18" customHeight="1" x14ac:dyDescent="0.3">
      <c r="A1497" s="2"/>
      <c r="B1497" s="65" t="str">
        <f t="shared" si="115"/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 t="shared" si="116"/>
        <v/>
      </c>
      <c r="M1497" s="65" t="str">
        <f t="shared" ca="1" si="117"/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118"/>
        <v/>
      </c>
      <c r="S1497" s="1" t="str">
        <f t="shared" si="119"/>
        <v/>
      </c>
      <c r="T1497" s="1">
        <f>IF($E1497="",0,SUMPRODUCT((AY_SONU!$O$7:$O$42="Evet")*(AY_SONU!$B$7:$B$42=DATE(YEAR($E1497),MONTH($E1497),1))))</f>
        <v>0</v>
      </c>
      <c r="U1497" s="1" t="str">
        <f>IF(OR($G1497="",$H1497="Mahsup"),"",$G1497&amp;"|"&amp;COUNTIFS($G$7:$G1497,$G1497,$H$7:$H1497,"&lt;&gt;Mahsup"))</f>
        <v/>
      </c>
    </row>
    <row r="1498" spans="1:21" ht="18" customHeight="1" x14ac:dyDescent="0.3">
      <c r="A1498" s="2"/>
      <c r="B1498" s="65" t="str">
        <f t="shared" si="115"/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 t="shared" si="116"/>
        <v/>
      </c>
      <c r="M1498" s="65" t="str">
        <f t="shared" ca="1" si="117"/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118"/>
        <v/>
      </c>
      <c r="S1498" s="1" t="str">
        <f t="shared" si="119"/>
        <v/>
      </c>
      <c r="T1498" s="1">
        <f>IF($E1498="",0,SUMPRODUCT((AY_SONU!$O$7:$O$42="Evet")*(AY_SONU!$B$7:$B$42=DATE(YEAR($E1498),MONTH($E1498),1))))</f>
        <v>0</v>
      </c>
      <c r="U1498" s="1" t="str">
        <f>IF(OR($G1498="",$H1498="Mahsup"),"",$G1498&amp;"|"&amp;COUNTIFS($G$7:$G1498,$G1498,$H$7:$H1498,"&lt;&gt;Mahsup"))</f>
        <v/>
      </c>
    </row>
    <row r="1499" spans="1:21" ht="18" customHeight="1" x14ac:dyDescent="0.3">
      <c r="A1499" s="2"/>
      <c r="B1499" s="65" t="str">
        <f t="shared" si="115"/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 t="shared" si="116"/>
        <v/>
      </c>
      <c r="M1499" s="65" t="str">
        <f t="shared" ca="1" si="117"/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118"/>
        <v/>
      </c>
      <c r="S1499" s="1" t="str">
        <f t="shared" si="119"/>
        <v/>
      </c>
      <c r="T1499" s="1">
        <f>IF($E1499="",0,SUMPRODUCT((AY_SONU!$O$7:$O$42="Evet")*(AY_SONU!$B$7:$B$42=DATE(YEAR($E1499),MONTH($E1499),1))))</f>
        <v>0</v>
      </c>
      <c r="U1499" s="1" t="str">
        <f>IF(OR($G1499="",$H1499="Mahsup"),"",$G1499&amp;"|"&amp;COUNTIFS($G$7:$G1499,$G1499,$H$7:$H1499,"&lt;&gt;Mahsup"))</f>
        <v/>
      </c>
    </row>
    <row r="1500" spans="1:21" ht="18" customHeight="1" x14ac:dyDescent="0.3">
      <c r="A1500" s="2"/>
      <c r="B1500" s="65" t="str">
        <f t="shared" si="115"/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 t="shared" si="116"/>
        <v/>
      </c>
      <c r="M1500" s="65" t="str">
        <f t="shared" ca="1" si="117"/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118"/>
        <v/>
      </c>
      <c r="S1500" s="1" t="str">
        <f t="shared" si="119"/>
        <v/>
      </c>
      <c r="T1500" s="1">
        <f>IF($E1500="",0,SUMPRODUCT((AY_SONU!$O$7:$O$42="Evet")*(AY_SONU!$B$7:$B$42=DATE(YEAR($E1500),MONTH($E1500),1))))</f>
        <v>0</v>
      </c>
      <c r="U1500" s="1" t="str">
        <f>IF(OR($G1500="",$H1500="Mahsup"),"",$G1500&amp;"|"&amp;COUNTIFS($G$7:$G1500,$G1500,$H$7:$H1500,"&lt;&gt;Mahsup"))</f>
        <v/>
      </c>
    </row>
    <row r="1501" spans="1:21" ht="18" customHeight="1" x14ac:dyDescent="0.3">
      <c r="A1501" s="2"/>
      <c r="B1501" s="65" t="str">
        <f t="shared" si="115"/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 t="shared" si="116"/>
        <v/>
      </c>
      <c r="M1501" s="65" t="str">
        <f t="shared" ca="1" si="117"/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118"/>
        <v/>
      </c>
      <c r="S1501" s="1" t="str">
        <f t="shared" si="119"/>
        <v/>
      </c>
      <c r="T1501" s="1">
        <f>IF($E1501="",0,SUMPRODUCT((AY_SONU!$O$7:$O$42="Evet")*(AY_SONU!$B$7:$B$42=DATE(YEAR($E1501),MONTH($E1501),1))))</f>
        <v>0</v>
      </c>
      <c r="U1501" s="1" t="str">
        <f>IF(OR($G1501="",$H1501="Mahsup"),"",$G1501&amp;"|"&amp;COUNTIFS($G$7:$G1501,$G1501,$H$7:$H1501,"&lt;&gt;Mahsup"))</f>
        <v/>
      </c>
    </row>
    <row r="1502" spans="1:21" ht="18" customHeight="1" x14ac:dyDescent="0.3">
      <c r="A1502" s="2"/>
      <c r="B1502" s="65" t="str">
        <f t="shared" si="115"/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 t="shared" si="116"/>
        <v/>
      </c>
      <c r="M1502" s="65" t="str">
        <f t="shared" ca="1" si="117"/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118"/>
        <v/>
      </c>
      <c r="S1502" s="1" t="str">
        <f t="shared" si="119"/>
        <v/>
      </c>
      <c r="T1502" s="1">
        <f>IF($E1502="",0,SUMPRODUCT((AY_SONU!$O$7:$O$42="Evet")*(AY_SONU!$B$7:$B$42=DATE(YEAR($E1502),MONTH($E1502),1))))</f>
        <v>0</v>
      </c>
      <c r="U1502" s="1" t="str">
        <f>IF(OR($G1502="",$H1502="Mahsup"),"",$G1502&amp;"|"&amp;COUNTIFS($G$7:$G1502,$G1502,$H$7:$H1502,"&lt;&gt;Mahsup"))</f>
        <v/>
      </c>
    </row>
    <row r="1503" spans="1:21" ht="18" customHeight="1" x14ac:dyDescent="0.3">
      <c r="A1503" s="2"/>
      <c r="B1503" s="65" t="str">
        <f t="shared" si="115"/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 t="shared" si="116"/>
        <v/>
      </c>
      <c r="M1503" s="65" t="str">
        <f t="shared" ca="1" si="117"/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118"/>
        <v/>
      </c>
      <c r="S1503" s="1" t="str">
        <f t="shared" si="119"/>
        <v/>
      </c>
      <c r="T1503" s="1">
        <f>IF($E1503="",0,SUMPRODUCT((AY_SONU!$O$7:$O$42="Evet")*(AY_SONU!$B$7:$B$42=DATE(YEAR($E1503),MONTH($E1503),1))))</f>
        <v>0</v>
      </c>
      <c r="U1503" s="1" t="str">
        <f>IF(OR($G1503="",$H1503="Mahsup"),"",$G1503&amp;"|"&amp;COUNTIFS($G$7:$G1503,$G1503,$H$7:$H1503,"&lt;&gt;Mahsup"))</f>
        <v/>
      </c>
    </row>
    <row r="1504" spans="1:21" ht="18" customHeight="1" x14ac:dyDescent="0.3">
      <c r="A1504" s="2"/>
      <c r="B1504" s="65" t="str">
        <f t="shared" si="115"/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 t="shared" si="116"/>
        <v/>
      </c>
      <c r="M1504" s="65" t="str">
        <f t="shared" ca="1" si="117"/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118"/>
        <v/>
      </c>
      <c r="S1504" s="1" t="str">
        <f t="shared" si="119"/>
        <v/>
      </c>
      <c r="T1504" s="1">
        <f>IF($E1504="",0,SUMPRODUCT((AY_SONU!$O$7:$O$42="Evet")*(AY_SONU!$B$7:$B$42=DATE(YEAR($E1504),MONTH($E1504),1))))</f>
        <v>0</v>
      </c>
      <c r="U1504" s="1" t="str">
        <f>IF(OR($G1504="",$H1504="Mahsup"),"",$G1504&amp;"|"&amp;COUNTIFS($G$7:$G1504,$G1504,$H$7:$H1504,"&lt;&gt;Mahsup"))</f>
        <v/>
      </c>
    </row>
    <row r="1505" spans="1:21" ht="18" customHeight="1" x14ac:dyDescent="0.3">
      <c r="A1505" s="2"/>
      <c r="B1505" s="65" t="str">
        <f t="shared" si="115"/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 t="shared" si="116"/>
        <v/>
      </c>
      <c r="M1505" s="65" t="str">
        <f t="shared" ca="1" si="117"/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118"/>
        <v/>
      </c>
      <c r="S1505" s="1" t="str">
        <f t="shared" si="119"/>
        <v/>
      </c>
      <c r="T1505" s="1">
        <f>IF($E1505="",0,SUMPRODUCT((AY_SONU!$O$7:$O$42="Evet")*(AY_SONU!$B$7:$B$42=DATE(YEAR($E1505),MONTH($E1505),1))))</f>
        <v>0</v>
      </c>
      <c r="U1505" s="1" t="str">
        <f>IF(OR($G1505="",$H1505="Mahsup"),"",$G1505&amp;"|"&amp;COUNTIFS($G$7:$G1505,$G1505,$H$7:$H1505,"&lt;&gt;Mahsup"))</f>
        <v/>
      </c>
    </row>
    <row r="1506" spans="1:21" ht="18" customHeight="1" x14ac:dyDescent="0.3">
      <c r="A1506" s="2"/>
      <c r="B1506" s="65" t="str">
        <f t="shared" si="115"/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 t="shared" si="116"/>
        <v/>
      </c>
      <c r="M1506" s="65" t="str">
        <f t="shared" ca="1" si="117"/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118"/>
        <v/>
      </c>
      <c r="S1506" s="1" t="str">
        <f t="shared" si="119"/>
        <v/>
      </c>
      <c r="T1506" s="1">
        <f>IF($E1506="",0,SUMPRODUCT((AY_SONU!$O$7:$O$42="Evet")*(AY_SONU!$B$7:$B$42=DATE(YEAR($E1506),MONTH($E1506),1))))</f>
        <v>0</v>
      </c>
      <c r="U1506" s="1" t="str">
        <f>IF(OR($G1506="",$H1506="Mahsup"),"",$G1506&amp;"|"&amp;COUNTIFS($G$7:$G1506,$G1506,$H$7:$H1506,"&lt;&gt;Mahsup"))</f>
        <v/>
      </c>
    </row>
    <row r="1507" spans="1:21" ht="18" customHeight="1" x14ac:dyDescent="0.3">
      <c r="A1507" s="2"/>
      <c r="B1507" s="65" t="str">
        <f t="shared" si="115"/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 t="shared" si="116"/>
        <v/>
      </c>
      <c r="M1507" s="65" t="str">
        <f t="shared" ca="1" si="117"/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118"/>
        <v/>
      </c>
      <c r="S1507" s="1" t="str">
        <f t="shared" si="119"/>
        <v/>
      </c>
      <c r="T1507" s="1">
        <f>IF($E1507="",0,SUMPRODUCT((AY_SONU!$O$7:$O$42="Evet")*(AY_SONU!$B$7:$B$42=DATE(YEAR($E1507),MONTH($E1507),1))))</f>
        <v>0</v>
      </c>
      <c r="U1507" s="1" t="str">
        <f>IF(OR($G1507="",$H1507="Mahsup"),"",$G1507&amp;"|"&amp;COUNTIFS($G$7:$G1507,$G1507,$H$7:$H1507,"&lt;&gt;Mahsup"))</f>
        <v/>
      </c>
    </row>
    <row r="1508" spans="1:21" ht="18" customHeight="1" x14ac:dyDescent="0.3">
      <c r="A1508" s="2"/>
      <c r="B1508" s="65" t="str">
        <f t="shared" si="115"/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 t="shared" si="116"/>
        <v/>
      </c>
      <c r="M1508" s="65" t="str">
        <f t="shared" ca="1" si="117"/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118"/>
        <v/>
      </c>
      <c r="S1508" s="1" t="str">
        <f t="shared" si="119"/>
        <v/>
      </c>
      <c r="T1508" s="1">
        <f>IF($E1508="",0,SUMPRODUCT((AY_SONU!$O$7:$O$42="Evet")*(AY_SONU!$B$7:$B$42=DATE(YEAR($E1508),MONTH($E1508),1))))</f>
        <v>0</v>
      </c>
      <c r="U1508" s="1" t="str">
        <f>IF(OR($G1508="",$H1508="Mahsup"),"",$G1508&amp;"|"&amp;COUNTIFS($G$7:$G1508,$G1508,$H$7:$H1508,"&lt;&gt;Mahsup"))</f>
        <v/>
      </c>
    </row>
    <row r="1509" spans="1:21" ht="18" customHeight="1" x14ac:dyDescent="0.3">
      <c r="A1509" s="2"/>
      <c r="B1509" s="65" t="str">
        <f t="shared" si="115"/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 t="shared" si="116"/>
        <v/>
      </c>
      <c r="M1509" s="65" t="str">
        <f t="shared" ca="1" si="117"/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118"/>
        <v/>
      </c>
      <c r="S1509" s="1" t="str">
        <f t="shared" si="119"/>
        <v/>
      </c>
      <c r="T1509" s="1">
        <f>IF($E1509="",0,SUMPRODUCT((AY_SONU!$O$7:$O$42="Evet")*(AY_SONU!$B$7:$B$42=DATE(YEAR($E1509),MONTH($E1509),1))))</f>
        <v>0</v>
      </c>
      <c r="U1509" s="1" t="str">
        <f>IF(OR($G1509="",$H1509="Mahsup"),"",$G1509&amp;"|"&amp;COUNTIFS($G$7:$G1509,$G1509,$H$7:$H1509,"&lt;&gt;Mahsup"))</f>
        <v/>
      </c>
    </row>
    <row r="1510" spans="1:21" ht="18" customHeight="1" x14ac:dyDescent="0.3">
      <c r="A1510" s="2"/>
      <c r="B1510" s="65" t="str">
        <f t="shared" si="115"/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 t="shared" si="116"/>
        <v/>
      </c>
      <c r="M1510" s="65" t="str">
        <f t="shared" ca="1" si="117"/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118"/>
        <v/>
      </c>
      <c r="S1510" s="1" t="str">
        <f t="shared" si="119"/>
        <v/>
      </c>
      <c r="T1510" s="1">
        <f>IF($E1510="",0,SUMPRODUCT((AY_SONU!$O$7:$O$42="Evet")*(AY_SONU!$B$7:$B$42=DATE(YEAR($E1510),MONTH($E1510),1))))</f>
        <v>0</v>
      </c>
      <c r="U1510" s="1" t="str">
        <f>IF(OR($G1510="",$H1510="Mahsup"),"",$G1510&amp;"|"&amp;COUNTIFS($G$7:$G1510,$G1510,$H$7:$H1510,"&lt;&gt;Mahsup"))</f>
        <v/>
      </c>
    </row>
    <row r="1511" spans="1:21" ht="18" customHeight="1" x14ac:dyDescent="0.3">
      <c r="A1511" s="2"/>
      <c r="B1511" s="65" t="str">
        <f t="shared" si="115"/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 t="shared" si="116"/>
        <v/>
      </c>
      <c r="M1511" s="65" t="str">
        <f t="shared" ca="1" si="117"/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118"/>
        <v/>
      </c>
      <c r="S1511" s="1" t="str">
        <f t="shared" si="119"/>
        <v/>
      </c>
      <c r="T1511" s="1">
        <f>IF($E1511="",0,SUMPRODUCT((AY_SONU!$O$7:$O$42="Evet")*(AY_SONU!$B$7:$B$42=DATE(YEAR($E1511),MONTH($E1511),1))))</f>
        <v>0</v>
      </c>
      <c r="U1511" s="1" t="str">
        <f>IF(OR($G1511="",$H1511="Mahsup"),"",$G1511&amp;"|"&amp;COUNTIFS($G$7:$G1511,$G1511,$H$7:$H1511,"&lt;&gt;Mahsup"))</f>
        <v/>
      </c>
    </row>
    <row r="1512" spans="1:21" ht="18" customHeight="1" x14ac:dyDescent="0.3">
      <c r="A1512" s="2"/>
      <c r="B1512" s="65" t="str">
        <f t="shared" si="115"/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 t="shared" si="116"/>
        <v/>
      </c>
      <c r="M1512" s="65" t="str">
        <f t="shared" ca="1" si="117"/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118"/>
        <v/>
      </c>
      <c r="S1512" s="1" t="str">
        <f t="shared" si="119"/>
        <v/>
      </c>
      <c r="T1512" s="1">
        <f>IF($E1512="",0,SUMPRODUCT((AY_SONU!$O$7:$O$42="Evet")*(AY_SONU!$B$7:$B$42=DATE(YEAR($E1512),MONTH($E1512),1))))</f>
        <v>0</v>
      </c>
      <c r="U1512" s="1" t="str">
        <f>IF(OR($G1512="",$H1512="Mahsup"),"",$G1512&amp;"|"&amp;COUNTIFS($G$7:$G1512,$G1512,$H$7:$H1512,"&lt;&gt;Mahsup"))</f>
        <v/>
      </c>
    </row>
    <row r="1513" spans="1:21" ht="18" customHeight="1" x14ac:dyDescent="0.3">
      <c r="A1513" s="2"/>
      <c r="B1513" s="65" t="str">
        <f t="shared" si="115"/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 t="shared" si="116"/>
        <v/>
      </c>
      <c r="M1513" s="65" t="str">
        <f t="shared" ca="1" si="117"/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118"/>
        <v/>
      </c>
      <c r="S1513" s="1" t="str">
        <f t="shared" si="119"/>
        <v/>
      </c>
      <c r="T1513" s="1">
        <f>IF($E1513="",0,SUMPRODUCT((AY_SONU!$O$7:$O$42="Evet")*(AY_SONU!$B$7:$B$42=DATE(YEAR($E1513),MONTH($E1513),1))))</f>
        <v>0</v>
      </c>
      <c r="U1513" s="1" t="str">
        <f>IF(OR($G1513="",$H1513="Mahsup"),"",$G1513&amp;"|"&amp;COUNTIFS($G$7:$G1513,$G1513,$H$7:$H1513,"&lt;&gt;Mahsup"))</f>
        <v/>
      </c>
    </row>
    <row r="1514" spans="1:21" ht="18" customHeight="1" x14ac:dyDescent="0.3">
      <c r="A1514" s="2"/>
      <c r="B1514" s="65" t="str">
        <f t="shared" si="115"/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 t="shared" si="116"/>
        <v/>
      </c>
      <c r="M1514" s="65" t="str">
        <f t="shared" ca="1" si="117"/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118"/>
        <v/>
      </c>
      <c r="S1514" s="1" t="str">
        <f t="shared" si="119"/>
        <v/>
      </c>
      <c r="T1514" s="1">
        <f>IF($E1514="",0,SUMPRODUCT((AY_SONU!$O$7:$O$42="Evet")*(AY_SONU!$B$7:$B$42=DATE(YEAR($E1514),MONTH($E1514),1))))</f>
        <v>0</v>
      </c>
      <c r="U1514" s="1" t="str">
        <f>IF(OR($G1514="",$H1514="Mahsup"),"",$G1514&amp;"|"&amp;COUNTIFS($G$7:$G1514,$G1514,$H$7:$H1514,"&lt;&gt;Mahsup"))</f>
        <v/>
      </c>
    </row>
    <row r="1515" spans="1:21" ht="18" customHeight="1" x14ac:dyDescent="0.3">
      <c r="A1515" s="2"/>
      <c r="B1515" s="65" t="str">
        <f t="shared" si="115"/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 t="shared" si="116"/>
        <v/>
      </c>
      <c r="M1515" s="65" t="str">
        <f t="shared" ca="1" si="117"/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118"/>
        <v/>
      </c>
      <c r="S1515" s="1" t="str">
        <f t="shared" si="119"/>
        <v/>
      </c>
      <c r="T1515" s="1">
        <f>IF($E1515="",0,SUMPRODUCT((AY_SONU!$O$7:$O$42="Evet")*(AY_SONU!$B$7:$B$42=DATE(YEAR($E1515),MONTH($E1515),1))))</f>
        <v>0</v>
      </c>
      <c r="U1515" s="1" t="str">
        <f>IF(OR($G1515="",$H1515="Mahsup"),"",$G1515&amp;"|"&amp;COUNTIFS($G$7:$G1515,$G1515,$H$7:$H1515,"&lt;&gt;Mahsup"))</f>
        <v/>
      </c>
    </row>
    <row r="1516" spans="1:21" ht="18" customHeight="1" x14ac:dyDescent="0.3">
      <c r="A1516" s="2"/>
      <c r="B1516" s="65" t="str">
        <f t="shared" si="115"/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 t="shared" si="116"/>
        <v/>
      </c>
      <c r="M1516" s="65" t="str">
        <f t="shared" ca="1" si="117"/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118"/>
        <v/>
      </c>
      <c r="S1516" s="1" t="str">
        <f t="shared" si="119"/>
        <v/>
      </c>
      <c r="T1516" s="1">
        <f>IF($E1516="",0,SUMPRODUCT((AY_SONU!$O$7:$O$42="Evet")*(AY_SONU!$B$7:$B$42=DATE(YEAR($E1516),MONTH($E1516),1))))</f>
        <v>0</v>
      </c>
      <c r="U1516" s="1" t="str">
        <f>IF(OR($G1516="",$H1516="Mahsup"),"",$G1516&amp;"|"&amp;COUNTIFS($G$7:$G1516,$G1516,$H$7:$H1516,"&lt;&gt;Mahsup"))</f>
        <v/>
      </c>
    </row>
    <row r="1517" spans="1:21" ht="18" customHeight="1" x14ac:dyDescent="0.3">
      <c r="A1517" s="2"/>
      <c r="B1517" s="65" t="str">
        <f t="shared" si="115"/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 t="shared" si="116"/>
        <v/>
      </c>
      <c r="M1517" s="65" t="str">
        <f t="shared" ca="1" si="117"/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118"/>
        <v/>
      </c>
      <c r="S1517" s="1" t="str">
        <f t="shared" si="119"/>
        <v/>
      </c>
      <c r="T1517" s="1">
        <f>IF($E1517="",0,SUMPRODUCT((AY_SONU!$O$7:$O$42="Evet")*(AY_SONU!$B$7:$B$42=DATE(YEAR($E1517),MONTH($E1517),1))))</f>
        <v>0</v>
      </c>
      <c r="U1517" s="1" t="str">
        <f>IF(OR($G1517="",$H1517="Mahsup"),"",$G1517&amp;"|"&amp;COUNTIFS($G$7:$G1517,$G1517,$H$7:$H1517,"&lt;&gt;Mahsup"))</f>
        <v/>
      </c>
    </row>
    <row r="1518" spans="1:21" ht="18" customHeight="1" x14ac:dyDescent="0.3">
      <c r="A1518" s="2"/>
      <c r="B1518" s="65" t="str">
        <f t="shared" si="115"/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 t="shared" si="116"/>
        <v/>
      </c>
      <c r="M1518" s="65" t="str">
        <f t="shared" ca="1" si="117"/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118"/>
        <v/>
      </c>
      <c r="S1518" s="1" t="str">
        <f t="shared" si="119"/>
        <v/>
      </c>
      <c r="T1518" s="1">
        <f>IF($E1518="",0,SUMPRODUCT((AY_SONU!$O$7:$O$42="Evet")*(AY_SONU!$B$7:$B$42=DATE(YEAR($E1518),MONTH($E1518),1))))</f>
        <v>0</v>
      </c>
      <c r="U1518" s="1" t="str">
        <f>IF(OR($G1518="",$H1518="Mahsup"),"",$G1518&amp;"|"&amp;COUNTIFS($G$7:$G1518,$G1518,$H$7:$H1518,"&lt;&gt;Mahsup"))</f>
        <v/>
      </c>
    </row>
    <row r="1519" spans="1:21" ht="18" customHeight="1" x14ac:dyDescent="0.3">
      <c r="A1519" s="2"/>
      <c r="B1519" s="65" t="str">
        <f t="shared" si="115"/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 t="shared" si="116"/>
        <v/>
      </c>
      <c r="M1519" s="65" t="str">
        <f t="shared" ca="1" si="117"/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118"/>
        <v/>
      </c>
      <c r="S1519" s="1" t="str">
        <f t="shared" si="119"/>
        <v/>
      </c>
      <c r="T1519" s="1">
        <f>IF($E1519="",0,SUMPRODUCT((AY_SONU!$O$7:$O$42="Evet")*(AY_SONU!$B$7:$B$42=DATE(YEAR($E1519),MONTH($E1519),1))))</f>
        <v>0</v>
      </c>
      <c r="U1519" s="1" t="str">
        <f>IF(OR($G1519="",$H1519="Mahsup"),"",$G1519&amp;"|"&amp;COUNTIFS($G$7:$G1519,$G1519,$H$7:$H1519,"&lt;&gt;Mahsup"))</f>
        <v/>
      </c>
    </row>
    <row r="1520" spans="1:21" ht="18" customHeight="1" x14ac:dyDescent="0.3">
      <c r="A1520" s="2"/>
      <c r="B1520" s="65" t="str">
        <f t="shared" si="115"/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 t="shared" si="116"/>
        <v/>
      </c>
      <c r="M1520" s="65" t="str">
        <f t="shared" ca="1" si="117"/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118"/>
        <v/>
      </c>
      <c r="S1520" s="1" t="str">
        <f t="shared" si="119"/>
        <v/>
      </c>
      <c r="T1520" s="1">
        <f>IF($E1520="",0,SUMPRODUCT((AY_SONU!$O$7:$O$42="Evet")*(AY_SONU!$B$7:$B$42=DATE(YEAR($E1520),MONTH($E1520),1))))</f>
        <v>0</v>
      </c>
      <c r="U1520" s="1" t="str">
        <f>IF(OR($G1520="",$H1520="Mahsup"),"",$G1520&amp;"|"&amp;COUNTIFS($G$7:$G1520,$G1520,$H$7:$H1520,"&lt;&gt;Mahsup"))</f>
        <v/>
      </c>
    </row>
    <row r="1521" spans="1:21" ht="18" customHeight="1" x14ac:dyDescent="0.3">
      <c r="A1521" s="2"/>
      <c r="B1521" s="65" t="str">
        <f t="shared" si="115"/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 t="shared" si="116"/>
        <v/>
      </c>
      <c r="M1521" s="65" t="str">
        <f t="shared" ca="1" si="117"/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118"/>
        <v/>
      </c>
      <c r="S1521" s="1" t="str">
        <f t="shared" si="119"/>
        <v/>
      </c>
      <c r="T1521" s="1">
        <f>IF($E1521="",0,SUMPRODUCT((AY_SONU!$O$7:$O$42="Evet")*(AY_SONU!$B$7:$B$42=DATE(YEAR($E1521),MONTH($E1521),1))))</f>
        <v>0</v>
      </c>
      <c r="U1521" s="1" t="str">
        <f>IF(OR($G1521="",$H1521="Mahsup"),"",$G1521&amp;"|"&amp;COUNTIFS($G$7:$G1521,$G1521,$H$7:$H1521,"&lt;&gt;Mahsup"))</f>
        <v/>
      </c>
    </row>
    <row r="1522" spans="1:21" ht="18" customHeight="1" x14ac:dyDescent="0.3">
      <c r="A1522" s="2"/>
      <c r="B1522" s="65" t="str">
        <f t="shared" si="115"/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 t="shared" si="116"/>
        <v/>
      </c>
      <c r="M1522" s="65" t="str">
        <f t="shared" ca="1" si="117"/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118"/>
        <v/>
      </c>
      <c r="S1522" s="1" t="str">
        <f t="shared" si="119"/>
        <v/>
      </c>
      <c r="T1522" s="1">
        <f>IF($E1522="",0,SUMPRODUCT((AY_SONU!$O$7:$O$42="Evet")*(AY_SONU!$B$7:$B$42=DATE(YEAR($E1522),MONTH($E1522),1))))</f>
        <v>0</v>
      </c>
      <c r="U1522" s="1" t="str">
        <f>IF(OR($G1522="",$H1522="Mahsup"),"",$G1522&amp;"|"&amp;COUNTIFS($G$7:$G1522,$G1522,$H$7:$H1522,"&lt;&gt;Mahsup"))</f>
        <v/>
      </c>
    </row>
    <row r="1523" spans="1:21" ht="18" customHeight="1" x14ac:dyDescent="0.3">
      <c r="A1523" s="2"/>
      <c r="B1523" s="65" t="str">
        <f t="shared" si="115"/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 t="shared" si="116"/>
        <v/>
      </c>
      <c r="M1523" s="65" t="str">
        <f t="shared" ca="1" si="117"/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118"/>
        <v/>
      </c>
      <c r="S1523" s="1" t="str">
        <f t="shared" si="119"/>
        <v/>
      </c>
      <c r="T1523" s="1">
        <f>IF($E1523="",0,SUMPRODUCT((AY_SONU!$O$7:$O$42="Evet")*(AY_SONU!$B$7:$B$42=DATE(YEAR($E1523),MONTH($E1523),1))))</f>
        <v>0</v>
      </c>
      <c r="U1523" s="1" t="str">
        <f>IF(OR($G1523="",$H1523="Mahsup"),"",$G1523&amp;"|"&amp;COUNTIFS($G$7:$G1523,$G1523,$H$7:$H1523,"&lt;&gt;Mahsup"))</f>
        <v/>
      </c>
    </row>
    <row r="1524" spans="1:21" ht="18" customHeight="1" x14ac:dyDescent="0.3">
      <c r="A1524" s="2"/>
      <c r="B1524" s="65" t="str">
        <f t="shared" si="115"/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 t="shared" si="116"/>
        <v/>
      </c>
      <c r="M1524" s="65" t="str">
        <f t="shared" ca="1" si="117"/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118"/>
        <v/>
      </c>
      <c r="S1524" s="1" t="str">
        <f t="shared" si="119"/>
        <v/>
      </c>
      <c r="T1524" s="1">
        <f>IF($E1524="",0,SUMPRODUCT((AY_SONU!$O$7:$O$42="Evet")*(AY_SONU!$B$7:$B$42=DATE(YEAR($E1524),MONTH($E1524),1))))</f>
        <v>0</v>
      </c>
      <c r="U1524" s="1" t="str">
        <f>IF(OR($G1524="",$H1524="Mahsup"),"",$G1524&amp;"|"&amp;COUNTIFS($G$7:$G1524,$G1524,$H$7:$H1524,"&lt;&gt;Mahsup"))</f>
        <v/>
      </c>
    </row>
    <row r="1525" spans="1:21" ht="18" customHeight="1" x14ac:dyDescent="0.3">
      <c r="A1525" s="2"/>
      <c r="B1525" s="65" t="str">
        <f t="shared" si="115"/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 t="shared" si="116"/>
        <v/>
      </c>
      <c r="M1525" s="65" t="str">
        <f t="shared" ca="1" si="117"/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118"/>
        <v/>
      </c>
      <c r="S1525" s="1" t="str">
        <f t="shared" si="119"/>
        <v/>
      </c>
      <c r="T1525" s="1">
        <f>IF($E1525="",0,SUMPRODUCT((AY_SONU!$O$7:$O$42="Evet")*(AY_SONU!$B$7:$B$42=DATE(YEAR($E1525),MONTH($E1525),1))))</f>
        <v>0</v>
      </c>
      <c r="U1525" s="1" t="str">
        <f>IF(OR($G1525="",$H1525="Mahsup"),"",$G1525&amp;"|"&amp;COUNTIFS($G$7:$G1525,$G1525,$H$7:$H1525,"&lt;&gt;Mahsup"))</f>
        <v/>
      </c>
    </row>
    <row r="1526" spans="1:21" ht="18" customHeight="1" x14ac:dyDescent="0.3">
      <c r="A1526" s="2"/>
      <c r="B1526" s="65" t="str">
        <f t="shared" si="115"/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 t="shared" si="116"/>
        <v/>
      </c>
      <c r="M1526" s="65" t="str">
        <f t="shared" ca="1" si="117"/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118"/>
        <v/>
      </c>
      <c r="S1526" s="1" t="str">
        <f t="shared" si="119"/>
        <v/>
      </c>
      <c r="T1526" s="1">
        <f>IF($E1526="",0,SUMPRODUCT((AY_SONU!$O$7:$O$42="Evet")*(AY_SONU!$B$7:$B$42=DATE(YEAR($E1526),MONTH($E1526),1))))</f>
        <v>0</v>
      </c>
      <c r="U1526" s="1" t="str">
        <f>IF(OR($G1526="",$H1526="Mahsup"),"",$G1526&amp;"|"&amp;COUNTIFS($G$7:$G1526,$G1526,$H$7:$H1526,"&lt;&gt;Mahsup"))</f>
        <v/>
      </c>
    </row>
    <row r="1527" spans="1:21" ht="18" customHeight="1" x14ac:dyDescent="0.3">
      <c r="A1527" s="2"/>
      <c r="B1527" s="65" t="str">
        <f t="shared" si="115"/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 t="shared" si="116"/>
        <v/>
      </c>
      <c r="M1527" s="65" t="str">
        <f t="shared" ca="1" si="117"/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118"/>
        <v/>
      </c>
      <c r="S1527" s="1" t="str">
        <f t="shared" si="119"/>
        <v/>
      </c>
      <c r="T1527" s="1">
        <f>IF($E1527="",0,SUMPRODUCT((AY_SONU!$O$7:$O$42="Evet")*(AY_SONU!$B$7:$B$42=DATE(YEAR($E1527),MONTH($E1527),1))))</f>
        <v>0</v>
      </c>
      <c r="U1527" s="1" t="str">
        <f>IF(OR($G1527="",$H1527="Mahsup"),"",$G1527&amp;"|"&amp;COUNTIFS($G$7:$G1527,$G1527,$H$7:$H1527,"&lt;&gt;Mahsup"))</f>
        <v/>
      </c>
    </row>
    <row r="1528" spans="1:21" ht="18" customHeight="1" x14ac:dyDescent="0.3">
      <c r="A1528" s="2"/>
      <c r="B1528" s="65" t="str">
        <f t="shared" si="115"/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 t="shared" si="116"/>
        <v/>
      </c>
      <c r="M1528" s="65" t="str">
        <f t="shared" ca="1" si="117"/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118"/>
        <v/>
      </c>
      <c r="S1528" s="1" t="str">
        <f t="shared" si="119"/>
        <v/>
      </c>
      <c r="T1528" s="1">
        <f>IF($E1528="",0,SUMPRODUCT((AY_SONU!$O$7:$O$42="Evet")*(AY_SONU!$B$7:$B$42=DATE(YEAR($E1528),MONTH($E1528),1))))</f>
        <v>0</v>
      </c>
      <c r="U1528" s="1" t="str">
        <f>IF(OR($G1528="",$H1528="Mahsup"),"",$G1528&amp;"|"&amp;COUNTIFS($G$7:$G1528,$G1528,$H$7:$H1528,"&lt;&gt;Mahsup"))</f>
        <v/>
      </c>
    </row>
    <row r="1529" spans="1:21" ht="18" customHeight="1" x14ac:dyDescent="0.3">
      <c r="A1529" s="2"/>
      <c r="B1529" s="65" t="str">
        <f t="shared" si="115"/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 t="shared" si="116"/>
        <v/>
      </c>
      <c r="M1529" s="65" t="str">
        <f t="shared" ca="1" si="117"/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118"/>
        <v/>
      </c>
      <c r="S1529" s="1" t="str">
        <f t="shared" si="119"/>
        <v/>
      </c>
      <c r="T1529" s="1">
        <f>IF($E1529="",0,SUMPRODUCT((AY_SONU!$O$7:$O$42="Evet")*(AY_SONU!$B$7:$B$42=DATE(YEAR($E1529),MONTH($E1529),1))))</f>
        <v>0</v>
      </c>
      <c r="U1529" s="1" t="str">
        <f>IF(OR($G1529="",$H1529="Mahsup"),"",$G1529&amp;"|"&amp;COUNTIFS($G$7:$G1529,$G1529,$H$7:$H1529,"&lt;&gt;Mahsup"))</f>
        <v/>
      </c>
    </row>
    <row r="1530" spans="1:21" ht="18" customHeight="1" x14ac:dyDescent="0.3">
      <c r="A1530" s="2"/>
      <c r="B1530" s="65" t="str">
        <f t="shared" si="115"/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 t="shared" si="116"/>
        <v/>
      </c>
      <c r="M1530" s="65" t="str">
        <f t="shared" ca="1" si="117"/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118"/>
        <v/>
      </c>
      <c r="S1530" s="1" t="str">
        <f t="shared" si="119"/>
        <v/>
      </c>
      <c r="T1530" s="1">
        <f>IF($E1530="",0,SUMPRODUCT((AY_SONU!$O$7:$O$42="Evet")*(AY_SONU!$B$7:$B$42=DATE(YEAR($E1530),MONTH($E1530),1))))</f>
        <v>0</v>
      </c>
      <c r="U1530" s="1" t="str">
        <f>IF(OR($G1530="",$H1530="Mahsup"),"",$G1530&amp;"|"&amp;COUNTIFS($G$7:$G1530,$G1530,$H$7:$H1530,"&lt;&gt;Mahsup"))</f>
        <v/>
      </c>
    </row>
    <row r="1531" spans="1:21" ht="18" customHeight="1" x14ac:dyDescent="0.3">
      <c r="A1531" s="2"/>
      <c r="B1531" s="65" t="str">
        <f t="shared" si="115"/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 t="shared" si="116"/>
        <v/>
      </c>
      <c r="M1531" s="65" t="str">
        <f t="shared" ca="1" si="117"/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118"/>
        <v/>
      </c>
      <c r="S1531" s="1" t="str">
        <f t="shared" si="119"/>
        <v/>
      </c>
      <c r="T1531" s="1">
        <f>IF($E1531="",0,SUMPRODUCT((AY_SONU!$O$7:$O$42="Evet")*(AY_SONU!$B$7:$B$42=DATE(YEAR($E1531),MONTH($E1531),1))))</f>
        <v>0</v>
      </c>
      <c r="U1531" s="1" t="str">
        <f>IF(OR($G1531="",$H1531="Mahsup"),"",$G1531&amp;"|"&amp;COUNTIFS($G$7:$G1531,$G1531,$H$7:$H1531,"&lt;&gt;Mahsup"))</f>
        <v/>
      </c>
    </row>
    <row r="1532" spans="1:21" ht="18" customHeight="1" x14ac:dyDescent="0.3">
      <c r="A1532" s="2"/>
      <c r="B1532" s="65" t="str">
        <f t="shared" si="115"/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 t="shared" si="116"/>
        <v/>
      </c>
      <c r="M1532" s="65" t="str">
        <f t="shared" ca="1" si="117"/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118"/>
        <v/>
      </c>
      <c r="S1532" s="1" t="str">
        <f t="shared" si="119"/>
        <v/>
      </c>
      <c r="T1532" s="1">
        <f>IF($E1532="",0,SUMPRODUCT((AY_SONU!$O$7:$O$42="Evet")*(AY_SONU!$B$7:$B$42=DATE(YEAR($E1532),MONTH($E1532),1))))</f>
        <v>0</v>
      </c>
      <c r="U1532" s="1" t="str">
        <f>IF(OR($G1532="",$H1532="Mahsup"),"",$G1532&amp;"|"&amp;COUNTIFS($G$7:$G1532,$G1532,$H$7:$H1532,"&lt;&gt;Mahsup"))</f>
        <v/>
      </c>
    </row>
    <row r="1533" spans="1:21" ht="18" customHeight="1" x14ac:dyDescent="0.3">
      <c r="A1533" s="2"/>
      <c r="B1533" s="65" t="str">
        <f t="shared" si="115"/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 t="shared" si="116"/>
        <v/>
      </c>
      <c r="M1533" s="65" t="str">
        <f t="shared" ca="1" si="117"/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118"/>
        <v/>
      </c>
      <c r="S1533" s="1" t="str">
        <f t="shared" si="119"/>
        <v/>
      </c>
      <c r="T1533" s="1">
        <f>IF($E1533="",0,SUMPRODUCT((AY_SONU!$O$7:$O$42="Evet")*(AY_SONU!$B$7:$B$42=DATE(YEAR($E1533),MONTH($E1533),1))))</f>
        <v>0</v>
      </c>
      <c r="U1533" s="1" t="str">
        <f>IF(OR($G1533="",$H1533="Mahsup"),"",$G1533&amp;"|"&amp;COUNTIFS($G$7:$G1533,$G1533,$H$7:$H1533,"&lt;&gt;Mahsup"))</f>
        <v/>
      </c>
    </row>
    <row r="1534" spans="1:21" ht="18" customHeight="1" x14ac:dyDescent="0.3">
      <c r="A1534" s="2"/>
      <c r="B1534" s="65" t="str">
        <f t="shared" si="115"/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 t="shared" si="116"/>
        <v/>
      </c>
      <c r="M1534" s="65" t="str">
        <f t="shared" ca="1" si="117"/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118"/>
        <v/>
      </c>
      <c r="S1534" s="1" t="str">
        <f t="shared" si="119"/>
        <v/>
      </c>
      <c r="T1534" s="1">
        <f>IF($E1534="",0,SUMPRODUCT((AY_SONU!$O$7:$O$42="Evet")*(AY_SONU!$B$7:$B$42=DATE(YEAR($E1534),MONTH($E1534),1))))</f>
        <v>0</v>
      </c>
      <c r="U1534" s="1" t="str">
        <f>IF(OR($G1534="",$H1534="Mahsup"),"",$G1534&amp;"|"&amp;COUNTIFS($G$7:$G1534,$G1534,$H$7:$H1534,"&lt;&gt;Mahsup"))</f>
        <v/>
      </c>
    </row>
    <row r="1535" spans="1:21" ht="18" customHeight="1" x14ac:dyDescent="0.3">
      <c r="A1535" s="2"/>
      <c r="B1535" s="65" t="str">
        <f t="shared" si="115"/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 t="shared" si="116"/>
        <v/>
      </c>
      <c r="M1535" s="65" t="str">
        <f t="shared" ca="1" si="117"/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118"/>
        <v/>
      </c>
      <c r="S1535" s="1" t="str">
        <f t="shared" si="119"/>
        <v/>
      </c>
      <c r="T1535" s="1">
        <f>IF($E1535="",0,SUMPRODUCT((AY_SONU!$O$7:$O$42="Evet")*(AY_SONU!$B$7:$B$42=DATE(YEAR($E1535),MONTH($E1535),1))))</f>
        <v>0</v>
      </c>
      <c r="U1535" s="1" t="str">
        <f>IF(OR($G1535="",$H1535="Mahsup"),"",$G1535&amp;"|"&amp;COUNTIFS($G$7:$G1535,$G1535,$H$7:$H1535,"&lt;&gt;Mahsup"))</f>
        <v/>
      </c>
    </row>
    <row r="1536" spans="1:21" ht="18" customHeight="1" x14ac:dyDescent="0.3">
      <c r="A1536" s="2"/>
      <c r="B1536" s="65" t="str">
        <f t="shared" si="115"/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 t="shared" si="116"/>
        <v/>
      </c>
      <c r="M1536" s="65" t="str">
        <f t="shared" ca="1" si="117"/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118"/>
        <v/>
      </c>
      <c r="S1536" s="1" t="str">
        <f t="shared" si="119"/>
        <v/>
      </c>
      <c r="T1536" s="1">
        <f>IF($E1536="",0,SUMPRODUCT((AY_SONU!$O$7:$O$42="Evet")*(AY_SONU!$B$7:$B$42=DATE(YEAR($E1536),MONTH($E1536),1))))</f>
        <v>0</v>
      </c>
      <c r="U1536" s="1" t="str">
        <f>IF(OR($G1536="",$H1536="Mahsup"),"",$G1536&amp;"|"&amp;COUNTIFS($G$7:$G1536,$G1536,$H$7:$H1536,"&lt;&gt;Mahsup"))</f>
        <v/>
      </c>
    </row>
    <row r="1537" spans="1:21" ht="18" customHeight="1" x14ac:dyDescent="0.3">
      <c r="A1537" s="2"/>
      <c r="B1537" s="65" t="str">
        <f t="shared" si="115"/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 t="shared" si="116"/>
        <v/>
      </c>
      <c r="M1537" s="65" t="str">
        <f t="shared" ca="1" si="117"/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118"/>
        <v/>
      </c>
      <c r="S1537" s="1" t="str">
        <f t="shared" si="119"/>
        <v/>
      </c>
      <c r="T1537" s="1">
        <f>IF($E1537="",0,SUMPRODUCT((AY_SONU!$O$7:$O$42="Evet")*(AY_SONU!$B$7:$B$42=DATE(YEAR($E1537),MONTH($E1537),1))))</f>
        <v>0</v>
      </c>
      <c r="U1537" s="1" t="str">
        <f>IF(OR($G1537="",$H1537="Mahsup"),"",$G1537&amp;"|"&amp;COUNTIFS($G$7:$G1537,$G1537,$H$7:$H1537,"&lt;&gt;Mahsup"))</f>
        <v/>
      </c>
    </row>
    <row r="1538" spans="1:21" ht="18" customHeight="1" x14ac:dyDescent="0.3">
      <c r="A1538" s="2"/>
      <c r="B1538" s="65" t="str">
        <f t="shared" si="115"/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 t="shared" si="116"/>
        <v/>
      </c>
      <c r="M1538" s="65" t="str">
        <f t="shared" ca="1" si="117"/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118"/>
        <v/>
      </c>
      <c r="S1538" s="1" t="str">
        <f t="shared" si="119"/>
        <v/>
      </c>
      <c r="T1538" s="1">
        <f>IF($E1538="",0,SUMPRODUCT((AY_SONU!$O$7:$O$42="Evet")*(AY_SONU!$B$7:$B$42=DATE(YEAR($E1538),MONTH($E1538),1))))</f>
        <v>0</v>
      </c>
      <c r="U1538" s="1" t="str">
        <f>IF(OR($G1538="",$H1538="Mahsup"),"",$G1538&amp;"|"&amp;COUNTIFS($G$7:$G1538,$G1538,$H$7:$H1538,"&lt;&gt;Mahsup"))</f>
        <v/>
      </c>
    </row>
    <row r="1539" spans="1:21" ht="18" customHeight="1" x14ac:dyDescent="0.3">
      <c r="A1539" s="2"/>
      <c r="B1539" s="65" t="str">
        <f t="shared" si="115"/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 t="shared" si="116"/>
        <v/>
      </c>
      <c r="M1539" s="65" t="str">
        <f t="shared" ca="1" si="117"/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118"/>
        <v/>
      </c>
      <c r="S1539" s="1" t="str">
        <f t="shared" si="119"/>
        <v/>
      </c>
      <c r="T1539" s="1">
        <f>IF($E1539="",0,SUMPRODUCT((AY_SONU!$O$7:$O$42="Evet")*(AY_SONU!$B$7:$B$42=DATE(YEAR($E1539),MONTH($E1539),1))))</f>
        <v>0</v>
      </c>
      <c r="U1539" s="1" t="str">
        <f>IF(OR($G1539="",$H1539="Mahsup"),"",$G1539&amp;"|"&amp;COUNTIFS($G$7:$G1539,$G1539,$H$7:$H1539,"&lt;&gt;Mahsup"))</f>
        <v/>
      </c>
    </row>
    <row r="1540" spans="1:21" ht="18" customHeight="1" x14ac:dyDescent="0.3">
      <c r="A1540" s="2"/>
      <c r="B1540" s="65" t="str">
        <f t="shared" si="115"/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 t="shared" si="116"/>
        <v/>
      </c>
      <c r="M1540" s="65" t="str">
        <f t="shared" ca="1" si="117"/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118"/>
        <v/>
      </c>
      <c r="S1540" s="1" t="str">
        <f t="shared" si="119"/>
        <v/>
      </c>
      <c r="T1540" s="1">
        <f>IF($E1540="",0,SUMPRODUCT((AY_SONU!$O$7:$O$42="Evet")*(AY_SONU!$B$7:$B$42=DATE(YEAR($E1540),MONTH($E1540),1))))</f>
        <v>0</v>
      </c>
      <c r="U1540" s="1" t="str">
        <f>IF(OR($G1540="",$H1540="Mahsup"),"",$G1540&amp;"|"&amp;COUNTIFS($G$7:$G1540,$G1540,$H$7:$H1540,"&lt;&gt;Mahsup"))</f>
        <v/>
      </c>
    </row>
    <row r="1541" spans="1:21" ht="18" customHeight="1" x14ac:dyDescent="0.3">
      <c r="A1541" s="2"/>
      <c r="B1541" s="65" t="str">
        <f t="shared" si="115"/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 t="shared" si="116"/>
        <v/>
      </c>
      <c r="M1541" s="65" t="str">
        <f t="shared" ca="1" si="117"/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118"/>
        <v/>
      </c>
      <c r="S1541" s="1" t="str">
        <f t="shared" si="119"/>
        <v/>
      </c>
      <c r="T1541" s="1">
        <f>IF($E1541="",0,SUMPRODUCT((AY_SONU!$O$7:$O$42="Evet")*(AY_SONU!$B$7:$B$42=DATE(YEAR($E1541),MONTH($E1541),1))))</f>
        <v>0</v>
      </c>
      <c r="U1541" s="1" t="str">
        <f>IF(OR($G1541="",$H1541="Mahsup"),"",$G1541&amp;"|"&amp;COUNTIFS($G$7:$G1541,$G1541,$H$7:$H1541,"&lt;&gt;Mahsup"))</f>
        <v/>
      </c>
    </row>
    <row r="1542" spans="1:21" ht="18" customHeight="1" x14ac:dyDescent="0.3">
      <c r="A1542" s="2"/>
      <c r="B1542" s="65" t="str">
        <f t="shared" si="115"/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 t="shared" si="116"/>
        <v/>
      </c>
      <c r="M1542" s="65" t="str">
        <f t="shared" ca="1" si="117"/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118"/>
        <v/>
      </c>
      <c r="S1542" s="1" t="str">
        <f t="shared" si="119"/>
        <v/>
      </c>
      <c r="T1542" s="1">
        <f>IF($E1542="",0,SUMPRODUCT((AY_SONU!$O$7:$O$42="Evet")*(AY_SONU!$B$7:$B$42=DATE(YEAR($E1542),MONTH($E1542),1))))</f>
        <v>0</v>
      </c>
      <c r="U1542" s="1" t="str">
        <f>IF(OR($G1542="",$H1542="Mahsup"),"",$G1542&amp;"|"&amp;COUNTIFS($G$7:$G1542,$G1542,$H$7:$H1542,"&lt;&gt;Mahsup"))</f>
        <v/>
      </c>
    </row>
    <row r="1543" spans="1:21" ht="18" customHeight="1" x14ac:dyDescent="0.3">
      <c r="A1543" s="2"/>
      <c r="B1543" s="65" t="str">
        <f t="shared" ref="B1543:B1606" si="120"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 t="shared" ref="L1543:L1606" si="121">IF($E1543="","",DATE(YEAR($E1543),MONTH($E1543),1))</f>
        <v/>
      </c>
      <c r="M1543" s="65" t="str">
        <f t="shared" ref="M1543:M1606" ca="1" si="122"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123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124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  <c r="U1543" s="1" t="str">
        <f>IF(OR($G1543="",$H1543="Mahsup"),"",$G1543&amp;"|"&amp;COUNTIFS($G$7:$G1543,$G1543,$H$7:$H1543,"&lt;&gt;Mahsup"))</f>
        <v/>
      </c>
    </row>
    <row r="1544" spans="1:21" ht="18" customHeight="1" x14ac:dyDescent="0.3">
      <c r="A1544" s="2"/>
      <c r="B1544" s="65" t="str">
        <f t="shared" si="120"/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 t="shared" si="121"/>
        <v/>
      </c>
      <c r="M1544" s="65" t="str">
        <f t="shared" ca="1" si="122"/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123"/>
        <v/>
      </c>
      <c r="S1544" s="1" t="str">
        <f t="shared" si="124"/>
        <v/>
      </c>
      <c r="T1544" s="1">
        <f>IF($E1544="",0,SUMPRODUCT((AY_SONU!$O$7:$O$42="Evet")*(AY_SONU!$B$7:$B$42=DATE(YEAR($E1544),MONTH($E1544),1))))</f>
        <v>0</v>
      </c>
      <c r="U1544" s="1" t="str">
        <f>IF(OR($G1544="",$H1544="Mahsup"),"",$G1544&amp;"|"&amp;COUNTIFS($G$7:$G1544,$G1544,$H$7:$H1544,"&lt;&gt;Mahsup"))</f>
        <v/>
      </c>
    </row>
    <row r="1545" spans="1:21" ht="18" customHeight="1" x14ac:dyDescent="0.3">
      <c r="A1545" s="2"/>
      <c r="B1545" s="65" t="str">
        <f t="shared" si="120"/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 t="shared" si="121"/>
        <v/>
      </c>
      <c r="M1545" s="65" t="str">
        <f t="shared" ca="1" si="122"/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123"/>
        <v/>
      </c>
      <c r="S1545" s="1" t="str">
        <f t="shared" si="124"/>
        <v/>
      </c>
      <c r="T1545" s="1">
        <f>IF($E1545="",0,SUMPRODUCT((AY_SONU!$O$7:$O$42="Evet")*(AY_SONU!$B$7:$B$42=DATE(YEAR($E1545),MONTH($E1545),1))))</f>
        <v>0</v>
      </c>
      <c r="U1545" s="1" t="str">
        <f>IF(OR($G1545="",$H1545="Mahsup"),"",$G1545&amp;"|"&amp;COUNTIFS($G$7:$G1545,$G1545,$H$7:$H1545,"&lt;&gt;Mahsup"))</f>
        <v/>
      </c>
    </row>
    <row r="1546" spans="1:21" ht="18" customHeight="1" x14ac:dyDescent="0.3">
      <c r="A1546" s="2"/>
      <c r="B1546" s="65" t="str">
        <f t="shared" si="120"/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 t="shared" si="121"/>
        <v/>
      </c>
      <c r="M1546" s="65" t="str">
        <f t="shared" ca="1" si="122"/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123"/>
        <v/>
      </c>
      <c r="S1546" s="1" t="str">
        <f t="shared" si="124"/>
        <v/>
      </c>
      <c r="T1546" s="1">
        <f>IF($E1546="",0,SUMPRODUCT((AY_SONU!$O$7:$O$42="Evet")*(AY_SONU!$B$7:$B$42=DATE(YEAR($E1546),MONTH($E1546),1))))</f>
        <v>0</v>
      </c>
      <c r="U1546" s="1" t="str">
        <f>IF(OR($G1546="",$H1546="Mahsup"),"",$G1546&amp;"|"&amp;COUNTIFS($G$7:$G1546,$G1546,$H$7:$H1546,"&lt;&gt;Mahsup"))</f>
        <v/>
      </c>
    </row>
    <row r="1547" spans="1:21" ht="18" customHeight="1" x14ac:dyDescent="0.3">
      <c r="A1547" s="2"/>
      <c r="B1547" s="65" t="str">
        <f t="shared" si="120"/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 t="shared" si="121"/>
        <v/>
      </c>
      <c r="M1547" s="65" t="str">
        <f t="shared" ca="1" si="122"/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123"/>
        <v/>
      </c>
      <c r="S1547" s="1" t="str">
        <f t="shared" si="124"/>
        <v/>
      </c>
      <c r="T1547" s="1">
        <f>IF($E1547="",0,SUMPRODUCT((AY_SONU!$O$7:$O$42="Evet")*(AY_SONU!$B$7:$B$42=DATE(YEAR($E1547),MONTH($E1547),1))))</f>
        <v>0</v>
      </c>
      <c r="U1547" s="1" t="str">
        <f>IF(OR($G1547="",$H1547="Mahsup"),"",$G1547&amp;"|"&amp;COUNTIFS($G$7:$G1547,$G1547,$H$7:$H1547,"&lt;&gt;Mahsup"))</f>
        <v/>
      </c>
    </row>
    <row r="1548" spans="1:21" ht="18" customHeight="1" x14ac:dyDescent="0.3">
      <c r="A1548" s="2"/>
      <c r="B1548" s="65" t="str">
        <f t="shared" si="120"/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 t="shared" si="121"/>
        <v/>
      </c>
      <c r="M1548" s="65" t="str">
        <f t="shared" ca="1" si="122"/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123"/>
        <v/>
      </c>
      <c r="S1548" s="1" t="str">
        <f t="shared" si="124"/>
        <v/>
      </c>
      <c r="T1548" s="1">
        <f>IF($E1548="",0,SUMPRODUCT((AY_SONU!$O$7:$O$42="Evet")*(AY_SONU!$B$7:$B$42=DATE(YEAR($E1548),MONTH($E1548),1))))</f>
        <v>0</v>
      </c>
      <c r="U1548" s="1" t="str">
        <f>IF(OR($G1548="",$H1548="Mahsup"),"",$G1548&amp;"|"&amp;COUNTIFS($G$7:$G1548,$G1548,$H$7:$H1548,"&lt;&gt;Mahsup"))</f>
        <v/>
      </c>
    </row>
    <row r="1549" spans="1:21" ht="18" customHeight="1" x14ac:dyDescent="0.3">
      <c r="A1549" s="2"/>
      <c r="B1549" s="65" t="str">
        <f t="shared" si="120"/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 t="shared" si="121"/>
        <v/>
      </c>
      <c r="M1549" s="65" t="str">
        <f t="shared" ca="1" si="122"/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123"/>
        <v/>
      </c>
      <c r="S1549" s="1" t="str">
        <f t="shared" si="124"/>
        <v/>
      </c>
      <c r="T1549" s="1">
        <f>IF($E1549="",0,SUMPRODUCT((AY_SONU!$O$7:$O$42="Evet")*(AY_SONU!$B$7:$B$42=DATE(YEAR($E1549),MONTH($E1549),1))))</f>
        <v>0</v>
      </c>
      <c r="U1549" s="1" t="str">
        <f>IF(OR($G1549="",$H1549="Mahsup"),"",$G1549&amp;"|"&amp;COUNTIFS($G$7:$G1549,$G1549,$H$7:$H1549,"&lt;&gt;Mahsup"))</f>
        <v/>
      </c>
    </row>
    <row r="1550" spans="1:21" ht="18" customHeight="1" x14ac:dyDescent="0.3">
      <c r="A1550" s="2"/>
      <c r="B1550" s="65" t="str">
        <f t="shared" si="120"/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 t="shared" si="121"/>
        <v/>
      </c>
      <c r="M1550" s="65" t="str">
        <f t="shared" ca="1" si="122"/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123"/>
        <v/>
      </c>
      <c r="S1550" s="1" t="str">
        <f t="shared" si="124"/>
        <v/>
      </c>
      <c r="T1550" s="1">
        <f>IF($E1550="",0,SUMPRODUCT((AY_SONU!$O$7:$O$42="Evet")*(AY_SONU!$B$7:$B$42=DATE(YEAR($E1550),MONTH($E1550),1))))</f>
        <v>0</v>
      </c>
      <c r="U1550" s="1" t="str">
        <f>IF(OR($G1550="",$H1550="Mahsup"),"",$G1550&amp;"|"&amp;COUNTIFS($G$7:$G1550,$G1550,$H$7:$H1550,"&lt;&gt;Mahsup"))</f>
        <v/>
      </c>
    </row>
    <row r="1551" spans="1:21" ht="18" customHeight="1" x14ac:dyDescent="0.3">
      <c r="A1551" s="2"/>
      <c r="B1551" s="65" t="str">
        <f t="shared" si="120"/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 t="shared" si="121"/>
        <v/>
      </c>
      <c r="M1551" s="65" t="str">
        <f t="shared" ca="1" si="122"/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123"/>
        <v/>
      </c>
      <c r="S1551" s="1" t="str">
        <f t="shared" si="124"/>
        <v/>
      </c>
      <c r="T1551" s="1">
        <f>IF($E1551="",0,SUMPRODUCT((AY_SONU!$O$7:$O$42="Evet")*(AY_SONU!$B$7:$B$42=DATE(YEAR($E1551),MONTH($E1551),1))))</f>
        <v>0</v>
      </c>
      <c r="U1551" s="1" t="str">
        <f>IF(OR($G1551="",$H1551="Mahsup"),"",$G1551&amp;"|"&amp;COUNTIFS($G$7:$G1551,$G1551,$H$7:$H1551,"&lt;&gt;Mahsup"))</f>
        <v/>
      </c>
    </row>
    <row r="1552" spans="1:21" ht="18" customHeight="1" x14ac:dyDescent="0.3">
      <c r="A1552" s="2"/>
      <c r="B1552" s="65" t="str">
        <f t="shared" si="120"/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 t="shared" si="121"/>
        <v/>
      </c>
      <c r="M1552" s="65" t="str">
        <f t="shared" ca="1" si="122"/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123"/>
        <v/>
      </c>
      <c r="S1552" s="1" t="str">
        <f t="shared" si="124"/>
        <v/>
      </c>
      <c r="T1552" s="1">
        <f>IF($E1552="",0,SUMPRODUCT((AY_SONU!$O$7:$O$42="Evet")*(AY_SONU!$B$7:$B$42=DATE(YEAR($E1552),MONTH($E1552),1))))</f>
        <v>0</v>
      </c>
      <c r="U1552" s="1" t="str">
        <f>IF(OR($G1552="",$H1552="Mahsup"),"",$G1552&amp;"|"&amp;COUNTIFS($G$7:$G1552,$G1552,$H$7:$H1552,"&lt;&gt;Mahsup"))</f>
        <v/>
      </c>
    </row>
    <row r="1553" spans="1:21" ht="18" customHeight="1" x14ac:dyDescent="0.3">
      <c r="A1553" s="2"/>
      <c r="B1553" s="65" t="str">
        <f t="shared" si="120"/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 t="shared" si="121"/>
        <v/>
      </c>
      <c r="M1553" s="65" t="str">
        <f t="shared" ca="1" si="122"/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123"/>
        <v/>
      </c>
      <c r="S1553" s="1" t="str">
        <f t="shared" si="124"/>
        <v/>
      </c>
      <c r="T1553" s="1">
        <f>IF($E1553="",0,SUMPRODUCT((AY_SONU!$O$7:$O$42="Evet")*(AY_SONU!$B$7:$B$42=DATE(YEAR($E1553),MONTH($E1553),1))))</f>
        <v>0</v>
      </c>
      <c r="U1553" s="1" t="str">
        <f>IF(OR($G1553="",$H1553="Mahsup"),"",$G1553&amp;"|"&amp;COUNTIFS($G$7:$G1553,$G1553,$H$7:$H1553,"&lt;&gt;Mahsup"))</f>
        <v/>
      </c>
    </row>
    <row r="1554" spans="1:21" ht="18" customHeight="1" x14ac:dyDescent="0.3">
      <c r="A1554" s="2"/>
      <c r="B1554" s="65" t="str">
        <f t="shared" si="120"/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 t="shared" si="121"/>
        <v/>
      </c>
      <c r="M1554" s="65" t="str">
        <f t="shared" ca="1" si="122"/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123"/>
        <v/>
      </c>
      <c r="S1554" s="1" t="str">
        <f t="shared" si="124"/>
        <v/>
      </c>
      <c r="T1554" s="1">
        <f>IF($E1554="",0,SUMPRODUCT((AY_SONU!$O$7:$O$42="Evet")*(AY_SONU!$B$7:$B$42=DATE(YEAR($E1554),MONTH($E1554),1))))</f>
        <v>0</v>
      </c>
      <c r="U1554" s="1" t="str">
        <f>IF(OR($G1554="",$H1554="Mahsup"),"",$G1554&amp;"|"&amp;COUNTIFS($G$7:$G1554,$G1554,$H$7:$H1554,"&lt;&gt;Mahsup"))</f>
        <v/>
      </c>
    </row>
    <row r="1555" spans="1:21" ht="18" customHeight="1" x14ac:dyDescent="0.3">
      <c r="A1555" s="2"/>
      <c r="B1555" s="65" t="str">
        <f t="shared" si="120"/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 t="shared" si="121"/>
        <v/>
      </c>
      <c r="M1555" s="65" t="str">
        <f t="shared" ca="1" si="122"/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123"/>
        <v/>
      </c>
      <c r="S1555" s="1" t="str">
        <f t="shared" si="124"/>
        <v/>
      </c>
      <c r="T1555" s="1">
        <f>IF($E1555="",0,SUMPRODUCT((AY_SONU!$O$7:$O$42="Evet")*(AY_SONU!$B$7:$B$42=DATE(YEAR($E1555),MONTH($E1555),1))))</f>
        <v>0</v>
      </c>
      <c r="U1555" s="1" t="str">
        <f>IF(OR($G1555="",$H1555="Mahsup"),"",$G1555&amp;"|"&amp;COUNTIFS($G$7:$G1555,$G1555,$H$7:$H1555,"&lt;&gt;Mahsup"))</f>
        <v/>
      </c>
    </row>
    <row r="1556" spans="1:21" ht="18" customHeight="1" x14ac:dyDescent="0.3">
      <c r="A1556" s="2"/>
      <c r="B1556" s="65" t="str">
        <f t="shared" si="120"/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 t="shared" si="121"/>
        <v/>
      </c>
      <c r="M1556" s="65" t="str">
        <f t="shared" ca="1" si="122"/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123"/>
        <v/>
      </c>
      <c r="S1556" s="1" t="str">
        <f t="shared" si="124"/>
        <v/>
      </c>
      <c r="T1556" s="1">
        <f>IF($E1556="",0,SUMPRODUCT((AY_SONU!$O$7:$O$42="Evet")*(AY_SONU!$B$7:$B$42=DATE(YEAR($E1556),MONTH($E1556),1))))</f>
        <v>0</v>
      </c>
      <c r="U1556" s="1" t="str">
        <f>IF(OR($G1556="",$H1556="Mahsup"),"",$G1556&amp;"|"&amp;COUNTIFS($G$7:$G1556,$G1556,$H$7:$H1556,"&lt;&gt;Mahsup"))</f>
        <v/>
      </c>
    </row>
    <row r="1557" spans="1:21" ht="18" customHeight="1" x14ac:dyDescent="0.3">
      <c r="A1557" s="2"/>
      <c r="B1557" s="65" t="str">
        <f t="shared" si="120"/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 t="shared" si="121"/>
        <v/>
      </c>
      <c r="M1557" s="65" t="str">
        <f t="shared" ca="1" si="122"/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123"/>
        <v/>
      </c>
      <c r="S1557" s="1" t="str">
        <f t="shared" si="124"/>
        <v/>
      </c>
      <c r="T1557" s="1">
        <f>IF($E1557="",0,SUMPRODUCT((AY_SONU!$O$7:$O$42="Evet")*(AY_SONU!$B$7:$B$42=DATE(YEAR($E1557),MONTH($E1557),1))))</f>
        <v>0</v>
      </c>
      <c r="U1557" s="1" t="str">
        <f>IF(OR($G1557="",$H1557="Mahsup"),"",$G1557&amp;"|"&amp;COUNTIFS($G$7:$G1557,$G1557,$H$7:$H1557,"&lt;&gt;Mahsup"))</f>
        <v/>
      </c>
    </row>
    <row r="1558" spans="1:21" ht="18" customHeight="1" x14ac:dyDescent="0.3">
      <c r="A1558" s="2"/>
      <c r="B1558" s="65" t="str">
        <f t="shared" si="120"/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 t="shared" si="121"/>
        <v/>
      </c>
      <c r="M1558" s="65" t="str">
        <f t="shared" ca="1" si="122"/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123"/>
        <v/>
      </c>
      <c r="S1558" s="1" t="str">
        <f t="shared" si="124"/>
        <v/>
      </c>
      <c r="T1558" s="1">
        <f>IF($E1558="",0,SUMPRODUCT((AY_SONU!$O$7:$O$42="Evet")*(AY_SONU!$B$7:$B$42=DATE(YEAR($E1558),MONTH($E1558),1))))</f>
        <v>0</v>
      </c>
      <c r="U1558" s="1" t="str">
        <f>IF(OR($G1558="",$H1558="Mahsup"),"",$G1558&amp;"|"&amp;COUNTIFS($G$7:$G1558,$G1558,$H$7:$H1558,"&lt;&gt;Mahsup"))</f>
        <v/>
      </c>
    </row>
    <row r="1559" spans="1:21" ht="18" customHeight="1" x14ac:dyDescent="0.3">
      <c r="A1559" s="2"/>
      <c r="B1559" s="65" t="str">
        <f t="shared" si="120"/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 t="shared" si="121"/>
        <v/>
      </c>
      <c r="M1559" s="65" t="str">
        <f t="shared" ca="1" si="122"/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123"/>
        <v/>
      </c>
      <c r="S1559" s="1" t="str">
        <f t="shared" si="124"/>
        <v/>
      </c>
      <c r="T1559" s="1">
        <f>IF($E1559="",0,SUMPRODUCT((AY_SONU!$O$7:$O$42="Evet")*(AY_SONU!$B$7:$B$42=DATE(YEAR($E1559),MONTH($E1559),1))))</f>
        <v>0</v>
      </c>
      <c r="U1559" s="1" t="str">
        <f>IF(OR($G1559="",$H1559="Mahsup"),"",$G1559&amp;"|"&amp;COUNTIFS($G$7:$G1559,$G1559,$H$7:$H1559,"&lt;&gt;Mahsup"))</f>
        <v/>
      </c>
    </row>
    <row r="1560" spans="1:21" ht="18" customHeight="1" x14ac:dyDescent="0.3">
      <c r="A1560" s="2"/>
      <c r="B1560" s="65" t="str">
        <f t="shared" si="120"/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 t="shared" si="121"/>
        <v/>
      </c>
      <c r="M1560" s="65" t="str">
        <f t="shared" ca="1" si="122"/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123"/>
        <v/>
      </c>
      <c r="S1560" s="1" t="str">
        <f t="shared" si="124"/>
        <v/>
      </c>
      <c r="T1560" s="1">
        <f>IF($E1560="",0,SUMPRODUCT((AY_SONU!$O$7:$O$42="Evet")*(AY_SONU!$B$7:$B$42=DATE(YEAR($E1560),MONTH($E1560),1))))</f>
        <v>0</v>
      </c>
      <c r="U1560" s="1" t="str">
        <f>IF(OR($G1560="",$H1560="Mahsup"),"",$G1560&amp;"|"&amp;COUNTIFS($G$7:$G1560,$G1560,$H$7:$H1560,"&lt;&gt;Mahsup"))</f>
        <v/>
      </c>
    </row>
    <row r="1561" spans="1:21" ht="18" customHeight="1" x14ac:dyDescent="0.3">
      <c r="A1561" s="2"/>
      <c r="B1561" s="65" t="str">
        <f t="shared" si="120"/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 t="shared" si="121"/>
        <v/>
      </c>
      <c r="M1561" s="65" t="str">
        <f t="shared" ca="1" si="122"/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123"/>
        <v/>
      </c>
      <c r="S1561" s="1" t="str">
        <f t="shared" si="124"/>
        <v/>
      </c>
      <c r="T1561" s="1">
        <f>IF($E1561="",0,SUMPRODUCT((AY_SONU!$O$7:$O$42="Evet")*(AY_SONU!$B$7:$B$42=DATE(YEAR($E1561),MONTH($E1561),1))))</f>
        <v>0</v>
      </c>
      <c r="U1561" s="1" t="str">
        <f>IF(OR($G1561="",$H1561="Mahsup"),"",$G1561&amp;"|"&amp;COUNTIFS($G$7:$G1561,$G1561,$H$7:$H1561,"&lt;&gt;Mahsup"))</f>
        <v/>
      </c>
    </row>
    <row r="1562" spans="1:21" ht="18" customHeight="1" x14ac:dyDescent="0.3">
      <c r="A1562" s="2"/>
      <c r="B1562" s="65" t="str">
        <f t="shared" si="120"/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 t="shared" si="121"/>
        <v/>
      </c>
      <c r="M1562" s="65" t="str">
        <f t="shared" ca="1" si="122"/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123"/>
        <v/>
      </c>
      <c r="S1562" s="1" t="str">
        <f t="shared" si="124"/>
        <v/>
      </c>
      <c r="T1562" s="1">
        <f>IF($E1562="",0,SUMPRODUCT((AY_SONU!$O$7:$O$42="Evet")*(AY_SONU!$B$7:$B$42=DATE(YEAR($E1562),MONTH($E1562),1))))</f>
        <v>0</v>
      </c>
      <c r="U1562" s="1" t="str">
        <f>IF(OR($G1562="",$H1562="Mahsup"),"",$G1562&amp;"|"&amp;COUNTIFS($G$7:$G1562,$G1562,$H$7:$H1562,"&lt;&gt;Mahsup"))</f>
        <v/>
      </c>
    </row>
    <row r="1563" spans="1:21" ht="18" customHeight="1" x14ac:dyDescent="0.3">
      <c r="A1563" s="2"/>
      <c r="B1563" s="65" t="str">
        <f t="shared" si="120"/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 t="shared" si="121"/>
        <v/>
      </c>
      <c r="M1563" s="65" t="str">
        <f t="shared" ca="1" si="122"/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123"/>
        <v/>
      </c>
      <c r="S1563" s="1" t="str">
        <f t="shared" si="124"/>
        <v/>
      </c>
      <c r="T1563" s="1">
        <f>IF($E1563="",0,SUMPRODUCT((AY_SONU!$O$7:$O$42="Evet")*(AY_SONU!$B$7:$B$42=DATE(YEAR($E1563),MONTH($E1563),1))))</f>
        <v>0</v>
      </c>
      <c r="U1563" s="1" t="str">
        <f>IF(OR($G1563="",$H1563="Mahsup"),"",$G1563&amp;"|"&amp;COUNTIFS($G$7:$G1563,$G1563,$H$7:$H1563,"&lt;&gt;Mahsup"))</f>
        <v/>
      </c>
    </row>
    <row r="1564" spans="1:21" ht="18" customHeight="1" x14ac:dyDescent="0.3">
      <c r="A1564" s="2"/>
      <c r="B1564" s="65" t="str">
        <f t="shared" si="120"/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 t="shared" si="121"/>
        <v/>
      </c>
      <c r="M1564" s="65" t="str">
        <f t="shared" ca="1" si="122"/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123"/>
        <v/>
      </c>
      <c r="S1564" s="1" t="str">
        <f t="shared" si="124"/>
        <v/>
      </c>
      <c r="T1564" s="1">
        <f>IF($E1564="",0,SUMPRODUCT((AY_SONU!$O$7:$O$42="Evet")*(AY_SONU!$B$7:$B$42=DATE(YEAR($E1564),MONTH($E1564),1))))</f>
        <v>0</v>
      </c>
      <c r="U1564" s="1" t="str">
        <f>IF(OR($G1564="",$H1564="Mahsup"),"",$G1564&amp;"|"&amp;COUNTIFS($G$7:$G1564,$G1564,$H$7:$H1564,"&lt;&gt;Mahsup"))</f>
        <v/>
      </c>
    </row>
    <row r="1565" spans="1:21" ht="18" customHeight="1" x14ac:dyDescent="0.3">
      <c r="A1565" s="2"/>
      <c r="B1565" s="65" t="str">
        <f t="shared" si="120"/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 t="shared" si="121"/>
        <v/>
      </c>
      <c r="M1565" s="65" t="str">
        <f t="shared" ca="1" si="122"/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123"/>
        <v/>
      </c>
      <c r="S1565" s="1" t="str">
        <f t="shared" si="124"/>
        <v/>
      </c>
      <c r="T1565" s="1">
        <f>IF($E1565="",0,SUMPRODUCT((AY_SONU!$O$7:$O$42="Evet")*(AY_SONU!$B$7:$B$42=DATE(YEAR($E1565),MONTH($E1565),1))))</f>
        <v>0</v>
      </c>
      <c r="U1565" s="1" t="str">
        <f>IF(OR($G1565="",$H1565="Mahsup"),"",$G1565&amp;"|"&amp;COUNTIFS($G$7:$G1565,$G1565,$H$7:$H1565,"&lt;&gt;Mahsup"))</f>
        <v/>
      </c>
    </row>
    <row r="1566" spans="1:21" ht="18" customHeight="1" x14ac:dyDescent="0.3">
      <c r="A1566" s="2"/>
      <c r="B1566" s="65" t="str">
        <f t="shared" si="120"/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 t="shared" si="121"/>
        <v/>
      </c>
      <c r="M1566" s="65" t="str">
        <f t="shared" ca="1" si="122"/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123"/>
        <v/>
      </c>
      <c r="S1566" s="1" t="str">
        <f t="shared" si="124"/>
        <v/>
      </c>
      <c r="T1566" s="1">
        <f>IF($E1566="",0,SUMPRODUCT((AY_SONU!$O$7:$O$42="Evet")*(AY_SONU!$B$7:$B$42=DATE(YEAR($E1566),MONTH($E1566),1))))</f>
        <v>0</v>
      </c>
      <c r="U1566" s="1" t="str">
        <f>IF(OR($G1566="",$H1566="Mahsup"),"",$G1566&amp;"|"&amp;COUNTIFS($G$7:$G1566,$G1566,$H$7:$H1566,"&lt;&gt;Mahsup"))</f>
        <v/>
      </c>
    </row>
    <row r="1567" spans="1:21" ht="18" customHeight="1" x14ac:dyDescent="0.3">
      <c r="A1567" s="2"/>
      <c r="B1567" s="65" t="str">
        <f t="shared" si="120"/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 t="shared" si="121"/>
        <v/>
      </c>
      <c r="M1567" s="65" t="str">
        <f t="shared" ca="1" si="122"/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123"/>
        <v/>
      </c>
      <c r="S1567" s="1" t="str">
        <f t="shared" si="124"/>
        <v/>
      </c>
      <c r="T1567" s="1">
        <f>IF($E1567="",0,SUMPRODUCT((AY_SONU!$O$7:$O$42="Evet")*(AY_SONU!$B$7:$B$42=DATE(YEAR($E1567),MONTH($E1567),1))))</f>
        <v>0</v>
      </c>
      <c r="U1567" s="1" t="str">
        <f>IF(OR($G1567="",$H1567="Mahsup"),"",$G1567&amp;"|"&amp;COUNTIFS($G$7:$G1567,$G1567,$H$7:$H1567,"&lt;&gt;Mahsup"))</f>
        <v/>
      </c>
    </row>
    <row r="1568" spans="1:21" ht="18" customHeight="1" x14ac:dyDescent="0.3">
      <c r="A1568" s="2"/>
      <c r="B1568" s="65" t="str">
        <f t="shared" si="120"/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 t="shared" si="121"/>
        <v/>
      </c>
      <c r="M1568" s="65" t="str">
        <f t="shared" ca="1" si="122"/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123"/>
        <v/>
      </c>
      <c r="S1568" s="1" t="str">
        <f t="shared" si="124"/>
        <v/>
      </c>
      <c r="T1568" s="1">
        <f>IF($E1568="",0,SUMPRODUCT((AY_SONU!$O$7:$O$42="Evet")*(AY_SONU!$B$7:$B$42=DATE(YEAR($E1568),MONTH($E1568),1))))</f>
        <v>0</v>
      </c>
      <c r="U1568" s="1" t="str">
        <f>IF(OR($G1568="",$H1568="Mahsup"),"",$G1568&amp;"|"&amp;COUNTIFS($G$7:$G1568,$G1568,$H$7:$H1568,"&lt;&gt;Mahsup"))</f>
        <v/>
      </c>
    </row>
    <row r="1569" spans="1:21" ht="18" customHeight="1" x14ac:dyDescent="0.3">
      <c r="A1569" s="2"/>
      <c r="B1569" s="65" t="str">
        <f t="shared" si="120"/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 t="shared" si="121"/>
        <v/>
      </c>
      <c r="M1569" s="65" t="str">
        <f t="shared" ca="1" si="122"/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123"/>
        <v/>
      </c>
      <c r="S1569" s="1" t="str">
        <f t="shared" si="124"/>
        <v/>
      </c>
      <c r="T1569" s="1">
        <f>IF($E1569="",0,SUMPRODUCT((AY_SONU!$O$7:$O$42="Evet")*(AY_SONU!$B$7:$B$42=DATE(YEAR($E1569),MONTH($E1569),1))))</f>
        <v>0</v>
      </c>
      <c r="U1569" s="1" t="str">
        <f>IF(OR($G1569="",$H1569="Mahsup"),"",$G1569&amp;"|"&amp;COUNTIFS($G$7:$G1569,$G1569,$H$7:$H1569,"&lt;&gt;Mahsup"))</f>
        <v/>
      </c>
    </row>
    <row r="1570" spans="1:21" ht="18" customHeight="1" x14ac:dyDescent="0.3">
      <c r="A1570" s="2"/>
      <c r="B1570" s="65" t="str">
        <f t="shared" si="120"/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 t="shared" si="121"/>
        <v/>
      </c>
      <c r="M1570" s="65" t="str">
        <f t="shared" ca="1" si="122"/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123"/>
        <v/>
      </c>
      <c r="S1570" s="1" t="str">
        <f t="shared" si="124"/>
        <v/>
      </c>
      <c r="T1570" s="1">
        <f>IF($E1570="",0,SUMPRODUCT((AY_SONU!$O$7:$O$42="Evet")*(AY_SONU!$B$7:$B$42=DATE(YEAR($E1570),MONTH($E1570),1))))</f>
        <v>0</v>
      </c>
      <c r="U1570" s="1" t="str">
        <f>IF(OR($G1570="",$H1570="Mahsup"),"",$G1570&amp;"|"&amp;COUNTIFS($G$7:$G1570,$G1570,$H$7:$H1570,"&lt;&gt;Mahsup"))</f>
        <v/>
      </c>
    </row>
    <row r="1571" spans="1:21" ht="18" customHeight="1" x14ac:dyDescent="0.3">
      <c r="A1571" s="2"/>
      <c r="B1571" s="65" t="str">
        <f t="shared" si="120"/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 t="shared" si="121"/>
        <v/>
      </c>
      <c r="M1571" s="65" t="str">
        <f t="shared" ca="1" si="122"/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123"/>
        <v/>
      </c>
      <c r="S1571" s="1" t="str">
        <f t="shared" si="124"/>
        <v/>
      </c>
      <c r="T1571" s="1">
        <f>IF($E1571="",0,SUMPRODUCT((AY_SONU!$O$7:$O$42="Evet")*(AY_SONU!$B$7:$B$42=DATE(YEAR($E1571),MONTH($E1571),1))))</f>
        <v>0</v>
      </c>
      <c r="U1571" s="1" t="str">
        <f>IF(OR($G1571="",$H1571="Mahsup"),"",$G1571&amp;"|"&amp;COUNTIFS($G$7:$G1571,$G1571,$H$7:$H1571,"&lt;&gt;Mahsup"))</f>
        <v/>
      </c>
    </row>
    <row r="1572" spans="1:21" ht="18" customHeight="1" x14ac:dyDescent="0.3">
      <c r="A1572" s="2"/>
      <c r="B1572" s="65" t="str">
        <f t="shared" si="120"/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 t="shared" si="121"/>
        <v/>
      </c>
      <c r="M1572" s="65" t="str">
        <f t="shared" ca="1" si="122"/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123"/>
        <v/>
      </c>
      <c r="S1572" s="1" t="str">
        <f t="shared" si="124"/>
        <v/>
      </c>
      <c r="T1572" s="1">
        <f>IF($E1572="",0,SUMPRODUCT((AY_SONU!$O$7:$O$42="Evet")*(AY_SONU!$B$7:$B$42=DATE(YEAR($E1572),MONTH($E1572),1))))</f>
        <v>0</v>
      </c>
      <c r="U1572" s="1" t="str">
        <f>IF(OR($G1572="",$H1572="Mahsup"),"",$G1572&amp;"|"&amp;COUNTIFS($G$7:$G1572,$G1572,$H$7:$H1572,"&lt;&gt;Mahsup"))</f>
        <v/>
      </c>
    </row>
    <row r="1573" spans="1:21" ht="18" customHeight="1" x14ac:dyDescent="0.3">
      <c r="A1573" s="2"/>
      <c r="B1573" s="65" t="str">
        <f t="shared" si="120"/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 t="shared" si="121"/>
        <v/>
      </c>
      <c r="M1573" s="65" t="str">
        <f t="shared" ca="1" si="122"/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123"/>
        <v/>
      </c>
      <c r="S1573" s="1" t="str">
        <f t="shared" si="124"/>
        <v/>
      </c>
      <c r="T1573" s="1">
        <f>IF($E1573="",0,SUMPRODUCT((AY_SONU!$O$7:$O$42="Evet")*(AY_SONU!$B$7:$B$42=DATE(YEAR($E1573),MONTH($E1573),1))))</f>
        <v>0</v>
      </c>
      <c r="U1573" s="1" t="str">
        <f>IF(OR($G1573="",$H1573="Mahsup"),"",$G1573&amp;"|"&amp;COUNTIFS($G$7:$G1573,$G1573,$H$7:$H1573,"&lt;&gt;Mahsup"))</f>
        <v/>
      </c>
    </row>
    <row r="1574" spans="1:21" ht="18" customHeight="1" x14ac:dyDescent="0.3">
      <c r="A1574" s="2"/>
      <c r="B1574" s="65" t="str">
        <f t="shared" si="120"/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 t="shared" si="121"/>
        <v/>
      </c>
      <c r="M1574" s="65" t="str">
        <f t="shared" ca="1" si="122"/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123"/>
        <v/>
      </c>
      <c r="S1574" s="1" t="str">
        <f t="shared" si="124"/>
        <v/>
      </c>
      <c r="T1574" s="1">
        <f>IF($E1574="",0,SUMPRODUCT((AY_SONU!$O$7:$O$42="Evet")*(AY_SONU!$B$7:$B$42=DATE(YEAR($E1574),MONTH($E1574),1))))</f>
        <v>0</v>
      </c>
      <c r="U1574" s="1" t="str">
        <f>IF(OR($G1574="",$H1574="Mahsup"),"",$G1574&amp;"|"&amp;COUNTIFS($G$7:$G1574,$G1574,$H$7:$H1574,"&lt;&gt;Mahsup"))</f>
        <v/>
      </c>
    </row>
    <row r="1575" spans="1:21" ht="18" customHeight="1" x14ac:dyDescent="0.3">
      <c r="A1575" s="2"/>
      <c r="B1575" s="65" t="str">
        <f t="shared" si="120"/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 t="shared" si="121"/>
        <v/>
      </c>
      <c r="M1575" s="65" t="str">
        <f t="shared" ca="1" si="122"/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123"/>
        <v/>
      </c>
      <c r="S1575" s="1" t="str">
        <f t="shared" si="124"/>
        <v/>
      </c>
      <c r="T1575" s="1">
        <f>IF($E1575="",0,SUMPRODUCT((AY_SONU!$O$7:$O$42="Evet")*(AY_SONU!$B$7:$B$42=DATE(YEAR($E1575),MONTH($E1575),1))))</f>
        <v>0</v>
      </c>
      <c r="U1575" s="1" t="str">
        <f>IF(OR($G1575="",$H1575="Mahsup"),"",$G1575&amp;"|"&amp;COUNTIFS($G$7:$G1575,$G1575,$H$7:$H1575,"&lt;&gt;Mahsup"))</f>
        <v/>
      </c>
    </row>
    <row r="1576" spans="1:21" ht="18" customHeight="1" x14ac:dyDescent="0.3">
      <c r="A1576" s="2"/>
      <c r="B1576" s="65" t="str">
        <f t="shared" si="120"/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 t="shared" si="121"/>
        <v/>
      </c>
      <c r="M1576" s="65" t="str">
        <f t="shared" ca="1" si="122"/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123"/>
        <v/>
      </c>
      <c r="S1576" s="1" t="str">
        <f t="shared" si="124"/>
        <v/>
      </c>
      <c r="T1576" s="1">
        <f>IF($E1576="",0,SUMPRODUCT((AY_SONU!$O$7:$O$42="Evet")*(AY_SONU!$B$7:$B$42=DATE(YEAR($E1576),MONTH($E1576),1))))</f>
        <v>0</v>
      </c>
      <c r="U1576" s="1" t="str">
        <f>IF(OR($G1576="",$H1576="Mahsup"),"",$G1576&amp;"|"&amp;COUNTIFS($G$7:$G1576,$G1576,$H$7:$H1576,"&lt;&gt;Mahsup"))</f>
        <v/>
      </c>
    </row>
    <row r="1577" spans="1:21" ht="18" customHeight="1" x14ac:dyDescent="0.3">
      <c r="A1577" s="2"/>
      <c r="B1577" s="65" t="str">
        <f t="shared" si="120"/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 t="shared" si="121"/>
        <v/>
      </c>
      <c r="M1577" s="65" t="str">
        <f t="shared" ca="1" si="122"/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123"/>
        <v/>
      </c>
      <c r="S1577" s="1" t="str">
        <f t="shared" si="124"/>
        <v/>
      </c>
      <c r="T1577" s="1">
        <f>IF($E1577="",0,SUMPRODUCT((AY_SONU!$O$7:$O$42="Evet")*(AY_SONU!$B$7:$B$42=DATE(YEAR($E1577),MONTH($E1577),1))))</f>
        <v>0</v>
      </c>
      <c r="U1577" s="1" t="str">
        <f>IF(OR($G1577="",$H1577="Mahsup"),"",$G1577&amp;"|"&amp;COUNTIFS($G$7:$G1577,$G1577,$H$7:$H1577,"&lt;&gt;Mahsup"))</f>
        <v/>
      </c>
    </row>
    <row r="1578" spans="1:21" ht="18" customHeight="1" x14ac:dyDescent="0.3">
      <c r="A1578" s="2"/>
      <c r="B1578" s="65" t="str">
        <f t="shared" si="120"/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 t="shared" si="121"/>
        <v/>
      </c>
      <c r="M1578" s="65" t="str">
        <f t="shared" ca="1" si="122"/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123"/>
        <v/>
      </c>
      <c r="S1578" s="1" t="str">
        <f t="shared" si="124"/>
        <v/>
      </c>
      <c r="T1578" s="1">
        <f>IF($E1578="",0,SUMPRODUCT((AY_SONU!$O$7:$O$42="Evet")*(AY_SONU!$B$7:$B$42=DATE(YEAR($E1578),MONTH($E1578),1))))</f>
        <v>0</v>
      </c>
      <c r="U1578" s="1" t="str">
        <f>IF(OR($G1578="",$H1578="Mahsup"),"",$G1578&amp;"|"&amp;COUNTIFS($G$7:$G1578,$G1578,$H$7:$H1578,"&lt;&gt;Mahsup"))</f>
        <v/>
      </c>
    </row>
    <row r="1579" spans="1:21" ht="18" customHeight="1" x14ac:dyDescent="0.3">
      <c r="A1579" s="2"/>
      <c r="B1579" s="65" t="str">
        <f t="shared" si="120"/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 t="shared" si="121"/>
        <v/>
      </c>
      <c r="M1579" s="65" t="str">
        <f t="shared" ca="1" si="122"/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123"/>
        <v/>
      </c>
      <c r="S1579" s="1" t="str">
        <f t="shared" si="124"/>
        <v/>
      </c>
      <c r="T1579" s="1">
        <f>IF($E1579="",0,SUMPRODUCT((AY_SONU!$O$7:$O$42="Evet")*(AY_SONU!$B$7:$B$42=DATE(YEAR($E1579),MONTH($E1579),1))))</f>
        <v>0</v>
      </c>
      <c r="U1579" s="1" t="str">
        <f>IF(OR($G1579="",$H1579="Mahsup"),"",$G1579&amp;"|"&amp;COUNTIFS($G$7:$G1579,$G1579,$H$7:$H1579,"&lt;&gt;Mahsup"))</f>
        <v/>
      </c>
    </row>
    <row r="1580" spans="1:21" ht="18" customHeight="1" x14ac:dyDescent="0.3">
      <c r="A1580" s="2"/>
      <c r="B1580" s="65" t="str">
        <f t="shared" si="120"/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 t="shared" si="121"/>
        <v/>
      </c>
      <c r="M1580" s="65" t="str">
        <f t="shared" ca="1" si="122"/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123"/>
        <v/>
      </c>
      <c r="S1580" s="1" t="str">
        <f t="shared" si="124"/>
        <v/>
      </c>
      <c r="T1580" s="1">
        <f>IF($E1580="",0,SUMPRODUCT((AY_SONU!$O$7:$O$42="Evet")*(AY_SONU!$B$7:$B$42=DATE(YEAR($E1580),MONTH($E1580),1))))</f>
        <v>0</v>
      </c>
      <c r="U1580" s="1" t="str">
        <f>IF(OR($G1580="",$H1580="Mahsup"),"",$G1580&amp;"|"&amp;COUNTIFS($G$7:$G1580,$G1580,$H$7:$H1580,"&lt;&gt;Mahsup"))</f>
        <v/>
      </c>
    </row>
    <row r="1581" spans="1:21" ht="18" customHeight="1" x14ac:dyDescent="0.3">
      <c r="A1581" s="2"/>
      <c r="B1581" s="65" t="str">
        <f t="shared" si="120"/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 t="shared" si="121"/>
        <v/>
      </c>
      <c r="M1581" s="65" t="str">
        <f t="shared" ca="1" si="122"/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123"/>
        <v/>
      </c>
      <c r="S1581" s="1" t="str">
        <f t="shared" si="124"/>
        <v/>
      </c>
      <c r="T1581" s="1">
        <f>IF($E1581="",0,SUMPRODUCT((AY_SONU!$O$7:$O$42="Evet")*(AY_SONU!$B$7:$B$42=DATE(YEAR($E1581),MONTH($E1581),1))))</f>
        <v>0</v>
      </c>
      <c r="U1581" s="1" t="str">
        <f>IF(OR($G1581="",$H1581="Mahsup"),"",$G1581&amp;"|"&amp;COUNTIFS($G$7:$G1581,$G1581,$H$7:$H1581,"&lt;&gt;Mahsup"))</f>
        <v/>
      </c>
    </row>
    <row r="1582" spans="1:21" ht="18" customHeight="1" x14ac:dyDescent="0.3">
      <c r="A1582" s="2"/>
      <c r="B1582" s="65" t="str">
        <f t="shared" si="120"/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 t="shared" si="121"/>
        <v/>
      </c>
      <c r="M1582" s="65" t="str">
        <f t="shared" ca="1" si="122"/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123"/>
        <v/>
      </c>
      <c r="S1582" s="1" t="str">
        <f t="shared" si="124"/>
        <v/>
      </c>
      <c r="T1582" s="1">
        <f>IF($E1582="",0,SUMPRODUCT((AY_SONU!$O$7:$O$42="Evet")*(AY_SONU!$B$7:$B$42=DATE(YEAR($E1582),MONTH($E1582),1))))</f>
        <v>0</v>
      </c>
      <c r="U1582" s="1" t="str">
        <f>IF(OR($G1582="",$H1582="Mahsup"),"",$G1582&amp;"|"&amp;COUNTIFS($G$7:$G1582,$G1582,$H$7:$H1582,"&lt;&gt;Mahsup"))</f>
        <v/>
      </c>
    </row>
    <row r="1583" spans="1:21" ht="18" customHeight="1" x14ac:dyDescent="0.3">
      <c r="A1583" s="2"/>
      <c r="B1583" s="65" t="str">
        <f t="shared" si="120"/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 t="shared" si="121"/>
        <v/>
      </c>
      <c r="M1583" s="65" t="str">
        <f t="shared" ca="1" si="122"/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123"/>
        <v/>
      </c>
      <c r="S1583" s="1" t="str">
        <f t="shared" si="124"/>
        <v/>
      </c>
      <c r="T1583" s="1">
        <f>IF($E1583="",0,SUMPRODUCT((AY_SONU!$O$7:$O$42="Evet")*(AY_SONU!$B$7:$B$42=DATE(YEAR($E1583),MONTH($E1583),1))))</f>
        <v>0</v>
      </c>
      <c r="U1583" s="1" t="str">
        <f>IF(OR($G1583="",$H1583="Mahsup"),"",$G1583&amp;"|"&amp;COUNTIFS($G$7:$G1583,$G1583,$H$7:$H1583,"&lt;&gt;Mahsup"))</f>
        <v/>
      </c>
    </row>
    <row r="1584" spans="1:21" ht="18" customHeight="1" x14ac:dyDescent="0.3">
      <c r="A1584" s="2"/>
      <c r="B1584" s="65" t="str">
        <f t="shared" si="120"/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 t="shared" si="121"/>
        <v/>
      </c>
      <c r="M1584" s="65" t="str">
        <f t="shared" ca="1" si="122"/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123"/>
        <v/>
      </c>
      <c r="S1584" s="1" t="str">
        <f t="shared" si="124"/>
        <v/>
      </c>
      <c r="T1584" s="1">
        <f>IF($E1584="",0,SUMPRODUCT((AY_SONU!$O$7:$O$42="Evet")*(AY_SONU!$B$7:$B$42=DATE(YEAR($E1584),MONTH($E1584),1))))</f>
        <v>0</v>
      </c>
      <c r="U1584" s="1" t="str">
        <f>IF(OR($G1584="",$H1584="Mahsup"),"",$G1584&amp;"|"&amp;COUNTIFS($G$7:$G1584,$G1584,$H$7:$H1584,"&lt;&gt;Mahsup"))</f>
        <v/>
      </c>
    </row>
    <row r="1585" spans="1:21" ht="18" customHeight="1" x14ac:dyDescent="0.3">
      <c r="A1585" s="2"/>
      <c r="B1585" s="65" t="str">
        <f t="shared" si="120"/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 t="shared" si="121"/>
        <v/>
      </c>
      <c r="M1585" s="65" t="str">
        <f t="shared" ca="1" si="122"/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123"/>
        <v/>
      </c>
      <c r="S1585" s="1" t="str">
        <f t="shared" si="124"/>
        <v/>
      </c>
      <c r="T1585" s="1">
        <f>IF($E1585="",0,SUMPRODUCT((AY_SONU!$O$7:$O$42="Evet")*(AY_SONU!$B$7:$B$42=DATE(YEAR($E1585),MONTH($E1585),1))))</f>
        <v>0</v>
      </c>
      <c r="U1585" s="1" t="str">
        <f>IF(OR($G1585="",$H1585="Mahsup"),"",$G1585&amp;"|"&amp;COUNTIFS($G$7:$G1585,$G1585,$H$7:$H1585,"&lt;&gt;Mahsup"))</f>
        <v/>
      </c>
    </row>
    <row r="1586" spans="1:21" ht="18" customHeight="1" x14ac:dyDescent="0.3">
      <c r="A1586" s="2"/>
      <c r="B1586" s="65" t="str">
        <f t="shared" si="120"/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 t="shared" si="121"/>
        <v/>
      </c>
      <c r="M1586" s="65" t="str">
        <f t="shared" ca="1" si="122"/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123"/>
        <v/>
      </c>
      <c r="S1586" s="1" t="str">
        <f t="shared" si="124"/>
        <v/>
      </c>
      <c r="T1586" s="1">
        <f>IF($E1586="",0,SUMPRODUCT((AY_SONU!$O$7:$O$42="Evet")*(AY_SONU!$B$7:$B$42=DATE(YEAR($E1586),MONTH($E1586),1))))</f>
        <v>0</v>
      </c>
      <c r="U1586" s="1" t="str">
        <f>IF(OR($G1586="",$H1586="Mahsup"),"",$G1586&amp;"|"&amp;COUNTIFS($G$7:$G1586,$G1586,$H$7:$H1586,"&lt;&gt;Mahsup"))</f>
        <v/>
      </c>
    </row>
    <row r="1587" spans="1:21" ht="18" customHeight="1" x14ac:dyDescent="0.3">
      <c r="A1587" s="2"/>
      <c r="B1587" s="65" t="str">
        <f t="shared" si="120"/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 t="shared" si="121"/>
        <v/>
      </c>
      <c r="M1587" s="65" t="str">
        <f t="shared" ca="1" si="122"/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123"/>
        <v/>
      </c>
      <c r="S1587" s="1" t="str">
        <f t="shared" si="124"/>
        <v/>
      </c>
      <c r="T1587" s="1">
        <f>IF($E1587="",0,SUMPRODUCT((AY_SONU!$O$7:$O$42="Evet")*(AY_SONU!$B$7:$B$42=DATE(YEAR($E1587),MONTH($E1587),1))))</f>
        <v>0</v>
      </c>
      <c r="U1587" s="1" t="str">
        <f>IF(OR($G1587="",$H1587="Mahsup"),"",$G1587&amp;"|"&amp;COUNTIFS($G$7:$G1587,$G1587,$H$7:$H1587,"&lt;&gt;Mahsup"))</f>
        <v/>
      </c>
    </row>
    <row r="1588" spans="1:21" ht="18" customHeight="1" x14ac:dyDescent="0.3">
      <c r="A1588" s="2"/>
      <c r="B1588" s="65" t="str">
        <f t="shared" si="120"/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 t="shared" si="121"/>
        <v/>
      </c>
      <c r="M1588" s="65" t="str">
        <f t="shared" ca="1" si="122"/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123"/>
        <v/>
      </c>
      <c r="S1588" s="1" t="str">
        <f t="shared" si="124"/>
        <v/>
      </c>
      <c r="T1588" s="1">
        <f>IF($E1588="",0,SUMPRODUCT((AY_SONU!$O$7:$O$42="Evet")*(AY_SONU!$B$7:$B$42=DATE(YEAR($E1588),MONTH($E1588),1))))</f>
        <v>0</v>
      </c>
      <c r="U1588" s="1" t="str">
        <f>IF(OR($G1588="",$H1588="Mahsup"),"",$G1588&amp;"|"&amp;COUNTIFS($G$7:$G1588,$G1588,$H$7:$H1588,"&lt;&gt;Mahsup"))</f>
        <v/>
      </c>
    </row>
    <row r="1589" spans="1:21" ht="18" customHeight="1" x14ac:dyDescent="0.3">
      <c r="A1589" s="2"/>
      <c r="B1589" s="65" t="str">
        <f t="shared" si="120"/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 t="shared" si="121"/>
        <v/>
      </c>
      <c r="M1589" s="65" t="str">
        <f t="shared" ca="1" si="122"/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123"/>
        <v/>
      </c>
      <c r="S1589" s="1" t="str">
        <f t="shared" si="124"/>
        <v/>
      </c>
      <c r="T1589" s="1">
        <f>IF($E1589="",0,SUMPRODUCT((AY_SONU!$O$7:$O$42="Evet")*(AY_SONU!$B$7:$B$42=DATE(YEAR($E1589),MONTH($E1589),1))))</f>
        <v>0</v>
      </c>
      <c r="U1589" s="1" t="str">
        <f>IF(OR($G1589="",$H1589="Mahsup"),"",$G1589&amp;"|"&amp;COUNTIFS($G$7:$G1589,$G1589,$H$7:$H1589,"&lt;&gt;Mahsup"))</f>
        <v/>
      </c>
    </row>
    <row r="1590" spans="1:21" ht="18" customHeight="1" x14ac:dyDescent="0.3">
      <c r="A1590" s="2"/>
      <c r="B1590" s="65" t="str">
        <f t="shared" si="120"/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 t="shared" si="121"/>
        <v/>
      </c>
      <c r="M1590" s="65" t="str">
        <f t="shared" ca="1" si="122"/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123"/>
        <v/>
      </c>
      <c r="S1590" s="1" t="str">
        <f t="shared" si="124"/>
        <v/>
      </c>
      <c r="T1590" s="1">
        <f>IF($E1590="",0,SUMPRODUCT((AY_SONU!$O$7:$O$42="Evet")*(AY_SONU!$B$7:$B$42=DATE(YEAR($E1590),MONTH($E1590),1))))</f>
        <v>0</v>
      </c>
      <c r="U1590" s="1" t="str">
        <f>IF(OR($G1590="",$H1590="Mahsup"),"",$G1590&amp;"|"&amp;COUNTIFS($G$7:$G1590,$G1590,$H$7:$H1590,"&lt;&gt;Mahsup"))</f>
        <v/>
      </c>
    </row>
    <row r="1591" spans="1:21" ht="18" customHeight="1" x14ac:dyDescent="0.3">
      <c r="A1591" s="2"/>
      <c r="B1591" s="65" t="str">
        <f t="shared" si="120"/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 t="shared" si="121"/>
        <v/>
      </c>
      <c r="M1591" s="65" t="str">
        <f t="shared" ca="1" si="122"/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123"/>
        <v/>
      </c>
      <c r="S1591" s="1" t="str">
        <f t="shared" si="124"/>
        <v/>
      </c>
      <c r="T1591" s="1">
        <f>IF($E1591="",0,SUMPRODUCT((AY_SONU!$O$7:$O$42="Evet")*(AY_SONU!$B$7:$B$42=DATE(YEAR($E1591),MONTH($E1591),1))))</f>
        <v>0</v>
      </c>
      <c r="U1591" s="1" t="str">
        <f>IF(OR($G1591="",$H1591="Mahsup"),"",$G1591&amp;"|"&amp;COUNTIFS($G$7:$G1591,$G1591,$H$7:$H1591,"&lt;&gt;Mahsup"))</f>
        <v/>
      </c>
    </row>
    <row r="1592" spans="1:21" ht="18" customHeight="1" x14ac:dyDescent="0.3">
      <c r="A1592" s="2"/>
      <c r="B1592" s="65" t="str">
        <f t="shared" si="120"/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 t="shared" si="121"/>
        <v/>
      </c>
      <c r="M1592" s="65" t="str">
        <f t="shared" ca="1" si="122"/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123"/>
        <v/>
      </c>
      <c r="S1592" s="1" t="str">
        <f t="shared" si="124"/>
        <v/>
      </c>
      <c r="T1592" s="1">
        <f>IF($E1592="",0,SUMPRODUCT((AY_SONU!$O$7:$O$42="Evet")*(AY_SONU!$B$7:$B$42=DATE(YEAR($E1592),MONTH($E1592),1))))</f>
        <v>0</v>
      </c>
      <c r="U1592" s="1" t="str">
        <f>IF(OR($G1592="",$H1592="Mahsup"),"",$G1592&amp;"|"&amp;COUNTIFS($G$7:$G1592,$G1592,$H$7:$H1592,"&lt;&gt;Mahsup"))</f>
        <v/>
      </c>
    </row>
    <row r="1593" spans="1:21" ht="18" customHeight="1" x14ac:dyDescent="0.3">
      <c r="A1593" s="2"/>
      <c r="B1593" s="65" t="str">
        <f t="shared" si="120"/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 t="shared" si="121"/>
        <v/>
      </c>
      <c r="M1593" s="65" t="str">
        <f t="shared" ca="1" si="122"/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123"/>
        <v/>
      </c>
      <c r="S1593" s="1" t="str">
        <f t="shared" si="124"/>
        <v/>
      </c>
      <c r="T1593" s="1">
        <f>IF($E1593="",0,SUMPRODUCT((AY_SONU!$O$7:$O$42="Evet")*(AY_SONU!$B$7:$B$42=DATE(YEAR($E1593),MONTH($E1593),1))))</f>
        <v>0</v>
      </c>
      <c r="U1593" s="1" t="str">
        <f>IF(OR($G1593="",$H1593="Mahsup"),"",$G1593&amp;"|"&amp;COUNTIFS($G$7:$G1593,$G1593,$H$7:$H1593,"&lt;&gt;Mahsup"))</f>
        <v/>
      </c>
    </row>
    <row r="1594" spans="1:21" ht="18" customHeight="1" x14ac:dyDescent="0.3">
      <c r="A1594" s="2"/>
      <c r="B1594" s="65" t="str">
        <f t="shared" si="120"/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 t="shared" si="121"/>
        <v/>
      </c>
      <c r="M1594" s="65" t="str">
        <f t="shared" ca="1" si="122"/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123"/>
        <v/>
      </c>
      <c r="S1594" s="1" t="str">
        <f t="shared" si="124"/>
        <v/>
      </c>
      <c r="T1594" s="1">
        <f>IF($E1594="",0,SUMPRODUCT((AY_SONU!$O$7:$O$42="Evet")*(AY_SONU!$B$7:$B$42=DATE(YEAR($E1594),MONTH($E1594),1))))</f>
        <v>0</v>
      </c>
      <c r="U1594" s="1" t="str">
        <f>IF(OR($G1594="",$H1594="Mahsup"),"",$G1594&amp;"|"&amp;COUNTIFS($G$7:$G1594,$G1594,$H$7:$H1594,"&lt;&gt;Mahsup"))</f>
        <v/>
      </c>
    </row>
    <row r="1595" spans="1:21" ht="18" customHeight="1" x14ac:dyDescent="0.3">
      <c r="A1595" s="2"/>
      <c r="B1595" s="65" t="str">
        <f t="shared" si="120"/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 t="shared" si="121"/>
        <v/>
      </c>
      <c r="M1595" s="65" t="str">
        <f t="shared" ca="1" si="122"/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123"/>
        <v/>
      </c>
      <c r="S1595" s="1" t="str">
        <f t="shared" si="124"/>
        <v/>
      </c>
      <c r="T1595" s="1">
        <f>IF($E1595="",0,SUMPRODUCT((AY_SONU!$O$7:$O$42="Evet")*(AY_SONU!$B$7:$B$42=DATE(YEAR($E1595),MONTH($E1595),1))))</f>
        <v>0</v>
      </c>
      <c r="U1595" s="1" t="str">
        <f>IF(OR($G1595="",$H1595="Mahsup"),"",$G1595&amp;"|"&amp;COUNTIFS($G$7:$G1595,$G1595,$H$7:$H1595,"&lt;&gt;Mahsup"))</f>
        <v/>
      </c>
    </row>
    <row r="1596" spans="1:21" ht="18" customHeight="1" x14ac:dyDescent="0.3">
      <c r="A1596" s="2"/>
      <c r="B1596" s="65" t="str">
        <f t="shared" si="120"/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 t="shared" si="121"/>
        <v/>
      </c>
      <c r="M1596" s="65" t="str">
        <f t="shared" ca="1" si="122"/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123"/>
        <v/>
      </c>
      <c r="S1596" s="1" t="str">
        <f t="shared" si="124"/>
        <v/>
      </c>
      <c r="T1596" s="1">
        <f>IF($E1596="",0,SUMPRODUCT((AY_SONU!$O$7:$O$42="Evet")*(AY_SONU!$B$7:$B$42=DATE(YEAR($E1596),MONTH($E1596),1))))</f>
        <v>0</v>
      </c>
      <c r="U1596" s="1" t="str">
        <f>IF(OR($G1596="",$H1596="Mahsup"),"",$G1596&amp;"|"&amp;COUNTIFS($G$7:$G1596,$G1596,$H$7:$H1596,"&lt;&gt;Mahsup"))</f>
        <v/>
      </c>
    </row>
    <row r="1597" spans="1:21" ht="18" customHeight="1" x14ac:dyDescent="0.3">
      <c r="A1597" s="2"/>
      <c r="B1597" s="65" t="str">
        <f t="shared" si="120"/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 t="shared" si="121"/>
        <v/>
      </c>
      <c r="M1597" s="65" t="str">
        <f t="shared" ca="1" si="122"/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123"/>
        <v/>
      </c>
      <c r="S1597" s="1" t="str">
        <f t="shared" si="124"/>
        <v/>
      </c>
      <c r="T1597" s="1">
        <f>IF($E1597="",0,SUMPRODUCT((AY_SONU!$O$7:$O$42="Evet")*(AY_SONU!$B$7:$B$42=DATE(YEAR($E1597),MONTH($E1597),1))))</f>
        <v>0</v>
      </c>
      <c r="U1597" s="1" t="str">
        <f>IF(OR($G1597="",$H1597="Mahsup"),"",$G1597&amp;"|"&amp;COUNTIFS($G$7:$G1597,$G1597,$H$7:$H1597,"&lt;&gt;Mahsup"))</f>
        <v/>
      </c>
    </row>
    <row r="1598" spans="1:21" ht="18" customHeight="1" x14ac:dyDescent="0.3">
      <c r="A1598" s="2"/>
      <c r="B1598" s="65" t="str">
        <f t="shared" si="120"/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 t="shared" si="121"/>
        <v/>
      </c>
      <c r="M1598" s="65" t="str">
        <f t="shared" ca="1" si="122"/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123"/>
        <v/>
      </c>
      <c r="S1598" s="1" t="str">
        <f t="shared" si="124"/>
        <v/>
      </c>
      <c r="T1598" s="1">
        <f>IF($E1598="",0,SUMPRODUCT((AY_SONU!$O$7:$O$42="Evet")*(AY_SONU!$B$7:$B$42=DATE(YEAR($E1598),MONTH($E1598),1))))</f>
        <v>0</v>
      </c>
      <c r="U1598" s="1" t="str">
        <f>IF(OR($G1598="",$H1598="Mahsup"),"",$G1598&amp;"|"&amp;COUNTIFS($G$7:$G1598,$G1598,$H$7:$H1598,"&lt;&gt;Mahsup"))</f>
        <v/>
      </c>
    </row>
    <row r="1599" spans="1:21" ht="18" customHeight="1" x14ac:dyDescent="0.3">
      <c r="A1599" s="2"/>
      <c r="B1599" s="65" t="str">
        <f t="shared" si="120"/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 t="shared" si="121"/>
        <v/>
      </c>
      <c r="M1599" s="65" t="str">
        <f t="shared" ca="1" si="122"/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123"/>
        <v/>
      </c>
      <c r="S1599" s="1" t="str">
        <f t="shared" si="124"/>
        <v/>
      </c>
      <c r="T1599" s="1">
        <f>IF($E1599="",0,SUMPRODUCT((AY_SONU!$O$7:$O$42="Evet")*(AY_SONU!$B$7:$B$42=DATE(YEAR($E1599),MONTH($E1599),1))))</f>
        <v>0</v>
      </c>
      <c r="U1599" s="1" t="str">
        <f>IF(OR($G1599="",$H1599="Mahsup"),"",$G1599&amp;"|"&amp;COUNTIFS($G$7:$G1599,$G1599,$H$7:$H1599,"&lt;&gt;Mahsup"))</f>
        <v/>
      </c>
    </row>
    <row r="1600" spans="1:21" ht="18" customHeight="1" x14ac:dyDescent="0.3">
      <c r="A1600" s="2"/>
      <c r="B1600" s="65" t="str">
        <f t="shared" si="120"/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 t="shared" si="121"/>
        <v/>
      </c>
      <c r="M1600" s="65" t="str">
        <f t="shared" ca="1" si="122"/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123"/>
        <v/>
      </c>
      <c r="S1600" s="1" t="str">
        <f t="shared" si="124"/>
        <v/>
      </c>
      <c r="T1600" s="1">
        <f>IF($E1600="",0,SUMPRODUCT((AY_SONU!$O$7:$O$42="Evet")*(AY_SONU!$B$7:$B$42=DATE(YEAR($E1600),MONTH($E1600),1))))</f>
        <v>0</v>
      </c>
      <c r="U1600" s="1" t="str">
        <f>IF(OR($G1600="",$H1600="Mahsup"),"",$G1600&amp;"|"&amp;COUNTIFS($G$7:$G1600,$G1600,$H$7:$H1600,"&lt;&gt;Mahsup"))</f>
        <v/>
      </c>
    </row>
    <row r="1601" spans="1:21" ht="18" customHeight="1" x14ac:dyDescent="0.3">
      <c r="A1601" s="2"/>
      <c r="B1601" s="65" t="str">
        <f t="shared" si="120"/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 t="shared" si="121"/>
        <v/>
      </c>
      <c r="M1601" s="65" t="str">
        <f t="shared" ca="1" si="122"/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123"/>
        <v/>
      </c>
      <c r="S1601" s="1" t="str">
        <f t="shared" si="124"/>
        <v/>
      </c>
      <c r="T1601" s="1">
        <f>IF($E1601="",0,SUMPRODUCT((AY_SONU!$O$7:$O$42="Evet")*(AY_SONU!$B$7:$B$42=DATE(YEAR($E1601),MONTH($E1601),1))))</f>
        <v>0</v>
      </c>
      <c r="U1601" s="1" t="str">
        <f>IF(OR($G1601="",$H1601="Mahsup"),"",$G1601&amp;"|"&amp;COUNTIFS($G$7:$G1601,$G1601,$H$7:$H1601,"&lt;&gt;Mahsup"))</f>
        <v/>
      </c>
    </row>
    <row r="1602" spans="1:21" ht="18" customHeight="1" x14ac:dyDescent="0.3">
      <c r="A1602" s="2"/>
      <c r="B1602" s="65" t="str">
        <f t="shared" si="120"/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 t="shared" si="121"/>
        <v/>
      </c>
      <c r="M1602" s="65" t="str">
        <f t="shared" ca="1" si="122"/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123"/>
        <v/>
      </c>
      <c r="S1602" s="1" t="str">
        <f t="shared" si="124"/>
        <v/>
      </c>
      <c r="T1602" s="1">
        <f>IF($E1602="",0,SUMPRODUCT((AY_SONU!$O$7:$O$42="Evet")*(AY_SONU!$B$7:$B$42=DATE(YEAR($E1602),MONTH($E1602),1))))</f>
        <v>0</v>
      </c>
      <c r="U1602" s="1" t="str">
        <f>IF(OR($G1602="",$H1602="Mahsup"),"",$G1602&amp;"|"&amp;COUNTIFS($G$7:$G1602,$G1602,$H$7:$H1602,"&lt;&gt;Mahsup"))</f>
        <v/>
      </c>
    </row>
    <row r="1603" spans="1:21" ht="18" customHeight="1" x14ac:dyDescent="0.3">
      <c r="A1603" s="2"/>
      <c r="B1603" s="65" t="str">
        <f t="shared" si="120"/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 t="shared" si="121"/>
        <v/>
      </c>
      <c r="M1603" s="65" t="str">
        <f t="shared" ca="1" si="122"/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123"/>
        <v/>
      </c>
      <c r="S1603" s="1" t="str">
        <f t="shared" si="124"/>
        <v/>
      </c>
      <c r="T1603" s="1">
        <f>IF($E1603="",0,SUMPRODUCT((AY_SONU!$O$7:$O$42="Evet")*(AY_SONU!$B$7:$B$42=DATE(YEAR($E1603),MONTH($E1603),1))))</f>
        <v>0</v>
      </c>
      <c r="U1603" s="1" t="str">
        <f>IF(OR($G1603="",$H1603="Mahsup"),"",$G1603&amp;"|"&amp;COUNTIFS($G$7:$G1603,$G1603,$H$7:$H1603,"&lt;&gt;Mahsup"))</f>
        <v/>
      </c>
    </row>
    <row r="1604" spans="1:21" ht="18" customHeight="1" x14ac:dyDescent="0.3">
      <c r="A1604" s="2"/>
      <c r="B1604" s="65" t="str">
        <f t="shared" si="120"/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 t="shared" si="121"/>
        <v/>
      </c>
      <c r="M1604" s="65" t="str">
        <f t="shared" ca="1" si="122"/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123"/>
        <v/>
      </c>
      <c r="S1604" s="1" t="str">
        <f t="shared" si="124"/>
        <v/>
      </c>
      <c r="T1604" s="1">
        <f>IF($E1604="",0,SUMPRODUCT((AY_SONU!$O$7:$O$42="Evet")*(AY_SONU!$B$7:$B$42=DATE(YEAR($E1604),MONTH($E1604),1))))</f>
        <v>0</v>
      </c>
      <c r="U1604" s="1" t="str">
        <f>IF(OR($G1604="",$H1604="Mahsup"),"",$G1604&amp;"|"&amp;COUNTIFS($G$7:$G1604,$G1604,$H$7:$H1604,"&lt;&gt;Mahsup"))</f>
        <v/>
      </c>
    </row>
    <row r="1605" spans="1:21" ht="18" customHeight="1" x14ac:dyDescent="0.3">
      <c r="A1605" s="2"/>
      <c r="B1605" s="65" t="str">
        <f t="shared" si="120"/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 t="shared" si="121"/>
        <v/>
      </c>
      <c r="M1605" s="65" t="str">
        <f t="shared" ca="1" si="122"/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123"/>
        <v/>
      </c>
      <c r="S1605" s="1" t="str">
        <f t="shared" si="124"/>
        <v/>
      </c>
      <c r="T1605" s="1">
        <f>IF($E1605="",0,SUMPRODUCT((AY_SONU!$O$7:$O$42="Evet")*(AY_SONU!$B$7:$B$42=DATE(YEAR($E1605),MONTH($E1605),1))))</f>
        <v>0</v>
      </c>
      <c r="U1605" s="1" t="str">
        <f>IF(OR($G1605="",$H1605="Mahsup"),"",$G1605&amp;"|"&amp;COUNTIFS($G$7:$G1605,$G1605,$H$7:$H1605,"&lt;&gt;Mahsup"))</f>
        <v/>
      </c>
    </row>
    <row r="1606" spans="1:21" ht="18" customHeight="1" x14ac:dyDescent="0.3">
      <c r="A1606" s="2"/>
      <c r="B1606" s="65" t="str">
        <f t="shared" si="120"/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 t="shared" si="121"/>
        <v/>
      </c>
      <c r="M1606" s="65" t="str">
        <f t="shared" ca="1" si="122"/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123"/>
        <v/>
      </c>
      <c r="S1606" s="1" t="str">
        <f t="shared" si="124"/>
        <v/>
      </c>
      <c r="T1606" s="1">
        <f>IF($E1606="",0,SUMPRODUCT((AY_SONU!$O$7:$O$42="Evet")*(AY_SONU!$B$7:$B$42=DATE(YEAR($E1606),MONTH($E1606),1))))</f>
        <v>0</v>
      </c>
      <c r="U1606" s="1" t="str">
        <f>IF(OR($G1606="",$H1606="Mahsup"),"",$G1606&amp;"|"&amp;COUNTIFS($G$7:$G1606,$G1606,$H$7:$H1606,"&lt;&gt;Mahsup"))</f>
        <v/>
      </c>
    </row>
    <row r="1607" spans="1:21" ht="18" customHeight="1" x14ac:dyDescent="0.3">
      <c r="A1607" s="2"/>
      <c r="B1607" s="65" t="str">
        <f t="shared" ref="B1607:B1670" si="125"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 t="shared" ref="L1607:L1670" si="126">IF($E1607="","",DATE(YEAR($E1607),MONTH($E1607),1))</f>
        <v/>
      </c>
      <c r="M1607" s="65" t="str">
        <f t="shared" ref="M1607:M1670" ca="1" si="127"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128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129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  <c r="U1607" s="1" t="str">
        <f>IF(OR($G1607="",$H1607="Mahsup"),"",$G1607&amp;"|"&amp;COUNTIFS($G$7:$G1607,$G1607,$H$7:$H1607,"&lt;&gt;Mahsup"))</f>
        <v/>
      </c>
    </row>
    <row r="1608" spans="1:21" ht="18" customHeight="1" x14ac:dyDescent="0.3">
      <c r="A1608" s="2"/>
      <c r="B1608" s="65" t="str">
        <f t="shared" si="125"/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 t="shared" si="126"/>
        <v/>
      </c>
      <c r="M1608" s="65" t="str">
        <f t="shared" ca="1" si="127"/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128"/>
        <v/>
      </c>
      <c r="S1608" s="1" t="str">
        <f t="shared" si="129"/>
        <v/>
      </c>
      <c r="T1608" s="1">
        <f>IF($E1608="",0,SUMPRODUCT((AY_SONU!$O$7:$O$42="Evet")*(AY_SONU!$B$7:$B$42=DATE(YEAR($E1608),MONTH($E1608),1))))</f>
        <v>0</v>
      </c>
      <c r="U1608" s="1" t="str">
        <f>IF(OR($G1608="",$H1608="Mahsup"),"",$G1608&amp;"|"&amp;COUNTIFS($G$7:$G1608,$G1608,$H$7:$H1608,"&lt;&gt;Mahsup"))</f>
        <v/>
      </c>
    </row>
    <row r="1609" spans="1:21" ht="18" customHeight="1" x14ac:dyDescent="0.3">
      <c r="A1609" s="2"/>
      <c r="B1609" s="65" t="str">
        <f t="shared" si="125"/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 t="shared" si="126"/>
        <v/>
      </c>
      <c r="M1609" s="65" t="str">
        <f t="shared" ca="1" si="127"/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128"/>
        <v/>
      </c>
      <c r="S1609" s="1" t="str">
        <f t="shared" si="129"/>
        <v/>
      </c>
      <c r="T1609" s="1">
        <f>IF($E1609="",0,SUMPRODUCT((AY_SONU!$O$7:$O$42="Evet")*(AY_SONU!$B$7:$B$42=DATE(YEAR($E1609),MONTH($E1609),1))))</f>
        <v>0</v>
      </c>
      <c r="U1609" s="1" t="str">
        <f>IF(OR($G1609="",$H1609="Mahsup"),"",$G1609&amp;"|"&amp;COUNTIFS($G$7:$G1609,$G1609,$H$7:$H1609,"&lt;&gt;Mahsup"))</f>
        <v/>
      </c>
    </row>
    <row r="1610" spans="1:21" ht="18" customHeight="1" x14ac:dyDescent="0.3">
      <c r="A1610" s="2"/>
      <c r="B1610" s="65" t="str">
        <f t="shared" si="125"/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 t="shared" si="126"/>
        <v/>
      </c>
      <c r="M1610" s="65" t="str">
        <f t="shared" ca="1" si="127"/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128"/>
        <v/>
      </c>
      <c r="S1610" s="1" t="str">
        <f t="shared" si="129"/>
        <v/>
      </c>
      <c r="T1610" s="1">
        <f>IF($E1610="",0,SUMPRODUCT((AY_SONU!$O$7:$O$42="Evet")*(AY_SONU!$B$7:$B$42=DATE(YEAR($E1610),MONTH($E1610),1))))</f>
        <v>0</v>
      </c>
      <c r="U1610" s="1" t="str">
        <f>IF(OR($G1610="",$H1610="Mahsup"),"",$G1610&amp;"|"&amp;COUNTIFS($G$7:$G1610,$G1610,$H$7:$H1610,"&lt;&gt;Mahsup"))</f>
        <v/>
      </c>
    </row>
    <row r="1611" spans="1:21" ht="18" customHeight="1" x14ac:dyDescent="0.3">
      <c r="A1611" s="2"/>
      <c r="B1611" s="65" t="str">
        <f t="shared" si="125"/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 t="shared" si="126"/>
        <v/>
      </c>
      <c r="M1611" s="65" t="str">
        <f t="shared" ca="1" si="127"/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128"/>
        <v/>
      </c>
      <c r="S1611" s="1" t="str">
        <f t="shared" si="129"/>
        <v/>
      </c>
      <c r="T1611" s="1">
        <f>IF($E1611="",0,SUMPRODUCT((AY_SONU!$O$7:$O$42="Evet")*(AY_SONU!$B$7:$B$42=DATE(YEAR($E1611),MONTH($E1611),1))))</f>
        <v>0</v>
      </c>
      <c r="U1611" s="1" t="str">
        <f>IF(OR($G1611="",$H1611="Mahsup"),"",$G1611&amp;"|"&amp;COUNTIFS($G$7:$G1611,$G1611,$H$7:$H1611,"&lt;&gt;Mahsup"))</f>
        <v/>
      </c>
    </row>
    <row r="1612" spans="1:21" ht="18" customHeight="1" x14ac:dyDescent="0.3">
      <c r="A1612" s="2"/>
      <c r="B1612" s="65" t="str">
        <f t="shared" si="125"/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 t="shared" si="126"/>
        <v/>
      </c>
      <c r="M1612" s="65" t="str">
        <f t="shared" ca="1" si="127"/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128"/>
        <v/>
      </c>
      <c r="S1612" s="1" t="str">
        <f t="shared" si="129"/>
        <v/>
      </c>
      <c r="T1612" s="1">
        <f>IF($E1612="",0,SUMPRODUCT((AY_SONU!$O$7:$O$42="Evet")*(AY_SONU!$B$7:$B$42=DATE(YEAR($E1612),MONTH($E1612),1))))</f>
        <v>0</v>
      </c>
      <c r="U1612" s="1" t="str">
        <f>IF(OR($G1612="",$H1612="Mahsup"),"",$G1612&amp;"|"&amp;COUNTIFS($G$7:$G1612,$G1612,$H$7:$H1612,"&lt;&gt;Mahsup"))</f>
        <v/>
      </c>
    </row>
    <row r="1613" spans="1:21" ht="18" customHeight="1" x14ac:dyDescent="0.3">
      <c r="A1613" s="2"/>
      <c r="B1613" s="65" t="str">
        <f t="shared" si="125"/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 t="shared" si="126"/>
        <v/>
      </c>
      <c r="M1613" s="65" t="str">
        <f t="shared" ca="1" si="127"/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128"/>
        <v/>
      </c>
      <c r="S1613" s="1" t="str">
        <f t="shared" si="129"/>
        <v/>
      </c>
      <c r="T1613" s="1">
        <f>IF($E1613="",0,SUMPRODUCT((AY_SONU!$O$7:$O$42="Evet")*(AY_SONU!$B$7:$B$42=DATE(YEAR($E1613),MONTH($E1613),1))))</f>
        <v>0</v>
      </c>
      <c r="U1613" s="1" t="str">
        <f>IF(OR($G1613="",$H1613="Mahsup"),"",$G1613&amp;"|"&amp;COUNTIFS($G$7:$G1613,$G1613,$H$7:$H1613,"&lt;&gt;Mahsup"))</f>
        <v/>
      </c>
    </row>
    <row r="1614" spans="1:21" ht="18" customHeight="1" x14ac:dyDescent="0.3">
      <c r="A1614" s="2"/>
      <c r="B1614" s="65" t="str">
        <f t="shared" si="125"/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 t="shared" si="126"/>
        <v/>
      </c>
      <c r="M1614" s="65" t="str">
        <f t="shared" ca="1" si="127"/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128"/>
        <v/>
      </c>
      <c r="S1614" s="1" t="str">
        <f t="shared" si="129"/>
        <v/>
      </c>
      <c r="T1614" s="1">
        <f>IF($E1614="",0,SUMPRODUCT((AY_SONU!$O$7:$O$42="Evet")*(AY_SONU!$B$7:$B$42=DATE(YEAR($E1614),MONTH($E1614),1))))</f>
        <v>0</v>
      </c>
      <c r="U1614" s="1" t="str">
        <f>IF(OR($G1614="",$H1614="Mahsup"),"",$G1614&amp;"|"&amp;COUNTIFS($G$7:$G1614,$G1614,$H$7:$H1614,"&lt;&gt;Mahsup"))</f>
        <v/>
      </c>
    </row>
    <row r="1615" spans="1:21" ht="18" customHeight="1" x14ac:dyDescent="0.3">
      <c r="A1615" s="2"/>
      <c r="B1615" s="65" t="str">
        <f t="shared" si="125"/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 t="shared" si="126"/>
        <v/>
      </c>
      <c r="M1615" s="65" t="str">
        <f t="shared" ca="1" si="127"/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128"/>
        <v/>
      </c>
      <c r="S1615" s="1" t="str">
        <f t="shared" si="129"/>
        <v/>
      </c>
      <c r="T1615" s="1">
        <f>IF($E1615="",0,SUMPRODUCT((AY_SONU!$O$7:$O$42="Evet")*(AY_SONU!$B$7:$B$42=DATE(YEAR($E1615),MONTH($E1615),1))))</f>
        <v>0</v>
      </c>
      <c r="U1615" s="1" t="str">
        <f>IF(OR($G1615="",$H1615="Mahsup"),"",$G1615&amp;"|"&amp;COUNTIFS($G$7:$G1615,$G1615,$H$7:$H1615,"&lt;&gt;Mahsup"))</f>
        <v/>
      </c>
    </row>
    <row r="1616" spans="1:21" ht="18" customHeight="1" x14ac:dyDescent="0.3">
      <c r="A1616" s="2"/>
      <c r="B1616" s="65" t="str">
        <f t="shared" si="125"/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 t="shared" si="126"/>
        <v/>
      </c>
      <c r="M1616" s="65" t="str">
        <f t="shared" ca="1" si="127"/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128"/>
        <v/>
      </c>
      <c r="S1616" s="1" t="str">
        <f t="shared" si="129"/>
        <v/>
      </c>
      <c r="T1616" s="1">
        <f>IF($E1616="",0,SUMPRODUCT((AY_SONU!$O$7:$O$42="Evet")*(AY_SONU!$B$7:$B$42=DATE(YEAR($E1616),MONTH($E1616),1))))</f>
        <v>0</v>
      </c>
      <c r="U1616" s="1" t="str">
        <f>IF(OR($G1616="",$H1616="Mahsup"),"",$G1616&amp;"|"&amp;COUNTIFS($G$7:$G1616,$G1616,$H$7:$H1616,"&lt;&gt;Mahsup"))</f>
        <v/>
      </c>
    </row>
    <row r="1617" spans="1:21" ht="18" customHeight="1" x14ac:dyDescent="0.3">
      <c r="A1617" s="2"/>
      <c r="B1617" s="65" t="str">
        <f t="shared" si="125"/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 t="shared" si="126"/>
        <v/>
      </c>
      <c r="M1617" s="65" t="str">
        <f t="shared" ca="1" si="127"/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128"/>
        <v/>
      </c>
      <c r="S1617" s="1" t="str">
        <f t="shared" si="129"/>
        <v/>
      </c>
      <c r="T1617" s="1">
        <f>IF($E1617="",0,SUMPRODUCT((AY_SONU!$O$7:$O$42="Evet")*(AY_SONU!$B$7:$B$42=DATE(YEAR($E1617),MONTH($E1617),1))))</f>
        <v>0</v>
      </c>
      <c r="U1617" s="1" t="str">
        <f>IF(OR($G1617="",$H1617="Mahsup"),"",$G1617&amp;"|"&amp;COUNTIFS($G$7:$G1617,$G1617,$H$7:$H1617,"&lt;&gt;Mahsup"))</f>
        <v/>
      </c>
    </row>
    <row r="1618" spans="1:21" ht="18" customHeight="1" x14ac:dyDescent="0.3">
      <c r="A1618" s="2"/>
      <c r="B1618" s="65" t="str">
        <f t="shared" si="125"/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 t="shared" si="126"/>
        <v/>
      </c>
      <c r="M1618" s="65" t="str">
        <f t="shared" ca="1" si="127"/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128"/>
        <v/>
      </c>
      <c r="S1618" s="1" t="str">
        <f t="shared" si="129"/>
        <v/>
      </c>
      <c r="T1618" s="1">
        <f>IF($E1618="",0,SUMPRODUCT((AY_SONU!$O$7:$O$42="Evet")*(AY_SONU!$B$7:$B$42=DATE(YEAR($E1618),MONTH($E1618),1))))</f>
        <v>0</v>
      </c>
      <c r="U1618" s="1" t="str">
        <f>IF(OR($G1618="",$H1618="Mahsup"),"",$G1618&amp;"|"&amp;COUNTIFS($G$7:$G1618,$G1618,$H$7:$H1618,"&lt;&gt;Mahsup"))</f>
        <v/>
      </c>
    </row>
    <row r="1619" spans="1:21" ht="18" customHeight="1" x14ac:dyDescent="0.3">
      <c r="A1619" s="2"/>
      <c r="B1619" s="65" t="str">
        <f t="shared" si="125"/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 t="shared" si="126"/>
        <v/>
      </c>
      <c r="M1619" s="65" t="str">
        <f t="shared" ca="1" si="127"/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128"/>
        <v/>
      </c>
      <c r="S1619" s="1" t="str">
        <f t="shared" si="129"/>
        <v/>
      </c>
      <c r="T1619" s="1">
        <f>IF($E1619="",0,SUMPRODUCT((AY_SONU!$O$7:$O$42="Evet")*(AY_SONU!$B$7:$B$42=DATE(YEAR($E1619),MONTH($E1619),1))))</f>
        <v>0</v>
      </c>
      <c r="U1619" s="1" t="str">
        <f>IF(OR($G1619="",$H1619="Mahsup"),"",$G1619&amp;"|"&amp;COUNTIFS($G$7:$G1619,$G1619,$H$7:$H1619,"&lt;&gt;Mahsup"))</f>
        <v/>
      </c>
    </row>
    <row r="1620" spans="1:21" ht="18" customHeight="1" x14ac:dyDescent="0.3">
      <c r="A1620" s="2"/>
      <c r="B1620" s="65" t="str">
        <f t="shared" si="125"/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 t="shared" si="126"/>
        <v/>
      </c>
      <c r="M1620" s="65" t="str">
        <f t="shared" ca="1" si="127"/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128"/>
        <v/>
      </c>
      <c r="S1620" s="1" t="str">
        <f t="shared" si="129"/>
        <v/>
      </c>
      <c r="T1620" s="1">
        <f>IF($E1620="",0,SUMPRODUCT((AY_SONU!$O$7:$O$42="Evet")*(AY_SONU!$B$7:$B$42=DATE(YEAR($E1620),MONTH($E1620),1))))</f>
        <v>0</v>
      </c>
      <c r="U1620" s="1" t="str">
        <f>IF(OR($G1620="",$H1620="Mahsup"),"",$G1620&amp;"|"&amp;COUNTIFS($G$7:$G1620,$G1620,$H$7:$H1620,"&lt;&gt;Mahsup"))</f>
        <v/>
      </c>
    </row>
    <row r="1621" spans="1:21" ht="18" customHeight="1" x14ac:dyDescent="0.3">
      <c r="A1621" s="2"/>
      <c r="B1621" s="65" t="str">
        <f t="shared" si="125"/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 t="shared" si="126"/>
        <v/>
      </c>
      <c r="M1621" s="65" t="str">
        <f t="shared" ca="1" si="127"/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128"/>
        <v/>
      </c>
      <c r="S1621" s="1" t="str">
        <f t="shared" si="129"/>
        <v/>
      </c>
      <c r="T1621" s="1">
        <f>IF($E1621="",0,SUMPRODUCT((AY_SONU!$O$7:$O$42="Evet")*(AY_SONU!$B$7:$B$42=DATE(YEAR($E1621),MONTH($E1621),1))))</f>
        <v>0</v>
      </c>
      <c r="U1621" s="1" t="str">
        <f>IF(OR($G1621="",$H1621="Mahsup"),"",$G1621&amp;"|"&amp;COUNTIFS($G$7:$G1621,$G1621,$H$7:$H1621,"&lt;&gt;Mahsup"))</f>
        <v/>
      </c>
    </row>
    <row r="1622" spans="1:21" ht="18" customHeight="1" x14ac:dyDescent="0.3">
      <c r="A1622" s="2"/>
      <c r="B1622" s="65" t="str">
        <f t="shared" si="125"/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 t="shared" si="126"/>
        <v/>
      </c>
      <c r="M1622" s="65" t="str">
        <f t="shared" ca="1" si="127"/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128"/>
        <v/>
      </c>
      <c r="S1622" s="1" t="str">
        <f t="shared" si="129"/>
        <v/>
      </c>
      <c r="T1622" s="1">
        <f>IF($E1622="",0,SUMPRODUCT((AY_SONU!$O$7:$O$42="Evet")*(AY_SONU!$B$7:$B$42=DATE(YEAR($E1622),MONTH($E1622),1))))</f>
        <v>0</v>
      </c>
      <c r="U1622" s="1" t="str">
        <f>IF(OR($G1622="",$H1622="Mahsup"),"",$G1622&amp;"|"&amp;COUNTIFS($G$7:$G1622,$G1622,$H$7:$H1622,"&lt;&gt;Mahsup"))</f>
        <v/>
      </c>
    </row>
    <row r="1623" spans="1:21" ht="18" customHeight="1" x14ac:dyDescent="0.3">
      <c r="A1623" s="2"/>
      <c r="B1623" s="65" t="str">
        <f t="shared" si="125"/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 t="shared" si="126"/>
        <v/>
      </c>
      <c r="M1623" s="65" t="str">
        <f t="shared" ca="1" si="127"/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128"/>
        <v/>
      </c>
      <c r="S1623" s="1" t="str">
        <f t="shared" si="129"/>
        <v/>
      </c>
      <c r="T1623" s="1">
        <f>IF($E1623="",0,SUMPRODUCT((AY_SONU!$O$7:$O$42="Evet")*(AY_SONU!$B$7:$B$42=DATE(YEAR($E1623),MONTH($E1623),1))))</f>
        <v>0</v>
      </c>
      <c r="U1623" s="1" t="str">
        <f>IF(OR($G1623="",$H1623="Mahsup"),"",$G1623&amp;"|"&amp;COUNTIFS($G$7:$G1623,$G1623,$H$7:$H1623,"&lt;&gt;Mahsup"))</f>
        <v/>
      </c>
    </row>
    <row r="1624" spans="1:21" ht="18" customHeight="1" x14ac:dyDescent="0.3">
      <c r="A1624" s="2"/>
      <c r="B1624" s="65" t="str">
        <f t="shared" si="125"/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 t="shared" si="126"/>
        <v/>
      </c>
      <c r="M1624" s="65" t="str">
        <f t="shared" ca="1" si="127"/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128"/>
        <v/>
      </c>
      <c r="S1624" s="1" t="str">
        <f t="shared" si="129"/>
        <v/>
      </c>
      <c r="T1624" s="1">
        <f>IF($E1624="",0,SUMPRODUCT((AY_SONU!$O$7:$O$42="Evet")*(AY_SONU!$B$7:$B$42=DATE(YEAR($E1624),MONTH($E1624),1))))</f>
        <v>0</v>
      </c>
      <c r="U1624" s="1" t="str">
        <f>IF(OR($G1624="",$H1624="Mahsup"),"",$G1624&amp;"|"&amp;COUNTIFS($G$7:$G1624,$G1624,$H$7:$H1624,"&lt;&gt;Mahsup"))</f>
        <v/>
      </c>
    </row>
    <row r="1625" spans="1:21" ht="18" customHeight="1" x14ac:dyDescent="0.3">
      <c r="A1625" s="2"/>
      <c r="B1625" s="65" t="str">
        <f t="shared" si="125"/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 t="shared" si="126"/>
        <v/>
      </c>
      <c r="M1625" s="65" t="str">
        <f t="shared" ca="1" si="127"/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128"/>
        <v/>
      </c>
      <c r="S1625" s="1" t="str">
        <f t="shared" si="129"/>
        <v/>
      </c>
      <c r="T1625" s="1">
        <f>IF($E1625="",0,SUMPRODUCT((AY_SONU!$O$7:$O$42="Evet")*(AY_SONU!$B$7:$B$42=DATE(YEAR($E1625),MONTH($E1625),1))))</f>
        <v>0</v>
      </c>
      <c r="U1625" s="1" t="str">
        <f>IF(OR($G1625="",$H1625="Mahsup"),"",$G1625&amp;"|"&amp;COUNTIFS($G$7:$G1625,$G1625,$H$7:$H1625,"&lt;&gt;Mahsup"))</f>
        <v/>
      </c>
    </row>
    <row r="1626" spans="1:21" ht="18" customHeight="1" x14ac:dyDescent="0.3">
      <c r="A1626" s="2"/>
      <c r="B1626" s="65" t="str">
        <f t="shared" si="125"/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 t="shared" si="126"/>
        <v/>
      </c>
      <c r="M1626" s="65" t="str">
        <f t="shared" ca="1" si="127"/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128"/>
        <v/>
      </c>
      <c r="S1626" s="1" t="str">
        <f t="shared" si="129"/>
        <v/>
      </c>
      <c r="T1626" s="1">
        <f>IF($E1626="",0,SUMPRODUCT((AY_SONU!$O$7:$O$42="Evet")*(AY_SONU!$B$7:$B$42=DATE(YEAR($E1626),MONTH($E1626),1))))</f>
        <v>0</v>
      </c>
      <c r="U1626" s="1" t="str">
        <f>IF(OR($G1626="",$H1626="Mahsup"),"",$G1626&amp;"|"&amp;COUNTIFS($G$7:$G1626,$G1626,$H$7:$H1626,"&lt;&gt;Mahsup"))</f>
        <v/>
      </c>
    </row>
    <row r="1627" spans="1:21" ht="18" customHeight="1" x14ac:dyDescent="0.3">
      <c r="A1627" s="2"/>
      <c r="B1627" s="65" t="str">
        <f t="shared" si="125"/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 t="shared" si="126"/>
        <v/>
      </c>
      <c r="M1627" s="65" t="str">
        <f t="shared" ca="1" si="127"/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128"/>
        <v/>
      </c>
      <c r="S1627" s="1" t="str">
        <f t="shared" si="129"/>
        <v/>
      </c>
      <c r="T1627" s="1">
        <f>IF($E1627="",0,SUMPRODUCT((AY_SONU!$O$7:$O$42="Evet")*(AY_SONU!$B$7:$B$42=DATE(YEAR($E1627),MONTH($E1627),1))))</f>
        <v>0</v>
      </c>
      <c r="U1627" s="1" t="str">
        <f>IF(OR($G1627="",$H1627="Mahsup"),"",$G1627&amp;"|"&amp;COUNTIFS($G$7:$G1627,$G1627,$H$7:$H1627,"&lt;&gt;Mahsup"))</f>
        <v/>
      </c>
    </row>
    <row r="1628" spans="1:21" ht="18" customHeight="1" x14ac:dyDescent="0.3">
      <c r="A1628" s="2"/>
      <c r="B1628" s="65" t="str">
        <f t="shared" si="125"/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 t="shared" si="126"/>
        <v/>
      </c>
      <c r="M1628" s="65" t="str">
        <f t="shared" ca="1" si="127"/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128"/>
        <v/>
      </c>
      <c r="S1628" s="1" t="str">
        <f t="shared" si="129"/>
        <v/>
      </c>
      <c r="T1628" s="1">
        <f>IF($E1628="",0,SUMPRODUCT((AY_SONU!$O$7:$O$42="Evet")*(AY_SONU!$B$7:$B$42=DATE(YEAR($E1628),MONTH($E1628),1))))</f>
        <v>0</v>
      </c>
      <c r="U1628" s="1" t="str">
        <f>IF(OR($G1628="",$H1628="Mahsup"),"",$G1628&amp;"|"&amp;COUNTIFS($G$7:$G1628,$G1628,$H$7:$H1628,"&lt;&gt;Mahsup"))</f>
        <v/>
      </c>
    </row>
    <row r="1629" spans="1:21" ht="18" customHeight="1" x14ac:dyDescent="0.3">
      <c r="A1629" s="2"/>
      <c r="B1629" s="65" t="str">
        <f t="shared" si="125"/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 t="shared" si="126"/>
        <v/>
      </c>
      <c r="M1629" s="65" t="str">
        <f t="shared" ca="1" si="127"/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128"/>
        <v/>
      </c>
      <c r="S1629" s="1" t="str">
        <f t="shared" si="129"/>
        <v/>
      </c>
      <c r="T1629" s="1">
        <f>IF($E1629="",0,SUMPRODUCT((AY_SONU!$O$7:$O$42="Evet")*(AY_SONU!$B$7:$B$42=DATE(YEAR($E1629),MONTH($E1629),1))))</f>
        <v>0</v>
      </c>
      <c r="U1629" s="1" t="str">
        <f>IF(OR($G1629="",$H1629="Mahsup"),"",$G1629&amp;"|"&amp;COUNTIFS($G$7:$G1629,$G1629,$H$7:$H1629,"&lt;&gt;Mahsup"))</f>
        <v/>
      </c>
    </row>
    <row r="1630" spans="1:21" ht="18" customHeight="1" x14ac:dyDescent="0.3">
      <c r="A1630" s="2"/>
      <c r="B1630" s="65" t="str">
        <f t="shared" si="125"/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 t="shared" si="126"/>
        <v/>
      </c>
      <c r="M1630" s="65" t="str">
        <f t="shared" ca="1" si="127"/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128"/>
        <v/>
      </c>
      <c r="S1630" s="1" t="str">
        <f t="shared" si="129"/>
        <v/>
      </c>
      <c r="T1630" s="1">
        <f>IF($E1630="",0,SUMPRODUCT((AY_SONU!$O$7:$O$42="Evet")*(AY_SONU!$B$7:$B$42=DATE(YEAR($E1630),MONTH($E1630),1))))</f>
        <v>0</v>
      </c>
      <c r="U1630" s="1" t="str">
        <f>IF(OR($G1630="",$H1630="Mahsup"),"",$G1630&amp;"|"&amp;COUNTIFS($G$7:$G1630,$G1630,$H$7:$H1630,"&lt;&gt;Mahsup"))</f>
        <v/>
      </c>
    </row>
    <row r="1631" spans="1:21" ht="18" customHeight="1" x14ac:dyDescent="0.3">
      <c r="A1631" s="2"/>
      <c r="B1631" s="65" t="str">
        <f t="shared" si="125"/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 t="shared" si="126"/>
        <v/>
      </c>
      <c r="M1631" s="65" t="str">
        <f t="shared" ca="1" si="127"/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128"/>
        <v/>
      </c>
      <c r="S1631" s="1" t="str">
        <f t="shared" si="129"/>
        <v/>
      </c>
      <c r="T1631" s="1">
        <f>IF($E1631="",0,SUMPRODUCT((AY_SONU!$O$7:$O$42="Evet")*(AY_SONU!$B$7:$B$42=DATE(YEAR($E1631),MONTH($E1631),1))))</f>
        <v>0</v>
      </c>
      <c r="U1631" s="1" t="str">
        <f>IF(OR($G1631="",$H1631="Mahsup"),"",$G1631&amp;"|"&amp;COUNTIFS($G$7:$G1631,$G1631,$H$7:$H1631,"&lt;&gt;Mahsup"))</f>
        <v/>
      </c>
    </row>
    <row r="1632" spans="1:21" ht="18" customHeight="1" x14ac:dyDescent="0.3">
      <c r="A1632" s="2"/>
      <c r="B1632" s="65" t="str">
        <f t="shared" si="125"/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 t="shared" si="126"/>
        <v/>
      </c>
      <c r="M1632" s="65" t="str">
        <f t="shared" ca="1" si="127"/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128"/>
        <v/>
      </c>
      <c r="S1632" s="1" t="str">
        <f t="shared" si="129"/>
        <v/>
      </c>
      <c r="T1632" s="1">
        <f>IF($E1632="",0,SUMPRODUCT((AY_SONU!$O$7:$O$42="Evet")*(AY_SONU!$B$7:$B$42=DATE(YEAR($E1632),MONTH($E1632),1))))</f>
        <v>0</v>
      </c>
      <c r="U1632" s="1" t="str">
        <f>IF(OR($G1632="",$H1632="Mahsup"),"",$G1632&amp;"|"&amp;COUNTIFS($G$7:$G1632,$G1632,$H$7:$H1632,"&lt;&gt;Mahsup"))</f>
        <v/>
      </c>
    </row>
    <row r="1633" spans="1:21" ht="18" customHeight="1" x14ac:dyDescent="0.3">
      <c r="A1633" s="2"/>
      <c r="B1633" s="65" t="str">
        <f t="shared" si="125"/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 t="shared" si="126"/>
        <v/>
      </c>
      <c r="M1633" s="65" t="str">
        <f t="shared" ca="1" si="127"/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128"/>
        <v/>
      </c>
      <c r="S1633" s="1" t="str">
        <f t="shared" si="129"/>
        <v/>
      </c>
      <c r="T1633" s="1">
        <f>IF($E1633="",0,SUMPRODUCT((AY_SONU!$O$7:$O$42="Evet")*(AY_SONU!$B$7:$B$42=DATE(YEAR($E1633),MONTH($E1633),1))))</f>
        <v>0</v>
      </c>
      <c r="U1633" s="1" t="str">
        <f>IF(OR($G1633="",$H1633="Mahsup"),"",$G1633&amp;"|"&amp;COUNTIFS($G$7:$G1633,$G1633,$H$7:$H1633,"&lt;&gt;Mahsup"))</f>
        <v/>
      </c>
    </row>
    <row r="1634" spans="1:21" ht="18" customHeight="1" x14ac:dyDescent="0.3">
      <c r="A1634" s="2"/>
      <c r="B1634" s="65" t="str">
        <f t="shared" si="125"/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 t="shared" si="126"/>
        <v/>
      </c>
      <c r="M1634" s="65" t="str">
        <f t="shared" ca="1" si="127"/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128"/>
        <v/>
      </c>
      <c r="S1634" s="1" t="str">
        <f t="shared" si="129"/>
        <v/>
      </c>
      <c r="T1634" s="1">
        <f>IF($E1634="",0,SUMPRODUCT((AY_SONU!$O$7:$O$42="Evet")*(AY_SONU!$B$7:$B$42=DATE(YEAR($E1634),MONTH($E1634),1))))</f>
        <v>0</v>
      </c>
      <c r="U1634" s="1" t="str">
        <f>IF(OR($G1634="",$H1634="Mahsup"),"",$G1634&amp;"|"&amp;COUNTIFS($G$7:$G1634,$G1634,$H$7:$H1634,"&lt;&gt;Mahsup"))</f>
        <v/>
      </c>
    </row>
    <row r="1635" spans="1:21" ht="18" customHeight="1" x14ac:dyDescent="0.3">
      <c r="A1635" s="2"/>
      <c r="B1635" s="65" t="str">
        <f t="shared" si="125"/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 t="shared" si="126"/>
        <v/>
      </c>
      <c r="M1635" s="65" t="str">
        <f t="shared" ca="1" si="127"/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128"/>
        <v/>
      </c>
      <c r="S1635" s="1" t="str">
        <f t="shared" si="129"/>
        <v/>
      </c>
      <c r="T1635" s="1">
        <f>IF($E1635="",0,SUMPRODUCT((AY_SONU!$O$7:$O$42="Evet")*(AY_SONU!$B$7:$B$42=DATE(YEAR($E1635),MONTH($E1635),1))))</f>
        <v>0</v>
      </c>
      <c r="U1635" s="1" t="str">
        <f>IF(OR($G1635="",$H1635="Mahsup"),"",$G1635&amp;"|"&amp;COUNTIFS($G$7:$G1635,$G1635,$H$7:$H1635,"&lt;&gt;Mahsup"))</f>
        <v/>
      </c>
    </row>
    <row r="1636" spans="1:21" ht="18" customHeight="1" x14ac:dyDescent="0.3">
      <c r="A1636" s="2"/>
      <c r="B1636" s="65" t="str">
        <f t="shared" si="125"/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 t="shared" si="126"/>
        <v/>
      </c>
      <c r="M1636" s="65" t="str">
        <f t="shared" ca="1" si="127"/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128"/>
        <v/>
      </c>
      <c r="S1636" s="1" t="str">
        <f t="shared" si="129"/>
        <v/>
      </c>
      <c r="T1636" s="1">
        <f>IF($E1636="",0,SUMPRODUCT((AY_SONU!$O$7:$O$42="Evet")*(AY_SONU!$B$7:$B$42=DATE(YEAR($E1636),MONTH($E1636),1))))</f>
        <v>0</v>
      </c>
      <c r="U1636" s="1" t="str">
        <f>IF(OR($G1636="",$H1636="Mahsup"),"",$G1636&amp;"|"&amp;COUNTIFS($G$7:$G1636,$G1636,$H$7:$H1636,"&lt;&gt;Mahsup"))</f>
        <v/>
      </c>
    </row>
    <row r="1637" spans="1:21" ht="18" customHeight="1" x14ac:dyDescent="0.3">
      <c r="A1637" s="2"/>
      <c r="B1637" s="65" t="str">
        <f t="shared" si="125"/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 t="shared" si="126"/>
        <v/>
      </c>
      <c r="M1637" s="65" t="str">
        <f t="shared" ca="1" si="127"/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128"/>
        <v/>
      </c>
      <c r="S1637" s="1" t="str">
        <f t="shared" si="129"/>
        <v/>
      </c>
      <c r="T1637" s="1">
        <f>IF($E1637="",0,SUMPRODUCT((AY_SONU!$O$7:$O$42="Evet")*(AY_SONU!$B$7:$B$42=DATE(YEAR($E1637),MONTH($E1637),1))))</f>
        <v>0</v>
      </c>
      <c r="U1637" s="1" t="str">
        <f>IF(OR($G1637="",$H1637="Mahsup"),"",$G1637&amp;"|"&amp;COUNTIFS($G$7:$G1637,$G1637,$H$7:$H1637,"&lt;&gt;Mahsup"))</f>
        <v/>
      </c>
    </row>
    <row r="1638" spans="1:21" ht="18" customHeight="1" x14ac:dyDescent="0.3">
      <c r="A1638" s="2"/>
      <c r="B1638" s="65" t="str">
        <f t="shared" si="125"/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 t="shared" si="126"/>
        <v/>
      </c>
      <c r="M1638" s="65" t="str">
        <f t="shared" ca="1" si="127"/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128"/>
        <v/>
      </c>
      <c r="S1638" s="1" t="str">
        <f t="shared" si="129"/>
        <v/>
      </c>
      <c r="T1638" s="1">
        <f>IF($E1638="",0,SUMPRODUCT((AY_SONU!$O$7:$O$42="Evet")*(AY_SONU!$B$7:$B$42=DATE(YEAR($E1638),MONTH($E1638),1))))</f>
        <v>0</v>
      </c>
      <c r="U1638" s="1" t="str">
        <f>IF(OR($G1638="",$H1638="Mahsup"),"",$G1638&amp;"|"&amp;COUNTIFS($G$7:$G1638,$G1638,$H$7:$H1638,"&lt;&gt;Mahsup"))</f>
        <v/>
      </c>
    </row>
    <row r="1639" spans="1:21" ht="18" customHeight="1" x14ac:dyDescent="0.3">
      <c r="A1639" s="2"/>
      <c r="B1639" s="65" t="str">
        <f t="shared" si="125"/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 t="shared" si="126"/>
        <v/>
      </c>
      <c r="M1639" s="65" t="str">
        <f t="shared" ca="1" si="127"/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128"/>
        <v/>
      </c>
      <c r="S1639" s="1" t="str">
        <f t="shared" si="129"/>
        <v/>
      </c>
      <c r="T1639" s="1">
        <f>IF($E1639="",0,SUMPRODUCT((AY_SONU!$O$7:$O$42="Evet")*(AY_SONU!$B$7:$B$42=DATE(YEAR($E1639),MONTH($E1639),1))))</f>
        <v>0</v>
      </c>
      <c r="U1639" s="1" t="str">
        <f>IF(OR($G1639="",$H1639="Mahsup"),"",$G1639&amp;"|"&amp;COUNTIFS($G$7:$G1639,$G1639,$H$7:$H1639,"&lt;&gt;Mahsup"))</f>
        <v/>
      </c>
    </row>
    <row r="1640" spans="1:21" ht="18" customHeight="1" x14ac:dyDescent="0.3">
      <c r="A1640" s="2"/>
      <c r="B1640" s="65" t="str">
        <f t="shared" si="125"/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 t="shared" si="126"/>
        <v/>
      </c>
      <c r="M1640" s="65" t="str">
        <f t="shared" ca="1" si="127"/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128"/>
        <v/>
      </c>
      <c r="S1640" s="1" t="str">
        <f t="shared" si="129"/>
        <v/>
      </c>
      <c r="T1640" s="1">
        <f>IF($E1640="",0,SUMPRODUCT((AY_SONU!$O$7:$O$42="Evet")*(AY_SONU!$B$7:$B$42=DATE(YEAR($E1640),MONTH($E1640),1))))</f>
        <v>0</v>
      </c>
      <c r="U1640" s="1" t="str">
        <f>IF(OR($G1640="",$H1640="Mahsup"),"",$G1640&amp;"|"&amp;COUNTIFS($G$7:$G1640,$G1640,$H$7:$H1640,"&lt;&gt;Mahsup"))</f>
        <v/>
      </c>
    </row>
    <row r="1641" spans="1:21" ht="18" customHeight="1" x14ac:dyDescent="0.3">
      <c r="A1641" s="2"/>
      <c r="B1641" s="65" t="str">
        <f t="shared" si="125"/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 t="shared" si="126"/>
        <v/>
      </c>
      <c r="M1641" s="65" t="str">
        <f t="shared" ca="1" si="127"/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128"/>
        <v/>
      </c>
      <c r="S1641" s="1" t="str">
        <f t="shared" si="129"/>
        <v/>
      </c>
      <c r="T1641" s="1">
        <f>IF($E1641="",0,SUMPRODUCT((AY_SONU!$O$7:$O$42="Evet")*(AY_SONU!$B$7:$B$42=DATE(YEAR($E1641),MONTH($E1641),1))))</f>
        <v>0</v>
      </c>
      <c r="U1641" s="1" t="str">
        <f>IF(OR($G1641="",$H1641="Mahsup"),"",$G1641&amp;"|"&amp;COUNTIFS($G$7:$G1641,$G1641,$H$7:$H1641,"&lt;&gt;Mahsup"))</f>
        <v/>
      </c>
    </row>
    <row r="1642" spans="1:21" ht="18" customHeight="1" x14ac:dyDescent="0.3">
      <c r="A1642" s="2"/>
      <c r="B1642" s="65" t="str">
        <f t="shared" si="125"/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 t="shared" si="126"/>
        <v/>
      </c>
      <c r="M1642" s="65" t="str">
        <f t="shared" ca="1" si="127"/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128"/>
        <v/>
      </c>
      <c r="S1642" s="1" t="str">
        <f t="shared" si="129"/>
        <v/>
      </c>
      <c r="T1642" s="1">
        <f>IF($E1642="",0,SUMPRODUCT((AY_SONU!$O$7:$O$42="Evet")*(AY_SONU!$B$7:$B$42=DATE(YEAR($E1642),MONTH($E1642),1))))</f>
        <v>0</v>
      </c>
      <c r="U1642" s="1" t="str">
        <f>IF(OR($G1642="",$H1642="Mahsup"),"",$G1642&amp;"|"&amp;COUNTIFS($G$7:$G1642,$G1642,$H$7:$H1642,"&lt;&gt;Mahsup"))</f>
        <v/>
      </c>
    </row>
    <row r="1643" spans="1:21" ht="18" customHeight="1" x14ac:dyDescent="0.3">
      <c r="A1643" s="2"/>
      <c r="B1643" s="65" t="str">
        <f t="shared" si="125"/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 t="shared" si="126"/>
        <v/>
      </c>
      <c r="M1643" s="65" t="str">
        <f t="shared" ca="1" si="127"/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128"/>
        <v/>
      </c>
      <c r="S1643" s="1" t="str">
        <f t="shared" si="129"/>
        <v/>
      </c>
      <c r="T1643" s="1">
        <f>IF($E1643="",0,SUMPRODUCT((AY_SONU!$O$7:$O$42="Evet")*(AY_SONU!$B$7:$B$42=DATE(YEAR($E1643),MONTH($E1643),1))))</f>
        <v>0</v>
      </c>
      <c r="U1643" s="1" t="str">
        <f>IF(OR($G1643="",$H1643="Mahsup"),"",$G1643&amp;"|"&amp;COUNTIFS($G$7:$G1643,$G1643,$H$7:$H1643,"&lt;&gt;Mahsup"))</f>
        <v/>
      </c>
    </row>
    <row r="1644" spans="1:21" ht="18" customHeight="1" x14ac:dyDescent="0.3">
      <c r="A1644" s="2"/>
      <c r="B1644" s="65" t="str">
        <f t="shared" si="125"/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 t="shared" si="126"/>
        <v/>
      </c>
      <c r="M1644" s="65" t="str">
        <f t="shared" ca="1" si="127"/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128"/>
        <v/>
      </c>
      <c r="S1644" s="1" t="str">
        <f t="shared" si="129"/>
        <v/>
      </c>
      <c r="T1644" s="1">
        <f>IF($E1644="",0,SUMPRODUCT((AY_SONU!$O$7:$O$42="Evet")*(AY_SONU!$B$7:$B$42=DATE(YEAR($E1644),MONTH($E1644),1))))</f>
        <v>0</v>
      </c>
      <c r="U1644" s="1" t="str">
        <f>IF(OR($G1644="",$H1644="Mahsup"),"",$G1644&amp;"|"&amp;COUNTIFS($G$7:$G1644,$G1644,$H$7:$H1644,"&lt;&gt;Mahsup"))</f>
        <v/>
      </c>
    </row>
    <row r="1645" spans="1:21" ht="18" customHeight="1" x14ac:dyDescent="0.3">
      <c r="A1645" s="2"/>
      <c r="B1645" s="65" t="str">
        <f t="shared" si="125"/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 t="shared" si="126"/>
        <v/>
      </c>
      <c r="M1645" s="65" t="str">
        <f t="shared" ca="1" si="127"/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128"/>
        <v/>
      </c>
      <c r="S1645" s="1" t="str">
        <f t="shared" si="129"/>
        <v/>
      </c>
      <c r="T1645" s="1">
        <f>IF($E1645="",0,SUMPRODUCT((AY_SONU!$O$7:$O$42="Evet")*(AY_SONU!$B$7:$B$42=DATE(YEAR($E1645),MONTH($E1645),1))))</f>
        <v>0</v>
      </c>
      <c r="U1645" s="1" t="str">
        <f>IF(OR($G1645="",$H1645="Mahsup"),"",$G1645&amp;"|"&amp;COUNTIFS($G$7:$G1645,$G1645,$H$7:$H1645,"&lt;&gt;Mahsup"))</f>
        <v/>
      </c>
    </row>
    <row r="1646" spans="1:21" ht="18" customHeight="1" x14ac:dyDescent="0.3">
      <c r="A1646" s="2"/>
      <c r="B1646" s="65" t="str">
        <f t="shared" si="125"/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 t="shared" si="126"/>
        <v/>
      </c>
      <c r="M1646" s="65" t="str">
        <f t="shared" ca="1" si="127"/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128"/>
        <v/>
      </c>
      <c r="S1646" s="1" t="str">
        <f t="shared" si="129"/>
        <v/>
      </c>
      <c r="T1646" s="1">
        <f>IF($E1646="",0,SUMPRODUCT((AY_SONU!$O$7:$O$42="Evet")*(AY_SONU!$B$7:$B$42=DATE(YEAR($E1646),MONTH($E1646),1))))</f>
        <v>0</v>
      </c>
      <c r="U1646" s="1" t="str">
        <f>IF(OR($G1646="",$H1646="Mahsup"),"",$G1646&amp;"|"&amp;COUNTIFS($G$7:$G1646,$G1646,$H$7:$H1646,"&lt;&gt;Mahsup"))</f>
        <v/>
      </c>
    </row>
    <row r="1647" spans="1:21" ht="18" customHeight="1" x14ac:dyDescent="0.3">
      <c r="A1647" s="2"/>
      <c r="B1647" s="65" t="str">
        <f t="shared" si="125"/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 t="shared" si="126"/>
        <v/>
      </c>
      <c r="M1647" s="65" t="str">
        <f t="shared" ca="1" si="127"/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128"/>
        <v/>
      </c>
      <c r="S1647" s="1" t="str">
        <f t="shared" si="129"/>
        <v/>
      </c>
      <c r="T1647" s="1">
        <f>IF($E1647="",0,SUMPRODUCT((AY_SONU!$O$7:$O$42="Evet")*(AY_SONU!$B$7:$B$42=DATE(YEAR($E1647),MONTH($E1647),1))))</f>
        <v>0</v>
      </c>
      <c r="U1647" s="1" t="str">
        <f>IF(OR($G1647="",$H1647="Mahsup"),"",$G1647&amp;"|"&amp;COUNTIFS($G$7:$G1647,$G1647,$H$7:$H1647,"&lt;&gt;Mahsup"))</f>
        <v/>
      </c>
    </row>
    <row r="1648" spans="1:21" ht="18" customHeight="1" x14ac:dyDescent="0.3">
      <c r="A1648" s="2"/>
      <c r="B1648" s="65" t="str">
        <f t="shared" si="125"/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 t="shared" si="126"/>
        <v/>
      </c>
      <c r="M1648" s="65" t="str">
        <f t="shared" ca="1" si="127"/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128"/>
        <v/>
      </c>
      <c r="S1648" s="1" t="str">
        <f t="shared" si="129"/>
        <v/>
      </c>
      <c r="T1648" s="1">
        <f>IF($E1648="",0,SUMPRODUCT((AY_SONU!$O$7:$O$42="Evet")*(AY_SONU!$B$7:$B$42=DATE(YEAR($E1648),MONTH($E1648),1))))</f>
        <v>0</v>
      </c>
      <c r="U1648" s="1" t="str">
        <f>IF(OR($G1648="",$H1648="Mahsup"),"",$G1648&amp;"|"&amp;COUNTIFS($G$7:$G1648,$G1648,$H$7:$H1648,"&lt;&gt;Mahsup"))</f>
        <v/>
      </c>
    </row>
    <row r="1649" spans="1:21" ht="18" customHeight="1" x14ac:dyDescent="0.3">
      <c r="A1649" s="2"/>
      <c r="B1649" s="65" t="str">
        <f t="shared" si="125"/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 t="shared" si="126"/>
        <v/>
      </c>
      <c r="M1649" s="65" t="str">
        <f t="shared" ca="1" si="127"/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128"/>
        <v/>
      </c>
      <c r="S1649" s="1" t="str">
        <f t="shared" si="129"/>
        <v/>
      </c>
      <c r="T1649" s="1">
        <f>IF($E1649="",0,SUMPRODUCT((AY_SONU!$O$7:$O$42="Evet")*(AY_SONU!$B$7:$B$42=DATE(YEAR($E1649),MONTH($E1649),1))))</f>
        <v>0</v>
      </c>
      <c r="U1649" s="1" t="str">
        <f>IF(OR($G1649="",$H1649="Mahsup"),"",$G1649&amp;"|"&amp;COUNTIFS($G$7:$G1649,$G1649,$H$7:$H1649,"&lt;&gt;Mahsup"))</f>
        <v/>
      </c>
    </row>
    <row r="1650" spans="1:21" ht="18" customHeight="1" x14ac:dyDescent="0.3">
      <c r="A1650" s="2"/>
      <c r="B1650" s="65" t="str">
        <f t="shared" si="125"/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 t="shared" si="126"/>
        <v/>
      </c>
      <c r="M1650" s="65" t="str">
        <f t="shared" ca="1" si="127"/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128"/>
        <v/>
      </c>
      <c r="S1650" s="1" t="str">
        <f t="shared" si="129"/>
        <v/>
      </c>
      <c r="T1650" s="1">
        <f>IF($E1650="",0,SUMPRODUCT((AY_SONU!$O$7:$O$42="Evet")*(AY_SONU!$B$7:$B$42=DATE(YEAR($E1650),MONTH($E1650),1))))</f>
        <v>0</v>
      </c>
      <c r="U1650" s="1" t="str">
        <f>IF(OR($G1650="",$H1650="Mahsup"),"",$G1650&amp;"|"&amp;COUNTIFS($G$7:$G1650,$G1650,$H$7:$H1650,"&lt;&gt;Mahsup"))</f>
        <v/>
      </c>
    </row>
    <row r="1651" spans="1:21" ht="18" customHeight="1" x14ac:dyDescent="0.3">
      <c r="A1651" s="2"/>
      <c r="B1651" s="65" t="str">
        <f t="shared" si="125"/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 t="shared" si="126"/>
        <v/>
      </c>
      <c r="M1651" s="65" t="str">
        <f t="shared" ca="1" si="127"/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128"/>
        <v/>
      </c>
      <c r="S1651" s="1" t="str">
        <f t="shared" si="129"/>
        <v/>
      </c>
      <c r="T1651" s="1">
        <f>IF($E1651="",0,SUMPRODUCT((AY_SONU!$O$7:$O$42="Evet")*(AY_SONU!$B$7:$B$42=DATE(YEAR($E1651),MONTH($E1651),1))))</f>
        <v>0</v>
      </c>
      <c r="U1651" s="1" t="str">
        <f>IF(OR($G1651="",$H1651="Mahsup"),"",$G1651&amp;"|"&amp;COUNTIFS($G$7:$G1651,$G1651,$H$7:$H1651,"&lt;&gt;Mahsup"))</f>
        <v/>
      </c>
    </row>
    <row r="1652" spans="1:21" ht="18" customHeight="1" x14ac:dyDescent="0.3">
      <c r="A1652" s="2"/>
      <c r="B1652" s="65" t="str">
        <f t="shared" si="125"/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 t="shared" si="126"/>
        <v/>
      </c>
      <c r="M1652" s="65" t="str">
        <f t="shared" ca="1" si="127"/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128"/>
        <v/>
      </c>
      <c r="S1652" s="1" t="str">
        <f t="shared" si="129"/>
        <v/>
      </c>
      <c r="T1652" s="1">
        <f>IF($E1652="",0,SUMPRODUCT((AY_SONU!$O$7:$O$42="Evet")*(AY_SONU!$B$7:$B$42=DATE(YEAR($E1652),MONTH($E1652),1))))</f>
        <v>0</v>
      </c>
      <c r="U1652" s="1" t="str">
        <f>IF(OR($G1652="",$H1652="Mahsup"),"",$G1652&amp;"|"&amp;COUNTIFS($G$7:$G1652,$G1652,$H$7:$H1652,"&lt;&gt;Mahsup"))</f>
        <v/>
      </c>
    </row>
    <row r="1653" spans="1:21" ht="18" customHeight="1" x14ac:dyDescent="0.3">
      <c r="A1653" s="2"/>
      <c r="B1653" s="65" t="str">
        <f t="shared" si="125"/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 t="shared" si="126"/>
        <v/>
      </c>
      <c r="M1653" s="65" t="str">
        <f t="shared" ca="1" si="127"/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128"/>
        <v/>
      </c>
      <c r="S1653" s="1" t="str">
        <f t="shared" si="129"/>
        <v/>
      </c>
      <c r="T1653" s="1">
        <f>IF($E1653="",0,SUMPRODUCT((AY_SONU!$O$7:$O$42="Evet")*(AY_SONU!$B$7:$B$42=DATE(YEAR($E1653),MONTH($E1653),1))))</f>
        <v>0</v>
      </c>
      <c r="U1653" s="1" t="str">
        <f>IF(OR($G1653="",$H1653="Mahsup"),"",$G1653&amp;"|"&amp;COUNTIFS($G$7:$G1653,$G1653,$H$7:$H1653,"&lt;&gt;Mahsup"))</f>
        <v/>
      </c>
    </row>
    <row r="1654" spans="1:21" ht="18" customHeight="1" x14ac:dyDescent="0.3">
      <c r="A1654" s="2"/>
      <c r="B1654" s="65" t="str">
        <f t="shared" si="125"/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 t="shared" si="126"/>
        <v/>
      </c>
      <c r="M1654" s="65" t="str">
        <f t="shared" ca="1" si="127"/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128"/>
        <v/>
      </c>
      <c r="S1654" s="1" t="str">
        <f t="shared" si="129"/>
        <v/>
      </c>
      <c r="T1654" s="1">
        <f>IF($E1654="",0,SUMPRODUCT((AY_SONU!$O$7:$O$42="Evet")*(AY_SONU!$B$7:$B$42=DATE(YEAR($E1654),MONTH($E1654),1))))</f>
        <v>0</v>
      </c>
      <c r="U1654" s="1" t="str">
        <f>IF(OR($G1654="",$H1654="Mahsup"),"",$G1654&amp;"|"&amp;COUNTIFS($G$7:$G1654,$G1654,$H$7:$H1654,"&lt;&gt;Mahsup"))</f>
        <v/>
      </c>
    </row>
    <row r="1655" spans="1:21" ht="18" customHeight="1" x14ac:dyDescent="0.3">
      <c r="A1655" s="2"/>
      <c r="B1655" s="65" t="str">
        <f t="shared" si="125"/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 t="shared" si="126"/>
        <v/>
      </c>
      <c r="M1655" s="65" t="str">
        <f t="shared" ca="1" si="127"/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128"/>
        <v/>
      </c>
      <c r="S1655" s="1" t="str">
        <f t="shared" si="129"/>
        <v/>
      </c>
      <c r="T1655" s="1">
        <f>IF($E1655="",0,SUMPRODUCT((AY_SONU!$O$7:$O$42="Evet")*(AY_SONU!$B$7:$B$42=DATE(YEAR($E1655),MONTH($E1655),1))))</f>
        <v>0</v>
      </c>
      <c r="U1655" s="1" t="str">
        <f>IF(OR($G1655="",$H1655="Mahsup"),"",$G1655&amp;"|"&amp;COUNTIFS($G$7:$G1655,$G1655,$H$7:$H1655,"&lt;&gt;Mahsup"))</f>
        <v/>
      </c>
    </row>
    <row r="1656" spans="1:21" ht="18" customHeight="1" x14ac:dyDescent="0.3">
      <c r="A1656" s="2"/>
      <c r="B1656" s="65" t="str">
        <f t="shared" si="125"/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 t="shared" si="126"/>
        <v/>
      </c>
      <c r="M1656" s="65" t="str">
        <f t="shared" ca="1" si="127"/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128"/>
        <v/>
      </c>
      <c r="S1656" s="1" t="str">
        <f t="shared" si="129"/>
        <v/>
      </c>
      <c r="T1656" s="1">
        <f>IF($E1656="",0,SUMPRODUCT((AY_SONU!$O$7:$O$42="Evet")*(AY_SONU!$B$7:$B$42=DATE(YEAR($E1656),MONTH($E1656),1))))</f>
        <v>0</v>
      </c>
      <c r="U1656" s="1" t="str">
        <f>IF(OR($G1656="",$H1656="Mahsup"),"",$G1656&amp;"|"&amp;COUNTIFS($G$7:$G1656,$G1656,$H$7:$H1656,"&lt;&gt;Mahsup"))</f>
        <v/>
      </c>
    </row>
    <row r="1657" spans="1:21" ht="18" customHeight="1" x14ac:dyDescent="0.3">
      <c r="A1657" s="2"/>
      <c r="B1657" s="65" t="str">
        <f t="shared" si="125"/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 t="shared" si="126"/>
        <v/>
      </c>
      <c r="M1657" s="65" t="str">
        <f t="shared" ca="1" si="127"/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128"/>
        <v/>
      </c>
      <c r="S1657" s="1" t="str">
        <f t="shared" si="129"/>
        <v/>
      </c>
      <c r="T1657" s="1">
        <f>IF($E1657="",0,SUMPRODUCT((AY_SONU!$O$7:$O$42="Evet")*(AY_SONU!$B$7:$B$42=DATE(YEAR($E1657),MONTH($E1657),1))))</f>
        <v>0</v>
      </c>
      <c r="U1657" s="1" t="str">
        <f>IF(OR($G1657="",$H1657="Mahsup"),"",$G1657&amp;"|"&amp;COUNTIFS($G$7:$G1657,$G1657,$H$7:$H1657,"&lt;&gt;Mahsup"))</f>
        <v/>
      </c>
    </row>
    <row r="1658" spans="1:21" ht="18" customHeight="1" x14ac:dyDescent="0.3">
      <c r="A1658" s="2"/>
      <c r="B1658" s="65" t="str">
        <f t="shared" si="125"/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 t="shared" si="126"/>
        <v/>
      </c>
      <c r="M1658" s="65" t="str">
        <f t="shared" ca="1" si="127"/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128"/>
        <v/>
      </c>
      <c r="S1658" s="1" t="str">
        <f t="shared" si="129"/>
        <v/>
      </c>
      <c r="T1658" s="1">
        <f>IF($E1658="",0,SUMPRODUCT((AY_SONU!$O$7:$O$42="Evet")*(AY_SONU!$B$7:$B$42=DATE(YEAR($E1658),MONTH($E1658),1))))</f>
        <v>0</v>
      </c>
      <c r="U1658" s="1" t="str">
        <f>IF(OR($G1658="",$H1658="Mahsup"),"",$G1658&amp;"|"&amp;COUNTIFS($G$7:$G1658,$G1658,$H$7:$H1658,"&lt;&gt;Mahsup"))</f>
        <v/>
      </c>
    </row>
    <row r="1659" spans="1:21" ht="18" customHeight="1" x14ac:dyDescent="0.3">
      <c r="A1659" s="2"/>
      <c r="B1659" s="65" t="str">
        <f t="shared" si="125"/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 t="shared" si="126"/>
        <v/>
      </c>
      <c r="M1659" s="65" t="str">
        <f t="shared" ca="1" si="127"/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128"/>
        <v/>
      </c>
      <c r="S1659" s="1" t="str">
        <f t="shared" si="129"/>
        <v/>
      </c>
      <c r="T1659" s="1">
        <f>IF($E1659="",0,SUMPRODUCT((AY_SONU!$O$7:$O$42="Evet")*(AY_SONU!$B$7:$B$42=DATE(YEAR($E1659),MONTH($E1659),1))))</f>
        <v>0</v>
      </c>
      <c r="U1659" s="1" t="str">
        <f>IF(OR($G1659="",$H1659="Mahsup"),"",$G1659&amp;"|"&amp;COUNTIFS($G$7:$G1659,$G1659,$H$7:$H1659,"&lt;&gt;Mahsup"))</f>
        <v/>
      </c>
    </row>
    <row r="1660" spans="1:21" ht="18" customHeight="1" x14ac:dyDescent="0.3">
      <c r="A1660" s="2"/>
      <c r="B1660" s="65" t="str">
        <f t="shared" si="125"/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 t="shared" si="126"/>
        <v/>
      </c>
      <c r="M1660" s="65" t="str">
        <f t="shared" ca="1" si="127"/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128"/>
        <v/>
      </c>
      <c r="S1660" s="1" t="str">
        <f t="shared" si="129"/>
        <v/>
      </c>
      <c r="T1660" s="1">
        <f>IF($E1660="",0,SUMPRODUCT((AY_SONU!$O$7:$O$42="Evet")*(AY_SONU!$B$7:$B$42=DATE(YEAR($E1660),MONTH($E1660),1))))</f>
        <v>0</v>
      </c>
      <c r="U1660" s="1" t="str">
        <f>IF(OR($G1660="",$H1660="Mahsup"),"",$G1660&amp;"|"&amp;COUNTIFS($G$7:$G1660,$G1660,$H$7:$H1660,"&lt;&gt;Mahsup"))</f>
        <v/>
      </c>
    </row>
    <row r="1661" spans="1:21" ht="18" customHeight="1" x14ac:dyDescent="0.3">
      <c r="A1661" s="2"/>
      <c r="B1661" s="65" t="str">
        <f t="shared" si="125"/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 t="shared" si="126"/>
        <v/>
      </c>
      <c r="M1661" s="65" t="str">
        <f t="shared" ca="1" si="127"/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128"/>
        <v/>
      </c>
      <c r="S1661" s="1" t="str">
        <f t="shared" si="129"/>
        <v/>
      </c>
      <c r="T1661" s="1">
        <f>IF($E1661="",0,SUMPRODUCT((AY_SONU!$O$7:$O$42="Evet")*(AY_SONU!$B$7:$B$42=DATE(YEAR($E1661),MONTH($E1661),1))))</f>
        <v>0</v>
      </c>
      <c r="U1661" s="1" t="str">
        <f>IF(OR($G1661="",$H1661="Mahsup"),"",$G1661&amp;"|"&amp;COUNTIFS($G$7:$G1661,$G1661,$H$7:$H1661,"&lt;&gt;Mahsup"))</f>
        <v/>
      </c>
    </row>
    <row r="1662" spans="1:21" ht="18" customHeight="1" x14ac:dyDescent="0.3">
      <c r="A1662" s="2"/>
      <c r="B1662" s="65" t="str">
        <f t="shared" si="125"/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 t="shared" si="126"/>
        <v/>
      </c>
      <c r="M1662" s="65" t="str">
        <f t="shared" ca="1" si="127"/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128"/>
        <v/>
      </c>
      <c r="S1662" s="1" t="str">
        <f t="shared" si="129"/>
        <v/>
      </c>
      <c r="T1662" s="1">
        <f>IF($E1662="",0,SUMPRODUCT((AY_SONU!$O$7:$O$42="Evet")*(AY_SONU!$B$7:$B$42=DATE(YEAR($E1662),MONTH($E1662),1))))</f>
        <v>0</v>
      </c>
      <c r="U1662" s="1" t="str">
        <f>IF(OR($G1662="",$H1662="Mahsup"),"",$G1662&amp;"|"&amp;COUNTIFS($G$7:$G1662,$G1662,$H$7:$H1662,"&lt;&gt;Mahsup"))</f>
        <v/>
      </c>
    </row>
    <row r="1663" spans="1:21" ht="18" customHeight="1" x14ac:dyDescent="0.3">
      <c r="A1663" s="2"/>
      <c r="B1663" s="65" t="str">
        <f t="shared" si="125"/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 t="shared" si="126"/>
        <v/>
      </c>
      <c r="M1663" s="65" t="str">
        <f t="shared" ca="1" si="127"/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128"/>
        <v/>
      </c>
      <c r="S1663" s="1" t="str">
        <f t="shared" si="129"/>
        <v/>
      </c>
      <c r="T1663" s="1">
        <f>IF($E1663="",0,SUMPRODUCT((AY_SONU!$O$7:$O$42="Evet")*(AY_SONU!$B$7:$B$42=DATE(YEAR($E1663),MONTH($E1663),1))))</f>
        <v>0</v>
      </c>
      <c r="U1663" s="1" t="str">
        <f>IF(OR($G1663="",$H1663="Mahsup"),"",$G1663&amp;"|"&amp;COUNTIFS($G$7:$G1663,$G1663,$H$7:$H1663,"&lt;&gt;Mahsup"))</f>
        <v/>
      </c>
    </row>
    <row r="1664" spans="1:21" ht="18" customHeight="1" x14ac:dyDescent="0.3">
      <c r="A1664" s="2"/>
      <c r="B1664" s="65" t="str">
        <f t="shared" si="125"/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 t="shared" si="126"/>
        <v/>
      </c>
      <c r="M1664" s="65" t="str">
        <f t="shared" ca="1" si="127"/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128"/>
        <v/>
      </c>
      <c r="S1664" s="1" t="str">
        <f t="shared" si="129"/>
        <v/>
      </c>
      <c r="T1664" s="1">
        <f>IF($E1664="",0,SUMPRODUCT((AY_SONU!$O$7:$O$42="Evet")*(AY_SONU!$B$7:$B$42=DATE(YEAR($E1664),MONTH($E1664),1))))</f>
        <v>0</v>
      </c>
      <c r="U1664" s="1" t="str">
        <f>IF(OR($G1664="",$H1664="Mahsup"),"",$G1664&amp;"|"&amp;COUNTIFS($G$7:$G1664,$G1664,$H$7:$H1664,"&lt;&gt;Mahsup"))</f>
        <v/>
      </c>
    </row>
    <row r="1665" spans="1:21" ht="18" customHeight="1" x14ac:dyDescent="0.3">
      <c r="A1665" s="2"/>
      <c r="B1665" s="65" t="str">
        <f t="shared" si="125"/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 t="shared" si="126"/>
        <v/>
      </c>
      <c r="M1665" s="65" t="str">
        <f t="shared" ca="1" si="127"/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128"/>
        <v/>
      </c>
      <c r="S1665" s="1" t="str">
        <f t="shared" si="129"/>
        <v/>
      </c>
      <c r="T1665" s="1">
        <f>IF($E1665="",0,SUMPRODUCT((AY_SONU!$O$7:$O$42="Evet")*(AY_SONU!$B$7:$B$42=DATE(YEAR($E1665),MONTH($E1665),1))))</f>
        <v>0</v>
      </c>
      <c r="U1665" s="1" t="str">
        <f>IF(OR($G1665="",$H1665="Mahsup"),"",$G1665&amp;"|"&amp;COUNTIFS($G$7:$G1665,$G1665,$H$7:$H1665,"&lt;&gt;Mahsup"))</f>
        <v/>
      </c>
    </row>
    <row r="1666" spans="1:21" ht="18" customHeight="1" x14ac:dyDescent="0.3">
      <c r="A1666" s="2"/>
      <c r="B1666" s="65" t="str">
        <f t="shared" si="125"/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 t="shared" si="126"/>
        <v/>
      </c>
      <c r="M1666" s="65" t="str">
        <f t="shared" ca="1" si="127"/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128"/>
        <v/>
      </c>
      <c r="S1666" s="1" t="str">
        <f t="shared" si="129"/>
        <v/>
      </c>
      <c r="T1666" s="1">
        <f>IF($E1666="",0,SUMPRODUCT((AY_SONU!$O$7:$O$42="Evet")*(AY_SONU!$B$7:$B$42=DATE(YEAR($E1666),MONTH($E1666),1))))</f>
        <v>0</v>
      </c>
      <c r="U1666" s="1" t="str">
        <f>IF(OR($G1666="",$H1666="Mahsup"),"",$G1666&amp;"|"&amp;COUNTIFS($G$7:$G1666,$G1666,$H$7:$H1666,"&lt;&gt;Mahsup"))</f>
        <v/>
      </c>
    </row>
    <row r="1667" spans="1:21" ht="18" customHeight="1" x14ac:dyDescent="0.3">
      <c r="A1667" s="2"/>
      <c r="B1667" s="65" t="str">
        <f t="shared" si="125"/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 t="shared" si="126"/>
        <v/>
      </c>
      <c r="M1667" s="65" t="str">
        <f t="shared" ca="1" si="127"/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128"/>
        <v/>
      </c>
      <c r="S1667" s="1" t="str">
        <f t="shared" si="129"/>
        <v/>
      </c>
      <c r="T1667" s="1">
        <f>IF($E1667="",0,SUMPRODUCT((AY_SONU!$O$7:$O$42="Evet")*(AY_SONU!$B$7:$B$42=DATE(YEAR($E1667),MONTH($E1667),1))))</f>
        <v>0</v>
      </c>
      <c r="U1667" s="1" t="str">
        <f>IF(OR($G1667="",$H1667="Mahsup"),"",$G1667&amp;"|"&amp;COUNTIFS($G$7:$G1667,$G1667,$H$7:$H1667,"&lt;&gt;Mahsup"))</f>
        <v/>
      </c>
    </row>
    <row r="1668" spans="1:21" ht="18" customHeight="1" x14ac:dyDescent="0.3">
      <c r="A1668" s="2"/>
      <c r="B1668" s="65" t="str">
        <f t="shared" si="125"/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 t="shared" si="126"/>
        <v/>
      </c>
      <c r="M1668" s="65" t="str">
        <f t="shared" ca="1" si="127"/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128"/>
        <v/>
      </c>
      <c r="S1668" s="1" t="str">
        <f t="shared" si="129"/>
        <v/>
      </c>
      <c r="T1668" s="1">
        <f>IF($E1668="",0,SUMPRODUCT((AY_SONU!$O$7:$O$42="Evet")*(AY_SONU!$B$7:$B$42=DATE(YEAR($E1668),MONTH($E1668),1))))</f>
        <v>0</v>
      </c>
      <c r="U1668" s="1" t="str">
        <f>IF(OR($G1668="",$H1668="Mahsup"),"",$G1668&amp;"|"&amp;COUNTIFS($G$7:$G1668,$G1668,$H$7:$H1668,"&lt;&gt;Mahsup"))</f>
        <v/>
      </c>
    </row>
    <row r="1669" spans="1:21" ht="18" customHeight="1" x14ac:dyDescent="0.3">
      <c r="A1669" s="2"/>
      <c r="B1669" s="65" t="str">
        <f t="shared" si="125"/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 t="shared" si="126"/>
        <v/>
      </c>
      <c r="M1669" s="65" t="str">
        <f t="shared" ca="1" si="127"/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128"/>
        <v/>
      </c>
      <c r="S1669" s="1" t="str">
        <f t="shared" si="129"/>
        <v/>
      </c>
      <c r="T1669" s="1">
        <f>IF($E1669="",0,SUMPRODUCT((AY_SONU!$O$7:$O$42="Evet")*(AY_SONU!$B$7:$B$42=DATE(YEAR($E1669),MONTH($E1669),1))))</f>
        <v>0</v>
      </c>
      <c r="U1669" s="1" t="str">
        <f>IF(OR($G1669="",$H1669="Mahsup"),"",$G1669&amp;"|"&amp;COUNTIFS($G$7:$G1669,$G1669,$H$7:$H1669,"&lt;&gt;Mahsup"))</f>
        <v/>
      </c>
    </row>
    <row r="1670" spans="1:21" ht="18" customHeight="1" x14ac:dyDescent="0.3">
      <c r="A1670" s="2"/>
      <c r="B1670" s="65" t="str">
        <f t="shared" si="125"/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 t="shared" si="126"/>
        <v/>
      </c>
      <c r="M1670" s="65" t="str">
        <f t="shared" ca="1" si="127"/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128"/>
        <v/>
      </c>
      <c r="S1670" s="1" t="str">
        <f t="shared" si="129"/>
        <v/>
      </c>
      <c r="T1670" s="1">
        <f>IF($E1670="",0,SUMPRODUCT((AY_SONU!$O$7:$O$42="Evet")*(AY_SONU!$B$7:$B$42=DATE(YEAR($E1670),MONTH($E1670),1))))</f>
        <v>0</v>
      </c>
      <c r="U1670" s="1" t="str">
        <f>IF(OR($G1670="",$H1670="Mahsup"),"",$G1670&amp;"|"&amp;COUNTIFS($G$7:$G1670,$G1670,$H$7:$H1670,"&lt;&gt;Mahsup"))</f>
        <v/>
      </c>
    </row>
    <row r="1671" spans="1:21" ht="18" customHeight="1" x14ac:dyDescent="0.3">
      <c r="A1671" s="2"/>
      <c r="B1671" s="65" t="str">
        <f t="shared" ref="B1671:B1734" si="130"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 t="shared" ref="L1671:L1734" si="131">IF($E1671="","",DATE(YEAR($E1671),MONTH($E1671),1))</f>
        <v/>
      </c>
      <c r="M1671" s="65" t="str">
        <f t="shared" ref="M1671:M1734" ca="1" si="132"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133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134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  <c r="U1671" s="1" t="str">
        <f>IF(OR($G1671="",$H1671="Mahsup"),"",$G1671&amp;"|"&amp;COUNTIFS($G$7:$G1671,$G1671,$H$7:$H1671,"&lt;&gt;Mahsup"))</f>
        <v/>
      </c>
    </row>
    <row r="1672" spans="1:21" ht="18" customHeight="1" x14ac:dyDescent="0.3">
      <c r="A1672" s="2"/>
      <c r="B1672" s="65" t="str">
        <f t="shared" si="130"/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 t="shared" si="131"/>
        <v/>
      </c>
      <c r="M1672" s="65" t="str">
        <f t="shared" ca="1" si="132"/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133"/>
        <v/>
      </c>
      <c r="S1672" s="1" t="str">
        <f t="shared" si="134"/>
        <v/>
      </c>
      <c r="T1672" s="1">
        <f>IF($E1672="",0,SUMPRODUCT((AY_SONU!$O$7:$O$42="Evet")*(AY_SONU!$B$7:$B$42=DATE(YEAR($E1672),MONTH($E1672),1))))</f>
        <v>0</v>
      </c>
      <c r="U1672" s="1" t="str">
        <f>IF(OR($G1672="",$H1672="Mahsup"),"",$G1672&amp;"|"&amp;COUNTIFS($G$7:$G1672,$G1672,$H$7:$H1672,"&lt;&gt;Mahsup"))</f>
        <v/>
      </c>
    </row>
    <row r="1673" spans="1:21" ht="18" customHeight="1" x14ac:dyDescent="0.3">
      <c r="A1673" s="2"/>
      <c r="B1673" s="65" t="str">
        <f t="shared" si="130"/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 t="shared" si="131"/>
        <v/>
      </c>
      <c r="M1673" s="65" t="str">
        <f t="shared" ca="1" si="132"/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133"/>
        <v/>
      </c>
      <c r="S1673" s="1" t="str">
        <f t="shared" si="134"/>
        <v/>
      </c>
      <c r="T1673" s="1">
        <f>IF($E1673="",0,SUMPRODUCT((AY_SONU!$O$7:$O$42="Evet")*(AY_SONU!$B$7:$B$42=DATE(YEAR($E1673),MONTH($E1673),1))))</f>
        <v>0</v>
      </c>
      <c r="U1673" s="1" t="str">
        <f>IF(OR($G1673="",$H1673="Mahsup"),"",$G1673&amp;"|"&amp;COUNTIFS($G$7:$G1673,$G1673,$H$7:$H1673,"&lt;&gt;Mahsup"))</f>
        <v/>
      </c>
    </row>
    <row r="1674" spans="1:21" ht="18" customHeight="1" x14ac:dyDescent="0.3">
      <c r="A1674" s="2"/>
      <c r="B1674" s="65" t="str">
        <f t="shared" si="130"/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 t="shared" si="131"/>
        <v/>
      </c>
      <c r="M1674" s="65" t="str">
        <f t="shared" ca="1" si="132"/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133"/>
        <v/>
      </c>
      <c r="S1674" s="1" t="str">
        <f t="shared" si="134"/>
        <v/>
      </c>
      <c r="T1674" s="1">
        <f>IF($E1674="",0,SUMPRODUCT((AY_SONU!$O$7:$O$42="Evet")*(AY_SONU!$B$7:$B$42=DATE(YEAR($E1674),MONTH($E1674),1))))</f>
        <v>0</v>
      </c>
      <c r="U1674" s="1" t="str">
        <f>IF(OR($G1674="",$H1674="Mahsup"),"",$G1674&amp;"|"&amp;COUNTIFS($G$7:$G1674,$G1674,$H$7:$H1674,"&lt;&gt;Mahsup"))</f>
        <v/>
      </c>
    </row>
    <row r="1675" spans="1:21" ht="18" customHeight="1" x14ac:dyDescent="0.3">
      <c r="A1675" s="2"/>
      <c r="B1675" s="65" t="str">
        <f t="shared" si="130"/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 t="shared" si="131"/>
        <v/>
      </c>
      <c r="M1675" s="65" t="str">
        <f t="shared" ca="1" si="132"/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133"/>
        <v/>
      </c>
      <c r="S1675" s="1" t="str">
        <f t="shared" si="134"/>
        <v/>
      </c>
      <c r="T1675" s="1">
        <f>IF($E1675="",0,SUMPRODUCT((AY_SONU!$O$7:$O$42="Evet")*(AY_SONU!$B$7:$B$42=DATE(YEAR($E1675),MONTH($E1675),1))))</f>
        <v>0</v>
      </c>
      <c r="U1675" s="1" t="str">
        <f>IF(OR($G1675="",$H1675="Mahsup"),"",$G1675&amp;"|"&amp;COUNTIFS($G$7:$G1675,$G1675,$H$7:$H1675,"&lt;&gt;Mahsup"))</f>
        <v/>
      </c>
    </row>
    <row r="1676" spans="1:21" ht="18" customHeight="1" x14ac:dyDescent="0.3">
      <c r="A1676" s="2"/>
      <c r="B1676" s="65" t="str">
        <f t="shared" si="130"/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 t="shared" si="131"/>
        <v/>
      </c>
      <c r="M1676" s="65" t="str">
        <f t="shared" ca="1" si="132"/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133"/>
        <v/>
      </c>
      <c r="S1676" s="1" t="str">
        <f t="shared" si="134"/>
        <v/>
      </c>
      <c r="T1676" s="1">
        <f>IF($E1676="",0,SUMPRODUCT((AY_SONU!$O$7:$O$42="Evet")*(AY_SONU!$B$7:$B$42=DATE(YEAR($E1676),MONTH($E1676),1))))</f>
        <v>0</v>
      </c>
      <c r="U1676" s="1" t="str">
        <f>IF(OR($G1676="",$H1676="Mahsup"),"",$G1676&amp;"|"&amp;COUNTIFS($G$7:$G1676,$G1676,$H$7:$H1676,"&lt;&gt;Mahsup"))</f>
        <v/>
      </c>
    </row>
    <row r="1677" spans="1:21" ht="18" customHeight="1" x14ac:dyDescent="0.3">
      <c r="A1677" s="2"/>
      <c r="B1677" s="65" t="str">
        <f t="shared" si="130"/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 t="shared" si="131"/>
        <v/>
      </c>
      <c r="M1677" s="65" t="str">
        <f t="shared" ca="1" si="132"/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133"/>
        <v/>
      </c>
      <c r="S1677" s="1" t="str">
        <f t="shared" si="134"/>
        <v/>
      </c>
      <c r="T1677" s="1">
        <f>IF($E1677="",0,SUMPRODUCT((AY_SONU!$O$7:$O$42="Evet")*(AY_SONU!$B$7:$B$42=DATE(YEAR($E1677),MONTH($E1677),1))))</f>
        <v>0</v>
      </c>
      <c r="U1677" s="1" t="str">
        <f>IF(OR($G1677="",$H1677="Mahsup"),"",$G1677&amp;"|"&amp;COUNTIFS($G$7:$G1677,$G1677,$H$7:$H1677,"&lt;&gt;Mahsup"))</f>
        <v/>
      </c>
    </row>
    <row r="1678" spans="1:21" ht="18" customHeight="1" x14ac:dyDescent="0.3">
      <c r="A1678" s="2"/>
      <c r="B1678" s="65" t="str">
        <f t="shared" si="130"/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 t="shared" si="131"/>
        <v/>
      </c>
      <c r="M1678" s="65" t="str">
        <f t="shared" ca="1" si="132"/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133"/>
        <v/>
      </c>
      <c r="S1678" s="1" t="str">
        <f t="shared" si="134"/>
        <v/>
      </c>
      <c r="T1678" s="1">
        <f>IF($E1678="",0,SUMPRODUCT((AY_SONU!$O$7:$O$42="Evet")*(AY_SONU!$B$7:$B$42=DATE(YEAR($E1678),MONTH($E1678),1))))</f>
        <v>0</v>
      </c>
      <c r="U1678" s="1" t="str">
        <f>IF(OR($G1678="",$H1678="Mahsup"),"",$G1678&amp;"|"&amp;COUNTIFS($G$7:$G1678,$G1678,$H$7:$H1678,"&lt;&gt;Mahsup"))</f>
        <v/>
      </c>
    </row>
    <row r="1679" spans="1:21" ht="18" customHeight="1" x14ac:dyDescent="0.3">
      <c r="A1679" s="2"/>
      <c r="B1679" s="65" t="str">
        <f t="shared" si="130"/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 t="shared" si="131"/>
        <v/>
      </c>
      <c r="M1679" s="65" t="str">
        <f t="shared" ca="1" si="132"/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133"/>
        <v/>
      </c>
      <c r="S1679" s="1" t="str">
        <f t="shared" si="134"/>
        <v/>
      </c>
      <c r="T1679" s="1">
        <f>IF($E1679="",0,SUMPRODUCT((AY_SONU!$O$7:$O$42="Evet")*(AY_SONU!$B$7:$B$42=DATE(YEAR($E1679),MONTH($E1679),1))))</f>
        <v>0</v>
      </c>
      <c r="U1679" s="1" t="str">
        <f>IF(OR($G1679="",$H1679="Mahsup"),"",$G1679&amp;"|"&amp;COUNTIFS($G$7:$G1679,$G1679,$H$7:$H1679,"&lt;&gt;Mahsup"))</f>
        <v/>
      </c>
    </row>
    <row r="1680" spans="1:21" ht="18" customHeight="1" x14ac:dyDescent="0.3">
      <c r="A1680" s="2"/>
      <c r="B1680" s="65" t="str">
        <f t="shared" si="130"/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 t="shared" si="131"/>
        <v/>
      </c>
      <c r="M1680" s="65" t="str">
        <f t="shared" ca="1" si="132"/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133"/>
        <v/>
      </c>
      <c r="S1680" s="1" t="str">
        <f t="shared" si="134"/>
        <v/>
      </c>
      <c r="T1680" s="1">
        <f>IF($E1680="",0,SUMPRODUCT((AY_SONU!$O$7:$O$42="Evet")*(AY_SONU!$B$7:$B$42=DATE(YEAR($E1680),MONTH($E1680),1))))</f>
        <v>0</v>
      </c>
      <c r="U1680" s="1" t="str">
        <f>IF(OR($G1680="",$H1680="Mahsup"),"",$G1680&amp;"|"&amp;COUNTIFS($G$7:$G1680,$G1680,$H$7:$H1680,"&lt;&gt;Mahsup"))</f>
        <v/>
      </c>
    </row>
    <row r="1681" spans="1:21" ht="18" customHeight="1" x14ac:dyDescent="0.3">
      <c r="A1681" s="2"/>
      <c r="B1681" s="65" t="str">
        <f t="shared" si="130"/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 t="shared" si="131"/>
        <v/>
      </c>
      <c r="M1681" s="65" t="str">
        <f t="shared" ca="1" si="132"/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133"/>
        <v/>
      </c>
      <c r="S1681" s="1" t="str">
        <f t="shared" si="134"/>
        <v/>
      </c>
      <c r="T1681" s="1">
        <f>IF($E1681="",0,SUMPRODUCT((AY_SONU!$O$7:$O$42="Evet")*(AY_SONU!$B$7:$B$42=DATE(YEAR($E1681),MONTH($E1681),1))))</f>
        <v>0</v>
      </c>
      <c r="U1681" s="1" t="str">
        <f>IF(OR($G1681="",$H1681="Mahsup"),"",$G1681&amp;"|"&amp;COUNTIFS($G$7:$G1681,$G1681,$H$7:$H1681,"&lt;&gt;Mahsup"))</f>
        <v/>
      </c>
    </row>
    <row r="1682" spans="1:21" ht="18" customHeight="1" x14ac:dyDescent="0.3">
      <c r="A1682" s="2"/>
      <c r="B1682" s="65" t="str">
        <f t="shared" si="130"/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 t="shared" si="131"/>
        <v/>
      </c>
      <c r="M1682" s="65" t="str">
        <f t="shared" ca="1" si="132"/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133"/>
        <v/>
      </c>
      <c r="S1682" s="1" t="str">
        <f t="shared" si="134"/>
        <v/>
      </c>
      <c r="T1682" s="1">
        <f>IF($E1682="",0,SUMPRODUCT((AY_SONU!$O$7:$O$42="Evet")*(AY_SONU!$B$7:$B$42=DATE(YEAR($E1682),MONTH($E1682),1))))</f>
        <v>0</v>
      </c>
      <c r="U1682" s="1" t="str">
        <f>IF(OR($G1682="",$H1682="Mahsup"),"",$G1682&amp;"|"&amp;COUNTIFS($G$7:$G1682,$G1682,$H$7:$H1682,"&lt;&gt;Mahsup"))</f>
        <v/>
      </c>
    </row>
    <row r="1683" spans="1:21" ht="18" customHeight="1" x14ac:dyDescent="0.3">
      <c r="A1683" s="2"/>
      <c r="B1683" s="65" t="str">
        <f t="shared" si="130"/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 t="shared" si="131"/>
        <v/>
      </c>
      <c r="M1683" s="65" t="str">
        <f t="shared" ca="1" si="132"/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133"/>
        <v/>
      </c>
      <c r="S1683" s="1" t="str">
        <f t="shared" si="134"/>
        <v/>
      </c>
      <c r="T1683" s="1">
        <f>IF($E1683="",0,SUMPRODUCT((AY_SONU!$O$7:$O$42="Evet")*(AY_SONU!$B$7:$B$42=DATE(YEAR($E1683),MONTH($E1683),1))))</f>
        <v>0</v>
      </c>
      <c r="U1683" s="1" t="str">
        <f>IF(OR($G1683="",$H1683="Mahsup"),"",$G1683&amp;"|"&amp;COUNTIFS($G$7:$G1683,$G1683,$H$7:$H1683,"&lt;&gt;Mahsup"))</f>
        <v/>
      </c>
    </row>
    <row r="1684" spans="1:21" ht="18" customHeight="1" x14ac:dyDescent="0.3">
      <c r="A1684" s="2"/>
      <c r="B1684" s="65" t="str">
        <f t="shared" si="130"/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 t="shared" si="131"/>
        <v/>
      </c>
      <c r="M1684" s="65" t="str">
        <f t="shared" ca="1" si="132"/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133"/>
        <v/>
      </c>
      <c r="S1684" s="1" t="str">
        <f t="shared" si="134"/>
        <v/>
      </c>
      <c r="T1684" s="1">
        <f>IF($E1684="",0,SUMPRODUCT((AY_SONU!$O$7:$O$42="Evet")*(AY_SONU!$B$7:$B$42=DATE(YEAR($E1684),MONTH($E1684),1))))</f>
        <v>0</v>
      </c>
      <c r="U1684" s="1" t="str">
        <f>IF(OR($G1684="",$H1684="Mahsup"),"",$G1684&amp;"|"&amp;COUNTIFS($G$7:$G1684,$G1684,$H$7:$H1684,"&lt;&gt;Mahsup"))</f>
        <v/>
      </c>
    </row>
    <row r="1685" spans="1:21" ht="18" customHeight="1" x14ac:dyDescent="0.3">
      <c r="A1685" s="2"/>
      <c r="B1685" s="65" t="str">
        <f t="shared" si="130"/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 t="shared" si="131"/>
        <v/>
      </c>
      <c r="M1685" s="65" t="str">
        <f t="shared" ca="1" si="132"/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133"/>
        <v/>
      </c>
      <c r="S1685" s="1" t="str">
        <f t="shared" si="134"/>
        <v/>
      </c>
      <c r="T1685" s="1">
        <f>IF($E1685="",0,SUMPRODUCT((AY_SONU!$O$7:$O$42="Evet")*(AY_SONU!$B$7:$B$42=DATE(YEAR($E1685),MONTH($E1685),1))))</f>
        <v>0</v>
      </c>
      <c r="U1685" s="1" t="str">
        <f>IF(OR($G1685="",$H1685="Mahsup"),"",$G1685&amp;"|"&amp;COUNTIFS($G$7:$G1685,$G1685,$H$7:$H1685,"&lt;&gt;Mahsup"))</f>
        <v/>
      </c>
    </row>
    <row r="1686" spans="1:21" ht="18" customHeight="1" x14ac:dyDescent="0.3">
      <c r="A1686" s="2"/>
      <c r="B1686" s="65" t="str">
        <f t="shared" si="130"/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 t="shared" si="131"/>
        <v/>
      </c>
      <c r="M1686" s="65" t="str">
        <f t="shared" ca="1" si="132"/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133"/>
        <v/>
      </c>
      <c r="S1686" s="1" t="str">
        <f t="shared" si="134"/>
        <v/>
      </c>
      <c r="T1686" s="1">
        <f>IF($E1686="",0,SUMPRODUCT((AY_SONU!$O$7:$O$42="Evet")*(AY_SONU!$B$7:$B$42=DATE(YEAR($E1686),MONTH($E1686),1))))</f>
        <v>0</v>
      </c>
      <c r="U1686" s="1" t="str">
        <f>IF(OR($G1686="",$H1686="Mahsup"),"",$G1686&amp;"|"&amp;COUNTIFS($G$7:$G1686,$G1686,$H$7:$H1686,"&lt;&gt;Mahsup"))</f>
        <v/>
      </c>
    </row>
    <row r="1687" spans="1:21" ht="18" customHeight="1" x14ac:dyDescent="0.3">
      <c r="A1687" s="2"/>
      <c r="B1687" s="65" t="str">
        <f t="shared" si="130"/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 t="shared" si="131"/>
        <v/>
      </c>
      <c r="M1687" s="65" t="str">
        <f t="shared" ca="1" si="132"/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133"/>
        <v/>
      </c>
      <c r="S1687" s="1" t="str">
        <f t="shared" si="134"/>
        <v/>
      </c>
      <c r="T1687" s="1">
        <f>IF($E1687="",0,SUMPRODUCT((AY_SONU!$O$7:$O$42="Evet")*(AY_SONU!$B$7:$B$42=DATE(YEAR($E1687),MONTH($E1687),1))))</f>
        <v>0</v>
      </c>
      <c r="U1687" s="1" t="str">
        <f>IF(OR($G1687="",$H1687="Mahsup"),"",$G1687&amp;"|"&amp;COUNTIFS($G$7:$G1687,$G1687,$H$7:$H1687,"&lt;&gt;Mahsup"))</f>
        <v/>
      </c>
    </row>
    <row r="1688" spans="1:21" ht="18" customHeight="1" x14ac:dyDescent="0.3">
      <c r="A1688" s="2"/>
      <c r="B1688" s="65" t="str">
        <f t="shared" si="130"/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 t="shared" si="131"/>
        <v/>
      </c>
      <c r="M1688" s="65" t="str">
        <f t="shared" ca="1" si="132"/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133"/>
        <v/>
      </c>
      <c r="S1688" s="1" t="str">
        <f t="shared" si="134"/>
        <v/>
      </c>
      <c r="T1688" s="1">
        <f>IF($E1688="",0,SUMPRODUCT((AY_SONU!$O$7:$O$42="Evet")*(AY_SONU!$B$7:$B$42=DATE(YEAR($E1688),MONTH($E1688),1))))</f>
        <v>0</v>
      </c>
      <c r="U1688" s="1" t="str">
        <f>IF(OR($G1688="",$H1688="Mahsup"),"",$G1688&amp;"|"&amp;COUNTIFS($G$7:$G1688,$G1688,$H$7:$H1688,"&lt;&gt;Mahsup"))</f>
        <v/>
      </c>
    </row>
    <row r="1689" spans="1:21" ht="18" customHeight="1" x14ac:dyDescent="0.3">
      <c r="A1689" s="2"/>
      <c r="B1689" s="65" t="str">
        <f t="shared" si="130"/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 t="shared" si="131"/>
        <v/>
      </c>
      <c r="M1689" s="65" t="str">
        <f t="shared" ca="1" si="132"/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133"/>
        <v/>
      </c>
      <c r="S1689" s="1" t="str">
        <f t="shared" si="134"/>
        <v/>
      </c>
      <c r="T1689" s="1">
        <f>IF($E1689="",0,SUMPRODUCT((AY_SONU!$O$7:$O$42="Evet")*(AY_SONU!$B$7:$B$42=DATE(YEAR($E1689),MONTH($E1689),1))))</f>
        <v>0</v>
      </c>
      <c r="U1689" s="1" t="str">
        <f>IF(OR($G1689="",$H1689="Mahsup"),"",$G1689&amp;"|"&amp;COUNTIFS($G$7:$G1689,$G1689,$H$7:$H1689,"&lt;&gt;Mahsup"))</f>
        <v/>
      </c>
    </row>
    <row r="1690" spans="1:21" ht="18" customHeight="1" x14ac:dyDescent="0.3">
      <c r="A1690" s="2"/>
      <c r="B1690" s="65" t="str">
        <f t="shared" si="130"/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 t="shared" si="131"/>
        <v/>
      </c>
      <c r="M1690" s="65" t="str">
        <f t="shared" ca="1" si="132"/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133"/>
        <v/>
      </c>
      <c r="S1690" s="1" t="str">
        <f t="shared" si="134"/>
        <v/>
      </c>
      <c r="T1690" s="1">
        <f>IF($E1690="",0,SUMPRODUCT((AY_SONU!$O$7:$O$42="Evet")*(AY_SONU!$B$7:$B$42=DATE(YEAR($E1690),MONTH($E1690),1))))</f>
        <v>0</v>
      </c>
      <c r="U1690" s="1" t="str">
        <f>IF(OR($G1690="",$H1690="Mahsup"),"",$G1690&amp;"|"&amp;COUNTIFS($G$7:$G1690,$G1690,$H$7:$H1690,"&lt;&gt;Mahsup"))</f>
        <v/>
      </c>
    </row>
    <row r="1691" spans="1:21" ht="18" customHeight="1" x14ac:dyDescent="0.3">
      <c r="A1691" s="2"/>
      <c r="B1691" s="65" t="str">
        <f t="shared" si="130"/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 t="shared" si="131"/>
        <v/>
      </c>
      <c r="M1691" s="65" t="str">
        <f t="shared" ca="1" si="132"/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133"/>
        <v/>
      </c>
      <c r="S1691" s="1" t="str">
        <f t="shared" si="134"/>
        <v/>
      </c>
      <c r="T1691" s="1">
        <f>IF($E1691="",0,SUMPRODUCT((AY_SONU!$O$7:$O$42="Evet")*(AY_SONU!$B$7:$B$42=DATE(YEAR($E1691),MONTH($E1691),1))))</f>
        <v>0</v>
      </c>
      <c r="U1691" s="1" t="str">
        <f>IF(OR($G1691="",$H1691="Mahsup"),"",$G1691&amp;"|"&amp;COUNTIFS($G$7:$G1691,$G1691,$H$7:$H1691,"&lt;&gt;Mahsup"))</f>
        <v/>
      </c>
    </row>
    <row r="1692" spans="1:21" ht="18" customHeight="1" x14ac:dyDescent="0.3">
      <c r="A1692" s="2"/>
      <c r="B1692" s="65" t="str">
        <f t="shared" si="130"/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 t="shared" si="131"/>
        <v/>
      </c>
      <c r="M1692" s="65" t="str">
        <f t="shared" ca="1" si="132"/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133"/>
        <v/>
      </c>
      <c r="S1692" s="1" t="str">
        <f t="shared" si="134"/>
        <v/>
      </c>
      <c r="T1692" s="1">
        <f>IF($E1692="",0,SUMPRODUCT((AY_SONU!$O$7:$O$42="Evet")*(AY_SONU!$B$7:$B$42=DATE(YEAR($E1692),MONTH($E1692),1))))</f>
        <v>0</v>
      </c>
      <c r="U1692" s="1" t="str">
        <f>IF(OR($G1692="",$H1692="Mahsup"),"",$G1692&amp;"|"&amp;COUNTIFS($G$7:$G1692,$G1692,$H$7:$H1692,"&lt;&gt;Mahsup"))</f>
        <v/>
      </c>
    </row>
    <row r="1693" spans="1:21" ht="18" customHeight="1" x14ac:dyDescent="0.3">
      <c r="A1693" s="2"/>
      <c r="B1693" s="65" t="str">
        <f t="shared" si="130"/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 t="shared" si="131"/>
        <v/>
      </c>
      <c r="M1693" s="65" t="str">
        <f t="shared" ca="1" si="132"/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133"/>
        <v/>
      </c>
      <c r="S1693" s="1" t="str">
        <f t="shared" si="134"/>
        <v/>
      </c>
      <c r="T1693" s="1">
        <f>IF($E1693="",0,SUMPRODUCT((AY_SONU!$O$7:$O$42="Evet")*(AY_SONU!$B$7:$B$42=DATE(YEAR($E1693),MONTH($E1693),1))))</f>
        <v>0</v>
      </c>
      <c r="U1693" s="1" t="str">
        <f>IF(OR($G1693="",$H1693="Mahsup"),"",$G1693&amp;"|"&amp;COUNTIFS($G$7:$G1693,$G1693,$H$7:$H1693,"&lt;&gt;Mahsup"))</f>
        <v/>
      </c>
    </row>
    <row r="1694" spans="1:21" ht="18" customHeight="1" x14ac:dyDescent="0.3">
      <c r="A1694" s="2"/>
      <c r="B1694" s="65" t="str">
        <f t="shared" si="130"/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 t="shared" si="131"/>
        <v/>
      </c>
      <c r="M1694" s="65" t="str">
        <f t="shared" ca="1" si="132"/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133"/>
        <v/>
      </c>
      <c r="S1694" s="1" t="str">
        <f t="shared" si="134"/>
        <v/>
      </c>
      <c r="T1694" s="1">
        <f>IF($E1694="",0,SUMPRODUCT((AY_SONU!$O$7:$O$42="Evet")*(AY_SONU!$B$7:$B$42=DATE(YEAR($E1694),MONTH($E1694),1))))</f>
        <v>0</v>
      </c>
      <c r="U1694" s="1" t="str">
        <f>IF(OR($G1694="",$H1694="Mahsup"),"",$G1694&amp;"|"&amp;COUNTIFS($G$7:$G1694,$G1694,$H$7:$H1694,"&lt;&gt;Mahsup"))</f>
        <v/>
      </c>
    </row>
    <row r="1695" spans="1:21" ht="18" customHeight="1" x14ac:dyDescent="0.3">
      <c r="A1695" s="2"/>
      <c r="B1695" s="65" t="str">
        <f t="shared" si="130"/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 t="shared" si="131"/>
        <v/>
      </c>
      <c r="M1695" s="65" t="str">
        <f t="shared" ca="1" si="132"/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133"/>
        <v/>
      </c>
      <c r="S1695" s="1" t="str">
        <f t="shared" si="134"/>
        <v/>
      </c>
      <c r="T1695" s="1">
        <f>IF($E1695="",0,SUMPRODUCT((AY_SONU!$O$7:$O$42="Evet")*(AY_SONU!$B$7:$B$42=DATE(YEAR($E1695),MONTH($E1695),1))))</f>
        <v>0</v>
      </c>
      <c r="U1695" s="1" t="str">
        <f>IF(OR($G1695="",$H1695="Mahsup"),"",$G1695&amp;"|"&amp;COUNTIFS($G$7:$G1695,$G1695,$H$7:$H1695,"&lt;&gt;Mahsup"))</f>
        <v/>
      </c>
    </row>
    <row r="1696" spans="1:21" ht="18" customHeight="1" x14ac:dyDescent="0.3">
      <c r="A1696" s="2"/>
      <c r="B1696" s="65" t="str">
        <f t="shared" si="130"/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 t="shared" si="131"/>
        <v/>
      </c>
      <c r="M1696" s="65" t="str">
        <f t="shared" ca="1" si="132"/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133"/>
        <v/>
      </c>
      <c r="S1696" s="1" t="str">
        <f t="shared" si="134"/>
        <v/>
      </c>
      <c r="T1696" s="1">
        <f>IF($E1696="",0,SUMPRODUCT((AY_SONU!$O$7:$O$42="Evet")*(AY_SONU!$B$7:$B$42=DATE(YEAR($E1696),MONTH($E1696),1))))</f>
        <v>0</v>
      </c>
      <c r="U1696" s="1" t="str">
        <f>IF(OR($G1696="",$H1696="Mahsup"),"",$G1696&amp;"|"&amp;COUNTIFS($G$7:$G1696,$G1696,$H$7:$H1696,"&lt;&gt;Mahsup"))</f>
        <v/>
      </c>
    </row>
    <row r="1697" spans="1:21" ht="18" customHeight="1" x14ac:dyDescent="0.3">
      <c r="A1697" s="2"/>
      <c r="B1697" s="65" t="str">
        <f t="shared" si="130"/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 t="shared" si="131"/>
        <v/>
      </c>
      <c r="M1697" s="65" t="str">
        <f t="shared" ca="1" si="132"/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133"/>
        <v/>
      </c>
      <c r="S1697" s="1" t="str">
        <f t="shared" si="134"/>
        <v/>
      </c>
      <c r="T1697" s="1">
        <f>IF($E1697="",0,SUMPRODUCT((AY_SONU!$O$7:$O$42="Evet")*(AY_SONU!$B$7:$B$42=DATE(YEAR($E1697),MONTH($E1697),1))))</f>
        <v>0</v>
      </c>
      <c r="U1697" s="1" t="str">
        <f>IF(OR($G1697="",$H1697="Mahsup"),"",$G1697&amp;"|"&amp;COUNTIFS($G$7:$G1697,$G1697,$H$7:$H1697,"&lt;&gt;Mahsup"))</f>
        <v/>
      </c>
    </row>
    <row r="1698" spans="1:21" ht="18" customHeight="1" x14ac:dyDescent="0.3">
      <c r="A1698" s="2"/>
      <c r="B1698" s="65" t="str">
        <f t="shared" si="130"/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 t="shared" si="131"/>
        <v/>
      </c>
      <c r="M1698" s="65" t="str">
        <f t="shared" ca="1" si="132"/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133"/>
        <v/>
      </c>
      <c r="S1698" s="1" t="str">
        <f t="shared" si="134"/>
        <v/>
      </c>
      <c r="T1698" s="1">
        <f>IF($E1698="",0,SUMPRODUCT((AY_SONU!$O$7:$O$42="Evet")*(AY_SONU!$B$7:$B$42=DATE(YEAR($E1698),MONTH($E1698),1))))</f>
        <v>0</v>
      </c>
      <c r="U1698" s="1" t="str">
        <f>IF(OR($G1698="",$H1698="Mahsup"),"",$G1698&amp;"|"&amp;COUNTIFS($G$7:$G1698,$G1698,$H$7:$H1698,"&lt;&gt;Mahsup"))</f>
        <v/>
      </c>
    </row>
    <row r="1699" spans="1:21" ht="18" customHeight="1" x14ac:dyDescent="0.3">
      <c r="A1699" s="2"/>
      <c r="B1699" s="65" t="str">
        <f t="shared" si="130"/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 t="shared" si="131"/>
        <v/>
      </c>
      <c r="M1699" s="65" t="str">
        <f t="shared" ca="1" si="132"/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133"/>
        <v/>
      </c>
      <c r="S1699" s="1" t="str">
        <f t="shared" si="134"/>
        <v/>
      </c>
      <c r="T1699" s="1">
        <f>IF($E1699="",0,SUMPRODUCT((AY_SONU!$O$7:$O$42="Evet")*(AY_SONU!$B$7:$B$42=DATE(YEAR($E1699),MONTH($E1699),1))))</f>
        <v>0</v>
      </c>
      <c r="U1699" s="1" t="str">
        <f>IF(OR($G1699="",$H1699="Mahsup"),"",$G1699&amp;"|"&amp;COUNTIFS($G$7:$G1699,$G1699,$H$7:$H1699,"&lt;&gt;Mahsup"))</f>
        <v/>
      </c>
    </row>
    <row r="1700" spans="1:21" ht="18" customHeight="1" x14ac:dyDescent="0.3">
      <c r="A1700" s="2"/>
      <c r="B1700" s="65" t="str">
        <f t="shared" si="130"/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 t="shared" si="131"/>
        <v/>
      </c>
      <c r="M1700" s="65" t="str">
        <f t="shared" ca="1" si="132"/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133"/>
        <v/>
      </c>
      <c r="S1700" s="1" t="str">
        <f t="shared" si="134"/>
        <v/>
      </c>
      <c r="T1700" s="1">
        <f>IF($E1700="",0,SUMPRODUCT((AY_SONU!$O$7:$O$42="Evet")*(AY_SONU!$B$7:$B$42=DATE(YEAR($E1700),MONTH($E1700),1))))</f>
        <v>0</v>
      </c>
      <c r="U1700" s="1" t="str">
        <f>IF(OR($G1700="",$H1700="Mahsup"),"",$G1700&amp;"|"&amp;COUNTIFS($G$7:$G1700,$G1700,$H$7:$H1700,"&lt;&gt;Mahsup"))</f>
        <v/>
      </c>
    </row>
    <row r="1701" spans="1:21" ht="18" customHeight="1" x14ac:dyDescent="0.3">
      <c r="A1701" s="2"/>
      <c r="B1701" s="65" t="str">
        <f t="shared" si="130"/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 t="shared" si="131"/>
        <v/>
      </c>
      <c r="M1701" s="65" t="str">
        <f t="shared" ca="1" si="132"/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133"/>
        <v/>
      </c>
      <c r="S1701" s="1" t="str">
        <f t="shared" si="134"/>
        <v/>
      </c>
      <c r="T1701" s="1">
        <f>IF($E1701="",0,SUMPRODUCT((AY_SONU!$O$7:$O$42="Evet")*(AY_SONU!$B$7:$B$42=DATE(YEAR($E1701),MONTH($E1701),1))))</f>
        <v>0</v>
      </c>
      <c r="U1701" s="1" t="str">
        <f>IF(OR($G1701="",$H1701="Mahsup"),"",$G1701&amp;"|"&amp;COUNTIFS($G$7:$G1701,$G1701,$H$7:$H1701,"&lt;&gt;Mahsup"))</f>
        <v/>
      </c>
    </row>
    <row r="1702" spans="1:21" ht="18" customHeight="1" x14ac:dyDescent="0.3">
      <c r="A1702" s="2"/>
      <c r="B1702" s="65" t="str">
        <f t="shared" si="130"/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 t="shared" si="131"/>
        <v/>
      </c>
      <c r="M1702" s="65" t="str">
        <f t="shared" ca="1" si="132"/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133"/>
        <v/>
      </c>
      <c r="S1702" s="1" t="str">
        <f t="shared" si="134"/>
        <v/>
      </c>
      <c r="T1702" s="1">
        <f>IF($E1702="",0,SUMPRODUCT((AY_SONU!$O$7:$O$42="Evet")*(AY_SONU!$B$7:$B$42=DATE(YEAR($E1702),MONTH($E1702),1))))</f>
        <v>0</v>
      </c>
      <c r="U1702" s="1" t="str">
        <f>IF(OR($G1702="",$H1702="Mahsup"),"",$G1702&amp;"|"&amp;COUNTIFS($G$7:$G1702,$G1702,$H$7:$H1702,"&lt;&gt;Mahsup"))</f>
        <v/>
      </c>
    </row>
    <row r="1703" spans="1:21" ht="18" customHeight="1" x14ac:dyDescent="0.3">
      <c r="A1703" s="2"/>
      <c r="B1703" s="65" t="str">
        <f t="shared" si="130"/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 t="shared" si="131"/>
        <v/>
      </c>
      <c r="M1703" s="65" t="str">
        <f t="shared" ca="1" si="132"/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133"/>
        <v/>
      </c>
      <c r="S1703" s="1" t="str">
        <f t="shared" si="134"/>
        <v/>
      </c>
      <c r="T1703" s="1">
        <f>IF($E1703="",0,SUMPRODUCT((AY_SONU!$O$7:$O$42="Evet")*(AY_SONU!$B$7:$B$42=DATE(YEAR($E1703),MONTH($E1703),1))))</f>
        <v>0</v>
      </c>
      <c r="U1703" s="1" t="str">
        <f>IF(OR($G1703="",$H1703="Mahsup"),"",$G1703&amp;"|"&amp;COUNTIFS($G$7:$G1703,$G1703,$H$7:$H1703,"&lt;&gt;Mahsup"))</f>
        <v/>
      </c>
    </row>
    <row r="1704" spans="1:21" ht="18" customHeight="1" x14ac:dyDescent="0.3">
      <c r="A1704" s="2"/>
      <c r="B1704" s="65" t="str">
        <f t="shared" si="130"/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 t="shared" si="131"/>
        <v/>
      </c>
      <c r="M1704" s="65" t="str">
        <f t="shared" ca="1" si="132"/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133"/>
        <v/>
      </c>
      <c r="S1704" s="1" t="str">
        <f t="shared" si="134"/>
        <v/>
      </c>
      <c r="T1704" s="1">
        <f>IF($E1704="",0,SUMPRODUCT((AY_SONU!$O$7:$O$42="Evet")*(AY_SONU!$B$7:$B$42=DATE(YEAR($E1704),MONTH($E1704),1))))</f>
        <v>0</v>
      </c>
      <c r="U1704" s="1" t="str">
        <f>IF(OR($G1704="",$H1704="Mahsup"),"",$G1704&amp;"|"&amp;COUNTIFS($G$7:$G1704,$G1704,$H$7:$H1704,"&lt;&gt;Mahsup"))</f>
        <v/>
      </c>
    </row>
    <row r="1705" spans="1:21" ht="18" customHeight="1" x14ac:dyDescent="0.3">
      <c r="A1705" s="2"/>
      <c r="B1705" s="65" t="str">
        <f t="shared" si="130"/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 t="shared" si="131"/>
        <v/>
      </c>
      <c r="M1705" s="65" t="str">
        <f t="shared" ca="1" si="132"/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133"/>
        <v/>
      </c>
      <c r="S1705" s="1" t="str">
        <f t="shared" si="134"/>
        <v/>
      </c>
      <c r="T1705" s="1">
        <f>IF($E1705="",0,SUMPRODUCT((AY_SONU!$O$7:$O$42="Evet")*(AY_SONU!$B$7:$B$42=DATE(YEAR($E1705),MONTH($E1705),1))))</f>
        <v>0</v>
      </c>
      <c r="U1705" s="1" t="str">
        <f>IF(OR($G1705="",$H1705="Mahsup"),"",$G1705&amp;"|"&amp;COUNTIFS($G$7:$G1705,$G1705,$H$7:$H1705,"&lt;&gt;Mahsup"))</f>
        <v/>
      </c>
    </row>
    <row r="1706" spans="1:21" ht="18" customHeight="1" x14ac:dyDescent="0.3">
      <c r="A1706" s="2"/>
      <c r="B1706" s="65" t="str">
        <f t="shared" si="130"/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 t="shared" si="131"/>
        <v/>
      </c>
      <c r="M1706" s="65" t="str">
        <f t="shared" ca="1" si="132"/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133"/>
        <v/>
      </c>
      <c r="S1706" s="1" t="str">
        <f t="shared" si="134"/>
        <v/>
      </c>
      <c r="T1706" s="1">
        <f>IF($E1706="",0,SUMPRODUCT((AY_SONU!$O$7:$O$42="Evet")*(AY_SONU!$B$7:$B$42=DATE(YEAR($E1706),MONTH($E1706),1))))</f>
        <v>0</v>
      </c>
      <c r="U1706" s="1" t="str">
        <f>IF(OR($G1706="",$H1706="Mahsup"),"",$G1706&amp;"|"&amp;COUNTIFS($G$7:$G1706,$G1706,$H$7:$H1706,"&lt;&gt;Mahsup"))</f>
        <v/>
      </c>
    </row>
    <row r="1707" spans="1:21" ht="18" customHeight="1" x14ac:dyDescent="0.3">
      <c r="A1707" s="2"/>
      <c r="B1707" s="65" t="str">
        <f t="shared" si="130"/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 t="shared" si="131"/>
        <v/>
      </c>
      <c r="M1707" s="65" t="str">
        <f t="shared" ca="1" si="132"/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133"/>
        <v/>
      </c>
      <c r="S1707" s="1" t="str">
        <f t="shared" si="134"/>
        <v/>
      </c>
      <c r="T1707" s="1">
        <f>IF($E1707="",0,SUMPRODUCT((AY_SONU!$O$7:$O$42="Evet")*(AY_SONU!$B$7:$B$42=DATE(YEAR($E1707),MONTH($E1707),1))))</f>
        <v>0</v>
      </c>
      <c r="U1707" s="1" t="str">
        <f>IF(OR($G1707="",$H1707="Mahsup"),"",$G1707&amp;"|"&amp;COUNTIFS($G$7:$G1707,$G1707,$H$7:$H1707,"&lt;&gt;Mahsup"))</f>
        <v/>
      </c>
    </row>
    <row r="1708" spans="1:21" ht="18" customHeight="1" x14ac:dyDescent="0.3">
      <c r="A1708" s="2"/>
      <c r="B1708" s="65" t="str">
        <f t="shared" si="130"/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 t="shared" si="131"/>
        <v/>
      </c>
      <c r="M1708" s="65" t="str">
        <f t="shared" ca="1" si="132"/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133"/>
        <v/>
      </c>
      <c r="S1708" s="1" t="str">
        <f t="shared" si="134"/>
        <v/>
      </c>
      <c r="T1708" s="1">
        <f>IF($E1708="",0,SUMPRODUCT((AY_SONU!$O$7:$O$42="Evet")*(AY_SONU!$B$7:$B$42=DATE(YEAR($E1708),MONTH($E1708),1))))</f>
        <v>0</v>
      </c>
      <c r="U1708" s="1" t="str">
        <f>IF(OR($G1708="",$H1708="Mahsup"),"",$G1708&amp;"|"&amp;COUNTIFS($G$7:$G1708,$G1708,$H$7:$H1708,"&lt;&gt;Mahsup"))</f>
        <v/>
      </c>
    </row>
    <row r="1709" spans="1:21" ht="18" customHeight="1" x14ac:dyDescent="0.3">
      <c r="A1709" s="2"/>
      <c r="B1709" s="65" t="str">
        <f t="shared" si="130"/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 t="shared" si="131"/>
        <v/>
      </c>
      <c r="M1709" s="65" t="str">
        <f t="shared" ca="1" si="132"/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133"/>
        <v/>
      </c>
      <c r="S1709" s="1" t="str">
        <f t="shared" si="134"/>
        <v/>
      </c>
      <c r="T1709" s="1">
        <f>IF($E1709="",0,SUMPRODUCT((AY_SONU!$O$7:$O$42="Evet")*(AY_SONU!$B$7:$B$42=DATE(YEAR($E1709),MONTH($E1709),1))))</f>
        <v>0</v>
      </c>
      <c r="U1709" s="1" t="str">
        <f>IF(OR($G1709="",$H1709="Mahsup"),"",$G1709&amp;"|"&amp;COUNTIFS($G$7:$G1709,$G1709,$H$7:$H1709,"&lt;&gt;Mahsup"))</f>
        <v/>
      </c>
    </row>
    <row r="1710" spans="1:21" ht="18" customHeight="1" x14ac:dyDescent="0.3">
      <c r="A1710" s="2"/>
      <c r="B1710" s="65" t="str">
        <f t="shared" si="130"/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 t="shared" si="131"/>
        <v/>
      </c>
      <c r="M1710" s="65" t="str">
        <f t="shared" ca="1" si="132"/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133"/>
        <v/>
      </c>
      <c r="S1710" s="1" t="str">
        <f t="shared" si="134"/>
        <v/>
      </c>
      <c r="T1710" s="1">
        <f>IF($E1710="",0,SUMPRODUCT((AY_SONU!$O$7:$O$42="Evet")*(AY_SONU!$B$7:$B$42=DATE(YEAR($E1710),MONTH($E1710),1))))</f>
        <v>0</v>
      </c>
      <c r="U1710" s="1" t="str">
        <f>IF(OR($G1710="",$H1710="Mahsup"),"",$G1710&amp;"|"&amp;COUNTIFS($G$7:$G1710,$G1710,$H$7:$H1710,"&lt;&gt;Mahsup"))</f>
        <v/>
      </c>
    </row>
    <row r="1711" spans="1:21" ht="18" customHeight="1" x14ac:dyDescent="0.3">
      <c r="A1711" s="2"/>
      <c r="B1711" s="65" t="str">
        <f t="shared" si="130"/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 t="shared" si="131"/>
        <v/>
      </c>
      <c r="M1711" s="65" t="str">
        <f t="shared" ca="1" si="132"/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133"/>
        <v/>
      </c>
      <c r="S1711" s="1" t="str">
        <f t="shared" si="134"/>
        <v/>
      </c>
      <c r="T1711" s="1">
        <f>IF($E1711="",0,SUMPRODUCT((AY_SONU!$O$7:$O$42="Evet")*(AY_SONU!$B$7:$B$42=DATE(YEAR($E1711),MONTH($E1711),1))))</f>
        <v>0</v>
      </c>
      <c r="U1711" s="1" t="str">
        <f>IF(OR($G1711="",$H1711="Mahsup"),"",$G1711&amp;"|"&amp;COUNTIFS($G$7:$G1711,$G1711,$H$7:$H1711,"&lt;&gt;Mahsup"))</f>
        <v/>
      </c>
    </row>
    <row r="1712" spans="1:21" ht="18" customHeight="1" x14ac:dyDescent="0.3">
      <c r="A1712" s="2"/>
      <c r="B1712" s="65" t="str">
        <f t="shared" si="130"/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 t="shared" si="131"/>
        <v/>
      </c>
      <c r="M1712" s="65" t="str">
        <f t="shared" ca="1" si="132"/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133"/>
        <v/>
      </c>
      <c r="S1712" s="1" t="str">
        <f t="shared" si="134"/>
        <v/>
      </c>
      <c r="T1712" s="1">
        <f>IF($E1712="",0,SUMPRODUCT((AY_SONU!$O$7:$O$42="Evet")*(AY_SONU!$B$7:$B$42=DATE(YEAR($E1712),MONTH($E1712),1))))</f>
        <v>0</v>
      </c>
      <c r="U1712" s="1" t="str">
        <f>IF(OR($G1712="",$H1712="Mahsup"),"",$G1712&amp;"|"&amp;COUNTIFS($G$7:$G1712,$G1712,$H$7:$H1712,"&lt;&gt;Mahsup"))</f>
        <v/>
      </c>
    </row>
    <row r="1713" spans="1:21" ht="18" customHeight="1" x14ac:dyDescent="0.3">
      <c r="A1713" s="2"/>
      <c r="B1713" s="65" t="str">
        <f t="shared" si="130"/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 t="shared" si="131"/>
        <v/>
      </c>
      <c r="M1713" s="65" t="str">
        <f t="shared" ca="1" si="132"/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133"/>
        <v/>
      </c>
      <c r="S1713" s="1" t="str">
        <f t="shared" si="134"/>
        <v/>
      </c>
      <c r="T1713" s="1">
        <f>IF($E1713="",0,SUMPRODUCT((AY_SONU!$O$7:$O$42="Evet")*(AY_SONU!$B$7:$B$42=DATE(YEAR($E1713),MONTH($E1713),1))))</f>
        <v>0</v>
      </c>
      <c r="U1713" s="1" t="str">
        <f>IF(OR($G1713="",$H1713="Mahsup"),"",$G1713&amp;"|"&amp;COUNTIFS($G$7:$G1713,$G1713,$H$7:$H1713,"&lt;&gt;Mahsup"))</f>
        <v/>
      </c>
    </row>
    <row r="1714" spans="1:21" ht="18" customHeight="1" x14ac:dyDescent="0.3">
      <c r="A1714" s="2"/>
      <c r="B1714" s="65" t="str">
        <f t="shared" si="130"/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 t="shared" si="131"/>
        <v/>
      </c>
      <c r="M1714" s="65" t="str">
        <f t="shared" ca="1" si="132"/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133"/>
        <v/>
      </c>
      <c r="S1714" s="1" t="str">
        <f t="shared" si="134"/>
        <v/>
      </c>
      <c r="T1714" s="1">
        <f>IF($E1714="",0,SUMPRODUCT((AY_SONU!$O$7:$O$42="Evet")*(AY_SONU!$B$7:$B$42=DATE(YEAR($E1714),MONTH($E1714),1))))</f>
        <v>0</v>
      </c>
      <c r="U1714" s="1" t="str">
        <f>IF(OR($G1714="",$H1714="Mahsup"),"",$G1714&amp;"|"&amp;COUNTIFS($G$7:$G1714,$G1714,$H$7:$H1714,"&lt;&gt;Mahsup"))</f>
        <v/>
      </c>
    </row>
    <row r="1715" spans="1:21" ht="18" customHeight="1" x14ac:dyDescent="0.3">
      <c r="A1715" s="2"/>
      <c r="B1715" s="65" t="str">
        <f t="shared" si="130"/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 t="shared" si="131"/>
        <v/>
      </c>
      <c r="M1715" s="65" t="str">
        <f t="shared" ca="1" si="132"/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133"/>
        <v/>
      </c>
      <c r="S1715" s="1" t="str">
        <f t="shared" si="134"/>
        <v/>
      </c>
      <c r="T1715" s="1">
        <f>IF($E1715="",0,SUMPRODUCT((AY_SONU!$O$7:$O$42="Evet")*(AY_SONU!$B$7:$B$42=DATE(YEAR($E1715),MONTH($E1715),1))))</f>
        <v>0</v>
      </c>
      <c r="U1715" s="1" t="str">
        <f>IF(OR($G1715="",$H1715="Mahsup"),"",$G1715&amp;"|"&amp;COUNTIFS($G$7:$G1715,$G1715,$H$7:$H1715,"&lt;&gt;Mahsup"))</f>
        <v/>
      </c>
    </row>
    <row r="1716" spans="1:21" ht="18" customHeight="1" x14ac:dyDescent="0.3">
      <c r="A1716" s="2"/>
      <c r="B1716" s="65" t="str">
        <f t="shared" si="130"/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 t="shared" si="131"/>
        <v/>
      </c>
      <c r="M1716" s="65" t="str">
        <f t="shared" ca="1" si="132"/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133"/>
        <v/>
      </c>
      <c r="S1716" s="1" t="str">
        <f t="shared" si="134"/>
        <v/>
      </c>
      <c r="T1716" s="1">
        <f>IF($E1716="",0,SUMPRODUCT((AY_SONU!$O$7:$O$42="Evet")*(AY_SONU!$B$7:$B$42=DATE(YEAR($E1716),MONTH($E1716),1))))</f>
        <v>0</v>
      </c>
      <c r="U1716" s="1" t="str">
        <f>IF(OR($G1716="",$H1716="Mahsup"),"",$G1716&amp;"|"&amp;COUNTIFS($G$7:$G1716,$G1716,$H$7:$H1716,"&lt;&gt;Mahsup"))</f>
        <v/>
      </c>
    </row>
    <row r="1717" spans="1:21" ht="18" customHeight="1" x14ac:dyDescent="0.3">
      <c r="A1717" s="2"/>
      <c r="B1717" s="65" t="str">
        <f t="shared" si="130"/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 t="shared" si="131"/>
        <v/>
      </c>
      <c r="M1717" s="65" t="str">
        <f t="shared" ca="1" si="132"/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133"/>
        <v/>
      </c>
      <c r="S1717" s="1" t="str">
        <f t="shared" si="134"/>
        <v/>
      </c>
      <c r="T1717" s="1">
        <f>IF($E1717="",0,SUMPRODUCT((AY_SONU!$O$7:$O$42="Evet")*(AY_SONU!$B$7:$B$42=DATE(YEAR($E1717),MONTH($E1717),1))))</f>
        <v>0</v>
      </c>
      <c r="U1717" s="1" t="str">
        <f>IF(OR($G1717="",$H1717="Mahsup"),"",$G1717&amp;"|"&amp;COUNTIFS($G$7:$G1717,$G1717,$H$7:$H1717,"&lt;&gt;Mahsup"))</f>
        <v/>
      </c>
    </row>
    <row r="1718" spans="1:21" ht="18" customHeight="1" x14ac:dyDescent="0.3">
      <c r="A1718" s="2"/>
      <c r="B1718" s="65" t="str">
        <f t="shared" si="130"/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 t="shared" si="131"/>
        <v/>
      </c>
      <c r="M1718" s="65" t="str">
        <f t="shared" ca="1" si="132"/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133"/>
        <v/>
      </c>
      <c r="S1718" s="1" t="str">
        <f t="shared" si="134"/>
        <v/>
      </c>
      <c r="T1718" s="1">
        <f>IF($E1718="",0,SUMPRODUCT((AY_SONU!$O$7:$O$42="Evet")*(AY_SONU!$B$7:$B$42=DATE(YEAR($E1718),MONTH($E1718),1))))</f>
        <v>0</v>
      </c>
      <c r="U1718" s="1" t="str">
        <f>IF(OR($G1718="",$H1718="Mahsup"),"",$G1718&amp;"|"&amp;COUNTIFS($G$7:$G1718,$G1718,$H$7:$H1718,"&lt;&gt;Mahsup"))</f>
        <v/>
      </c>
    </row>
    <row r="1719" spans="1:21" ht="18" customHeight="1" x14ac:dyDescent="0.3">
      <c r="A1719" s="2"/>
      <c r="B1719" s="65" t="str">
        <f t="shared" si="130"/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 t="shared" si="131"/>
        <v/>
      </c>
      <c r="M1719" s="65" t="str">
        <f t="shared" ca="1" si="132"/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133"/>
        <v/>
      </c>
      <c r="S1719" s="1" t="str">
        <f t="shared" si="134"/>
        <v/>
      </c>
      <c r="T1719" s="1">
        <f>IF($E1719="",0,SUMPRODUCT((AY_SONU!$O$7:$O$42="Evet")*(AY_SONU!$B$7:$B$42=DATE(YEAR($E1719),MONTH($E1719),1))))</f>
        <v>0</v>
      </c>
      <c r="U1719" s="1" t="str">
        <f>IF(OR($G1719="",$H1719="Mahsup"),"",$G1719&amp;"|"&amp;COUNTIFS($G$7:$G1719,$G1719,$H$7:$H1719,"&lt;&gt;Mahsup"))</f>
        <v/>
      </c>
    </row>
    <row r="1720" spans="1:21" ht="18" customHeight="1" x14ac:dyDescent="0.3">
      <c r="A1720" s="2"/>
      <c r="B1720" s="65" t="str">
        <f t="shared" si="130"/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 t="shared" si="131"/>
        <v/>
      </c>
      <c r="M1720" s="65" t="str">
        <f t="shared" ca="1" si="132"/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133"/>
        <v/>
      </c>
      <c r="S1720" s="1" t="str">
        <f t="shared" si="134"/>
        <v/>
      </c>
      <c r="T1720" s="1">
        <f>IF($E1720="",0,SUMPRODUCT((AY_SONU!$O$7:$O$42="Evet")*(AY_SONU!$B$7:$B$42=DATE(YEAR($E1720),MONTH($E1720),1))))</f>
        <v>0</v>
      </c>
      <c r="U1720" s="1" t="str">
        <f>IF(OR($G1720="",$H1720="Mahsup"),"",$G1720&amp;"|"&amp;COUNTIFS($G$7:$G1720,$G1720,$H$7:$H1720,"&lt;&gt;Mahsup"))</f>
        <v/>
      </c>
    </row>
    <row r="1721" spans="1:21" ht="18" customHeight="1" x14ac:dyDescent="0.3">
      <c r="A1721" s="2"/>
      <c r="B1721" s="65" t="str">
        <f t="shared" si="130"/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 t="shared" si="131"/>
        <v/>
      </c>
      <c r="M1721" s="65" t="str">
        <f t="shared" ca="1" si="132"/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133"/>
        <v/>
      </c>
      <c r="S1721" s="1" t="str">
        <f t="shared" si="134"/>
        <v/>
      </c>
      <c r="T1721" s="1">
        <f>IF($E1721="",0,SUMPRODUCT((AY_SONU!$O$7:$O$42="Evet")*(AY_SONU!$B$7:$B$42=DATE(YEAR($E1721),MONTH($E1721),1))))</f>
        <v>0</v>
      </c>
      <c r="U1721" s="1" t="str">
        <f>IF(OR($G1721="",$H1721="Mahsup"),"",$G1721&amp;"|"&amp;COUNTIFS($G$7:$G1721,$G1721,$H$7:$H1721,"&lt;&gt;Mahsup"))</f>
        <v/>
      </c>
    </row>
    <row r="1722" spans="1:21" ht="18" customHeight="1" x14ac:dyDescent="0.3">
      <c r="A1722" s="2"/>
      <c r="B1722" s="65" t="str">
        <f t="shared" si="130"/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 t="shared" si="131"/>
        <v/>
      </c>
      <c r="M1722" s="65" t="str">
        <f t="shared" ca="1" si="132"/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133"/>
        <v/>
      </c>
      <c r="S1722" s="1" t="str">
        <f t="shared" si="134"/>
        <v/>
      </c>
      <c r="T1722" s="1">
        <f>IF($E1722="",0,SUMPRODUCT((AY_SONU!$O$7:$O$42="Evet")*(AY_SONU!$B$7:$B$42=DATE(YEAR($E1722),MONTH($E1722),1))))</f>
        <v>0</v>
      </c>
      <c r="U1722" s="1" t="str">
        <f>IF(OR($G1722="",$H1722="Mahsup"),"",$G1722&amp;"|"&amp;COUNTIFS($G$7:$G1722,$G1722,$H$7:$H1722,"&lt;&gt;Mahsup"))</f>
        <v/>
      </c>
    </row>
    <row r="1723" spans="1:21" ht="18" customHeight="1" x14ac:dyDescent="0.3">
      <c r="A1723" s="2"/>
      <c r="B1723" s="65" t="str">
        <f t="shared" si="130"/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 t="shared" si="131"/>
        <v/>
      </c>
      <c r="M1723" s="65" t="str">
        <f t="shared" ca="1" si="132"/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133"/>
        <v/>
      </c>
      <c r="S1723" s="1" t="str">
        <f t="shared" si="134"/>
        <v/>
      </c>
      <c r="T1723" s="1">
        <f>IF($E1723="",0,SUMPRODUCT((AY_SONU!$O$7:$O$42="Evet")*(AY_SONU!$B$7:$B$42=DATE(YEAR($E1723),MONTH($E1723),1))))</f>
        <v>0</v>
      </c>
      <c r="U1723" s="1" t="str">
        <f>IF(OR($G1723="",$H1723="Mahsup"),"",$G1723&amp;"|"&amp;COUNTIFS($G$7:$G1723,$G1723,$H$7:$H1723,"&lt;&gt;Mahsup"))</f>
        <v/>
      </c>
    </row>
    <row r="1724" spans="1:21" ht="18" customHeight="1" x14ac:dyDescent="0.3">
      <c r="A1724" s="2"/>
      <c r="B1724" s="65" t="str">
        <f t="shared" si="130"/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 t="shared" si="131"/>
        <v/>
      </c>
      <c r="M1724" s="65" t="str">
        <f t="shared" ca="1" si="132"/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133"/>
        <v/>
      </c>
      <c r="S1724" s="1" t="str">
        <f t="shared" si="134"/>
        <v/>
      </c>
      <c r="T1724" s="1">
        <f>IF($E1724="",0,SUMPRODUCT((AY_SONU!$O$7:$O$42="Evet")*(AY_SONU!$B$7:$B$42=DATE(YEAR($E1724),MONTH($E1724),1))))</f>
        <v>0</v>
      </c>
      <c r="U1724" s="1" t="str">
        <f>IF(OR($G1724="",$H1724="Mahsup"),"",$G1724&amp;"|"&amp;COUNTIFS($G$7:$G1724,$G1724,$H$7:$H1724,"&lt;&gt;Mahsup"))</f>
        <v/>
      </c>
    </row>
    <row r="1725" spans="1:21" ht="18" customHeight="1" x14ac:dyDescent="0.3">
      <c r="A1725" s="2"/>
      <c r="B1725" s="65" t="str">
        <f t="shared" si="130"/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 t="shared" si="131"/>
        <v/>
      </c>
      <c r="M1725" s="65" t="str">
        <f t="shared" ca="1" si="132"/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133"/>
        <v/>
      </c>
      <c r="S1725" s="1" t="str">
        <f t="shared" si="134"/>
        <v/>
      </c>
      <c r="T1725" s="1">
        <f>IF($E1725="",0,SUMPRODUCT((AY_SONU!$O$7:$O$42="Evet")*(AY_SONU!$B$7:$B$42=DATE(YEAR($E1725),MONTH($E1725),1))))</f>
        <v>0</v>
      </c>
      <c r="U1725" s="1" t="str">
        <f>IF(OR($G1725="",$H1725="Mahsup"),"",$G1725&amp;"|"&amp;COUNTIFS($G$7:$G1725,$G1725,$H$7:$H1725,"&lt;&gt;Mahsup"))</f>
        <v/>
      </c>
    </row>
    <row r="1726" spans="1:21" ht="18" customHeight="1" x14ac:dyDescent="0.3">
      <c r="A1726" s="2"/>
      <c r="B1726" s="65" t="str">
        <f t="shared" si="130"/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 t="shared" si="131"/>
        <v/>
      </c>
      <c r="M1726" s="65" t="str">
        <f t="shared" ca="1" si="132"/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133"/>
        <v/>
      </c>
      <c r="S1726" s="1" t="str">
        <f t="shared" si="134"/>
        <v/>
      </c>
      <c r="T1726" s="1">
        <f>IF($E1726="",0,SUMPRODUCT((AY_SONU!$O$7:$O$42="Evet")*(AY_SONU!$B$7:$B$42=DATE(YEAR($E1726),MONTH($E1726),1))))</f>
        <v>0</v>
      </c>
      <c r="U1726" s="1" t="str">
        <f>IF(OR($G1726="",$H1726="Mahsup"),"",$G1726&amp;"|"&amp;COUNTIFS($G$7:$G1726,$G1726,$H$7:$H1726,"&lt;&gt;Mahsup"))</f>
        <v/>
      </c>
    </row>
    <row r="1727" spans="1:21" ht="18" customHeight="1" x14ac:dyDescent="0.3">
      <c r="A1727" s="2"/>
      <c r="B1727" s="65" t="str">
        <f t="shared" si="130"/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 t="shared" si="131"/>
        <v/>
      </c>
      <c r="M1727" s="65" t="str">
        <f t="shared" ca="1" si="132"/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133"/>
        <v/>
      </c>
      <c r="S1727" s="1" t="str">
        <f t="shared" si="134"/>
        <v/>
      </c>
      <c r="T1727" s="1">
        <f>IF($E1727="",0,SUMPRODUCT((AY_SONU!$O$7:$O$42="Evet")*(AY_SONU!$B$7:$B$42=DATE(YEAR($E1727),MONTH($E1727),1))))</f>
        <v>0</v>
      </c>
      <c r="U1727" s="1" t="str">
        <f>IF(OR($G1727="",$H1727="Mahsup"),"",$G1727&amp;"|"&amp;COUNTIFS($G$7:$G1727,$G1727,$H$7:$H1727,"&lt;&gt;Mahsup"))</f>
        <v/>
      </c>
    </row>
    <row r="1728" spans="1:21" ht="18" customHeight="1" x14ac:dyDescent="0.3">
      <c r="A1728" s="2"/>
      <c r="B1728" s="65" t="str">
        <f t="shared" si="130"/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 t="shared" si="131"/>
        <v/>
      </c>
      <c r="M1728" s="65" t="str">
        <f t="shared" ca="1" si="132"/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133"/>
        <v/>
      </c>
      <c r="S1728" s="1" t="str">
        <f t="shared" si="134"/>
        <v/>
      </c>
      <c r="T1728" s="1">
        <f>IF($E1728="",0,SUMPRODUCT((AY_SONU!$O$7:$O$42="Evet")*(AY_SONU!$B$7:$B$42=DATE(YEAR($E1728),MONTH($E1728),1))))</f>
        <v>0</v>
      </c>
      <c r="U1728" s="1" t="str">
        <f>IF(OR($G1728="",$H1728="Mahsup"),"",$G1728&amp;"|"&amp;COUNTIFS($G$7:$G1728,$G1728,$H$7:$H1728,"&lt;&gt;Mahsup"))</f>
        <v/>
      </c>
    </row>
    <row r="1729" spans="1:21" ht="18" customHeight="1" x14ac:dyDescent="0.3">
      <c r="A1729" s="2"/>
      <c r="B1729" s="65" t="str">
        <f t="shared" si="130"/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 t="shared" si="131"/>
        <v/>
      </c>
      <c r="M1729" s="65" t="str">
        <f t="shared" ca="1" si="132"/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133"/>
        <v/>
      </c>
      <c r="S1729" s="1" t="str">
        <f t="shared" si="134"/>
        <v/>
      </c>
      <c r="T1729" s="1">
        <f>IF($E1729="",0,SUMPRODUCT((AY_SONU!$O$7:$O$42="Evet")*(AY_SONU!$B$7:$B$42=DATE(YEAR($E1729),MONTH($E1729),1))))</f>
        <v>0</v>
      </c>
      <c r="U1729" s="1" t="str">
        <f>IF(OR($G1729="",$H1729="Mahsup"),"",$G1729&amp;"|"&amp;COUNTIFS($G$7:$G1729,$G1729,$H$7:$H1729,"&lt;&gt;Mahsup"))</f>
        <v/>
      </c>
    </row>
    <row r="1730" spans="1:21" ht="18" customHeight="1" x14ac:dyDescent="0.3">
      <c r="A1730" s="2"/>
      <c r="B1730" s="65" t="str">
        <f t="shared" si="130"/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 t="shared" si="131"/>
        <v/>
      </c>
      <c r="M1730" s="65" t="str">
        <f t="shared" ca="1" si="132"/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133"/>
        <v/>
      </c>
      <c r="S1730" s="1" t="str">
        <f t="shared" si="134"/>
        <v/>
      </c>
      <c r="T1730" s="1">
        <f>IF($E1730="",0,SUMPRODUCT((AY_SONU!$O$7:$O$42="Evet")*(AY_SONU!$B$7:$B$42=DATE(YEAR($E1730),MONTH($E1730),1))))</f>
        <v>0</v>
      </c>
      <c r="U1730" s="1" t="str">
        <f>IF(OR($G1730="",$H1730="Mahsup"),"",$G1730&amp;"|"&amp;COUNTIFS($G$7:$G1730,$G1730,$H$7:$H1730,"&lt;&gt;Mahsup"))</f>
        <v/>
      </c>
    </row>
    <row r="1731" spans="1:21" ht="18" customHeight="1" x14ac:dyDescent="0.3">
      <c r="A1731" s="2"/>
      <c r="B1731" s="65" t="str">
        <f t="shared" si="130"/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 t="shared" si="131"/>
        <v/>
      </c>
      <c r="M1731" s="65" t="str">
        <f t="shared" ca="1" si="132"/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133"/>
        <v/>
      </c>
      <c r="S1731" s="1" t="str">
        <f t="shared" si="134"/>
        <v/>
      </c>
      <c r="T1731" s="1">
        <f>IF($E1731="",0,SUMPRODUCT((AY_SONU!$O$7:$O$42="Evet")*(AY_SONU!$B$7:$B$42=DATE(YEAR($E1731),MONTH($E1731),1))))</f>
        <v>0</v>
      </c>
      <c r="U1731" s="1" t="str">
        <f>IF(OR($G1731="",$H1731="Mahsup"),"",$G1731&amp;"|"&amp;COUNTIFS($G$7:$G1731,$G1731,$H$7:$H1731,"&lt;&gt;Mahsup"))</f>
        <v/>
      </c>
    </row>
    <row r="1732" spans="1:21" ht="18" customHeight="1" x14ac:dyDescent="0.3">
      <c r="A1732" s="2"/>
      <c r="B1732" s="65" t="str">
        <f t="shared" si="130"/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 t="shared" si="131"/>
        <v/>
      </c>
      <c r="M1732" s="65" t="str">
        <f t="shared" ca="1" si="132"/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133"/>
        <v/>
      </c>
      <c r="S1732" s="1" t="str">
        <f t="shared" si="134"/>
        <v/>
      </c>
      <c r="T1732" s="1">
        <f>IF($E1732="",0,SUMPRODUCT((AY_SONU!$O$7:$O$42="Evet")*(AY_SONU!$B$7:$B$42=DATE(YEAR($E1732),MONTH($E1732),1))))</f>
        <v>0</v>
      </c>
      <c r="U1732" s="1" t="str">
        <f>IF(OR($G1732="",$H1732="Mahsup"),"",$G1732&amp;"|"&amp;COUNTIFS($G$7:$G1732,$G1732,$H$7:$H1732,"&lt;&gt;Mahsup"))</f>
        <v/>
      </c>
    </row>
    <row r="1733" spans="1:21" ht="18" customHeight="1" x14ac:dyDescent="0.3">
      <c r="A1733" s="2"/>
      <c r="B1733" s="65" t="str">
        <f t="shared" si="130"/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 t="shared" si="131"/>
        <v/>
      </c>
      <c r="M1733" s="65" t="str">
        <f t="shared" ca="1" si="132"/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133"/>
        <v/>
      </c>
      <c r="S1733" s="1" t="str">
        <f t="shared" si="134"/>
        <v/>
      </c>
      <c r="T1733" s="1">
        <f>IF($E1733="",0,SUMPRODUCT((AY_SONU!$O$7:$O$42="Evet")*(AY_SONU!$B$7:$B$42=DATE(YEAR($E1733),MONTH($E1733),1))))</f>
        <v>0</v>
      </c>
      <c r="U1733" s="1" t="str">
        <f>IF(OR($G1733="",$H1733="Mahsup"),"",$G1733&amp;"|"&amp;COUNTIFS($G$7:$G1733,$G1733,$H$7:$H1733,"&lt;&gt;Mahsup"))</f>
        <v/>
      </c>
    </row>
    <row r="1734" spans="1:21" ht="18" customHeight="1" x14ac:dyDescent="0.3">
      <c r="A1734" s="2"/>
      <c r="B1734" s="65" t="str">
        <f t="shared" si="130"/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 t="shared" si="131"/>
        <v/>
      </c>
      <c r="M1734" s="65" t="str">
        <f t="shared" ca="1" si="132"/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133"/>
        <v/>
      </c>
      <c r="S1734" s="1" t="str">
        <f t="shared" si="134"/>
        <v/>
      </c>
      <c r="T1734" s="1">
        <f>IF($E1734="",0,SUMPRODUCT((AY_SONU!$O$7:$O$42="Evet")*(AY_SONU!$B$7:$B$42=DATE(YEAR($E1734),MONTH($E1734),1))))</f>
        <v>0</v>
      </c>
      <c r="U1734" s="1" t="str">
        <f>IF(OR($G1734="",$H1734="Mahsup"),"",$G1734&amp;"|"&amp;COUNTIFS($G$7:$G1734,$G1734,$H$7:$H1734,"&lt;&gt;Mahsup"))</f>
        <v/>
      </c>
    </row>
    <row r="1735" spans="1:21" ht="18" customHeight="1" x14ac:dyDescent="0.3">
      <c r="A1735" s="2"/>
      <c r="B1735" s="65" t="str">
        <f t="shared" ref="B1735:B1798" si="135"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 t="shared" ref="L1735:L1798" si="136">IF($E1735="","",DATE(YEAR($E1735),MONTH($E1735),1))</f>
        <v/>
      </c>
      <c r="M1735" s="65" t="str">
        <f t="shared" ref="M1735:M1798" ca="1" si="137"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138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139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  <c r="U1735" s="1" t="str">
        <f>IF(OR($G1735="",$H1735="Mahsup"),"",$G1735&amp;"|"&amp;COUNTIFS($G$7:$G1735,$G1735,$H$7:$H1735,"&lt;&gt;Mahsup"))</f>
        <v/>
      </c>
    </row>
    <row r="1736" spans="1:21" ht="18" customHeight="1" x14ac:dyDescent="0.3">
      <c r="A1736" s="2"/>
      <c r="B1736" s="65" t="str">
        <f t="shared" si="135"/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 t="shared" si="136"/>
        <v/>
      </c>
      <c r="M1736" s="65" t="str">
        <f t="shared" ca="1" si="137"/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138"/>
        <v/>
      </c>
      <c r="S1736" s="1" t="str">
        <f t="shared" si="139"/>
        <v/>
      </c>
      <c r="T1736" s="1">
        <f>IF($E1736="",0,SUMPRODUCT((AY_SONU!$O$7:$O$42="Evet")*(AY_SONU!$B$7:$B$42=DATE(YEAR($E1736),MONTH($E1736),1))))</f>
        <v>0</v>
      </c>
      <c r="U1736" s="1" t="str">
        <f>IF(OR($G1736="",$H1736="Mahsup"),"",$G1736&amp;"|"&amp;COUNTIFS($G$7:$G1736,$G1736,$H$7:$H1736,"&lt;&gt;Mahsup"))</f>
        <v/>
      </c>
    </row>
    <row r="1737" spans="1:21" ht="18" customHeight="1" x14ac:dyDescent="0.3">
      <c r="A1737" s="2"/>
      <c r="B1737" s="65" t="str">
        <f t="shared" si="135"/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 t="shared" si="136"/>
        <v/>
      </c>
      <c r="M1737" s="65" t="str">
        <f t="shared" ca="1" si="137"/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138"/>
        <v/>
      </c>
      <c r="S1737" s="1" t="str">
        <f t="shared" si="139"/>
        <v/>
      </c>
      <c r="T1737" s="1">
        <f>IF($E1737="",0,SUMPRODUCT((AY_SONU!$O$7:$O$42="Evet")*(AY_SONU!$B$7:$B$42=DATE(YEAR($E1737),MONTH($E1737),1))))</f>
        <v>0</v>
      </c>
      <c r="U1737" s="1" t="str">
        <f>IF(OR($G1737="",$H1737="Mahsup"),"",$G1737&amp;"|"&amp;COUNTIFS($G$7:$G1737,$G1737,$H$7:$H1737,"&lt;&gt;Mahsup"))</f>
        <v/>
      </c>
    </row>
    <row r="1738" spans="1:21" ht="18" customHeight="1" x14ac:dyDescent="0.3">
      <c r="A1738" s="2"/>
      <c r="B1738" s="65" t="str">
        <f t="shared" si="135"/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 t="shared" si="136"/>
        <v/>
      </c>
      <c r="M1738" s="65" t="str">
        <f t="shared" ca="1" si="137"/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138"/>
        <v/>
      </c>
      <c r="S1738" s="1" t="str">
        <f t="shared" si="139"/>
        <v/>
      </c>
      <c r="T1738" s="1">
        <f>IF($E1738="",0,SUMPRODUCT((AY_SONU!$O$7:$O$42="Evet")*(AY_SONU!$B$7:$B$42=DATE(YEAR($E1738),MONTH($E1738),1))))</f>
        <v>0</v>
      </c>
      <c r="U1738" s="1" t="str">
        <f>IF(OR($G1738="",$H1738="Mahsup"),"",$G1738&amp;"|"&amp;COUNTIFS($G$7:$G1738,$G1738,$H$7:$H1738,"&lt;&gt;Mahsup"))</f>
        <v/>
      </c>
    </row>
    <row r="1739" spans="1:21" ht="18" customHeight="1" x14ac:dyDescent="0.3">
      <c r="A1739" s="2"/>
      <c r="B1739" s="65" t="str">
        <f t="shared" si="135"/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 t="shared" si="136"/>
        <v/>
      </c>
      <c r="M1739" s="65" t="str">
        <f t="shared" ca="1" si="137"/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138"/>
        <v/>
      </c>
      <c r="S1739" s="1" t="str">
        <f t="shared" si="139"/>
        <v/>
      </c>
      <c r="T1739" s="1">
        <f>IF($E1739="",0,SUMPRODUCT((AY_SONU!$O$7:$O$42="Evet")*(AY_SONU!$B$7:$B$42=DATE(YEAR($E1739),MONTH($E1739),1))))</f>
        <v>0</v>
      </c>
      <c r="U1739" s="1" t="str">
        <f>IF(OR($G1739="",$H1739="Mahsup"),"",$G1739&amp;"|"&amp;COUNTIFS($G$7:$G1739,$G1739,$H$7:$H1739,"&lt;&gt;Mahsup"))</f>
        <v/>
      </c>
    </row>
    <row r="1740" spans="1:21" ht="18" customHeight="1" x14ac:dyDescent="0.3">
      <c r="A1740" s="2"/>
      <c r="B1740" s="65" t="str">
        <f t="shared" si="135"/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 t="shared" si="136"/>
        <v/>
      </c>
      <c r="M1740" s="65" t="str">
        <f t="shared" ca="1" si="137"/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138"/>
        <v/>
      </c>
      <c r="S1740" s="1" t="str">
        <f t="shared" si="139"/>
        <v/>
      </c>
      <c r="T1740" s="1">
        <f>IF($E1740="",0,SUMPRODUCT((AY_SONU!$O$7:$O$42="Evet")*(AY_SONU!$B$7:$B$42=DATE(YEAR($E1740),MONTH($E1740),1))))</f>
        <v>0</v>
      </c>
      <c r="U1740" s="1" t="str">
        <f>IF(OR($G1740="",$H1740="Mahsup"),"",$G1740&amp;"|"&amp;COUNTIFS($G$7:$G1740,$G1740,$H$7:$H1740,"&lt;&gt;Mahsup"))</f>
        <v/>
      </c>
    </row>
    <row r="1741" spans="1:21" ht="18" customHeight="1" x14ac:dyDescent="0.3">
      <c r="A1741" s="2"/>
      <c r="B1741" s="65" t="str">
        <f t="shared" si="135"/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 t="shared" si="136"/>
        <v/>
      </c>
      <c r="M1741" s="65" t="str">
        <f t="shared" ca="1" si="137"/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138"/>
        <v/>
      </c>
      <c r="S1741" s="1" t="str">
        <f t="shared" si="139"/>
        <v/>
      </c>
      <c r="T1741" s="1">
        <f>IF($E1741="",0,SUMPRODUCT((AY_SONU!$O$7:$O$42="Evet")*(AY_SONU!$B$7:$B$42=DATE(YEAR($E1741),MONTH($E1741),1))))</f>
        <v>0</v>
      </c>
      <c r="U1741" s="1" t="str">
        <f>IF(OR($G1741="",$H1741="Mahsup"),"",$G1741&amp;"|"&amp;COUNTIFS($G$7:$G1741,$G1741,$H$7:$H1741,"&lt;&gt;Mahsup"))</f>
        <v/>
      </c>
    </row>
    <row r="1742" spans="1:21" ht="18" customHeight="1" x14ac:dyDescent="0.3">
      <c r="A1742" s="2"/>
      <c r="B1742" s="65" t="str">
        <f t="shared" si="135"/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 t="shared" si="136"/>
        <v/>
      </c>
      <c r="M1742" s="65" t="str">
        <f t="shared" ca="1" si="137"/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138"/>
        <v/>
      </c>
      <c r="S1742" s="1" t="str">
        <f t="shared" si="139"/>
        <v/>
      </c>
      <c r="T1742" s="1">
        <f>IF($E1742="",0,SUMPRODUCT((AY_SONU!$O$7:$O$42="Evet")*(AY_SONU!$B$7:$B$42=DATE(YEAR($E1742),MONTH($E1742),1))))</f>
        <v>0</v>
      </c>
      <c r="U1742" s="1" t="str">
        <f>IF(OR($G1742="",$H1742="Mahsup"),"",$G1742&amp;"|"&amp;COUNTIFS($G$7:$G1742,$G1742,$H$7:$H1742,"&lt;&gt;Mahsup"))</f>
        <v/>
      </c>
    </row>
    <row r="1743" spans="1:21" ht="18" customHeight="1" x14ac:dyDescent="0.3">
      <c r="A1743" s="2"/>
      <c r="B1743" s="65" t="str">
        <f t="shared" si="135"/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 t="shared" si="136"/>
        <v/>
      </c>
      <c r="M1743" s="65" t="str">
        <f t="shared" ca="1" si="137"/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138"/>
        <v/>
      </c>
      <c r="S1743" s="1" t="str">
        <f t="shared" si="139"/>
        <v/>
      </c>
      <c r="T1743" s="1">
        <f>IF($E1743="",0,SUMPRODUCT((AY_SONU!$O$7:$O$42="Evet")*(AY_SONU!$B$7:$B$42=DATE(YEAR($E1743),MONTH($E1743),1))))</f>
        <v>0</v>
      </c>
      <c r="U1743" s="1" t="str">
        <f>IF(OR($G1743="",$H1743="Mahsup"),"",$G1743&amp;"|"&amp;COUNTIFS($G$7:$G1743,$G1743,$H$7:$H1743,"&lt;&gt;Mahsup"))</f>
        <v/>
      </c>
    </row>
    <row r="1744" spans="1:21" ht="18" customHeight="1" x14ac:dyDescent="0.3">
      <c r="A1744" s="2"/>
      <c r="B1744" s="65" t="str">
        <f t="shared" si="135"/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 t="shared" si="136"/>
        <v/>
      </c>
      <c r="M1744" s="65" t="str">
        <f t="shared" ca="1" si="137"/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138"/>
        <v/>
      </c>
      <c r="S1744" s="1" t="str">
        <f t="shared" si="139"/>
        <v/>
      </c>
      <c r="T1744" s="1">
        <f>IF($E1744="",0,SUMPRODUCT((AY_SONU!$O$7:$O$42="Evet")*(AY_SONU!$B$7:$B$42=DATE(YEAR($E1744),MONTH($E1744),1))))</f>
        <v>0</v>
      </c>
      <c r="U1744" s="1" t="str">
        <f>IF(OR($G1744="",$H1744="Mahsup"),"",$G1744&amp;"|"&amp;COUNTIFS($G$7:$G1744,$G1744,$H$7:$H1744,"&lt;&gt;Mahsup"))</f>
        <v/>
      </c>
    </row>
    <row r="1745" spans="1:21" ht="18" customHeight="1" x14ac:dyDescent="0.3">
      <c r="A1745" s="2"/>
      <c r="B1745" s="65" t="str">
        <f t="shared" si="135"/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 t="shared" si="136"/>
        <v/>
      </c>
      <c r="M1745" s="65" t="str">
        <f t="shared" ca="1" si="137"/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138"/>
        <v/>
      </c>
      <c r="S1745" s="1" t="str">
        <f t="shared" si="139"/>
        <v/>
      </c>
      <c r="T1745" s="1">
        <f>IF($E1745="",0,SUMPRODUCT((AY_SONU!$O$7:$O$42="Evet")*(AY_SONU!$B$7:$B$42=DATE(YEAR($E1745),MONTH($E1745),1))))</f>
        <v>0</v>
      </c>
      <c r="U1745" s="1" t="str">
        <f>IF(OR($G1745="",$H1745="Mahsup"),"",$G1745&amp;"|"&amp;COUNTIFS($G$7:$G1745,$G1745,$H$7:$H1745,"&lt;&gt;Mahsup"))</f>
        <v/>
      </c>
    </row>
    <row r="1746" spans="1:21" ht="18" customHeight="1" x14ac:dyDescent="0.3">
      <c r="A1746" s="2"/>
      <c r="B1746" s="65" t="str">
        <f t="shared" si="135"/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 t="shared" si="136"/>
        <v/>
      </c>
      <c r="M1746" s="65" t="str">
        <f t="shared" ca="1" si="137"/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138"/>
        <v/>
      </c>
      <c r="S1746" s="1" t="str">
        <f t="shared" si="139"/>
        <v/>
      </c>
      <c r="T1746" s="1">
        <f>IF($E1746="",0,SUMPRODUCT((AY_SONU!$O$7:$O$42="Evet")*(AY_SONU!$B$7:$B$42=DATE(YEAR($E1746),MONTH($E1746),1))))</f>
        <v>0</v>
      </c>
      <c r="U1746" s="1" t="str">
        <f>IF(OR($G1746="",$H1746="Mahsup"),"",$G1746&amp;"|"&amp;COUNTIFS($G$7:$G1746,$G1746,$H$7:$H1746,"&lt;&gt;Mahsup"))</f>
        <v/>
      </c>
    </row>
    <row r="1747" spans="1:21" ht="18" customHeight="1" x14ac:dyDescent="0.3">
      <c r="A1747" s="2"/>
      <c r="B1747" s="65" t="str">
        <f t="shared" si="135"/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 t="shared" si="136"/>
        <v/>
      </c>
      <c r="M1747" s="65" t="str">
        <f t="shared" ca="1" si="137"/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138"/>
        <v/>
      </c>
      <c r="S1747" s="1" t="str">
        <f t="shared" si="139"/>
        <v/>
      </c>
      <c r="T1747" s="1">
        <f>IF($E1747="",0,SUMPRODUCT((AY_SONU!$O$7:$O$42="Evet")*(AY_SONU!$B$7:$B$42=DATE(YEAR($E1747),MONTH($E1747),1))))</f>
        <v>0</v>
      </c>
      <c r="U1747" s="1" t="str">
        <f>IF(OR($G1747="",$H1747="Mahsup"),"",$G1747&amp;"|"&amp;COUNTIFS($G$7:$G1747,$G1747,$H$7:$H1747,"&lt;&gt;Mahsup"))</f>
        <v/>
      </c>
    </row>
    <row r="1748" spans="1:21" ht="18" customHeight="1" x14ac:dyDescent="0.3">
      <c r="A1748" s="2"/>
      <c r="B1748" s="65" t="str">
        <f t="shared" si="135"/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 t="shared" si="136"/>
        <v/>
      </c>
      <c r="M1748" s="65" t="str">
        <f t="shared" ca="1" si="137"/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138"/>
        <v/>
      </c>
      <c r="S1748" s="1" t="str">
        <f t="shared" si="139"/>
        <v/>
      </c>
      <c r="T1748" s="1">
        <f>IF($E1748="",0,SUMPRODUCT((AY_SONU!$O$7:$O$42="Evet")*(AY_SONU!$B$7:$B$42=DATE(YEAR($E1748),MONTH($E1748),1))))</f>
        <v>0</v>
      </c>
      <c r="U1748" s="1" t="str">
        <f>IF(OR($G1748="",$H1748="Mahsup"),"",$G1748&amp;"|"&amp;COUNTIFS($G$7:$G1748,$G1748,$H$7:$H1748,"&lt;&gt;Mahsup"))</f>
        <v/>
      </c>
    </row>
    <row r="1749" spans="1:21" ht="18" customHeight="1" x14ac:dyDescent="0.3">
      <c r="A1749" s="2"/>
      <c r="B1749" s="65" t="str">
        <f t="shared" si="135"/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 t="shared" si="136"/>
        <v/>
      </c>
      <c r="M1749" s="65" t="str">
        <f t="shared" ca="1" si="137"/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138"/>
        <v/>
      </c>
      <c r="S1749" s="1" t="str">
        <f t="shared" si="139"/>
        <v/>
      </c>
      <c r="T1749" s="1">
        <f>IF($E1749="",0,SUMPRODUCT((AY_SONU!$O$7:$O$42="Evet")*(AY_SONU!$B$7:$B$42=DATE(YEAR($E1749),MONTH($E1749),1))))</f>
        <v>0</v>
      </c>
      <c r="U1749" s="1" t="str">
        <f>IF(OR($G1749="",$H1749="Mahsup"),"",$G1749&amp;"|"&amp;COUNTIFS($G$7:$G1749,$G1749,$H$7:$H1749,"&lt;&gt;Mahsup"))</f>
        <v/>
      </c>
    </row>
    <row r="1750" spans="1:21" ht="18" customHeight="1" x14ac:dyDescent="0.3">
      <c r="A1750" s="2"/>
      <c r="B1750" s="65" t="str">
        <f t="shared" si="135"/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 t="shared" si="136"/>
        <v/>
      </c>
      <c r="M1750" s="65" t="str">
        <f t="shared" ca="1" si="137"/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138"/>
        <v/>
      </c>
      <c r="S1750" s="1" t="str">
        <f t="shared" si="139"/>
        <v/>
      </c>
      <c r="T1750" s="1">
        <f>IF($E1750="",0,SUMPRODUCT((AY_SONU!$O$7:$O$42="Evet")*(AY_SONU!$B$7:$B$42=DATE(YEAR($E1750),MONTH($E1750),1))))</f>
        <v>0</v>
      </c>
      <c r="U1750" s="1" t="str">
        <f>IF(OR($G1750="",$H1750="Mahsup"),"",$G1750&amp;"|"&amp;COUNTIFS($G$7:$G1750,$G1750,$H$7:$H1750,"&lt;&gt;Mahsup"))</f>
        <v/>
      </c>
    </row>
    <row r="1751" spans="1:21" ht="18" customHeight="1" x14ac:dyDescent="0.3">
      <c r="A1751" s="2"/>
      <c r="B1751" s="65" t="str">
        <f t="shared" si="135"/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 t="shared" si="136"/>
        <v/>
      </c>
      <c r="M1751" s="65" t="str">
        <f t="shared" ca="1" si="137"/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138"/>
        <v/>
      </c>
      <c r="S1751" s="1" t="str">
        <f t="shared" si="139"/>
        <v/>
      </c>
      <c r="T1751" s="1">
        <f>IF($E1751="",0,SUMPRODUCT((AY_SONU!$O$7:$O$42="Evet")*(AY_SONU!$B$7:$B$42=DATE(YEAR($E1751),MONTH($E1751),1))))</f>
        <v>0</v>
      </c>
      <c r="U1751" s="1" t="str">
        <f>IF(OR($G1751="",$H1751="Mahsup"),"",$G1751&amp;"|"&amp;COUNTIFS($G$7:$G1751,$G1751,$H$7:$H1751,"&lt;&gt;Mahsup"))</f>
        <v/>
      </c>
    </row>
    <row r="1752" spans="1:21" ht="18" customHeight="1" x14ac:dyDescent="0.3">
      <c r="A1752" s="2"/>
      <c r="B1752" s="65" t="str">
        <f t="shared" si="135"/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 t="shared" si="136"/>
        <v/>
      </c>
      <c r="M1752" s="65" t="str">
        <f t="shared" ca="1" si="137"/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138"/>
        <v/>
      </c>
      <c r="S1752" s="1" t="str">
        <f t="shared" si="139"/>
        <v/>
      </c>
      <c r="T1752" s="1">
        <f>IF($E1752="",0,SUMPRODUCT((AY_SONU!$O$7:$O$42="Evet")*(AY_SONU!$B$7:$B$42=DATE(YEAR($E1752),MONTH($E1752),1))))</f>
        <v>0</v>
      </c>
      <c r="U1752" s="1" t="str">
        <f>IF(OR($G1752="",$H1752="Mahsup"),"",$G1752&amp;"|"&amp;COUNTIFS($G$7:$G1752,$G1752,$H$7:$H1752,"&lt;&gt;Mahsup"))</f>
        <v/>
      </c>
    </row>
    <row r="1753" spans="1:21" ht="18" customHeight="1" x14ac:dyDescent="0.3">
      <c r="A1753" s="2"/>
      <c r="B1753" s="65" t="str">
        <f t="shared" si="135"/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 t="shared" si="136"/>
        <v/>
      </c>
      <c r="M1753" s="65" t="str">
        <f t="shared" ca="1" si="137"/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138"/>
        <v/>
      </c>
      <c r="S1753" s="1" t="str">
        <f t="shared" si="139"/>
        <v/>
      </c>
      <c r="T1753" s="1">
        <f>IF($E1753="",0,SUMPRODUCT((AY_SONU!$O$7:$O$42="Evet")*(AY_SONU!$B$7:$B$42=DATE(YEAR($E1753),MONTH($E1753),1))))</f>
        <v>0</v>
      </c>
      <c r="U1753" s="1" t="str">
        <f>IF(OR($G1753="",$H1753="Mahsup"),"",$G1753&amp;"|"&amp;COUNTIFS($G$7:$G1753,$G1753,$H$7:$H1753,"&lt;&gt;Mahsup"))</f>
        <v/>
      </c>
    </row>
    <row r="1754" spans="1:21" ht="18" customHeight="1" x14ac:dyDescent="0.3">
      <c r="A1754" s="2"/>
      <c r="B1754" s="65" t="str">
        <f t="shared" si="135"/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 t="shared" si="136"/>
        <v/>
      </c>
      <c r="M1754" s="65" t="str">
        <f t="shared" ca="1" si="137"/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138"/>
        <v/>
      </c>
      <c r="S1754" s="1" t="str">
        <f t="shared" si="139"/>
        <v/>
      </c>
      <c r="T1754" s="1">
        <f>IF($E1754="",0,SUMPRODUCT((AY_SONU!$O$7:$O$42="Evet")*(AY_SONU!$B$7:$B$42=DATE(YEAR($E1754),MONTH($E1754),1))))</f>
        <v>0</v>
      </c>
      <c r="U1754" s="1" t="str">
        <f>IF(OR($G1754="",$H1754="Mahsup"),"",$G1754&amp;"|"&amp;COUNTIFS($G$7:$G1754,$G1754,$H$7:$H1754,"&lt;&gt;Mahsup"))</f>
        <v/>
      </c>
    </row>
    <row r="1755" spans="1:21" ht="18" customHeight="1" x14ac:dyDescent="0.3">
      <c r="A1755" s="2"/>
      <c r="B1755" s="65" t="str">
        <f t="shared" si="135"/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 t="shared" si="136"/>
        <v/>
      </c>
      <c r="M1755" s="65" t="str">
        <f t="shared" ca="1" si="137"/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138"/>
        <v/>
      </c>
      <c r="S1755" s="1" t="str">
        <f t="shared" si="139"/>
        <v/>
      </c>
      <c r="T1755" s="1">
        <f>IF($E1755="",0,SUMPRODUCT((AY_SONU!$O$7:$O$42="Evet")*(AY_SONU!$B$7:$B$42=DATE(YEAR($E1755),MONTH($E1755),1))))</f>
        <v>0</v>
      </c>
      <c r="U1755" s="1" t="str">
        <f>IF(OR($G1755="",$H1755="Mahsup"),"",$G1755&amp;"|"&amp;COUNTIFS($G$7:$G1755,$G1755,$H$7:$H1755,"&lt;&gt;Mahsup"))</f>
        <v/>
      </c>
    </row>
    <row r="1756" spans="1:21" ht="18" customHeight="1" x14ac:dyDescent="0.3">
      <c r="A1756" s="2"/>
      <c r="B1756" s="65" t="str">
        <f t="shared" si="135"/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 t="shared" si="136"/>
        <v/>
      </c>
      <c r="M1756" s="65" t="str">
        <f t="shared" ca="1" si="137"/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138"/>
        <v/>
      </c>
      <c r="S1756" s="1" t="str">
        <f t="shared" si="139"/>
        <v/>
      </c>
      <c r="T1756" s="1">
        <f>IF($E1756="",0,SUMPRODUCT((AY_SONU!$O$7:$O$42="Evet")*(AY_SONU!$B$7:$B$42=DATE(YEAR($E1756),MONTH($E1756),1))))</f>
        <v>0</v>
      </c>
      <c r="U1756" s="1" t="str">
        <f>IF(OR($G1756="",$H1756="Mahsup"),"",$G1756&amp;"|"&amp;COUNTIFS($G$7:$G1756,$G1756,$H$7:$H1756,"&lt;&gt;Mahsup"))</f>
        <v/>
      </c>
    </row>
    <row r="1757" spans="1:21" ht="18" customHeight="1" x14ac:dyDescent="0.3">
      <c r="A1757" s="2"/>
      <c r="B1757" s="65" t="str">
        <f t="shared" si="135"/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 t="shared" si="136"/>
        <v/>
      </c>
      <c r="M1757" s="65" t="str">
        <f t="shared" ca="1" si="137"/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138"/>
        <v/>
      </c>
      <c r="S1757" s="1" t="str">
        <f t="shared" si="139"/>
        <v/>
      </c>
      <c r="T1757" s="1">
        <f>IF($E1757="",0,SUMPRODUCT((AY_SONU!$O$7:$O$42="Evet")*(AY_SONU!$B$7:$B$42=DATE(YEAR($E1757),MONTH($E1757),1))))</f>
        <v>0</v>
      </c>
      <c r="U1757" s="1" t="str">
        <f>IF(OR($G1757="",$H1757="Mahsup"),"",$G1757&amp;"|"&amp;COUNTIFS($G$7:$G1757,$G1757,$H$7:$H1757,"&lt;&gt;Mahsup"))</f>
        <v/>
      </c>
    </row>
    <row r="1758" spans="1:21" ht="18" customHeight="1" x14ac:dyDescent="0.3">
      <c r="A1758" s="2"/>
      <c r="B1758" s="65" t="str">
        <f t="shared" si="135"/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 t="shared" si="136"/>
        <v/>
      </c>
      <c r="M1758" s="65" t="str">
        <f t="shared" ca="1" si="137"/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138"/>
        <v/>
      </c>
      <c r="S1758" s="1" t="str">
        <f t="shared" si="139"/>
        <v/>
      </c>
      <c r="T1758" s="1">
        <f>IF($E1758="",0,SUMPRODUCT((AY_SONU!$O$7:$O$42="Evet")*(AY_SONU!$B$7:$B$42=DATE(YEAR($E1758),MONTH($E1758),1))))</f>
        <v>0</v>
      </c>
      <c r="U1758" s="1" t="str">
        <f>IF(OR($G1758="",$H1758="Mahsup"),"",$G1758&amp;"|"&amp;COUNTIFS($G$7:$G1758,$G1758,$H$7:$H1758,"&lt;&gt;Mahsup"))</f>
        <v/>
      </c>
    </row>
    <row r="1759" spans="1:21" ht="18" customHeight="1" x14ac:dyDescent="0.3">
      <c r="A1759" s="2"/>
      <c r="B1759" s="65" t="str">
        <f t="shared" si="135"/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 t="shared" si="136"/>
        <v/>
      </c>
      <c r="M1759" s="65" t="str">
        <f t="shared" ca="1" si="137"/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138"/>
        <v/>
      </c>
      <c r="S1759" s="1" t="str">
        <f t="shared" si="139"/>
        <v/>
      </c>
      <c r="T1759" s="1">
        <f>IF($E1759="",0,SUMPRODUCT((AY_SONU!$O$7:$O$42="Evet")*(AY_SONU!$B$7:$B$42=DATE(YEAR($E1759),MONTH($E1759),1))))</f>
        <v>0</v>
      </c>
      <c r="U1759" s="1" t="str">
        <f>IF(OR($G1759="",$H1759="Mahsup"),"",$G1759&amp;"|"&amp;COUNTIFS($G$7:$G1759,$G1759,$H$7:$H1759,"&lt;&gt;Mahsup"))</f>
        <v/>
      </c>
    </row>
    <row r="1760" spans="1:21" ht="18" customHeight="1" x14ac:dyDescent="0.3">
      <c r="A1760" s="2"/>
      <c r="B1760" s="65" t="str">
        <f t="shared" si="135"/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 t="shared" si="136"/>
        <v/>
      </c>
      <c r="M1760" s="65" t="str">
        <f t="shared" ca="1" si="137"/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138"/>
        <v/>
      </c>
      <c r="S1760" s="1" t="str">
        <f t="shared" si="139"/>
        <v/>
      </c>
      <c r="T1760" s="1">
        <f>IF($E1760="",0,SUMPRODUCT((AY_SONU!$O$7:$O$42="Evet")*(AY_SONU!$B$7:$B$42=DATE(YEAR($E1760),MONTH($E1760),1))))</f>
        <v>0</v>
      </c>
      <c r="U1760" s="1" t="str">
        <f>IF(OR($G1760="",$H1760="Mahsup"),"",$G1760&amp;"|"&amp;COUNTIFS($G$7:$G1760,$G1760,$H$7:$H1760,"&lt;&gt;Mahsup"))</f>
        <v/>
      </c>
    </row>
    <row r="1761" spans="1:21" ht="18" customHeight="1" x14ac:dyDescent="0.3">
      <c r="A1761" s="2"/>
      <c r="B1761" s="65" t="str">
        <f t="shared" si="135"/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 t="shared" si="136"/>
        <v/>
      </c>
      <c r="M1761" s="65" t="str">
        <f t="shared" ca="1" si="137"/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138"/>
        <v/>
      </c>
      <c r="S1761" s="1" t="str">
        <f t="shared" si="139"/>
        <v/>
      </c>
      <c r="T1761" s="1">
        <f>IF($E1761="",0,SUMPRODUCT((AY_SONU!$O$7:$O$42="Evet")*(AY_SONU!$B$7:$B$42=DATE(YEAR($E1761),MONTH($E1761),1))))</f>
        <v>0</v>
      </c>
      <c r="U1761" s="1" t="str">
        <f>IF(OR($G1761="",$H1761="Mahsup"),"",$G1761&amp;"|"&amp;COUNTIFS($G$7:$G1761,$G1761,$H$7:$H1761,"&lt;&gt;Mahsup"))</f>
        <v/>
      </c>
    </row>
    <row r="1762" spans="1:21" ht="18" customHeight="1" x14ac:dyDescent="0.3">
      <c r="A1762" s="2"/>
      <c r="B1762" s="65" t="str">
        <f t="shared" si="135"/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 t="shared" si="136"/>
        <v/>
      </c>
      <c r="M1762" s="65" t="str">
        <f t="shared" ca="1" si="137"/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138"/>
        <v/>
      </c>
      <c r="S1762" s="1" t="str">
        <f t="shared" si="139"/>
        <v/>
      </c>
      <c r="T1762" s="1">
        <f>IF($E1762="",0,SUMPRODUCT((AY_SONU!$O$7:$O$42="Evet")*(AY_SONU!$B$7:$B$42=DATE(YEAR($E1762),MONTH($E1762),1))))</f>
        <v>0</v>
      </c>
      <c r="U1762" s="1" t="str">
        <f>IF(OR($G1762="",$H1762="Mahsup"),"",$G1762&amp;"|"&amp;COUNTIFS($G$7:$G1762,$G1762,$H$7:$H1762,"&lt;&gt;Mahsup"))</f>
        <v/>
      </c>
    </row>
    <row r="1763" spans="1:21" ht="18" customHeight="1" x14ac:dyDescent="0.3">
      <c r="A1763" s="2"/>
      <c r="B1763" s="65" t="str">
        <f t="shared" si="135"/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 t="shared" si="136"/>
        <v/>
      </c>
      <c r="M1763" s="65" t="str">
        <f t="shared" ca="1" si="137"/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138"/>
        <v/>
      </c>
      <c r="S1763" s="1" t="str">
        <f t="shared" si="139"/>
        <v/>
      </c>
      <c r="T1763" s="1">
        <f>IF($E1763="",0,SUMPRODUCT((AY_SONU!$O$7:$O$42="Evet")*(AY_SONU!$B$7:$B$42=DATE(YEAR($E1763),MONTH($E1763),1))))</f>
        <v>0</v>
      </c>
      <c r="U1763" s="1" t="str">
        <f>IF(OR($G1763="",$H1763="Mahsup"),"",$G1763&amp;"|"&amp;COUNTIFS($G$7:$G1763,$G1763,$H$7:$H1763,"&lt;&gt;Mahsup"))</f>
        <v/>
      </c>
    </row>
    <row r="1764" spans="1:21" ht="18" customHeight="1" x14ac:dyDescent="0.3">
      <c r="A1764" s="2"/>
      <c r="B1764" s="65" t="str">
        <f t="shared" si="135"/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 t="shared" si="136"/>
        <v/>
      </c>
      <c r="M1764" s="65" t="str">
        <f t="shared" ca="1" si="137"/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138"/>
        <v/>
      </c>
      <c r="S1764" s="1" t="str">
        <f t="shared" si="139"/>
        <v/>
      </c>
      <c r="T1764" s="1">
        <f>IF($E1764="",0,SUMPRODUCT((AY_SONU!$O$7:$O$42="Evet")*(AY_SONU!$B$7:$B$42=DATE(YEAR($E1764),MONTH($E1764),1))))</f>
        <v>0</v>
      </c>
      <c r="U1764" s="1" t="str">
        <f>IF(OR($G1764="",$H1764="Mahsup"),"",$G1764&amp;"|"&amp;COUNTIFS($G$7:$G1764,$G1764,$H$7:$H1764,"&lt;&gt;Mahsup"))</f>
        <v/>
      </c>
    </row>
    <row r="1765" spans="1:21" ht="18" customHeight="1" x14ac:dyDescent="0.3">
      <c r="A1765" s="2"/>
      <c r="B1765" s="65" t="str">
        <f t="shared" si="135"/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 t="shared" si="136"/>
        <v/>
      </c>
      <c r="M1765" s="65" t="str">
        <f t="shared" ca="1" si="137"/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138"/>
        <v/>
      </c>
      <c r="S1765" s="1" t="str">
        <f t="shared" si="139"/>
        <v/>
      </c>
      <c r="T1765" s="1">
        <f>IF($E1765="",0,SUMPRODUCT((AY_SONU!$O$7:$O$42="Evet")*(AY_SONU!$B$7:$B$42=DATE(YEAR($E1765),MONTH($E1765),1))))</f>
        <v>0</v>
      </c>
      <c r="U1765" s="1" t="str">
        <f>IF(OR($G1765="",$H1765="Mahsup"),"",$G1765&amp;"|"&amp;COUNTIFS($G$7:$G1765,$G1765,$H$7:$H1765,"&lt;&gt;Mahsup"))</f>
        <v/>
      </c>
    </row>
    <row r="1766" spans="1:21" ht="18" customHeight="1" x14ac:dyDescent="0.3">
      <c r="A1766" s="2"/>
      <c r="B1766" s="65" t="str">
        <f t="shared" si="135"/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 t="shared" si="136"/>
        <v/>
      </c>
      <c r="M1766" s="65" t="str">
        <f t="shared" ca="1" si="137"/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138"/>
        <v/>
      </c>
      <c r="S1766" s="1" t="str">
        <f t="shared" si="139"/>
        <v/>
      </c>
      <c r="T1766" s="1">
        <f>IF($E1766="",0,SUMPRODUCT((AY_SONU!$O$7:$O$42="Evet")*(AY_SONU!$B$7:$B$42=DATE(YEAR($E1766),MONTH($E1766),1))))</f>
        <v>0</v>
      </c>
      <c r="U1766" s="1" t="str">
        <f>IF(OR($G1766="",$H1766="Mahsup"),"",$G1766&amp;"|"&amp;COUNTIFS($G$7:$G1766,$G1766,$H$7:$H1766,"&lt;&gt;Mahsup"))</f>
        <v/>
      </c>
    </row>
    <row r="1767" spans="1:21" ht="18" customHeight="1" x14ac:dyDescent="0.3">
      <c r="A1767" s="2"/>
      <c r="B1767" s="65" t="str">
        <f t="shared" si="135"/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 t="shared" si="136"/>
        <v/>
      </c>
      <c r="M1767" s="65" t="str">
        <f t="shared" ca="1" si="137"/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138"/>
        <v/>
      </c>
      <c r="S1767" s="1" t="str">
        <f t="shared" si="139"/>
        <v/>
      </c>
      <c r="T1767" s="1">
        <f>IF($E1767="",0,SUMPRODUCT((AY_SONU!$O$7:$O$42="Evet")*(AY_SONU!$B$7:$B$42=DATE(YEAR($E1767),MONTH($E1767),1))))</f>
        <v>0</v>
      </c>
      <c r="U1767" s="1" t="str">
        <f>IF(OR($G1767="",$H1767="Mahsup"),"",$G1767&amp;"|"&amp;COUNTIFS($G$7:$G1767,$G1767,$H$7:$H1767,"&lt;&gt;Mahsup"))</f>
        <v/>
      </c>
    </row>
    <row r="1768" spans="1:21" ht="18" customHeight="1" x14ac:dyDescent="0.3">
      <c r="A1768" s="2"/>
      <c r="B1768" s="65" t="str">
        <f t="shared" si="135"/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 t="shared" si="136"/>
        <v/>
      </c>
      <c r="M1768" s="65" t="str">
        <f t="shared" ca="1" si="137"/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138"/>
        <v/>
      </c>
      <c r="S1768" s="1" t="str">
        <f t="shared" si="139"/>
        <v/>
      </c>
      <c r="T1768" s="1">
        <f>IF($E1768="",0,SUMPRODUCT((AY_SONU!$O$7:$O$42="Evet")*(AY_SONU!$B$7:$B$42=DATE(YEAR($E1768),MONTH($E1768),1))))</f>
        <v>0</v>
      </c>
      <c r="U1768" s="1" t="str">
        <f>IF(OR($G1768="",$H1768="Mahsup"),"",$G1768&amp;"|"&amp;COUNTIFS($G$7:$G1768,$G1768,$H$7:$H1768,"&lt;&gt;Mahsup"))</f>
        <v/>
      </c>
    </row>
    <row r="1769" spans="1:21" ht="18" customHeight="1" x14ac:dyDescent="0.3">
      <c r="A1769" s="2"/>
      <c r="B1769" s="65" t="str">
        <f t="shared" si="135"/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 t="shared" si="136"/>
        <v/>
      </c>
      <c r="M1769" s="65" t="str">
        <f t="shared" ca="1" si="137"/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138"/>
        <v/>
      </c>
      <c r="S1769" s="1" t="str">
        <f t="shared" si="139"/>
        <v/>
      </c>
      <c r="T1769" s="1">
        <f>IF($E1769="",0,SUMPRODUCT((AY_SONU!$O$7:$O$42="Evet")*(AY_SONU!$B$7:$B$42=DATE(YEAR($E1769),MONTH($E1769),1))))</f>
        <v>0</v>
      </c>
      <c r="U1769" s="1" t="str">
        <f>IF(OR($G1769="",$H1769="Mahsup"),"",$G1769&amp;"|"&amp;COUNTIFS($G$7:$G1769,$G1769,$H$7:$H1769,"&lt;&gt;Mahsup"))</f>
        <v/>
      </c>
    </row>
    <row r="1770" spans="1:21" ht="18" customHeight="1" x14ac:dyDescent="0.3">
      <c r="A1770" s="2"/>
      <c r="B1770" s="65" t="str">
        <f t="shared" si="135"/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 t="shared" si="136"/>
        <v/>
      </c>
      <c r="M1770" s="65" t="str">
        <f t="shared" ca="1" si="137"/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138"/>
        <v/>
      </c>
      <c r="S1770" s="1" t="str">
        <f t="shared" si="139"/>
        <v/>
      </c>
      <c r="T1770" s="1">
        <f>IF($E1770="",0,SUMPRODUCT((AY_SONU!$O$7:$O$42="Evet")*(AY_SONU!$B$7:$B$42=DATE(YEAR($E1770),MONTH($E1770),1))))</f>
        <v>0</v>
      </c>
      <c r="U1770" s="1" t="str">
        <f>IF(OR($G1770="",$H1770="Mahsup"),"",$G1770&amp;"|"&amp;COUNTIFS($G$7:$G1770,$G1770,$H$7:$H1770,"&lt;&gt;Mahsup"))</f>
        <v/>
      </c>
    </row>
    <row r="1771" spans="1:21" ht="18" customHeight="1" x14ac:dyDescent="0.3">
      <c r="A1771" s="2"/>
      <c r="B1771" s="65" t="str">
        <f t="shared" si="135"/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 t="shared" si="136"/>
        <v/>
      </c>
      <c r="M1771" s="65" t="str">
        <f t="shared" ca="1" si="137"/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138"/>
        <v/>
      </c>
      <c r="S1771" s="1" t="str">
        <f t="shared" si="139"/>
        <v/>
      </c>
      <c r="T1771" s="1">
        <f>IF($E1771="",0,SUMPRODUCT((AY_SONU!$O$7:$O$42="Evet")*(AY_SONU!$B$7:$B$42=DATE(YEAR($E1771),MONTH($E1771),1))))</f>
        <v>0</v>
      </c>
      <c r="U1771" s="1" t="str">
        <f>IF(OR($G1771="",$H1771="Mahsup"),"",$G1771&amp;"|"&amp;COUNTIFS($G$7:$G1771,$G1771,$H$7:$H1771,"&lt;&gt;Mahsup"))</f>
        <v/>
      </c>
    </row>
    <row r="1772" spans="1:21" ht="18" customHeight="1" x14ac:dyDescent="0.3">
      <c r="A1772" s="2"/>
      <c r="B1772" s="65" t="str">
        <f t="shared" si="135"/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 t="shared" si="136"/>
        <v/>
      </c>
      <c r="M1772" s="65" t="str">
        <f t="shared" ca="1" si="137"/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138"/>
        <v/>
      </c>
      <c r="S1772" s="1" t="str">
        <f t="shared" si="139"/>
        <v/>
      </c>
      <c r="T1772" s="1">
        <f>IF($E1772="",0,SUMPRODUCT((AY_SONU!$O$7:$O$42="Evet")*(AY_SONU!$B$7:$B$42=DATE(YEAR($E1772),MONTH($E1772),1))))</f>
        <v>0</v>
      </c>
      <c r="U1772" s="1" t="str">
        <f>IF(OR($G1772="",$H1772="Mahsup"),"",$G1772&amp;"|"&amp;COUNTIFS($G$7:$G1772,$G1772,$H$7:$H1772,"&lt;&gt;Mahsup"))</f>
        <v/>
      </c>
    </row>
    <row r="1773" spans="1:21" ht="18" customHeight="1" x14ac:dyDescent="0.3">
      <c r="A1773" s="2"/>
      <c r="B1773" s="65" t="str">
        <f t="shared" si="135"/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 t="shared" si="136"/>
        <v/>
      </c>
      <c r="M1773" s="65" t="str">
        <f t="shared" ca="1" si="137"/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138"/>
        <v/>
      </c>
      <c r="S1773" s="1" t="str">
        <f t="shared" si="139"/>
        <v/>
      </c>
      <c r="T1773" s="1">
        <f>IF($E1773="",0,SUMPRODUCT((AY_SONU!$O$7:$O$42="Evet")*(AY_SONU!$B$7:$B$42=DATE(YEAR($E1773),MONTH($E1773),1))))</f>
        <v>0</v>
      </c>
      <c r="U1773" s="1" t="str">
        <f>IF(OR($G1773="",$H1773="Mahsup"),"",$G1773&amp;"|"&amp;COUNTIFS($G$7:$G1773,$G1773,$H$7:$H1773,"&lt;&gt;Mahsup"))</f>
        <v/>
      </c>
    </row>
    <row r="1774" spans="1:21" ht="18" customHeight="1" x14ac:dyDescent="0.3">
      <c r="A1774" s="2"/>
      <c r="B1774" s="65" t="str">
        <f t="shared" si="135"/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 t="shared" si="136"/>
        <v/>
      </c>
      <c r="M1774" s="65" t="str">
        <f t="shared" ca="1" si="137"/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138"/>
        <v/>
      </c>
      <c r="S1774" s="1" t="str">
        <f t="shared" si="139"/>
        <v/>
      </c>
      <c r="T1774" s="1">
        <f>IF($E1774="",0,SUMPRODUCT((AY_SONU!$O$7:$O$42="Evet")*(AY_SONU!$B$7:$B$42=DATE(YEAR($E1774),MONTH($E1774),1))))</f>
        <v>0</v>
      </c>
      <c r="U1774" s="1" t="str">
        <f>IF(OR($G1774="",$H1774="Mahsup"),"",$G1774&amp;"|"&amp;COUNTIFS($G$7:$G1774,$G1774,$H$7:$H1774,"&lt;&gt;Mahsup"))</f>
        <v/>
      </c>
    </row>
    <row r="1775" spans="1:21" ht="18" customHeight="1" x14ac:dyDescent="0.3">
      <c r="A1775" s="2"/>
      <c r="B1775" s="65" t="str">
        <f t="shared" si="135"/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 t="shared" si="136"/>
        <v/>
      </c>
      <c r="M1775" s="65" t="str">
        <f t="shared" ca="1" si="137"/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138"/>
        <v/>
      </c>
      <c r="S1775" s="1" t="str">
        <f t="shared" si="139"/>
        <v/>
      </c>
      <c r="T1775" s="1">
        <f>IF($E1775="",0,SUMPRODUCT((AY_SONU!$O$7:$O$42="Evet")*(AY_SONU!$B$7:$B$42=DATE(YEAR($E1775),MONTH($E1775),1))))</f>
        <v>0</v>
      </c>
      <c r="U1775" s="1" t="str">
        <f>IF(OR($G1775="",$H1775="Mahsup"),"",$G1775&amp;"|"&amp;COUNTIFS($G$7:$G1775,$G1775,$H$7:$H1775,"&lt;&gt;Mahsup"))</f>
        <v/>
      </c>
    </row>
    <row r="1776" spans="1:21" ht="18" customHeight="1" x14ac:dyDescent="0.3">
      <c r="A1776" s="2"/>
      <c r="B1776" s="65" t="str">
        <f t="shared" si="135"/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 t="shared" si="136"/>
        <v/>
      </c>
      <c r="M1776" s="65" t="str">
        <f t="shared" ca="1" si="137"/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138"/>
        <v/>
      </c>
      <c r="S1776" s="1" t="str">
        <f t="shared" si="139"/>
        <v/>
      </c>
      <c r="T1776" s="1">
        <f>IF($E1776="",0,SUMPRODUCT((AY_SONU!$O$7:$O$42="Evet")*(AY_SONU!$B$7:$B$42=DATE(YEAR($E1776),MONTH($E1776),1))))</f>
        <v>0</v>
      </c>
      <c r="U1776" s="1" t="str">
        <f>IF(OR($G1776="",$H1776="Mahsup"),"",$G1776&amp;"|"&amp;COUNTIFS($G$7:$G1776,$G1776,$H$7:$H1776,"&lt;&gt;Mahsup"))</f>
        <v/>
      </c>
    </row>
    <row r="1777" spans="1:21" ht="18" customHeight="1" x14ac:dyDescent="0.3">
      <c r="A1777" s="2"/>
      <c r="B1777" s="65" t="str">
        <f t="shared" si="135"/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 t="shared" si="136"/>
        <v/>
      </c>
      <c r="M1777" s="65" t="str">
        <f t="shared" ca="1" si="137"/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138"/>
        <v/>
      </c>
      <c r="S1777" s="1" t="str">
        <f t="shared" si="139"/>
        <v/>
      </c>
      <c r="T1777" s="1">
        <f>IF($E1777="",0,SUMPRODUCT((AY_SONU!$O$7:$O$42="Evet")*(AY_SONU!$B$7:$B$42=DATE(YEAR($E1777),MONTH($E1777),1))))</f>
        <v>0</v>
      </c>
      <c r="U1777" s="1" t="str">
        <f>IF(OR($G1777="",$H1777="Mahsup"),"",$G1777&amp;"|"&amp;COUNTIFS($G$7:$G1777,$G1777,$H$7:$H1777,"&lt;&gt;Mahsup"))</f>
        <v/>
      </c>
    </row>
    <row r="1778" spans="1:21" ht="18" customHeight="1" x14ac:dyDescent="0.3">
      <c r="A1778" s="2"/>
      <c r="B1778" s="65" t="str">
        <f t="shared" si="135"/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 t="shared" si="136"/>
        <v/>
      </c>
      <c r="M1778" s="65" t="str">
        <f t="shared" ca="1" si="137"/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138"/>
        <v/>
      </c>
      <c r="S1778" s="1" t="str">
        <f t="shared" si="139"/>
        <v/>
      </c>
      <c r="T1778" s="1">
        <f>IF($E1778="",0,SUMPRODUCT((AY_SONU!$O$7:$O$42="Evet")*(AY_SONU!$B$7:$B$42=DATE(YEAR($E1778),MONTH($E1778),1))))</f>
        <v>0</v>
      </c>
      <c r="U1778" s="1" t="str">
        <f>IF(OR($G1778="",$H1778="Mahsup"),"",$G1778&amp;"|"&amp;COUNTIFS($G$7:$G1778,$G1778,$H$7:$H1778,"&lt;&gt;Mahsup"))</f>
        <v/>
      </c>
    </row>
    <row r="1779" spans="1:21" ht="18" customHeight="1" x14ac:dyDescent="0.3">
      <c r="A1779" s="2"/>
      <c r="B1779" s="65" t="str">
        <f t="shared" si="135"/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 t="shared" si="136"/>
        <v/>
      </c>
      <c r="M1779" s="65" t="str">
        <f t="shared" ca="1" si="137"/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138"/>
        <v/>
      </c>
      <c r="S1779" s="1" t="str">
        <f t="shared" si="139"/>
        <v/>
      </c>
      <c r="T1779" s="1">
        <f>IF($E1779="",0,SUMPRODUCT((AY_SONU!$O$7:$O$42="Evet")*(AY_SONU!$B$7:$B$42=DATE(YEAR($E1779),MONTH($E1779),1))))</f>
        <v>0</v>
      </c>
      <c r="U1779" s="1" t="str">
        <f>IF(OR($G1779="",$H1779="Mahsup"),"",$G1779&amp;"|"&amp;COUNTIFS($G$7:$G1779,$G1779,$H$7:$H1779,"&lt;&gt;Mahsup"))</f>
        <v/>
      </c>
    </row>
    <row r="1780" spans="1:21" ht="18" customHeight="1" x14ac:dyDescent="0.3">
      <c r="A1780" s="2"/>
      <c r="B1780" s="65" t="str">
        <f t="shared" si="135"/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 t="shared" si="136"/>
        <v/>
      </c>
      <c r="M1780" s="65" t="str">
        <f t="shared" ca="1" si="137"/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138"/>
        <v/>
      </c>
      <c r="S1780" s="1" t="str">
        <f t="shared" si="139"/>
        <v/>
      </c>
      <c r="T1780" s="1">
        <f>IF($E1780="",0,SUMPRODUCT((AY_SONU!$O$7:$O$42="Evet")*(AY_SONU!$B$7:$B$42=DATE(YEAR($E1780),MONTH($E1780),1))))</f>
        <v>0</v>
      </c>
      <c r="U1780" s="1" t="str">
        <f>IF(OR($G1780="",$H1780="Mahsup"),"",$G1780&amp;"|"&amp;COUNTIFS($G$7:$G1780,$G1780,$H$7:$H1780,"&lt;&gt;Mahsup"))</f>
        <v/>
      </c>
    </row>
    <row r="1781" spans="1:21" ht="18" customHeight="1" x14ac:dyDescent="0.3">
      <c r="A1781" s="2"/>
      <c r="B1781" s="65" t="str">
        <f t="shared" si="135"/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 t="shared" si="136"/>
        <v/>
      </c>
      <c r="M1781" s="65" t="str">
        <f t="shared" ca="1" si="137"/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138"/>
        <v/>
      </c>
      <c r="S1781" s="1" t="str">
        <f t="shared" si="139"/>
        <v/>
      </c>
      <c r="T1781" s="1">
        <f>IF($E1781="",0,SUMPRODUCT((AY_SONU!$O$7:$O$42="Evet")*(AY_SONU!$B$7:$B$42=DATE(YEAR($E1781),MONTH($E1781),1))))</f>
        <v>0</v>
      </c>
      <c r="U1781" s="1" t="str">
        <f>IF(OR($G1781="",$H1781="Mahsup"),"",$G1781&amp;"|"&amp;COUNTIFS($G$7:$G1781,$G1781,$H$7:$H1781,"&lt;&gt;Mahsup"))</f>
        <v/>
      </c>
    </row>
    <row r="1782" spans="1:21" ht="18" customHeight="1" x14ac:dyDescent="0.3">
      <c r="A1782" s="2"/>
      <c r="B1782" s="65" t="str">
        <f t="shared" si="135"/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 t="shared" si="136"/>
        <v/>
      </c>
      <c r="M1782" s="65" t="str">
        <f t="shared" ca="1" si="137"/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138"/>
        <v/>
      </c>
      <c r="S1782" s="1" t="str">
        <f t="shared" si="139"/>
        <v/>
      </c>
      <c r="T1782" s="1">
        <f>IF($E1782="",0,SUMPRODUCT((AY_SONU!$O$7:$O$42="Evet")*(AY_SONU!$B$7:$B$42=DATE(YEAR($E1782),MONTH($E1782),1))))</f>
        <v>0</v>
      </c>
      <c r="U1782" s="1" t="str">
        <f>IF(OR($G1782="",$H1782="Mahsup"),"",$G1782&amp;"|"&amp;COUNTIFS($G$7:$G1782,$G1782,$H$7:$H1782,"&lt;&gt;Mahsup"))</f>
        <v/>
      </c>
    </row>
    <row r="1783" spans="1:21" ht="18" customHeight="1" x14ac:dyDescent="0.3">
      <c r="A1783" s="2"/>
      <c r="B1783" s="65" t="str">
        <f t="shared" si="135"/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 t="shared" si="136"/>
        <v/>
      </c>
      <c r="M1783" s="65" t="str">
        <f t="shared" ca="1" si="137"/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138"/>
        <v/>
      </c>
      <c r="S1783" s="1" t="str">
        <f t="shared" si="139"/>
        <v/>
      </c>
      <c r="T1783" s="1">
        <f>IF($E1783="",0,SUMPRODUCT((AY_SONU!$O$7:$O$42="Evet")*(AY_SONU!$B$7:$B$42=DATE(YEAR($E1783),MONTH($E1783),1))))</f>
        <v>0</v>
      </c>
      <c r="U1783" s="1" t="str">
        <f>IF(OR($G1783="",$H1783="Mahsup"),"",$G1783&amp;"|"&amp;COUNTIFS($G$7:$G1783,$G1783,$H$7:$H1783,"&lt;&gt;Mahsup"))</f>
        <v/>
      </c>
    </row>
    <row r="1784" spans="1:21" ht="18" customHeight="1" x14ac:dyDescent="0.3">
      <c r="A1784" s="2"/>
      <c r="B1784" s="65" t="str">
        <f t="shared" si="135"/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 t="shared" si="136"/>
        <v/>
      </c>
      <c r="M1784" s="65" t="str">
        <f t="shared" ca="1" si="137"/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138"/>
        <v/>
      </c>
      <c r="S1784" s="1" t="str">
        <f t="shared" si="139"/>
        <v/>
      </c>
      <c r="T1784" s="1">
        <f>IF($E1784="",0,SUMPRODUCT((AY_SONU!$O$7:$O$42="Evet")*(AY_SONU!$B$7:$B$42=DATE(YEAR($E1784),MONTH($E1784),1))))</f>
        <v>0</v>
      </c>
      <c r="U1784" s="1" t="str">
        <f>IF(OR($G1784="",$H1784="Mahsup"),"",$G1784&amp;"|"&amp;COUNTIFS($G$7:$G1784,$G1784,$H$7:$H1784,"&lt;&gt;Mahsup"))</f>
        <v/>
      </c>
    </row>
    <row r="1785" spans="1:21" ht="18" customHeight="1" x14ac:dyDescent="0.3">
      <c r="A1785" s="2"/>
      <c r="B1785" s="65" t="str">
        <f t="shared" si="135"/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 t="shared" si="136"/>
        <v/>
      </c>
      <c r="M1785" s="65" t="str">
        <f t="shared" ca="1" si="137"/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138"/>
        <v/>
      </c>
      <c r="S1785" s="1" t="str">
        <f t="shared" si="139"/>
        <v/>
      </c>
      <c r="T1785" s="1">
        <f>IF($E1785="",0,SUMPRODUCT((AY_SONU!$O$7:$O$42="Evet")*(AY_SONU!$B$7:$B$42=DATE(YEAR($E1785),MONTH($E1785),1))))</f>
        <v>0</v>
      </c>
      <c r="U1785" s="1" t="str">
        <f>IF(OR($G1785="",$H1785="Mahsup"),"",$G1785&amp;"|"&amp;COUNTIFS($G$7:$G1785,$G1785,$H$7:$H1785,"&lt;&gt;Mahsup"))</f>
        <v/>
      </c>
    </row>
    <row r="1786" spans="1:21" ht="18" customHeight="1" x14ac:dyDescent="0.3">
      <c r="A1786" s="2"/>
      <c r="B1786" s="65" t="str">
        <f t="shared" si="135"/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 t="shared" si="136"/>
        <v/>
      </c>
      <c r="M1786" s="65" t="str">
        <f t="shared" ca="1" si="137"/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138"/>
        <v/>
      </c>
      <c r="S1786" s="1" t="str">
        <f t="shared" si="139"/>
        <v/>
      </c>
      <c r="T1786" s="1">
        <f>IF($E1786="",0,SUMPRODUCT((AY_SONU!$O$7:$O$42="Evet")*(AY_SONU!$B$7:$B$42=DATE(YEAR($E1786),MONTH($E1786),1))))</f>
        <v>0</v>
      </c>
      <c r="U1786" s="1" t="str">
        <f>IF(OR($G1786="",$H1786="Mahsup"),"",$G1786&amp;"|"&amp;COUNTIFS($G$7:$G1786,$G1786,$H$7:$H1786,"&lt;&gt;Mahsup"))</f>
        <v/>
      </c>
    </row>
    <row r="1787" spans="1:21" ht="18" customHeight="1" x14ac:dyDescent="0.3">
      <c r="A1787" s="2"/>
      <c r="B1787" s="65" t="str">
        <f t="shared" si="135"/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 t="shared" si="136"/>
        <v/>
      </c>
      <c r="M1787" s="65" t="str">
        <f t="shared" ca="1" si="137"/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138"/>
        <v/>
      </c>
      <c r="S1787" s="1" t="str">
        <f t="shared" si="139"/>
        <v/>
      </c>
      <c r="T1787" s="1">
        <f>IF($E1787="",0,SUMPRODUCT((AY_SONU!$O$7:$O$42="Evet")*(AY_SONU!$B$7:$B$42=DATE(YEAR($E1787),MONTH($E1787),1))))</f>
        <v>0</v>
      </c>
      <c r="U1787" s="1" t="str">
        <f>IF(OR($G1787="",$H1787="Mahsup"),"",$G1787&amp;"|"&amp;COUNTIFS($G$7:$G1787,$G1787,$H$7:$H1787,"&lt;&gt;Mahsup"))</f>
        <v/>
      </c>
    </row>
    <row r="1788" spans="1:21" ht="18" customHeight="1" x14ac:dyDescent="0.3">
      <c r="A1788" s="2"/>
      <c r="B1788" s="65" t="str">
        <f t="shared" si="135"/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 t="shared" si="136"/>
        <v/>
      </c>
      <c r="M1788" s="65" t="str">
        <f t="shared" ca="1" si="137"/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138"/>
        <v/>
      </c>
      <c r="S1788" s="1" t="str">
        <f t="shared" si="139"/>
        <v/>
      </c>
      <c r="T1788" s="1">
        <f>IF($E1788="",0,SUMPRODUCT((AY_SONU!$O$7:$O$42="Evet")*(AY_SONU!$B$7:$B$42=DATE(YEAR($E1788),MONTH($E1788),1))))</f>
        <v>0</v>
      </c>
      <c r="U1788" s="1" t="str">
        <f>IF(OR($G1788="",$H1788="Mahsup"),"",$G1788&amp;"|"&amp;COUNTIFS($G$7:$G1788,$G1788,$H$7:$H1788,"&lt;&gt;Mahsup"))</f>
        <v/>
      </c>
    </row>
    <row r="1789" spans="1:21" ht="18" customHeight="1" x14ac:dyDescent="0.3">
      <c r="A1789" s="2"/>
      <c r="B1789" s="65" t="str">
        <f t="shared" si="135"/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 t="shared" si="136"/>
        <v/>
      </c>
      <c r="M1789" s="65" t="str">
        <f t="shared" ca="1" si="137"/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138"/>
        <v/>
      </c>
      <c r="S1789" s="1" t="str">
        <f t="shared" si="139"/>
        <v/>
      </c>
      <c r="T1789" s="1">
        <f>IF($E1789="",0,SUMPRODUCT((AY_SONU!$O$7:$O$42="Evet")*(AY_SONU!$B$7:$B$42=DATE(YEAR($E1789),MONTH($E1789),1))))</f>
        <v>0</v>
      </c>
      <c r="U1789" s="1" t="str">
        <f>IF(OR($G1789="",$H1789="Mahsup"),"",$G1789&amp;"|"&amp;COUNTIFS($G$7:$G1789,$G1789,$H$7:$H1789,"&lt;&gt;Mahsup"))</f>
        <v/>
      </c>
    </row>
    <row r="1790" spans="1:21" ht="18" customHeight="1" x14ac:dyDescent="0.3">
      <c r="A1790" s="2"/>
      <c r="B1790" s="65" t="str">
        <f t="shared" si="135"/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 t="shared" si="136"/>
        <v/>
      </c>
      <c r="M1790" s="65" t="str">
        <f t="shared" ca="1" si="137"/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138"/>
        <v/>
      </c>
      <c r="S1790" s="1" t="str">
        <f t="shared" si="139"/>
        <v/>
      </c>
      <c r="T1790" s="1">
        <f>IF($E1790="",0,SUMPRODUCT((AY_SONU!$O$7:$O$42="Evet")*(AY_SONU!$B$7:$B$42=DATE(YEAR($E1790),MONTH($E1790),1))))</f>
        <v>0</v>
      </c>
      <c r="U1790" s="1" t="str">
        <f>IF(OR($G1790="",$H1790="Mahsup"),"",$G1790&amp;"|"&amp;COUNTIFS($G$7:$G1790,$G1790,$H$7:$H1790,"&lt;&gt;Mahsup"))</f>
        <v/>
      </c>
    </row>
    <row r="1791" spans="1:21" ht="18" customHeight="1" x14ac:dyDescent="0.3">
      <c r="A1791" s="2"/>
      <c r="B1791" s="65" t="str">
        <f t="shared" si="135"/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 t="shared" si="136"/>
        <v/>
      </c>
      <c r="M1791" s="65" t="str">
        <f t="shared" ca="1" si="137"/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138"/>
        <v/>
      </c>
      <c r="S1791" s="1" t="str">
        <f t="shared" si="139"/>
        <v/>
      </c>
      <c r="T1791" s="1">
        <f>IF($E1791="",0,SUMPRODUCT((AY_SONU!$O$7:$O$42="Evet")*(AY_SONU!$B$7:$B$42=DATE(YEAR($E1791),MONTH($E1791),1))))</f>
        <v>0</v>
      </c>
      <c r="U1791" s="1" t="str">
        <f>IF(OR($G1791="",$H1791="Mahsup"),"",$G1791&amp;"|"&amp;COUNTIFS($G$7:$G1791,$G1791,$H$7:$H1791,"&lt;&gt;Mahsup"))</f>
        <v/>
      </c>
    </row>
    <row r="1792" spans="1:21" ht="18" customHeight="1" x14ac:dyDescent="0.3">
      <c r="A1792" s="2"/>
      <c r="B1792" s="65" t="str">
        <f t="shared" si="135"/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 t="shared" si="136"/>
        <v/>
      </c>
      <c r="M1792" s="65" t="str">
        <f t="shared" ca="1" si="137"/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138"/>
        <v/>
      </c>
      <c r="S1792" s="1" t="str">
        <f t="shared" si="139"/>
        <v/>
      </c>
      <c r="T1792" s="1">
        <f>IF($E1792="",0,SUMPRODUCT((AY_SONU!$O$7:$O$42="Evet")*(AY_SONU!$B$7:$B$42=DATE(YEAR($E1792),MONTH($E1792),1))))</f>
        <v>0</v>
      </c>
      <c r="U1792" s="1" t="str">
        <f>IF(OR($G1792="",$H1792="Mahsup"),"",$G1792&amp;"|"&amp;COUNTIFS($G$7:$G1792,$G1792,$H$7:$H1792,"&lt;&gt;Mahsup"))</f>
        <v/>
      </c>
    </row>
    <row r="1793" spans="1:21" ht="18" customHeight="1" x14ac:dyDescent="0.3">
      <c r="A1793" s="2"/>
      <c r="B1793" s="65" t="str">
        <f t="shared" si="135"/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 t="shared" si="136"/>
        <v/>
      </c>
      <c r="M1793" s="65" t="str">
        <f t="shared" ca="1" si="137"/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138"/>
        <v/>
      </c>
      <c r="S1793" s="1" t="str">
        <f t="shared" si="139"/>
        <v/>
      </c>
      <c r="T1793" s="1">
        <f>IF($E1793="",0,SUMPRODUCT((AY_SONU!$O$7:$O$42="Evet")*(AY_SONU!$B$7:$B$42=DATE(YEAR($E1793),MONTH($E1793),1))))</f>
        <v>0</v>
      </c>
      <c r="U1793" s="1" t="str">
        <f>IF(OR($G1793="",$H1793="Mahsup"),"",$G1793&amp;"|"&amp;COUNTIFS($G$7:$G1793,$G1793,$H$7:$H1793,"&lt;&gt;Mahsup"))</f>
        <v/>
      </c>
    </row>
    <row r="1794" spans="1:21" ht="18" customHeight="1" x14ac:dyDescent="0.3">
      <c r="A1794" s="2"/>
      <c r="B1794" s="65" t="str">
        <f t="shared" si="135"/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 t="shared" si="136"/>
        <v/>
      </c>
      <c r="M1794" s="65" t="str">
        <f t="shared" ca="1" si="137"/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138"/>
        <v/>
      </c>
      <c r="S1794" s="1" t="str">
        <f t="shared" si="139"/>
        <v/>
      </c>
      <c r="T1794" s="1">
        <f>IF($E1794="",0,SUMPRODUCT((AY_SONU!$O$7:$O$42="Evet")*(AY_SONU!$B$7:$B$42=DATE(YEAR($E1794),MONTH($E1794),1))))</f>
        <v>0</v>
      </c>
      <c r="U1794" s="1" t="str">
        <f>IF(OR($G1794="",$H1794="Mahsup"),"",$G1794&amp;"|"&amp;COUNTIFS($G$7:$G1794,$G1794,$H$7:$H1794,"&lt;&gt;Mahsup"))</f>
        <v/>
      </c>
    </row>
    <row r="1795" spans="1:21" ht="18" customHeight="1" x14ac:dyDescent="0.3">
      <c r="A1795" s="2"/>
      <c r="B1795" s="65" t="str">
        <f t="shared" si="135"/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 t="shared" si="136"/>
        <v/>
      </c>
      <c r="M1795" s="65" t="str">
        <f t="shared" ca="1" si="137"/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138"/>
        <v/>
      </c>
      <c r="S1795" s="1" t="str">
        <f t="shared" si="139"/>
        <v/>
      </c>
      <c r="T1795" s="1">
        <f>IF($E1795="",0,SUMPRODUCT((AY_SONU!$O$7:$O$42="Evet")*(AY_SONU!$B$7:$B$42=DATE(YEAR($E1795),MONTH($E1795),1))))</f>
        <v>0</v>
      </c>
      <c r="U1795" s="1" t="str">
        <f>IF(OR($G1795="",$H1795="Mahsup"),"",$G1795&amp;"|"&amp;COUNTIFS($G$7:$G1795,$G1795,$H$7:$H1795,"&lt;&gt;Mahsup"))</f>
        <v/>
      </c>
    </row>
    <row r="1796" spans="1:21" ht="18" customHeight="1" x14ac:dyDescent="0.3">
      <c r="A1796" s="2"/>
      <c r="B1796" s="65" t="str">
        <f t="shared" si="135"/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 t="shared" si="136"/>
        <v/>
      </c>
      <c r="M1796" s="65" t="str">
        <f t="shared" ca="1" si="137"/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138"/>
        <v/>
      </c>
      <c r="S1796" s="1" t="str">
        <f t="shared" si="139"/>
        <v/>
      </c>
      <c r="T1796" s="1">
        <f>IF($E1796="",0,SUMPRODUCT((AY_SONU!$O$7:$O$42="Evet")*(AY_SONU!$B$7:$B$42=DATE(YEAR($E1796),MONTH($E1796),1))))</f>
        <v>0</v>
      </c>
      <c r="U1796" s="1" t="str">
        <f>IF(OR($G1796="",$H1796="Mahsup"),"",$G1796&amp;"|"&amp;COUNTIFS($G$7:$G1796,$G1796,$H$7:$H1796,"&lt;&gt;Mahsup"))</f>
        <v/>
      </c>
    </row>
    <row r="1797" spans="1:21" ht="18" customHeight="1" x14ac:dyDescent="0.3">
      <c r="A1797" s="2"/>
      <c r="B1797" s="65" t="str">
        <f t="shared" si="135"/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 t="shared" si="136"/>
        <v/>
      </c>
      <c r="M1797" s="65" t="str">
        <f t="shared" ca="1" si="137"/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138"/>
        <v/>
      </c>
      <c r="S1797" s="1" t="str">
        <f t="shared" si="139"/>
        <v/>
      </c>
      <c r="T1797" s="1">
        <f>IF($E1797="",0,SUMPRODUCT((AY_SONU!$O$7:$O$42="Evet")*(AY_SONU!$B$7:$B$42=DATE(YEAR($E1797),MONTH($E1797),1))))</f>
        <v>0</v>
      </c>
      <c r="U1797" s="1" t="str">
        <f>IF(OR($G1797="",$H1797="Mahsup"),"",$G1797&amp;"|"&amp;COUNTIFS($G$7:$G1797,$G1797,$H$7:$H1797,"&lt;&gt;Mahsup"))</f>
        <v/>
      </c>
    </row>
    <row r="1798" spans="1:21" ht="18" customHeight="1" x14ac:dyDescent="0.3">
      <c r="A1798" s="2"/>
      <c r="B1798" s="65" t="str">
        <f t="shared" si="135"/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 t="shared" si="136"/>
        <v/>
      </c>
      <c r="M1798" s="65" t="str">
        <f t="shared" ca="1" si="137"/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138"/>
        <v/>
      </c>
      <c r="S1798" s="1" t="str">
        <f t="shared" si="139"/>
        <v/>
      </c>
      <c r="T1798" s="1">
        <f>IF($E1798="",0,SUMPRODUCT((AY_SONU!$O$7:$O$42="Evet")*(AY_SONU!$B$7:$B$42=DATE(YEAR($E1798),MONTH($E1798),1))))</f>
        <v>0</v>
      </c>
      <c r="U1798" s="1" t="str">
        <f>IF(OR($G1798="",$H1798="Mahsup"),"",$G1798&amp;"|"&amp;COUNTIFS($G$7:$G1798,$G1798,$H$7:$H1798,"&lt;&gt;Mahsup"))</f>
        <v/>
      </c>
    </row>
    <row r="1799" spans="1:21" ht="18" customHeight="1" x14ac:dyDescent="0.3">
      <c r="A1799" s="2"/>
      <c r="B1799" s="65" t="str">
        <f t="shared" ref="B1799:B1862" si="140"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 t="shared" ref="L1799:L1862" si="141">IF($E1799="","",DATE(YEAR($E1799),MONTH($E1799),1))</f>
        <v/>
      </c>
      <c r="M1799" s="65" t="str">
        <f t="shared" ref="M1799:M1862" ca="1" si="142"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143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144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  <c r="U1799" s="1" t="str">
        <f>IF(OR($G1799="",$H1799="Mahsup"),"",$G1799&amp;"|"&amp;COUNTIFS($G$7:$G1799,$G1799,$H$7:$H1799,"&lt;&gt;Mahsup"))</f>
        <v/>
      </c>
    </row>
    <row r="1800" spans="1:21" ht="18" customHeight="1" x14ac:dyDescent="0.3">
      <c r="A1800" s="2"/>
      <c r="B1800" s="65" t="str">
        <f t="shared" si="140"/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 t="shared" si="141"/>
        <v/>
      </c>
      <c r="M1800" s="65" t="str">
        <f t="shared" ca="1" si="142"/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143"/>
        <v/>
      </c>
      <c r="S1800" s="1" t="str">
        <f t="shared" si="144"/>
        <v/>
      </c>
      <c r="T1800" s="1">
        <f>IF($E1800="",0,SUMPRODUCT((AY_SONU!$O$7:$O$42="Evet")*(AY_SONU!$B$7:$B$42=DATE(YEAR($E1800),MONTH($E1800),1))))</f>
        <v>0</v>
      </c>
      <c r="U1800" s="1" t="str">
        <f>IF(OR($G1800="",$H1800="Mahsup"),"",$G1800&amp;"|"&amp;COUNTIFS($G$7:$G1800,$G1800,$H$7:$H1800,"&lt;&gt;Mahsup"))</f>
        <v/>
      </c>
    </row>
    <row r="1801" spans="1:21" ht="18" customHeight="1" x14ac:dyDescent="0.3">
      <c r="A1801" s="2"/>
      <c r="B1801" s="65" t="str">
        <f t="shared" si="140"/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 t="shared" si="141"/>
        <v/>
      </c>
      <c r="M1801" s="65" t="str">
        <f t="shared" ca="1" si="142"/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143"/>
        <v/>
      </c>
      <c r="S1801" s="1" t="str">
        <f t="shared" si="144"/>
        <v/>
      </c>
      <c r="T1801" s="1">
        <f>IF($E1801="",0,SUMPRODUCT((AY_SONU!$O$7:$O$42="Evet")*(AY_SONU!$B$7:$B$42=DATE(YEAR($E1801),MONTH($E1801),1))))</f>
        <v>0</v>
      </c>
      <c r="U1801" s="1" t="str">
        <f>IF(OR($G1801="",$H1801="Mahsup"),"",$G1801&amp;"|"&amp;COUNTIFS($G$7:$G1801,$G1801,$H$7:$H1801,"&lt;&gt;Mahsup"))</f>
        <v/>
      </c>
    </row>
    <row r="1802" spans="1:21" ht="18" customHeight="1" x14ac:dyDescent="0.3">
      <c r="A1802" s="2"/>
      <c r="B1802" s="65" t="str">
        <f t="shared" si="140"/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 t="shared" si="141"/>
        <v/>
      </c>
      <c r="M1802" s="65" t="str">
        <f t="shared" ca="1" si="142"/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143"/>
        <v/>
      </c>
      <c r="S1802" s="1" t="str">
        <f t="shared" si="144"/>
        <v/>
      </c>
      <c r="T1802" s="1">
        <f>IF($E1802="",0,SUMPRODUCT((AY_SONU!$O$7:$O$42="Evet")*(AY_SONU!$B$7:$B$42=DATE(YEAR($E1802),MONTH($E1802),1))))</f>
        <v>0</v>
      </c>
      <c r="U1802" s="1" t="str">
        <f>IF(OR($G1802="",$H1802="Mahsup"),"",$G1802&amp;"|"&amp;COUNTIFS($G$7:$G1802,$G1802,$H$7:$H1802,"&lt;&gt;Mahsup"))</f>
        <v/>
      </c>
    </row>
    <row r="1803" spans="1:21" ht="18" customHeight="1" x14ac:dyDescent="0.3">
      <c r="A1803" s="2"/>
      <c r="B1803" s="65" t="str">
        <f t="shared" si="140"/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 t="shared" si="141"/>
        <v/>
      </c>
      <c r="M1803" s="65" t="str">
        <f t="shared" ca="1" si="142"/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143"/>
        <v/>
      </c>
      <c r="S1803" s="1" t="str">
        <f t="shared" si="144"/>
        <v/>
      </c>
      <c r="T1803" s="1">
        <f>IF($E1803="",0,SUMPRODUCT((AY_SONU!$O$7:$O$42="Evet")*(AY_SONU!$B$7:$B$42=DATE(YEAR($E1803),MONTH($E1803),1))))</f>
        <v>0</v>
      </c>
      <c r="U1803" s="1" t="str">
        <f>IF(OR($G1803="",$H1803="Mahsup"),"",$G1803&amp;"|"&amp;COUNTIFS($G$7:$G1803,$G1803,$H$7:$H1803,"&lt;&gt;Mahsup"))</f>
        <v/>
      </c>
    </row>
    <row r="1804" spans="1:21" ht="18" customHeight="1" x14ac:dyDescent="0.3">
      <c r="A1804" s="2"/>
      <c r="B1804" s="65" t="str">
        <f t="shared" si="140"/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 t="shared" si="141"/>
        <v/>
      </c>
      <c r="M1804" s="65" t="str">
        <f t="shared" ca="1" si="142"/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143"/>
        <v/>
      </c>
      <c r="S1804" s="1" t="str">
        <f t="shared" si="144"/>
        <v/>
      </c>
      <c r="T1804" s="1">
        <f>IF($E1804="",0,SUMPRODUCT((AY_SONU!$O$7:$O$42="Evet")*(AY_SONU!$B$7:$B$42=DATE(YEAR($E1804),MONTH($E1804),1))))</f>
        <v>0</v>
      </c>
      <c r="U1804" s="1" t="str">
        <f>IF(OR($G1804="",$H1804="Mahsup"),"",$G1804&amp;"|"&amp;COUNTIFS($G$7:$G1804,$G1804,$H$7:$H1804,"&lt;&gt;Mahsup"))</f>
        <v/>
      </c>
    </row>
    <row r="1805" spans="1:21" ht="18" customHeight="1" x14ac:dyDescent="0.3">
      <c r="A1805" s="2"/>
      <c r="B1805" s="65" t="str">
        <f t="shared" si="140"/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 t="shared" si="141"/>
        <v/>
      </c>
      <c r="M1805" s="65" t="str">
        <f t="shared" ca="1" si="142"/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143"/>
        <v/>
      </c>
      <c r="S1805" s="1" t="str">
        <f t="shared" si="144"/>
        <v/>
      </c>
      <c r="T1805" s="1">
        <f>IF($E1805="",0,SUMPRODUCT((AY_SONU!$O$7:$O$42="Evet")*(AY_SONU!$B$7:$B$42=DATE(YEAR($E1805),MONTH($E1805),1))))</f>
        <v>0</v>
      </c>
      <c r="U1805" s="1" t="str">
        <f>IF(OR($G1805="",$H1805="Mahsup"),"",$G1805&amp;"|"&amp;COUNTIFS($G$7:$G1805,$G1805,$H$7:$H1805,"&lt;&gt;Mahsup"))</f>
        <v/>
      </c>
    </row>
    <row r="1806" spans="1:21" ht="18" customHeight="1" x14ac:dyDescent="0.3">
      <c r="A1806" s="2"/>
      <c r="B1806" s="65" t="str">
        <f t="shared" si="140"/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 t="shared" si="141"/>
        <v/>
      </c>
      <c r="M1806" s="65" t="str">
        <f t="shared" ca="1" si="142"/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143"/>
        <v/>
      </c>
      <c r="S1806" s="1" t="str">
        <f t="shared" si="144"/>
        <v/>
      </c>
      <c r="T1806" s="1">
        <f>IF($E1806="",0,SUMPRODUCT((AY_SONU!$O$7:$O$42="Evet")*(AY_SONU!$B$7:$B$42=DATE(YEAR($E1806),MONTH($E1806),1))))</f>
        <v>0</v>
      </c>
      <c r="U1806" s="1" t="str">
        <f>IF(OR($G1806="",$H1806="Mahsup"),"",$G1806&amp;"|"&amp;COUNTIFS($G$7:$G1806,$G1806,$H$7:$H1806,"&lt;&gt;Mahsup"))</f>
        <v/>
      </c>
    </row>
    <row r="1807" spans="1:21" ht="18" customHeight="1" x14ac:dyDescent="0.3">
      <c r="A1807" s="2"/>
      <c r="B1807" s="65" t="str">
        <f t="shared" si="140"/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 t="shared" si="141"/>
        <v/>
      </c>
      <c r="M1807" s="65" t="str">
        <f t="shared" ca="1" si="142"/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143"/>
        <v/>
      </c>
      <c r="S1807" s="1" t="str">
        <f t="shared" si="144"/>
        <v/>
      </c>
      <c r="T1807" s="1">
        <f>IF($E1807="",0,SUMPRODUCT((AY_SONU!$O$7:$O$42="Evet")*(AY_SONU!$B$7:$B$42=DATE(YEAR($E1807),MONTH($E1807),1))))</f>
        <v>0</v>
      </c>
      <c r="U1807" s="1" t="str">
        <f>IF(OR($G1807="",$H1807="Mahsup"),"",$G1807&amp;"|"&amp;COUNTIFS($G$7:$G1807,$G1807,$H$7:$H1807,"&lt;&gt;Mahsup"))</f>
        <v/>
      </c>
    </row>
    <row r="1808" spans="1:21" ht="18" customHeight="1" x14ac:dyDescent="0.3">
      <c r="A1808" s="2"/>
      <c r="B1808" s="65" t="str">
        <f t="shared" si="140"/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 t="shared" si="141"/>
        <v/>
      </c>
      <c r="M1808" s="65" t="str">
        <f t="shared" ca="1" si="142"/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143"/>
        <v/>
      </c>
      <c r="S1808" s="1" t="str">
        <f t="shared" si="144"/>
        <v/>
      </c>
      <c r="T1808" s="1">
        <f>IF($E1808="",0,SUMPRODUCT((AY_SONU!$O$7:$O$42="Evet")*(AY_SONU!$B$7:$B$42=DATE(YEAR($E1808),MONTH($E1808),1))))</f>
        <v>0</v>
      </c>
      <c r="U1808" s="1" t="str">
        <f>IF(OR($G1808="",$H1808="Mahsup"),"",$G1808&amp;"|"&amp;COUNTIFS($G$7:$G1808,$G1808,$H$7:$H1808,"&lt;&gt;Mahsup"))</f>
        <v/>
      </c>
    </row>
    <row r="1809" spans="1:21" ht="18" customHeight="1" x14ac:dyDescent="0.3">
      <c r="A1809" s="2"/>
      <c r="B1809" s="65" t="str">
        <f t="shared" si="140"/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 t="shared" si="141"/>
        <v/>
      </c>
      <c r="M1809" s="65" t="str">
        <f t="shared" ca="1" si="142"/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143"/>
        <v/>
      </c>
      <c r="S1809" s="1" t="str">
        <f t="shared" si="144"/>
        <v/>
      </c>
      <c r="T1809" s="1">
        <f>IF($E1809="",0,SUMPRODUCT((AY_SONU!$O$7:$O$42="Evet")*(AY_SONU!$B$7:$B$42=DATE(YEAR($E1809),MONTH($E1809),1))))</f>
        <v>0</v>
      </c>
      <c r="U1809" s="1" t="str">
        <f>IF(OR($G1809="",$H1809="Mahsup"),"",$G1809&amp;"|"&amp;COUNTIFS($G$7:$G1809,$G1809,$H$7:$H1809,"&lt;&gt;Mahsup"))</f>
        <v/>
      </c>
    </row>
    <row r="1810" spans="1:21" ht="18" customHeight="1" x14ac:dyDescent="0.3">
      <c r="A1810" s="2"/>
      <c r="B1810" s="65" t="str">
        <f t="shared" si="140"/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 t="shared" si="141"/>
        <v/>
      </c>
      <c r="M1810" s="65" t="str">
        <f t="shared" ca="1" si="142"/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143"/>
        <v/>
      </c>
      <c r="S1810" s="1" t="str">
        <f t="shared" si="144"/>
        <v/>
      </c>
      <c r="T1810" s="1">
        <f>IF($E1810="",0,SUMPRODUCT((AY_SONU!$O$7:$O$42="Evet")*(AY_SONU!$B$7:$B$42=DATE(YEAR($E1810),MONTH($E1810),1))))</f>
        <v>0</v>
      </c>
      <c r="U1810" s="1" t="str">
        <f>IF(OR($G1810="",$H1810="Mahsup"),"",$G1810&amp;"|"&amp;COUNTIFS($G$7:$G1810,$G1810,$H$7:$H1810,"&lt;&gt;Mahsup"))</f>
        <v/>
      </c>
    </row>
    <row r="1811" spans="1:21" ht="18" customHeight="1" x14ac:dyDescent="0.3">
      <c r="A1811" s="2"/>
      <c r="B1811" s="65" t="str">
        <f t="shared" si="140"/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 t="shared" si="141"/>
        <v/>
      </c>
      <c r="M1811" s="65" t="str">
        <f t="shared" ca="1" si="142"/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143"/>
        <v/>
      </c>
      <c r="S1811" s="1" t="str">
        <f t="shared" si="144"/>
        <v/>
      </c>
      <c r="T1811" s="1">
        <f>IF($E1811="",0,SUMPRODUCT((AY_SONU!$O$7:$O$42="Evet")*(AY_SONU!$B$7:$B$42=DATE(YEAR($E1811),MONTH($E1811),1))))</f>
        <v>0</v>
      </c>
      <c r="U1811" s="1" t="str">
        <f>IF(OR($G1811="",$H1811="Mahsup"),"",$G1811&amp;"|"&amp;COUNTIFS($G$7:$G1811,$G1811,$H$7:$H1811,"&lt;&gt;Mahsup"))</f>
        <v/>
      </c>
    </row>
    <row r="1812" spans="1:21" ht="18" customHeight="1" x14ac:dyDescent="0.3">
      <c r="A1812" s="2"/>
      <c r="B1812" s="65" t="str">
        <f t="shared" si="140"/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 t="shared" si="141"/>
        <v/>
      </c>
      <c r="M1812" s="65" t="str">
        <f t="shared" ca="1" si="142"/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143"/>
        <v/>
      </c>
      <c r="S1812" s="1" t="str">
        <f t="shared" si="144"/>
        <v/>
      </c>
      <c r="T1812" s="1">
        <f>IF($E1812="",0,SUMPRODUCT((AY_SONU!$O$7:$O$42="Evet")*(AY_SONU!$B$7:$B$42=DATE(YEAR($E1812),MONTH($E1812),1))))</f>
        <v>0</v>
      </c>
      <c r="U1812" s="1" t="str">
        <f>IF(OR($G1812="",$H1812="Mahsup"),"",$G1812&amp;"|"&amp;COUNTIFS($G$7:$G1812,$G1812,$H$7:$H1812,"&lt;&gt;Mahsup"))</f>
        <v/>
      </c>
    </row>
    <row r="1813" spans="1:21" ht="18" customHeight="1" x14ac:dyDescent="0.3">
      <c r="A1813" s="2"/>
      <c r="B1813" s="65" t="str">
        <f t="shared" si="140"/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 t="shared" si="141"/>
        <v/>
      </c>
      <c r="M1813" s="65" t="str">
        <f t="shared" ca="1" si="142"/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143"/>
        <v/>
      </c>
      <c r="S1813" s="1" t="str">
        <f t="shared" si="144"/>
        <v/>
      </c>
      <c r="T1813" s="1">
        <f>IF($E1813="",0,SUMPRODUCT((AY_SONU!$O$7:$O$42="Evet")*(AY_SONU!$B$7:$B$42=DATE(YEAR($E1813),MONTH($E1813),1))))</f>
        <v>0</v>
      </c>
      <c r="U1813" s="1" t="str">
        <f>IF(OR($G1813="",$H1813="Mahsup"),"",$G1813&amp;"|"&amp;COUNTIFS($G$7:$G1813,$G1813,$H$7:$H1813,"&lt;&gt;Mahsup"))</f>
        <v/>
      </c>
    </row>
    <row r="1814" spans="1:21" ht="18" customHeight="1" x14ac:dyDescent="0.3">
      <c r="A1814" s="2"/>
      <c r="B1814" s="65" t="str">
        <f t="shared" si="140"/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 t="shared" si="141"/>
        <v/>
      </c>
      <c r="M1814" s="65" t="str">
        <f t="shared" ca="1" si="142"/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143"/>
        <v/>
      </c>
      <c r="S1814" s="1" t="str">
        <f t="shared" si="144"/>
        <v/>
      </c>
      <c r="T1814" s="1">
        <f>IF($E1814="",0,SUMPRODUCT((AY_SONU!$O$7:$O$42="Evet")*(AY_SONU!$B$7:$B$42=DATE(YEAR($E1814),MONTH($E1814),1))))</f>
        <v>0</v>
      </c>
      <c r="U1814" s="1" t="str">
        <f>IF(OR($G1814="",$H1814="Mahsup"),"",$G1814&amp;"|"&amp;COUNTIFS($G$7:$G1814,$G1814,$H$7:$H1814,"&lt;&gt;Mahsup"))</f>
        <v/>
      </c>
    </row>
    <row r="1815" spans="1:21" ht="18" customHeight="1" x14ac:dyDescent="0.3">
      <c r="A1815" s="2"/>
      <c r="B1815" s="65" t="str">
        <f t="shared" si="140"/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 t="shared" si="141"/>
        <v/>
      </c>
      <c r="M1815" s="65" t="str">
        <f t="shared" ca="1" si="142"/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143"/>
        <v/>
      </c>
      <c r="S1815" s="1" t="str">
        <f t="shared" si="144"/>
        <v/>
      </c>
      <c r="T1815" s="1">
        <f>IF($E1815="",0,SUMPRODUCT((AY_SONU!$O$7:$O$42="Evet")*(AY_SONU!$B$7:$B$42=DATE(YEAR($E1815),MONTH($E1815),1))))</f>
        <v>0</v>
      </c>
      <c r="U1815" s="1" t="str">
        <f>IF(OR($G1815="",$H1815="Mahsup"),"",$G1815&amp;"|"&amp;COUNTIFS($G$7:$G1815,$G1815,$H$7:$H1815,"&lt;&gt;Mahsup"))</f>
        <v/>
      </c>
    </row>
    <row r="1816" spans="1:21" ht="18" customHeight="1" x14ac:dyDescent="0.3">
      <c r="A1816" s="2"/>
      <c r="B1816" s="65" t="str">
        <f t="shared" si="140"/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 t="shared" si="141"/>
        <v/>
      </c>
      <c r="M1816" s="65" t="str">
        <f t="shared" ca="1" si="142"/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143"/>
        <v/>
      </c>
      <c r="S1816" s="1" t="str">
        <f t="shared" si="144"/>
        <v/>
      </c>
      <c r="T1816" s="1">
        <f>IF($E1816="",0,SUMPRODUCT((AY_SONU!$O$7:$O$42="Evet")*(AY_SONU!$B$7:$B$42=DATE(YEAR($E1816),MONTH($E1816),1))))</f>
        <v>0</v>
      </c>
      <c r="U1816" s="1" t="str">
        <f>IF(OR($G1816="",$H1816="Mahsup"),"",$G1816&amp;"|"&amp;COUNTIFS($G$7:$G1816,$G1816,$H$7:$H1816,"&lt;&gt;Mahsup"))</f>
        <v/>
      </c>
    </row>
    <row r="1817" spans="1:21" ht="18" customHeight="1" x14ac:dyDescent="0.3">
      <c r="A1817" s="2"/>
      <c r="B1817" s="65" t="str">
        <f t="shared" si="140"/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 t="shared" si="141"/>
        <v/>
      </c>
      <c r="M1817" s="65" t="str">
        <f t="shared" ca="1" si="142"/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143"/>
        <v/>
      </c>
      <c r="S1817" s="1" t="str">
        <f t="shared" si="144"/>
        <v/>
      </c>
      <c r="T1817" s="1">
        <f>IF($E1817="",0,SUMPRODUCT((AY_SONU!$O$7:$O$42="Evet")*(AY_SONU!$B$7:$B$42=DATE(YEAR($E1817),MONTH($E1817),1))))</f>
        <v>0</v>
      </c>
      <c r="U1817" s="1" t="str">
        <f>IF(OR($G1817="",$H1817="Mahsup"),"",$G1817&amp;"|"&amp;COUNTIFS($G$7:$G1817,$G1817,$H$7:$H1817,"&lt;&gt;Mahsup"))</f>
        <v/>
      </c>
    </row>
    <row r="1818" spans="1:21" ht="18" customHeight="1" x14ac:dyDescent="0.3">
      <c r="A1818" s="2"/>
      <c r="B1818" s="65" t="str">
        <f t="shared" si="140"/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 t="shared" si="141"/>
        <v/>
      </c>
      <c r="M1818" s="65" t="str">
        <f t="shared" ca="1" si="142"/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143"/>
        <v/>
      </c>
      <c r="S1818" s="1" t="str">
        <f t="shared" si="144"/>
        <v/>
      </c>
      <c r="T1818" s="1">
        <f>IF($E1818="",0,SUMPRODUCT((AY_SONU!$O$7:$O$42="Evet")*(AY_SONU!$B$7:$B$42=DATE(YEAR($E1818),MONTH($E1818),1))))</f>
        <v>0</v>
      </c>
      <c r="U1818" s="1" t="str">
        <f>IF(OR($G1818="",$H1818="Mahsup"),"",$G1818&amp;"|"&amp;COUNTIFS($G$7:$G1818,$G1818,$H$7:$H1818,"&lt;&gt;Mahsup"))</f>
        <v/>
      </c>
    </row>
    <row r="1819" spans="1:21" ht="18" customHeight="1" x14ac:dyDescent="0.3">
      <c r="A1819" s="2"/>
      <c r="B1819" s="65" t="str">
        <f t="shared" si="140"/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 t="shared" si="141"/>
        <v/>
      </c>
      <c r="M1819" s="65" t="str">
        <f t="shared" ca="1" si="142"/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143"/>
        <v/>
      </c>
      <c r="S1819" s="1" t="str">
        <f t="shared" si="144"/>
        <v/>
      </c>
      <c r="T1819" s="1">
        <f>IF($E1819="",0,SUMPRODUCT((AY_SONU!$O$7:$O$42="Evet")*(AY_SONU!$B$7:$B$42=DATE(YEAR($E1819),MONTH($E1819),1))))</f>
        <v>0</v>
      </c>
      <c r="U1819" s="1" t="str">
        <f>IF(OR($G1819="",$H1819="Mahsup"),"",$G1819&amp;"|"&amp;COUNTIFS($G$7:$G1819,$G1819,$H$7:$H1819,"&lt;&gt;Mahsup"))</f>
        <v/>
      </c>
    </row>
    <row r="1820" spans="1:21" ht="18" customHeight="1" x14ac:dyDescent="0.3">
      <c r="A1820" s="2"/>
      <c r="B1820" s="65" t="str">
        <f t="shared" si="140"/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 t="shared" si="141"/>
        <v/>
      </c>
      <c r="M1820" s="65" t="str">
        <f t="shared" ca="1" si="142"/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143"/>
        <v/>
      </c>
      <c r="S1820" s="1" t="str">
        <f t="shared" si="144"/>
        <v/>
      </c>
      <c r="T1820" s="1">
        <f>IF($E1820="",0,SUMPRODUCT((AY_SONU!$O$7:$O$42="Evet")*(AY_SONU!$B$7:$B$42=DATE(YEAR($E1820),MONTH($E1820),1))))</f>
        <v>0</v>
      </c>
      <c r="U1820" s="1" t="str">
        <f>IF(OR($G1820="",$H1820="Mahsup"),"",$G1820&amp;"|"&amp;COUNTIFS($G$7:$G1820,$G1820,$H$7:$H1820,"&lt;&gt;Mahsup"))</f>
        <v/>
      </c>
    </row>
    <row r="1821" spans="1:21" ht="18" customHeight="1" x14ac:dyDescent="0.3">
      <c r="A1821" s="2"/>
      <c r="B1821" s="65" t="str">
        <f t="shared" si="140"/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 t="shared" si="141"/>
        <v/>
      </c>
      <c r="M1821" s="65" t="str">
        <f t="shared" ca="1" si="142"/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143"/>
        <v/>
      </c>
      <c r="S1821" s="1" t="str">
        <f t="shared" si="144"/>
        <v/>
      </c>
      <c r="T1821" s="1">
        <f>IF($E1821="",0,SUMPRODUCT((AY_SONU!$O$7:$O$42="Evet")*(AY_SONU!$B$7:$B$42=DATE(YEAR($E1821),MONTH($E1821),1))))</f>
        <v>0</v>
      </c>
      <c r="U1821" s="1" t="str">
        <f>IF(OR($G1821="",$H1821="Mahsup"),"",$G1821&amp;"|"&amp;COUNTIFS($G$7:$G1821,$G1821,$H$7:$H1821,"&lt;&gt;Mahsup"))</f>
        <v/>
      </c>
    </row>
    <row r="1822" spans="1:21" ht="18" customHeight="1" x14ac:dyDescent="0.3">
      <c r="A1822" s="2"/>
      <c r="B1822" s="65" t="str">
        <f t="shared" si="140"/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 t="shared" si="141"/>
        <v/>
      </c>
      <c r="M1822" s="65" t="str">
        <f t="shared" ca="1" si="142"/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143"/>
        <v/>
      </c>
      <c r="S1822" s="1" t="str">
        <f t="shared" si="144"/>
        <v/>
      </c>
      <c r="T1822" s="1">
        <f>IF($E1822="",0,SUMPRODUCT((AY_SONU!$O$7:$O$42="Evet")*(AY_SONU!$B$7:$B$42=DATE(YEAR($E1822),MONTH($E1822),1))))</f>
        <v>0</v>
      </c>
      <c r="U1822" s="1" t="str">
        <f>IF(OR($G1822="",$H1822="Mahsup"),"",$G1822&amp;"|"&amp;COUNTIFS($G$7:$G1822,$G1822,$H$7:$H1822,"&lt;&gt;Mahsup"))</f>
        <v/>
      </c>
    </row>
    <row r="1823" spans="1:21" ht="18" customHeight="1" x14ac:dyDescent="0.3">
      <c r="A1823" s="2"/>
      <c r="B1823" s="65" t="str">
        <f t="shared" si="140"/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 t="shared" si="141"/>
        <v/>
      </c>
      <c r="M1823" s="65" t="str">
        <f t="shared" ca="1" si="142"/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143"/>
        <v/>
      </c>
      <c r="S1823" s="1" t="str">
        <f t="shared" si="144"/>
        <v/>
      </c>
      <c r="T1823" s="1">
        <f>IF($E1823="",0,SUMPRODUCT((AY_SONU!$O$7:$O$42="Evet")*(AY_SONU!$B$7:$B$42=DATE(YEAR($E1823),MONTH($E1823),1))))</f>
        <v>0</v>
      </c>
      <c r="U1823" s="1" t="str">
        <f>IF(OR($G1823="",$H1823="Mahsup"),"",$G1823&amp;"|"&amp;COUNTIFS($G$7:$G1823,$G1823,$H$7:$H1823,"&lt;&gt;Mahsup"))</f>
        <v/>
      </c>
    </row>
    <row r="1824" spans="1:21" ht="18" customHeight="1" x14ac:dyDescent="0.3">
      <c r="A1824" s="2"/>
      <c r="B1824" s="65" t="str">
        <f t="shared" si="140"/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 t="shared" si="141"/>
        <v/>
      </c>
      <c r="M1824" s="65" t="str">
        <f t="shared" ca="1" si="142"/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143"/>
        <v/>
      </c>
      <c r="S1824" s="1" t="str">
        <f t="shared" si="144"/>
        <v/>
      </c>
      <c r="T1824" s="1">
        <f>IF($E1824="",0,SUMPRODUCT((AY_SONU!$O$7:$O$42="Evet")*(AY_SONU!$B$7:$B$42=DATE(YEAR($E1824),MONTH($E1824),1))))</f>
        <v>0</v>
      </c>
      <c r="U1824" s="1" t="str">
        <f>IF(OR($G1824="",$H1824="Mahsup"),"",$G1824&amp;"|"&amp;COUNTIFS($G$7:$G1824,$G1824,$H$7:$H1824,"&lt;&gt;Mahsup"))</f>
        <v/>
      </c>
    </row>
    <row r="1825" spans="1:21" ht="18" customHeight="1" x14ac:dyDescent="0.3">
      <c r="A1825" s="2"/>
      <c r="B1825" s="65" t="str">
        <f t="shared" si="140"/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 t="shared" si="141"/>
        <v/>
      </c>
      <c r="M1825" s="65" t="str">
        <f t="shared" ca="1" si="142"/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143"/>
        <v/>
      </c>
      <c r="S1825" s="1" t="str">
        <f t="shared" si="144"/>
        <v/>
      </c>
      <c r="T1825" s="1">
        <f>IF($E1825="",0,SUMPRODUCT((AY_SONU!$O$7:$O$42="Evet")*(AY_SONU!$B$7:$B$42=DATE(YEAR($E1825),MONTH($E1825),1))))</f>
        <v>0</v>
      </c>
      <c r="U1825" s="1" t="str">
        <f>IF(OR($G1825="",$H1825="Mahsup"),"",$G1825&amp;"|"&amp;COUNTIFS($G$7:$G1825,$G1825,$H$7:$H1825,"&lt;&gt;Mahsup"))</f>
        <v/>
      </c>
    </row>
    <row r="1826" spans="1:21" ht="18" customHeight="1" x14ac:dyDescent="0.3">
      <c r="A1826" s="2"/>
      <c r="B1826" s="65" t="str">
        <f t="shared" si="140"/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 t="shared" si="141"/>
        <v/>
      </c>
      <c r="M1826" s="65" t="str">
        <f t="shared" ca="1" si="142"/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143"/>
        <v/>
      </c>
      <c r="S1826" s="1" t="str">
        <f t="shared" si="144"/>
        <v/>
      </c>
      <c r="T1826" s="1">
        <f>IF($E1826="",0,SUMPRODUCT((AY_SONU!$O$7:$O$42="Evet")*(AY_SONU!$B$7:$B$42=DATE(YEAR($E1826),MONTH($E1826),1))))</f>
        <v>0</v>
      </c>
      <c r="U1826" s="1" t="str">
        <f>IF(OR($G1826="",$H1826="Mahsup"),"",$G1826&amp;"|"&amp;COUNTIFS($G$7:$G1826,$G1826,$H$7:$H1826,"&lt;&gt;Mahsup"))</f>
        <v/>
      </c>
    </row>
    <row r="1827" spans="1:21" ht="18" customHeight="1" x14ac:dyDescent="0.3">
      <c r="A1827" s="2"/>
      <c r="B1827" s="65" t="str">
        <f t="shared" si="140"/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 t="shared" si="141"/>
        <v/>
      </c>
      <c r="M1827" s="65" t="str">
        <f t="shared" ca="1" si="142"/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143"/>
        <v/>
      </c>
      <c r="S1827" s="1" t="str">
        <f t="shared" si="144"/>
        <v/>
      </c>
      <c r="T1827" s="1">
        <f>IF($E1827="",0,SUMPRODUCT((AY_SONU!$O$7:$O$42="Evet")*(AY_SONU!$B$7:$B$42=DATE(YEAR($E1827),MONTH($E1827),1))))</f>
        <v>0</v>
      </c>
      <c r="U1827" s="1" t="str">
        <f>IF(OR($G1827="",$H1827="Mahsup"),"",$G1827&amp;"|"&amp;COUNTIFS($G$7:$G1827,$G1827,$H$7:$H1827,"&lt;&gt;Mahsup"))</f>
        <v/>
      </c>
    </row>
    <row r="1828" spans="1:21" ht="18" customHeight="1" x14ac:dyDescent="0.3">
      <c r="A1828" s="2"/>
      <c r="B1828" s="65" t="str">
        <f t="shared" si="140"/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 t="shared" si="141"/>
        <v/>
      </c>
      <c r="M1828" s="65" t="str">
        <f t="shared" ca="1" si="142"/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143"/>
        <v/>
      </c>
      <c r="S1828" s="1" t="str">
        <f t="shared" si="144"/>
        <v/>
      </c>
      <c r="T1828" s="1">
        <f>IF($E1828="",0,SUMPRODUCT((AY_SONU!$O$7:$O$42="Evet")*(AY_SONU!$B$7:$B$42=DATE(YEAR($E1828),MONTH($E1828),1))))</f>
        <v>0</v>
      </c>
      <c r="U1828" s="1" t="str">
        <f>IF(OR($G1828="",$H1828="Mahsup"),"",$G1828&amp;"|"&amp;COUNTIFS($G$7:$G1828,$G1828,$H$7:$H1828,"&lt;&gt;Mahsup"))</f>
        <v/>
      </c>
    </row>
    <row r="1829" spans="1:21" ht="18" customHeight="1" x14ac:dyDescent="0.3">
      <c r="A1829" s="2"/>
      <c r="B1829" s="65" t="str">
        <f t="shared" si="140"/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 t="shared" si="141"/>
        <v/>
      </c>
      <c r="M1829" s="65" t="str">
        <f t="shared" ca="1" si="142"/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143"/>
        <v/>
      </c>
      <c r="S1829" s="1" t="str">
        <f t="shared" si="144"/>
        <v/>
      </c>
      <c r="T1829" s="1">
        <f>IF($E1829="",0,SUMPRODUCT((AY_SONU!$O$7:$O$42="Evet")*(AY_SONU!$B$7:$B$42=DATE(YEAR($E1829),MONTH($E1829),1))))</f>
        <v>0</v>
      </c>
      <c r="U1829" s="1" t="str">
        <f>IF(OR($G1829="",$H1829="Mahsup"),"",$G1829&amp;"|"&amp;COUNTIFS($G$7:$G1829,$G1829,$H$7:$H1829,"&lt;&gt;Mahsup"))</f>
        <v/>
      </c>
    </row>
    <row r="1830" spans="1:21" ht="18" customHeight="1" x14ac:dyDescent="0.3">
      <c r="A1830" s="2"/>
      <c r="B1830" s="65" t="str">
        <f t="shared" si="140"/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 t="shared" si="141"/>
        <v/>
      </c>
      <c r="M1830" s="65" t="str">
        <f t="shared" ca="1" si="142"/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143"/>
        <v/>
      </c>
      <c r="S1830" s="1" t="str">
        <f t="shared" si="144"/>
        <v/>
      </c>
      <c r="T1830" s="1">
        <f>IF($E1830="",0,SUMPRODUCT((AY_SONU!$O$7:$O$42="Evet")*(AY_SONU!$B$7:$B$42=DATE(YEAR($E1830),MONTH($E1830),1))))</f>
        <v>0</v>
      </c>
      <c r="U1830" s="1" t="str">
        <f>IF(OR($G1830="",$H1830="Mahsup"),"",$G1830&amp;"|"&amp;COUNTIFS($G$7:$G1830,$G1830,$H$7:$H1830,"&lt;&gt;Mahsup"))</f>
        <v/>
      </c>
    </row>
    <row r="1831" spans="1:21" ht="18" customHeight="1" x14ac:dyDescent="0.3">
      <c r="A1831" s="2"/>
      <c r="B1831" s="65" t="str">
        <f t="shared" si="140"/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 t="shared" si="141"/>
        <v/>
      </c>
      <c r="M1831" s="65" t="str">
        <f t="shared" ca="1" si="142"/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143"/>
        <v/>
      </c>
      <c r="S1831" s="1" t="str">
        <f t="shared" si="144"/>
        <v/>
      </c>
      <c r="T1831" s="1">
        <f>IF($E1831="",0,SUMPRODUCT((AY_SONU!$O$7:$O$42="Evet")*(AY_SONU!$B$7:$B$42=DATE(YEAR($E1831),MONTH($E1831),1))))</f>
        <v>0</v>
      </c>
      <c r="U1831" s="1" t="str">
        <f>IF(OR($G1831="",$H1831="Mahsup"),"",$G1831&amp;"|"&amp;COUNTIFS($G$7:$G1831,$G1831,$H$7:$H1831,"&lt;&gt;Mahsup"))</f>
        <v/>
      </c>
    </row>
    <row r="1832" spans="1:21" ht="18" customHeight="1" x14ac:dyDescent="0.3">
      <c r="A1832" s="2"/>
      <c r="B1832" s="65" t="str">
        <f t="shared" si="140"/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 t="shared" si="141"/>
        <v/>
      </c>
      <c r="M1832" s="65" t="str">
        <f t="shared" ca="1" si="142"/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143"/>
        <v/>
      </c>
      <c r="S1832" s="1" t="str">
        <f t="shared" si="144"/>
        <v/>
      </c>
      <c r="T1832" s="1">
        <f>IF($E1832="",0,SUMPRODUCT((AY_SONU!$O$7:$O$42="Evet")*(AY_SONU!$B$7:$B$42=DATE(YEAR($E1832),MONTH($E1832),1))))</f>
        <v>0</v>
      </c>
      <c r="U1832" s="1" t="str">
        <f>IF(OR($G1832="",$H1832="Mahsup"),"",$G1832&amp;"|"&amp;COUNTIFS($G$7:$G1832,$G1832,$H$7:$H1832,"&lt;&gt;Mahsup"))</f>
        <v/>
      </c>
    </row>
    <row r="1833" spans="1:21" ht="18" customHeight="1" x14ac:dyDescent="0.3">
      <c r="A1833" s="2"/>
      <c r="B1833" s="65" t="str">
        <f t="shared" si="140"/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 t="shared" si="141"/>
        <v/>
      </c>
      <c r="M1833" s="65" t="str">
        <f t="shared" ca="1" si="142"/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143"/>
        <v/>
      </c>
      <c r="S1833" s="1" t="str">
        <f t="shared" si="144"/>
        <v/>
      </c>
      <c r="T1833" s="1">
        <f>IF($E1833="",0,SUMPRODUCT((AY_SONU!$O$7:$O$42="Evet")*(AY_SONU!$B$7:$B$42=DATE(YEAR($E1833),MONTH($E1833),1))))</f>
        <v>0</v>
      </c>
      <c r="U1833" s="1" t="str">
        <f>IF(OR($G1833="",$H1833="Mahsup"),"",$G1833&amp;"|"&amp;COUNTIFS($G$7:$G1833,$G1833,$H$7:$H1833,"&lt;&gt;Mahsup"))</f>
        <v/>
      </c>
    </row>
    <row r="1834" spans="1:21" ht="18" customHeight="1" x14ac:dyDescent="0.3">
      <c r="A1834" s="2"/>
      <c r="B1834" s="65" t="str">
        <f t="shared" si="140"/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 t="shared" si="141"/>
        <v/>
      </c>
      <c r="M1834" s="65" t="str">
        <f t="shared" ca="1" si="142"/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143"/>
        <v/>
      </c>
      <c r="S1834" s="1" t="str">
        <f t="shared" si="144"/>
        <v/>
      </c>
      <c r="T1834" s="1">
        <f>IF($E1834="",0,SUMPRODUCT((AY_SONU!$O$7:$O$42="Evet")*(AY_SONU!$B$7:$B$42=DATE(YEAR($E1834),MONTH($E1834),1))))</f>
        <v>0</v>
      </c>
      <c r="U1834" s="1" t="str">
        <f>IF(OR($G1834="",$H1834="Mahsup"),"",$G1834&amp;"|"&amp;COUNTIFS($G$7:$G1834,$G1834,$H$7:$H1834,"&lt;&gt;Mahsup"))</f>
        <v/>
      </c>
    </row>
    <row r="1835" spans="1:21" ht="18" customHeight="1" x14ac:dyDescent="0.3">
      <c r="A1835" s="2"/>
      <c r="B1835" s="65" t="str">
        <f t="shared" si="140"/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 t="shared" si="141"/>
        <v/>
      </c>
      <c r="M1835" s="65" t="str">
        <f t="shared" ca="1" si="142"/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143"/>
        <v/>
      </c>
      <c r="S1835" s="1" t="str">
        <f t="shared" si="144"/>
        <v/>
      </c>
      <c r="T1835" s="1">
        <f>IF($E1835="",0,SUMPRODUCT((AY_SONU!$O$7:$O$42="Evet")*(AY_SONU!$B$7:$B$42=DATE(YEAR($E1835),MONTH($E1835),1))))</f>
        <v>0</v>
      </c>
      <c r="U1835" s="1" t="str">
        <f>IF(OR($G1835="",$H1835="Mahsup"),"",$G1835&amp;"|"&amp;COUNTIFS($G$7:$G1835,$G1835,$H$7:$H1835,"&lt;&gt;Mahsup"))</f>
        <v/>
      </c>
    </row>
    <row r="1836" spans="1:21" ht="18" customHeight="1" x14ac:dyDescent="0.3">
      <c r="A1836" s="2"/>
      <c r="B1836" s="65" t="str">
        <f t="shared" si="140"/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 t="shared" si="141"/>
        <v/>
      </c>
      <c r="M1836" s="65" t="str">
        <f t="shared" ca="1" si="142"/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143"/>
        <v/>
      </c>
      <c r="S1836" s="1" t="str">
        <f t="shared" si="144"/>
        <v/>
      </c>
      <c r="T1836" s="1">
        <f>IF($E1836="",0,SUMPRODUCT((AY_SONU!$O$7:$O$42="Evet")*(AY_SONU!$B$7:$B$42=DATE(YEAR($E1836),MONTH($E1836),1))))</f>
        <v>0</v>
      </c>
      <c r="U1836" s="1" t="str">
        <f>IF(OR($G1836="",$H1836="Mahsup"),"",$G1836&amp;"|"&amp;COUNTIFS($G$7:$G1836,$G1836,$H$7:$H1836,"&lt;&gt;Mahsup"))</f>
        <v/>
      </c>
    </row>
    <row r="1837" spans="1:21" ht="18" customHeight="1" x14ac:dyDescent="0.3">
      <c r="A1837" s="2"/>
      <c r="B1837" s="65" t="str">
        <f t="shared" si="140"/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 t="shared" si="141"/>
        <v/>
      </c>
      <c r="M1837" s="65" t="str">
        <f t="shared" ca="1" si="142"/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143"/>
        <v/>
      </c>
      <c r="S1837" s="1" t="str">
        <f t="shared" si="144"/>
        <v/>
      </c>
      <c r="T1837" s="1">
        <f>IF($E1837="",0,SUMPRODUCT((AY_SONU!$O$7:$O$42="Evet")*(AY_SONU!$B$7:$B$42=DATE(YEAR($E1837),MONTH($E1837),1))))</f>
        <v>0</v>
      </c>
      <c r="U1837" s="1" t="str">
        <f>IF(OR($G1837="",$H1837="Mahsup"),"",$G1837&amp;"|"&amp;COUNTIFS($G$7:$G1837,$G1837,$H$7:$H1837,"&lt;&gt;Mahsup"))</f>
        <v/>
      </c>
    </row>
    <row r="1838" spans="1:21" ht="18" customHeight="1" x14ac:dyDescent="0.3">
      <c r="A1838" s="2"/>
      <c r="B1838" s="65" t="str">
        <f t="shared" si="140"/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 t="shared" si="141"/>
        <v/>
      </c>
      <c r="M1838" s="65" t="str">
        <f t="shared" ca="1" si="142"/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143"/>
        <v/>
      </c>
      <c r="S1838" s="1" t="str">
        <f t="shared" si="144"/>
        <v/>
      </c>
      <c r="T1838" s="1">
        <f>IF($E1838="",0,SUMPRODUCT((AY_SONU!$O$7:$O$42="Evet")*(AY_SONU!$B$7:$B$42=DATE(YEAR($E1838),MONTH($E1838),1))))</f>
        <v>0</v>
      </c>
      <c r="U1838" s="1" t="str">
        <f>IF(OR($G1838="",$H1838="Mahsup"),"",$G1838&amp;"|"&amp;COUNTIFS($G$7:$G1838,$G1838,$H$7:$H1838,"&lt;&gt;Mahsup"))</f>
        <v/>
      </c>
    </row>
    <row r="1839" spans="1:21" ht="18" customHeight="1" x14ac:dyDescent="0.3">
      <c r="A1839" s="2"/>
      <c r="B1839" s="65" t="str">
        <f t="shared" si="140"/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 t="shared" si="141"/>
        <v/>
      </c>
      <c r="M1839" s="65" t="str">
        <f t="shared" ca="1" si="142"/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143"/>
        <v/>
      </c>
      <c r="S1839" s="1" t="str">
        <f t="shared" si="144"/>
        <v/>
      </c>
      <c r="T1839" s="1">
        <f>IF($E1839="",0,SUMPRODUCT((AY_SONU!$O$7:$O$42="Evet")*(AY_SONU!$B$7:$B$42=DATE(YEAR($E1839),MONTH($E1839),1))))</f>
        <v>0</v>
      </c>
      <c r="U1839" s="1" t="str">
        <f>IF(OR($G1839="",$H1839="Mahsup"),"",$G1839&amp;"|"&amp;COUNTIFS($G$7:$G1839,$G1839,$H$7:$H1839,"&lt;&gt;Mahsup"))</f>
        <v/>
      </c>
    </row>
    <row r="1840" spans="1:21" ht="18" customHeight="1" x14ac:dyDescent="0.3">
      <c r="A1840" s="2"/>
      <c r="B1840" s="65" t="str">
        <f t="shared" si="140"/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 t="shared" si="141"/>
        <v/>
      </c>
      <c r="M1840" s="65" t="str">
        <f t="shared" ca="1" si="142"/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143"/>
        <v/>
      </c>
      <c r="S1840" s="1" t="str">
        <f t="shared" si="144"/>
        <v/>
      </c>
      <c r="T1840" s="1">
        <f>IF($E1840="",0,SUMPRODUCT((AY_SONU!$O$7:$O$42="Evet")*(AY_SONU!$B$7:$B$42=DATE(YEAR($E1840),MONTH($E1840),1))))</f>
        <v>0</v>
      </c>
      <c r="U1840" s="1" t="str">
        <f>IF(OR($G1840="",$H1840="Mahsup"),"",$G1840&amp;"|"&amp;COUNTIFS($G$7:$G1840,$G1840,$H$7:$H1840,"&lt;&gt;Mahsup"))</f>
        <v/>
      </c>
    </row>
    <row r="1841" spans="1:21" ht="18" customHeight="1" x14ac:dyDescent="0.3">
      <c r="A1841" s="2"/>
      <c r="B1841" s="65" t="str">
        <f t="shared" si="140"/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 t="shared" si="141"/>
        <v/>
      </c>
      <c r="M1841" s="65" t="str">
        <f t="shared" ca="1" si="142"/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143"/>
        <v/>
      </c>
      <c r="S1841" s="1" t="str">
        <f t="shared" si="144"/>
        <v/>
      </c>
      <c r="T1841" s="1">
        <f>IF($E1841="",0,SUMPRODUCT((AY_SONU!$O$7:$O$42="Evet")*(AY_SONU!$B$7:$B$42=DATE(YEAR($E1841),MONTH($E1841),1))))</f>
        <v>0</v>
      </c>
      <c r="U1841" s="1" t="str">
        <f>IF(OR($G1841="",$H1841="Mahsup"),"",$G1841&amp;"|"&amp;COUNTIFS($G$7:$G1841,$G1841,$H$7:$H1841,"&lt;&gt;Mahsup"))</f>
        <v/>
      </c>
    </row>
    <row r="1842" spans="1:21" ht="18" customHeight="1" x14ac:dyDescent="0.3">
      <c r="A1842" s="2"/>
      <c r="B1842" s="65" t="str">
        <f t="shared" si="140"/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 t="shared" si="141"/>
        <v/>
      </c>
      <c r="M1842" s="65" t="str">
        <f t="shared" ca="1" si="142"/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143"/>
        <v/>
      </c>
      <c r="S1842" s="1" t="str">
        <f t="shared" si="144"/>
        <v/>
      </c>
      <c r="T1842" s="1">
        <f>IF($E1842="",0,SUMPRODUCT((AY_SONU!$O$7:$O$42="Evet")*(AY_SONU!$B$7:$B$42=DATE(YEAR($E1842),MONTH($E1842),1))))</f>
        <v>0</v>
      </c>
      <c r="U1842" s="1" t="str">
        <f>IF(OR($G1842="",$H1842="Mahsup"),"",$G1842&amp;"|"&amp;COUNTIFS($G$7:$G1842,$G1842,$H$7:$H1842,"&lt;&gt;Mahsup"))</f>
        <v/>
      </c>
    </row>
    <row r="1843" spans="1:21" ht="18" customHeight="1" x14ac:dyDescent="0.3">
      <c r="A1843" s="2"/>
      <c r="B1843" s="65" t="str">
        <f t="shared" si="140"/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 t="shared" si="141"/>
        <v/>
      </c>
      <c r="M1843" s="65" t="str">
        <f t="shared" ca="1" si="142"/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143"/>
        <v/>
      </c>
      <c r="S1843" s="1" t="str">
        <f t="shared" si="144"/>
        <v/>
      </c>
      <c r="T1843" s="1">
        <f>IF($E1843="",0,SUMPRODUCT((AY_SONU!$O$7:$O$42="Evet")*(AY_SONU!$B$7:$B$42=DATE(YEAR($E1843),MONTH($E1843),1))))</f>
        <v>0</v>
      </c>
      <c r="U1843" s="1" t="str">
        <f>IF(OR($G1843="",$H1843="Mahsup"),"",$G1843&amp;"|"&amp;COUNTIFS($G$7:$G1843,$G1843,$H$7:$H1843,"&lt;&gt;Mahsup"))</f>
        <v/>
      </c>
    </row>
    <row r="1844" spans="1:21" ht="18" customHeight="1" x14ac:dyDescent="0.3">
      <c r="A1844" s="2"/>
      <c r="B1844" s="65" t="str">
        <f t="shared" si="140"/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 t="shared" si="141"/>
        <v/>
      </c>
      <c r="M1844" s="65" t="str">
        <f t="shared" ca="1" si="142"/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143"/>
        <v/>
      </c>
      <c r="S1844" s="1" t="str">
        <f t="shared" si="144"/>
        <v/>
      </c>
      <c r="T1844" s="1">
        <f>IF($E1844="",0,SUMPRODUCT((AY_SONU!$O$7:$O$42="Evet")*(AY_SONU!$B$7:$B$42=DATE(YEAR($E1844),MONTH($E1844),1))))</f>
        <v>0</v>
      </c>
      <c r="U1844" s="1" t="str">
        <f>IF(OR($G1844="",$H1844="Mahsup"),"",$G1844&amp;"|"&amp;COUNTIFS($G$7:$G1844,$G1844,$H$7:$H1844,"&lt;&gt;Mahsup"))</f>
        <v/>
      </c>
    </row>
    <row r="1845" spans="1:21" ht="18" customHeight="1" x14ac:dyDescent="0.3">
      <c r="A1845" s="2"/>
      <c r="B1845" s="65" t="str">
        <f t="shared" si="140"/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 t="shared" si="141"/>
        <v/>
      </c>
      <c r="M1845" s="65" t="str">
        <f t="shared" ca="1" si="142"/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143"/>
        <v/>
      </c>
      <c r="S1845" s="1" t="str">
        <f t="shared" si="144"/>
        <v/>
      </c>
      <c r="T1845" s="1">
        <f>IF($E1845="",0,SUMPRODUCT((AY_SONU!$O$7:$O$42="Evet")*(AY_SONU!$B$7:$B$42=DATE(YEAR($E1845),MONTH($E1845),1))))</f>
        <v>0</v>
      </c>
      <c r="U1845" s="1" t="str">
        <f>IF(OR($G1845="",$H1845="Mahsup"),"",$G1845&amp;"|"&amp;COUNTIFS($G$7:$G1845,$G1845,$H$7:$H1845,"&lt;&gt;Mahsup"))</f>
        <v/>
      </c>
    </row>
    <row r="1846" spans="1:21" ht="18" customHeight="1" x14ac:dyDescent="0.3">
      <c r="A1846" s="2"/>
      <c r="B1846" s="65" t="str">
        <f t="shared" si="140"/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 t="shared" si="141"/>
        <v/>
      </c>
      <c r="M1846" s="65" t="str">
        <f t="shared" ca="1" si="142"/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143"/>
        <v/>
      </c>
      <c r="S1846" s="1" t="str">
        <f t="shared" si="144"/>
        <v/>
      </c>
      <c r="T1846" s="1">
        <f>IF($E1846="",0,SUMPRODUCT((AY_SONU!$O$7:$O$42="Evet")*(AY_SONU!$B$7:$B$42=DATE(YEAR($E1846),MONTH($E1846),1))))</f>
        <v>0</v>
      </c>
      <c r="U1846" s="1" t="str">
        <f>IF(OR($G1846="",$H1846="Mahsup"),"",$G1846&amp;"|"&amp;COUNTIFS($G$7:$G1846,$G1846,$H$7:$H1846,"&lt;&gt;Mahsup"))</f>
        <v/>
      </c>
    </row>
    <row r="1847" spans="1:21" ht="18" customHeight="1" x14ac:dyDescent="0.3">
      <c r="A1847" s="2"/>
      <c r="B1847" s="65" t="str">
        <f t="shared" si="140"/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 t="shared" si="141"/>
        <v/>
      </c>
      <c r="M1847" s="65" t="str">
        <f t="shared" ca="1" si="142"/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143"/>
        <v/>
      </c>
      <c r="S1847" s="1" t="str">
        <f t="shared" si="144"/>
        <v/>
      </c>
      <c r="T1847" s="1">
        <f>IF($E1847="",0,SUMPRODUCT((AY_SONU!$O$7:$O$42="Evet")*(AY_SONU!$B$7:$B$42=DATE(YEAR($E1847),MONTH($E1847),1))))</f>
        <v>0</v>
      </c>
      <c r="U1847" s="1" t="str">
        <f>IF(OR($G1847="",$H1847="Mahsup"),"",$G1847&amp;"|"&amp;COUNTIFS($G$7:$G1847,$G1847,$H$7:$H1847,"&lt;&gt;Mahsup"))</f>
        <v/>
      </c>
    </row>
    <row r="1848" spans="1:21" ht="18" customHeight="1" x14ac:dyDescent="0.3">
      <c r="A1848" s="2"/>
      <c r="B1848" s="65" t="str">
        <f t="shared" si="140"/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 t="shared" si="141"/>
        <v/>
      </c>
      <c r="M1848" s="65" t="str">
        <f t="shared" ca="1" si="142"/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143"/>
        <v/>
      </c>
      <c r="S1848" s="1" t="str">
        <f t="shared" si="144"/>
        <v/>
      </c>
      <c r="T1848" s="1">
        <f>IF($E1848="",0,SUMPRODUCT((AY_SONU!$O$7:$O$42="Evet")*(AY_SONU!$B$7:$B$42=DATE(YEAR($E1848),MONTH($E1848),1))))</f>
        <v>0</v>
      </c>
      <c r="U1848" s="1" t="str">
        <f>IF(OR($G1848="",$H1848="Mahsup"),"",$G1848&amp;"|"&amp;COUNTIFS($G$7:$G1848,$G1848,$H$7:$H1848,"&lt;&gt;Mahsup"))</f>
        <v/>
      </c>
    </row>
    <row r="1849" spans="1:21" ht="18" customHeight="1" x14ac:dyDescent="0.3">
      <c r="A1849" s="2"/>
      <c r="B1849" s="65" t="str">
        <f t="shared" si="140"/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 t="shared" si="141"/>
        <v/>
      </c>
      <c r="M1849" s="65" t="str">
        <f t="shared" ca="1" si="142"/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143"/>
        <v/>
      </c>
      <c r="S1849" s="1" t="str">
        <f t="shared" si="144"/>
        <v/>
      </c>
      <c r="T1849" s="1">
        <f>IF($E1849="",0,SUMPRODUCT((AY_SONU!$O$7:$O$42="Evet")*(AY_SONU!$B$7:$B$42=DATE(YEAR($E1849),MONTH($E1849),1))))</f>
        <v>0</v>
      </c>
      <c r="U1849" s="1" t="str">
        <f>IF(OR($G1849="",$H1849="Mahsup"),"",$G1849&amp;"|"&amp;COUNTIFS($G$7:$G1849,$G1849,$H$7:$H1849,"&lt;&gt;Mahsup"))</f>
        <v/>
      </c>
    </row>
    <row r="1850" spans="1:21" ht="18" customHeight="1" x14ac:dyDescent="0.3">
      <c r="A1850" s="2"/>
      <c r="B1850" s="65" t="str">
        <f t="shared" si="140"/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 t="shared" si="141"/>
        <v/>
      </c>
      <c r="M1850" s="65" t="str">
        <f t="shared" ca="1" si="142"/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143"/>
        <v/>
      </c>
      <c r="S1850" s="1" t="str">
        <f t="shared" si="144"/>
        <v/>
      </c>
      <c r="T1850" s="1">
        <f>IF($E1850="",0,SUMPRODUCT((AY_SONU!$O$7:$O$42="Evet")*(AY_SONU!$B$7:$B$42=DATE(YEAR($E1850),MONTH($E1850),1))))</f>
        <v>0</v>
      </c>
      <c r="U1850" s="1" t="str">
        <f>IF(OR($G1850="",$H1850="Mahsup"),"",$G1850&amp;"|"&amp;COUNTIFS($G$7:$G1850,$G1850,$H$7:$H1850,"&lt;&gt;Mahsup"))</f>
        <v/>
      </c>
    </row>
    <row r="1851" spans="1:21" ht="18" customHeight="1" x14ac:dyDescent="0.3">
      <c r="A1851" s="2"/>
      <c r="B1851" s="65" t="str">
        <f t="shared" si="140"/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 t="shared" si="141"/>
        <v/>
      </c>
      <c r="M1851" s="65" t="str">
        <f t="shared" ca="1" si="142"/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143"/>
        <v/>
      </c>
      <c r="S1851" s="1" t="str">
        <f t="shared" si="144"/>
        <v/>
      </c>
      <c r="T1851" s="1">
        <f>IF($E1851="",0,SUMPRODUCT((AY_SONU!$O$7:$O$42="Evet")*(AY_SONU!$B$7:$B$42=DATE(YEAR($E1851),MONTH($E1851),1))))</f>
        <v>0</v>
      </c>
      <c r="U1851" s="1" t="str">
        <f>IF(OR($G1851="",$H1851="Mahsup"),"",$G1851&amp;"|"&amp;COUNTIFS($G$7:$G1851,$G1851,$H$7:$H1851,"&lt;&gt;Mahsup"))</f>
        <v/>
      </c>
    </row>
    <row r="1852" spans="1:21" ht="18" customHeight="1" x14ac:dyDescent="0.3">
      <c r="A1852" s="2"/>
      <c r="B1852" s="65" t="str">
        <f t="shared" si="140"/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 t="shared" si="141"/>
        <v/>
      </c>
      <c r="M1852" s="65" t="str">
        <f t="shared" ca="1" si="142"/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143"/>
        <v/>
      </c>
      <c r="S1852" s="1" t="str">
        <f t="shared" si="144"/>
        <v/>
      </c>
      <c r="T1852" s="1">
        <f>IF($E1852="",0,SUMPRODUCT((AY_SONU!$O$7:$O$42="Evet")*(AY_SONU!$B$7:$B$42=DATE(YEAR($E1852),MONTH($E1852),1))))</f>
        <v>0</v>
      </c>
      <c r="U1852" s="1" t="str">
        <f>IF(OR($G1852="",$H1852="Mahsup"),"",$G1852&amp;"|"&amp;COUNTIFS($G$7:$G1852,$G1852,$H$7:$H1852,"&lt;&gt;Mahsup"))</f>
        <v/>
      </c>
    </row>
    <row r="1853" spans="1:21" ht="18" customHeight="1" x14ac:dyDescent="0.3">
      <c r="A1853" s="2"/>
      <c r="B1853" s="65" t="str">
        <f t="shared" si="140"/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 t="shared" si="141"/>
        <v/>
      </c>
      <c r="M1853" s="65" t="str">
        <f t="shared" ca="1" si="142"/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143"/>
        <v/>
      </c>
      <c r="S1853" s="1" t="str">
        <f t="shared" si="144"/>
        <v/>
      </c>
      <c r="T1853" s="1">
        <f>IF($E1853="",0,SUMPRODUCT((AY_SONU!$O$7:$O$42="Evet")*(AY_SONU!$B$7:$B$42=DATE(YEAR($E1853),MONTH($E1853),1))))</f>
        <v>0</v>
      </c>
      <c r="U1853" s="1" t="str">
        <f>IF(OR($G1853="",$H1853="Mahsup"),"",$G1853&amp;"|"&amp;COUNTIFS($G$7:$G1853,$G1853,$H$7:$H1853,"&lt;&gt;Mahsup"))</f>
        <v/>
      </c>
    </row>
    <row r="1854" spans="1:21" ht="18" customHeight="1" x14ac:dyDescent="0.3">
      <c r="A1854" s="2"/>
      <c r="B1854" s="65" t="str">
        <f t="shared" si="140"/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 t="shared" si="141"/>
        <v/>
      </c>
      <c r="M1854" s="65" t="str">
        <f t="shared" ca="1" si="142"/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143"/>
        <v/>
      </c>
      <c r="S1854" s="1" t="str">
        <f t="shared" si="144"/>
        <v/>
      </c>
      <c r="T1854" s="1">
        <f>IF($E1854="",0,SUMPRODUCT((AY_SONU!$O$7:$O$42="Evet")*(AY_SONU!$B$7:$B$42=DATE(YEAR($E1854),MONTH($E1854),1))))</f>
        <v>0</v>
      </c>
      <c r="U1854" s="1" t="str">
        <f>IF(OR($G1854="",$H1854="Mahsup"),"",$G1854&amp;"|"&amp;COUNTIFS($G$7:$G1854,$G1854,$H$7:$H1854,"&lt;&gt;Mahsup"))</f>
        <v/>
      </c>
    </row>
    <row r="1855" spans="1:21" ht="18" customHeight="1" x14ac:dyDescent="0.3">
      <c r="A1855" s="2"/>
      <c r="B1855" s="65" t="str">
        <f t="shared" si="140"/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 t="shared" si="141"/>
        <v/>
      </c>
      <c r="M1855" s="65" t="str">
        <f t="shared" ca="1" si="142"/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143"/>
        <v/>
      </c>
      <c r="S1855" s="1" t="str">
        <f t="shared" si="144"/>
        <v/>
      </c>
      <c r="T1855" s="1">
        <f>IF($E1855="",0,SUMPRODUCT((AY_SONU!$O$7:$O$42="Evet")*(AY_SONU!$B$7:$B$42=DATE(YEAR($E1855),MONTH($E1855),1))))</f>
        <v>0</v>
      </c>
      <c r="U1855" s="1" t="str">
        <f>IF(OR($G1855="",$H1855="Mahsup"),"",$G1855&amp;"|"&amp;COUNTIFS($G$7:$G1855,$G1855,$H$7:$H1855,"&lt;&gt;Mahsup"))</f>
        <v/>
      </c>
    </row>
    <row r="1856" spans="1:21" ht="18" customHeight="1" x14ac:dyDescent="0.3">
      <c r="A1856" s="2"/>
      <c r="B1856" s="65" t="str">
        <f t="shared" si="140"/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 t="shared" si="141"/>
        <v/>
      </c>
      <c r="M1856" s="65" t="str">
        <f t="shared" ca="1" si="142"/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143"/>
        <v/>
      </c>
      <c r="S1856" s="1" t="str">
        <f t="shared" si="144"/>
        <v/>
      </c>
      <c r="T1856" s="1">
        <f>IF($E1856="",0,SUMPRODUCT((AY_SONU!$O$7:$O$42="Evet")*(AY_SONU!$B$7:$B$42=DATE(YEAR($E1856),MONTH($E1856),1))))</f>
        <v>0</v>
      </c>
      <c r="U1856" s="1" t="str">
        <f>IF(OR($G1856="",$H1856="Mahsup"),"",$G1856&amp;"|"&amp;COUNTIFS($G$7:$G1856,$G1856,$H$7:$H1856,"&lt;&gt;Mahsup"))</f>
        <v/>
      </c>
    </row>
    <row r="1857" spans="1:21" ht="18" customHeight="1" x14ac:dyDescent="0.3">
      <c r="A1857" s="2"/>
      <c r="B1857" s="65" t="str">
        <f t="shared" si="140"/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 t="shared" si="141"/>
        <v/>
      </c>
      <c r="M1857" s="65" t="str">
        <f t="shared" ca="1" si="142"/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143"/>
        <v/>
      </c>
      <c r="S1857" s="1" t="str">
        <f t="shared" si="144"/>
        <v/>
      </c>
      <c r="T1857" s="1">
        <f>IF($E1857="",0,SUMPRODUCT((AY_SONU!$O$7:$O$42="Evet")*(AY_SONU!$B$7:$B$42=DATE(YEAR($E1857),MONTH($E1857),1))))</f>
        <v>0</v>
      </c>
      <c r="U1857" s="1" t="str">
        <f>IF(OR($G1857="",$H1857="Mahsup"),"",$G1857&amp;"|"&amp;COUNTIFS($G$7:$G1857,$G1857,$H$7:$H1857,"&lt;&gt;Mahsup"))</f>
        <v/>
      </c>
    </row>
    <row r="1858" spans="1:21" ht="18" customHeight="1" x14ac:dyDescent="0.3">
      <c r="A1858" s="2"/>
      <c r="B1858" s="65" t="str">
        <f t="shared" si="140"/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 t="shared" si="141"/>
        <v/>
      </c>
      <c r="M1858" s="65" t="str">
        <f t="shared" ca="1" si="142"/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143"/>
        <v/>
      </c>
      <c r="S1858" s="1" t="str">
        <f t="shared" si="144"/>
        <v/>
      </c>
      <c r="T1858" s="1">
        <f>IF($E1858="",0,SUMPRODUCT((AY_SONU!$O$7:$O$42="Evet")*(AY_SONU!$B$7:$B$42=DATE(YEAR($E1858),MONTH($E1858),1))))</f>
        <v>0</v>
      </c>
      <c r="U1858" s="1" t="str">
        <f>IF(OR($G1858="",$H1858="Mahsup"),"",$G1858&amp;"|"&amp;COUNTIFS($G$7:$G1858,$G1858,$H$7:$H1858,"&lt;&gt;Mahsup"))</f>
        <v/>
      </c>
    </row>
    <row r="1859" spans="1:21" ht="18" customHeight="1" x14ac:dyDescent="0.3">
      <c r="A1859" s="2"/>
      <c r="B1859" s="65" t="str">
        <f t="shared" si="140"/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 t="shared" si="141"/>
        <v/>
      </c>
      <c r="M1859" s="65" t="str">
        <f t="shared" ca="1" si="142"/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143"/>
        <v/>
      </c>
      <c r="S1859" s="1" t="str">
        <f t="shared" si="144"/>
        <v/>
      </c>
      <c r="T1859" s="1">
        <f>IF($E1859="",0,SUMPRODUCT((AY_SONU!$O$7:$O$42="Evet")*(AY_SONU!$B$7:$B$42=DATE(YEAR($E1859),MONTH($E1859),1))))</f>
        <v>0</v>
      </c>
      <c r="U1859" s="1" t="str">
        <f>IF(OR($G1859="",$H1859="Mahsup"),"",$G1859&amp;"|"&amp;COUNTIFS($G$7:$G1859,$G1859,$H$7:$H1859,"&lt;&gt;Mahsup"))</f>
        <v/>
      </c>
    </row>
    <row r="1860" spans="1:21" ht="18" customHeight="1" x14ac:dyDescent="0.3">
      <c r="A1860" s="2"/>
      <c r="B1860" s="65" t="str">
        <f t="shared" si="140"/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 t="shared" si="141"/>
        <v/>
      </c>
      <c r="M1860" s="65" t="str">
        <f t="shared" ca="1" si="142"/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143"/>
        <v/>
      </c>
      <c r="S1860" s="1" t="str">
        <f t="shared" si="144"/>
        <v/>
      </c>
      <c r="T1860" s="1">
        <f>IF($E1860="",0,SUMPRODUCT((AY_SONU!$O$7:$O$42="Evet")*(AY_SONU!$B$7:$B$42=DATE(YEAR($E1860),MONTH($E1860),1))))</f>
        <v>0</v>
      </c>
      <c r="U1860" s="1" t="str">
        <f>IF(OR($G1860="",$H1860="Mahsup"),"",$G1860&amp;"|"&amp;COUNTIFS($G$7:$G1860,$G1860,$H$7:$H1860,"&lt;&gt;Mahsup"))</f>
        <v/>
      </c>
    </row>
    <row r="1861" spans="1:21" ht="18" customHeight="1" x14ac:dyDescent="0.3">
      <c r="A1861" s="2"/>
      <c r="B1861" s="65" t="str">
        <f t="shared" si="140"/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 t="shared" si="141"/>
        <v/>
      </c>
      <c r="M1861" s="65" t="str">
        <f t="shared" ca="1" si="142"/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143"/>
        <v/>
      </c>
      <c r="S1861" s="1" t="str">
        <f t="shared" si="144"/>
        <v/>
      </c>
      <c r="T1861" s="1">
        <f>IF($E1861="",0,SUMPRODUCT((AY_SONU!$O$7:$O$42="Evet")*(AY_SONU!$B$7:$B$42=DATE(YEAR($E1861),MONTH($E1861),1))))</f>
        <v>0</v>
      </c>
      <c r="U1861" s="1" t="str">
        <f>IF(OR($G1861="",$H1861="Mahsup"),"",$G1861&amp;"|"&amp;COUNTIFS($G$7:$G1861,$G1861,$H$7:$H1861,"&lt;&gt;Mahsup"))</f>
        <v/>
      </c>
    </row>
    <row r="1862" spans="1:21" ht="18" customHeight="1" x14ac:dyDescent="0.3">
      <c r="A1862" s="2"/>
      <c r="B1862" s="65" t="str">
        <f t="shared" si="140"/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 t="shared" si="141"/>
        <v/>
      </c>
      <c r="M1862" s="65" t="str">
        <f t="shared" ca="1" si="142"/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143"/>
        <v/>
      </c>
      <c r="S1862" s="1" t="str">
        <f t="shared" si="144"/>
        <v/>
      </c>
      <c r="T1862" s="1">
        <f>IF($E1862="",0,SUMPRODUCT((AY_SONU!$O$7:$O$42="Evet")*(AY_SONU!$B$7:$B$42=DATE(YEAR($E1862),MONTH($E1862),1))))</f>
        <v>0</v>
      </c>
      <c r="U1862" s="1" t="str">
        <f>IF(OR($G1862="",$H1862="Mahsup"),"",$G1862&amp;"|"&amp;COUNTIFS($G$7:$G1862,$G1862,$H$7:$H1862,"&lt;&gt;Mahsup"))</f>
        <v/>
      </c>
    </row>
    <row r="1863" spans="1:21" ht="18" customHeight="1" x14ac:dyDescent="0.3">
      <c r="A1863" s="2"/>
      <c r="B1863" s="65" t="str">
        <f t="shared" ref="B1863:B1926" si="145"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 t="shared" ref="L1863:L1926" si="146">IF($E1863="","",DATE(YEAR($E1863),MONTH($E1863),1))</f>
        <v/>
      </c>
      <c r="M1863" s="65" t="str">
        <f t="shared" ref="M1863:M1926" ca="1" si="147"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14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14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  <c r="U1863" s="1" t="str">
        <f>IF(OR($G1863="",$H1863="Mahsup"),"",$G1863&amp;"|"&amp;COUNTIFS($G$7:$G1863,$G1863,$H$7:$H1863,"&lt;&gt;Mahsup"))</f>
        <v/>
      </c>
    </row>
    <row r="1864" spans="1:21" ht="18" customHeight="1" x14ac:dyDescent="0.3">
      <c r="A1864" s="2"/>
      <c r="B1864" s="65" t="str">
        <f t="shared" si="145"/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 t="shared" si="146"/>
        <v/>
      </c>
      <c r="M1864" s="65" t="str">
        <f t="shared" ca="1" si="147"/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148"/>
        <v/>
      </c>
      <c r="S1864" s="1" t="str">
        <f t="shared" si="149"/>
        <v/>
      </c>
      <c r="T1864" s="1">
        <f>IF($E1864="",0,SUMPRODUCT((AY_SONU!$O$7:$O$42="Evet")*(AY_SONU!$B$7:$B$42=DATE(YEAR($E1864),MONTH($E1864),1))))</f>
        <v>0</v>
      </c>
      <c r="U1864" s="1" t="str">
        <f>IF(OR($G1864="",$H1864="Mahsup"),"",$G1864&amp;"|"&amp;COUNTIFS($G$7:$G1864,$G1864,$H$7:$H1864,"&lt;&gt;Mahsup"))</f>
        <v/>
      </c>
    </row>
    <row r="1865" spans="1:21" ht="18" customHeight="1" x14ac:dyDescent="0.3">
      <c r="A1865" s="2"/>
      <c r="B1865" s="65" t="str">
        <f t="shared" si="145"/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 t="shared" si="146"/>
        <v/>
      </c>
      <c r="M1865" s="65" t="str">
        <f t="shared" ca="1" si="147"/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148"/>
        <v/>
      </c>
      <c r="S1865" s="1" t="str">
        <f t="shared" si="149"/>
        <v/>
      </c>
      <c r="T1865" s="1">
        <f>IF($E1865="",0,SUMPRODUCT((AY_SONU!$O$7:$O$42="Evet")*(AY_SONU!$B$7:$B$42=DATE(YEAR($E1865),MONTH($E1865),1))))</f>
        <v>0</v>
      </c>
      <c r="U1865" s="1" t="str">
        <f>IF(OR($G1865="",$H1865="Mahsup"),"",$G1865&amp;"|"&amp;COUNTIFS($G$7:$G1865,$G1865,$H$7:$H1865,"&lt;&gt;Mahsup"))</f>
        <v/>
      </c>
    </row>
    <row r="1866" spans="1:21" ht="18" customHeight="1" x14ac:dyDescent="0.3">
      <c r="A1866" s="2"/>
      <c r="B1866" s="65" t="str">
        <f t="shared" si="145"/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 t="shared" si="146"/>
        <v/>
      </c>
      <c r="M1866" s="65" t="str">
        <f t="shared" ca="1" si="147"/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148"/>
        <v/>
      </c>
      <c r="S1866" s="1" t="str">
        <f t="shared" si="149"/>
        <v/>
      </c>
      <c r="T1866" s="1">
        <f>IF($E1866="",0,SUMPRODUCT((AY_SONU!$O$7:$O$42="Evet")*(AY_SONU!$B$7:$B$42=DATE(YEAR($E1866),MONTH($E1866),1))))</f>
        <v>0</v>
      </c>
      <c r="U1866" s="1" t="str">
        <f>IF(OR($G1866="",$H1866="Mahsup"),"",$G1866&amp;"|"&amp;COUNTIFS($G$7:$G1866,$G1866,$H$7:$H1866,"&lt;&gt;Mahsup"))</f>
        <v/>
      </c>
    </row>
    <row r="1867" spans="1:21" ht="18" customHeight="1" x14ac:dyDescent="0.3">
      <c r="A1867" s="2"/>
      <c r="B1867" s="65" t="str">
        <f t="shared" si="145"/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 t="shared" si="146"/>
        <v/>
      </c>
      <c r="M1867" s="65" t="str">
        <f t="shared" ca="1" si="147"/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148"/>
        <v/>
      </c>
      <c r="S1867" s="1" t="str">
        <f t="shared" si="149"/>
        <v/>
      </c>
      <c r="T1867" s="1">
        <f>IF($E1867="",0,SUMPRODUCT((AY_SONU!$O$7:$O$42="Evet")*(AY_SONU!$B$7:$B$42=DATE(YEAR($E1867),MONTH($E1867),1))))</f>
        <v>0</v>
      </c>
      <c r="U1867" s="1" t="str">
        <f>IF(OR($G1867="",$H1867="Mahsup"),"",$G1867&amp;"|"&amp;COUNTIFS($G$7:$G1867,$G1867,$H$7:$H1867,"&lt;&gt;Mahsup"))</f>
        <v/>
      </c>
    </row>
    <row r="1868" spans="1:21" ht="18" customHeight="1" x14ac:dyDescent="0.3">
      <c r="A1868" s="2"/>
      <c r="B1868" s="65" t="str">
        <f t="shared" si="145"/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 t="shared" si="146"/>
        <v/>
      </c>
      <c r="M1868" s="65" t="str">
        <f t="shared" ca="1" si="147"/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148"/>
        <v/>
      </c>
      <c r="S1868" s="1" t="str">
        <f t="shared" si="149"/>
        <v/>
      </c>
      <c r="T1868" s="1">
        <f>IF($E1868="",0,SUMPRODUCT((AY_SONU!$O$7:$O$42="Evet")*(AY_SONU!$B$7:$B$42=DATE(YEAR($E1868),MONTH($E1868),1))))</f>
        <v>0</v>
      </c>
      <c r="U1868" s="1" t="str">
        <f>IF(OR($G1868="",$H1868="Mahsup"),"",$G1868&amp;"|"&amp;COUNTIFS($G$7:$G1868,$G1868,$H$7:$H1868,"&lt;&gt;Mahsup"))</f>
        <v/>
      </c>
    </row>
    <row r="1869" spans="1:21" ht="18" customHeight="1" x14ac:dyDescent="0.3">
      <c r="A1869" s="2"/>
      <c r="B1869" s="65" t="str">
        <f t="shared" si="145"/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 t="shared" si="146"/>
        <v/>
      </c>
      <c r="M1869" s="65" t="str">
        <f t="shared" ca="1" si="147"/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148"/>
        <v/>
      </c>
      <c r="S1869" s="1" t="str">
        <f t="shared" si="149"/>
        <v/>
      </c>
      <c r="T1869" s="1">
        <f>IF($E1869="",0,SUMPRODUCT((AY_SONU!$O$7:$O$42="Evet")*(AY_SONU!$B$7:$B$42=DATE(YEAR($E1869),MONTH($E1869),1))))</f>
        <v>0</v>
      </c>
      <c r="U1869" s="1" t="str">
        <f>IF(OR($G1869="",$H1869="Mahsup"),"",$G1869&amp;"|"&amp;COUNTIFS($G$7:$G1869,$G1869,$H$7:$H1869,"&lt;&gt;Mahsup"))</f>
        <v/>
      </c>
    </row>
    <row r="1870" spans="1:21" ht="18" customHeight="1" x14ac:dyDescent="0.3">
      <c r="A1870" s="2"/>
      <c r="B1870" s="65" t="str">
        <f t="shared" si="145"/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 t="shared" si="146"/>
        <v/>
      </c>
      <c r="M1870" s="65" t="str">
        <f t="shared" ca="1" si="147"/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148"/>
        <v/>
      </c>
      <c r="S1870" s="1" t="str">
        <f t="shared" si="149"/>
        <v/>
      </c>
      <c r="T1870" s="1">
        <f>IF($E1870="",0,SUMPRODUCT((AY_SONU!$O$7:$O$42="Evet")*(AY_SONU!$B$7:$B$42=DATE(YEAR($E1870),MONTH($E1870),1))))</f>
        <v>0</v>
      </c>
      <c r="U1870" s="1" t="str">
        <f>IF(OR($G1870="",$H1870="Mahsup"),"",$G1870&amp;"|"&amp;COUNTIFS($G$7:$G1870,$G1870,$H$7:$H1870,"&lt;&gt;Mahsup"))</f>
        <v/>
      </c>
    </row>
    <row r="1871" spans="1:21" ht="18" customHeight="1" x14ac:dyDescent="0.3">
      <c r="A1871" s="2"/>
      <c r="B1871" s="65" t="str">
        <f t="shared" si="145"/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 t="shared" si="146"/>
        <v/>
      </c>
      <c r="M1871" s="65" t="str">
        <f t="shared" ca="1" si="147"/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148"/>
        <v/>
      </c>
      <c r="S1871" s="1" t="str">
        <f t="shared" si="149"/>
        <v/>
      </c>
      <c r="T1871" s="1">
        <f>IF($E1871="",0,SUMPRODUCT((AY_SONU!$O$7:$O$42="Evet")*(AY_SONU!$B$7:$B$42=DATE(YEAR($E1871),MONTH($E1871),1))))</f>
        <v>0</v>
      </c>
      <c r="U1871" s="1" t="str">
        <f>IF(OR($G1871="",$H1871="Mahsup"),"",$G1871&amp;"|"&amp;COUNTIFS($G$7:$G1871,$G1871,$H$7:$H1871,"&lt;&gt;Mahsup"))</f>
        <v/>
      </c>
    </row>
    <row r="1872" spans="1:21" ht="18" customHeight="1" x14ac:dyDescent="0.3">
      <c r="A1872" s="2"/>
      <c r="B1872" s="65" t="str">
        <f t="shared" si="145"/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 t="shared" si="146"/>
        <v/>
      </c>
      <c r="M1872" s="65" t="str">
        <f t="shared" ca="1" si="147"/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148"/>
        <v/>
      </c>
      <c r="S1872" s="1" t="str">
        <f t="shared" si="149"/>
        <v/>
      </c>
      <c r="T1872" s="1">
        <f>IF($E1872="",0,SUMPRODUCT((AY_SONU!$O$7:$O$42="Evet")*(AY_SONU!$B$7:$B$42=DATE(YEAR($E1872),MONTH($E1872),1))))</f>
        <v>0</v>
      </c>
      <c r="U1872" s="1" t="str">
        <f>IF(OR($G1872="",$H1872="Mahsup"),"",$G1872&amp;"|"&amp;COUNTIFS($G$7:$G1872,$G1872,$H$7:$H1872,"&lt;&gt;Mahsup"))</f>
        <v/>
      </c>
    </row>
    <row r="1873" spans="1:21" ht="18" customHeight="1" x14ac:dyDescent="0.3">
      <c r="A1873" s="2"/>
      <c r="B1873" s="65" t="str">
        <f t="shared" si="145"/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 t="shared" si="146"/>
        <v/>
      </c>
      <c r="M1873" s="65" t="str">
        <f t="shared" ca="1" si="147"/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148"/>
        <v/>
      </c>
      <c r="S1873" s="1" t="str">
        <f t="shared" si="149"/>
        <v/>
      </c>
      <c r="T1873" s="1">
        <f>IF($E1873="",0,SUMPRODUCT((AY_SONU!$O$7:$O$42="Evet")*(AY_SONU!$B$7:$B$42=DATE(YEAR($E1873),MONTH($E1873),1))))</f>
        <v>0</v>
      </c>
      <c r="U1873" s="1" t="str">
        <f>IF(OR($G1873="",$H1873="Mahsup"),"",$G1873&amp;"|"&amp;COUNTIFS($G$7:$G1873,$G1873,$H$7:$H1873,"&lt;&gt;Mahsup"))</f>
        <v/>
      </c>
    </row>
    <row r="1874" spans="1:21" ht="18" customHeight="1" x14ac:dyDescent="0.3">
      <c r="A1874" s="2"/>
      <c r="B1874" s="65" t="str">
        <f t="shared" si="145"/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 t="shared" si="146"/>
        <v/>
      </c>
      <c r="M1874" s="65" t="str">
        <f t="shared" ca="1" si="147"/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148"/>
        <v/>
      </c>
      <c r="S1874" s="1" t="str">
        <f t="shared" si="149"/>
        <v/>
      </c>
      <c r="T1874" s="1">
        <f>IF($E1874="",0,SUMPRODUCT((AY_SONU!$O$7:$O$42="Evet")*(AY_SONU!$B$7:$B$42=DATE(YEAR($E1874),MONTH($E1874),1))))</f>
        <v>0</v>
      </c>
      <c r="U1874" s="1" t="str">
        <f>IF(OR($G1874="",$H1874="Mahsup"),"",$G1874&amp;"|"&amp;COUNTIFS($G$7:$G1874,$G1874,$H$7:$H1874,"&lt;&gt;Mahsup"))</f>
        <v/>
      </c>
    </row>
    <row r="1875" spans="1:21" ht="18" customHeight="1" x14ac:dyDescent="0.3">
      <c r="A1875" s="2"/>
      <c r="B1875" s="65" t="str">
        <f t="shared" si="145"/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 t="shared" si="146"/>
        <v/>
      </c>
      <c r="M1875" s="65" t="str">
        <f t="shared" ca="1" si="147"/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148"/>
        <v/>
      </c>
      <c r="S1875" s="1" t="str">
        <f t="shared" si="149"/>
        <v/>
      </c>
      <c r="T1875" s="1">
        <f>IF($E1875="",0,SUMPRODUCT((AY_SONU!$O$7:$O$42="Evet")*(AY_SONU!$B$7:$B$42=DATE(YEAR($E1875),MONTH($E1875),1))))</f>
        <v>0</v>
      </c>
      <c r="U1875" s="1" t="str">
        <f>IF(OR($G1875="",$H1875="Mahsup"),"",$G1875&amp;"|"&amp;COUNTIFS($G$7:$G1875,$G1875,$H$7:$H1875,"&lt;&gt;Mahsup"))</f>
        <v/>
      </c>
    </row>
    <row r="1876" spans="1:21" ht="18" customHeight="1" x14ac:dyDescent="0.3">
      <c r="A1876" s="2"/>
      <c r="B1876" s="65" t="str">
        <f t="shared" si="145"/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 t="shared" si="146"/>
        <v/>
      </c>
      <c r="M1876" s="65" t="str">
        <f t="shared" ca="1" si="147"/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148"/>
        <v/>
      </c>
      <c r="S1876" s="1" t="str">
        <f t="shared" si="149"/>
        <v/>
      </c>
      <c r="T1876" s="1">
        <f>IF($E1876="",0,SUMPRODUCT((AY_SONU!$O$7:$O$42="Evet")*(AY_SONU!$B$7:$B$42=DATE(YEAR($E1876),MONTH($E1876),1))))</f>
        <v>0</v>
      </c>
      <c r="U1876" s="1" t="str">
        <f>IF(OR($G1876="",$H1876="Mahsup"),"",$G1876&amp;"|"&amp;COUNTIFS($G$7:$G1876,$G1876,$H$7:$H1876,"&lt;&gt;Mahsup"))</f>
        <v/>
      </c>
    </row>
    <row r="1877" spans="1:21" ht="18" customHeight="1" x14ac:dyDescent="0.3">
      <c r="A1877" s="2"/>
      <c r="B1877" s="65" t="str">
        <f t="shared" si="145"/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 t="shared" si="146"/>
        <v/>
      </c>
      <c r="M1877" s="65" t="str">
        <f t="shared" ca="1" si="147"/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148"/>
        <v/>
      </c>
      <c r="S1877" s="1" t="str">
        <f t="shared" si="149"/>
        <v/>
      </c>
      <c r="T1877" s="1">
        <f>IF($E1877="",0,SUMPRODUCT((AY_SONU!$O$7:$O$42="Evet")*(AY_SONU!$B$7:$B$42=DATE(YEAR($E1877),MONTH($E1877),1))))</f>
        <v>0</v>
      </c>
      <c r="U1877" s="1" t="str">
        <f>IF(OR($G1877="",$H1877="Mahsup"),"",$G1877&amp;"|"&amp;COUNTIFS($G$7:$G1877,$G1877,$H$7:$H1877,"&lt;&gt;Mahsup"))</f>
        <v/>
      </c>
    </row>
    <row r="1878" spans="1:21" ht="18" customHeight="1" x14ac:dyDescent="0.3">
      <c r="A1878" s="2"/>
      <c r="B1878" s="65" t="str">
        <f t="shared" si="145"/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 t="shared" si="146"/>
        <v/>
      </c>
      <c r="M1878" s="65" t="str">
        <f t="shared" ca="1" si="147"/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148"/>
        <v/>
      </c>
      <c r="S1878" s="1" t="str">
        <f t="shared" si="149"/>
        <v/>
      </c>
      <c r="T1878" s="1">
        <f>IF($E1878="",0,SUMPRODUCT((AY_SONU!$O$7:$O$42="Evet")*(AY_SONU!$B$7:$B$42=DATE(YEAR($E1878),MONTH($E1878),1))))</f>
        <v>0</v>
      </c>
      <c r="U1878" s="1" t="str">
        <f>IF(OR($G1878="",$H1878="Mahsup"),"",$G1878&amp;"|"&amp;COUNTIFS($G$7:$G1878,$G1878,$H$7:$H1878,"&lt;&gt;Mahsup"))</f>
        <v/>
      </c>
    </row>
    <row r="1879" spans="1:21" ht="18" customHeight="1" x14ac:dyDescent="0.3">
      <c r="A1879" s="2"/>
      <c r="B1879" s="65" t="str">
        <f t="shared" si="145"/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 t="shared" si="146"/>
        <v/>
      </c>
      <c r="M1879" s="65" t="str">
        <f t="shared" ca="1" si="147"/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148"/>
        <v/>
      </c>
      <c r="S1879" s="1" t="str">
        <f t="shared" si="149"/>
        <v/>
      </c>
      <c r="T1879" s="1">
        <f>IF($E1879="",0,SUMPRODUCT((AY_SONU!$O$7:$O$42="Evet")*(AY_SONU!$B$7:$B$42=DATE(YEAR($E1879),MONTH($E1879),1))))</f>
        <v>0</v>
      </c>
      <c r="U1879" s="1" t="str">
        <f>IF(OR($G1879="",$H1879="Mahsup"),"",$G1879&amp;"|"&amp;COUNTIFS($G$7:$G1879,$G1879,$H$7:$H1879,"&lt;&gt;Mahsup"))</f>
        <v/>
      </c>
    </row>
    <row r="1880" spans="1:21" ht="18" customHeight="1" x14ac:dyDescent="0.3">
      <c r="A1880" s="2"/>
      <c r="B1880" s="65" t="str">
        <f t="shared" si="145"/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 t="shared" si="146"/>
        <v/>
      </c>
      <c r="M1880" s="65" t="str">
        <f t="shared" ca="1" si="147"/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148"/>
        <v/>
      </c>
      <c r="S1880" s="1" t="str">
        <f t="shared" si="149"/>
        <v/>
      </c>
      <c r="T1880" s="1">
        <f>IF($E1880="",0,SUMPRODUCT((AY_SONU!$O$7:$O$42="Evet")*(AY_SONU!$B$7:$B$42=DATE(YEAR($E1880),MONTH($E1880),1))))</f>
        <v>0</v>
      </c>
      <c r="U1880" s="1" t="str">
        <f>IF(OR($G1880="",$H1880="Mahsup"),"",$G1880&amp;"|"&amp;COUNTIFS($G$7:$G1880,$G1880,$H$7:$H1880,"&lt;&gt;Mahsup"))</f>
        <v/>
      </c>
    </row>
    <row r="1881" spans="1:21" ht="18" customHeight="1" x14ac:dyDescent="0.3">
      <c r="A1881" s="2"/>
      <c r="B1881" s="65" t="str">
        <f t="shared" si="145"/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 t="shared" si="146"/>
        <v/>
      </c>
      <c r="M1881" s="65" t="str">
        <f t="shared" ca="1" si="147"/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148"/>
        <v/>
      </c>
      <c r="S1881" s="1" t="str">
        <f t="shared" si="149"/>
        <v/>
      </c>
      <c r="T1881" s="1">
        <f>IF($E1881="",0,SUMPRODUCT((AY_SONU!$O$7:$O$42="Evet")*(AY_SONU!$B$7:$B$42=DATE(YEAR($E1881),MONTH($E1881),1))))</f>
        <v>0</v>
      </c>
      <c r="U1881" s="1" t="str">
        <f>IF(OR($G1881="",$H1881="Mahsup"),"",$G1881&amp;"|"&amp;COUNTIFS($G$7:$G1881,$G1881,$H$7:$H1881,"&lt;&gt;Mahsup"))</f>
        <v/>
      </c>
    </row>
    <row r="1882" spans="1:21" ht="18" customHeight="1" x14ac:dyDescent="0.3">
      <c r="A1882" s="2"/>
      <c r="B1882" s="65" t="str">
        <f t="shared" si="145"/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 t="shared" si="146"/>
        <v/>
      </c>
      <c r="M1882" s="65" t="str">
        <f t="shared" ca="1" si="147"/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148"/>
        <v/>
      </c>
      <c r="S1882" s="1" t="str">
        <f t="shared" si="149"/>
        <v/>
      </c>
      <c r="T1882" s="1">
        <f>IF($E1882="",0,SUMPRODUCT((AY_SONU!$O$7:$O$42="Evet")*(AY_SONU!$B$7:$B$42=DATE(YEAR($E1882),MONTH($E1882),1))))</f>
        <v>0</v>
      </c>
      <c r="U1882" s="1" t="str">
        <f>IF(OR($G1882="",$H1882="Mahsup"),"",$G1882&amp;"|"&amp;COUNTIFS($G$7:$G1882,$G1882,$H$7:$H1882,"&lt;&gt;Mahsup"))</f>
        <v/>
      </c>
    </row>
    <row r="1883" spans="1:21" ht="18" customHeight="1" x14ac:dyDescent="0.3">
      <c r="A1883" s="2"/>
      <c r="B1883" s="65" t="str">
        <f t="shared" si="145"/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 t="shared" si="146"/>
        <v/>
      </c>
      <c r="M1883" s="65" t="str">
        <f t="shared" ca="1" si="147"/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148"/>
        <v/>
      </c>
      <c r="S1883" s="1" t="str">
        <f t="shared" si="149"/>
        <v/>
      </c>
      <c r="T1883" s="1">
        <f>IF($E1883="",0,SUMPRODUCT((AY_SONU!$O$7:$O$42="Evet")*(AY_SONU!$B$7:$B$42=DATE(YEAR($E1883),MONTH($E1883),1))))</f>
        <v>0</v>
      </c>
      <c r="U1883" s="1" t="str">
        <f>IF(OR($G1883="",$H1883="Mahsup"),"",$G1883&amp;"|"&amp;COUNTIFS($G$7:$G1883,$G1883,$H$7:$H1883,"&lt;&gt;Mahsup"))</f>
        <v/>
      </c>
    </row>
    <row r="1884" spans="1:21" ht="18" customHeight="1" x14ac:dyDescent="0.3">
      <c r="A1884" s="2"/>
      <c r="B1884" s="65" t="str">
        <f t="shared" si="145"/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 t="shared" si="146"/>
        <v/>
      </c>
      <c r="M1884" s="65" t="str">
        <f t="shared" ca="1" si="147"/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148"/>
        <v/>
      </c>
      <c r="S1884" s="1" t="str">
        <f t="shared" si="149"/>
        <v/>
      </c>
      <c r="T1884" s="1">
        <f>IF($E1884="",0,SUMPRODUCT((AY_SONU!$O$7:$O$42="Evet")*(AY_SONU!$B$7:$B$42=DATE(YEAR($E1884),MONTH($E1884),1))))</f>
        <v>0</v>
      </c>
      <c r="U1884" s="1" t="str">
        <f>IF(OR($G1884="",$H1884="Mahsup"),"",$G1884&amp;"|"&amp;COUNTIFS($G$7:$G1884,$G1884,$H$7:$H1884,"&lt;&gt;Mahsup"))</f>
        <v/>
      </c>
    </row>
    <row r="1885" spans="1:21" ht="18" customHeight="1" x14ac:dyDescent="0.3">
      <c r="A1885" s="2"/>
      <c r="B1885" s="65" t="str">
        <f t="shared" si="145"/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 t="shared" si="146"/>
        <v/>
      </c>
      <c r="M1885" s="65" t="str">
        <f t="shared" ca="1" si="147"/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148"/>
        <v/>
      </c>
      <c r="S1885" s="1" t="str">
        <f t="shared" si="149"/>
        <v/>
      </c>
      <c r="T1885" s="1">
        <f>IF($E1885="",0,SUMPRODUCT((AY_SONU!$O$7:$O$42="Evet")*(AY_SONU!$B$7:$B$42=DATE(YEAR($E1885),MONTH($E1885),1))))</f>
        <v>0</v>
      </c>
      <c r="U1885" s="1" t="str">
        <f>IF(OR($G1885="",$H1885="Mahsup"),"",$G1885&amp;"|"&amp;COUNTIFS($G$7:$G1885,$G1885,$H$7:$H1885,"&lt;&gt;Mahsup"))</f>
        <v/>
      </c>
    </row>
    <row r="1886" spans="1:21" ht="18" customHeight="1" x14ac:dyDescent="0.3">
      <c r="A1886" s="2"/>
      <c r="B1886" s="65" t="str">
        <f t="shared" si="145"/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 t="shared" si="146"/>
        <v/>
      </c>
      <c r="M1886" s="65" t="str">
        <f t="shared" ca="1" si="147"/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148"/>
        <v/>
      </c>
      <c r="S1886" s="1" t="str">
        <f t="shared" si="149"/>
        <v/>
      </c>
      <c r="T1886" s="1">
        <f>IF($E1886="",0,SUMPRODUCT((AY_SONU!$O$7:$O$42="Evet")*(AY_SONU!$B$7:$B$42=DATE(YEAR($E1886),MONTH($E1886),1))))</f>
        <v>0</v>
      </c>
      <c r="U1886" s="1" t="str">
        <f>IF(OR($G1886="",$H1886="Mahsup"),"",$G1886&amp;"|"&amp;COUNTIFS($G$7:$G1886,$G1886,$H$7:$H1886,"&lt;&gt;Mahsup"))</f>
        <v/>
      </c>
    </row>
    <row r="1887" spans="1:21" ht="18" customHeight="1" x14ac:dyDescent="0.3">
      <c r="A1887" s="2"/>
      <c r="B1887" s="65" t="str">
        <f t="shared" si="145"/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 t="shared" si="146"/>
        <v/>
      </c>
      <c r="M1887" s="65" t="str">
        <f t="shared" ca="1" si="147"/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148"/>
        <v/>
      </c>
      <c r="S1887" s="1" t="str">
        <f t="shared" si="149"/>
        <v/>
      </c>
      <c r="T1887" s="1">
        <f>IF($E1887="",0,SUMPRODUCT((AY_SONU!$O$7:$O$42="Evet")*(AY_SONU!$B$7:$B$42=DATE(YEAR($E1887),MONTH($E1887),1))))</f>
        <v>0</v>
      </c>
      <c r="U1887" s="1" t="str">
        <f>IF(OR($G1887="",$H1887="Mahsup"),"",$G1887&amp;"|"&amp;COUNTIFS($G$7:$G1887,$G1887,$H$7:$H1887,"&lt;&gt;Mahsup"))</f>
        <v/>
      </c>
    </row>
    <row r="1888" spans="1:21" ht="18" customHeight="1" x14ac:dyDescent="0.3">
      <c r="A1888" s="2"/>
      <c r="B1888" s="65" t="str">
        <f t="shared" si="145"/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 t="shared" si="146"/>
        <v/>
      </c>
      <c r="M1888" s="65" t="str">
        <f t="shared" ca="1" si="147"/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148"/>
        <v/>
      </c>
      <c r="S1888" s="1" t="str">
        <f t="shared" si="149"/>
        <v/>
      </c>
      <c r="T1888" s="1">
        <f>IF($E1888="",0,SUMPRODUCT((AY_SONU!$O$7:$O$42="Evet")*(AY_SONU!$B$7:$B$42=DATE(YEAR($E1888),MONTH($E1888),1))))</f>
        <v>0</v>
      </c>
      <c r="U1888" s="1" t="str">
        <f>IF(OR($G1888="",$H1888="Mahsup"),"",$G1888&amp;"|"&amp;COUNTIFS($G$7:$G1888,$G1888,$H$7:$H1888,"&lt;&gt;Mahsup"))</f>
        <v/>
      </c>
    </row>
    <row r="1889" spans="1:21" ht="18" customHeight="1" x14ac:dyDescent="0.3">
      <c r="A1889" s="2"/>
      <c r="B1889" s="65" t="str">
        <f t="shared" si="145"/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 t="shared" si="146"/>
        <v/>
      </c>
      <c r="M1889" s="65" t="str">
        <f t="shared" ca="1" si="147"/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148"/>
        <v/>
      </c>
      <c r="S1889" s="1" t="str">
        <f t="shared" si="149"/>
        <v/>
      </c>
      <c r="T1889" s="1">
        <f>IF($E1889="",0,SUMPRODUCT((AY_SONU!$O$7:$O$42="Evet")*(AY_SONU!$B$7:$B$42=DATE(YEAR($E1889),MONTH($E1889),1))))</f>
        <v>0</v>
      </c>
      <c r="U1889" s="1" t="str">
        <f>IF(OR($G1889="",$H1889="Mahsup"),"",$G1889&amp;"|"&amp;COUNTIFS($G$7:$G1889,$G1889,$H$7:$H1889,"&lt;&gt;Mahsup"))</f>
        <v/>
      </c>
    </row>
    <row r="1890" spans="1:21" ht="18" customHeight="1" x14ac:dyDescent="0.3">
      <c r="A1890" s="2"/>
      <c r="B1890" s="65" t="str">
        <f t="shared" si="145"/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 t="shared" si="146"/>
        <v/>
      </c>
      <c r="M1890" s="65" t="str">
        <f t="shared" ca="1" si="147"/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148"/>
        <v/>
      </c>
      <c r="S1890" s="1" t="str">
        <f t="shared" si="149"/>
        <v/>
      </c>
      <c r="T1890" s="1">
        <f>IF($E1890="",0,SUMPRODUCT((AY_SONU!$O$7:$O$42="Evet")*(AY_SONU!$B$7:$B$42=DATE(YEAR($E1890),MONTH($E1890),1))))</f>
        <v>0</v>
      </c>
      <c r="U1890" s="1" t="str">
        <f>IF(OR($G1890="",$H1890="Mahsup"),"",$G1890&amp;"|"&amp;COUNTIFS($G$7:$G1890,$G1890,$H$7:$H1890,"&lt;&gt;Mahsup"))</f>
        <v/>
      </c>
    </row>
    <row r="1891" spans="1:21" ht="18" customHeight="1" x14ac:dyDescent="0.3">
      <c r="A1891" s="2"/>
      <c r="B1891" s="65" t="str">
        <f t="shared" si="145"/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 t="shared" si="146"/>
        <v/>
      </c>
      <c r="M1891" s="65" t="str">
        <f t="shared" ca="1" si="147"/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148"/>
        <v/>
      </c>
      <c r="S1891" s="1" t="str">
        <f t="shared" si="149"/>
        <v/>
      </c>
      <c r="T1891" s="1">
        <f>IF($E1891="",0,SUMPRODUCT((AY_SONU!$O$7:$O$42="Evet")*(AY_SONU!$B$7:$B$42=DATE(YEAR($E1891),MONTH($E1891),1))))</f>
        <v>0</v>
      </c>
      <c r="U1891" s="1" t="str">
        <f>IF(OR($G1891="",$H1891="Mahsup"),"",$G1891&amp;"|"&amp;COUNTIFS($G$7:$G1891,$G1891,$H$7:$H1891,"&lt;&gt;Mahsup"))</f>
        <v/>
      </c>
    </row>
    <row r="1892" spans="1:21" ht="18" customHeight="1" x14ac:dyDescent="0.3">
      <c r="A1892" s="2"/>
      <c r="B1892" s="65" t="str">
        <f t="shared" si="145"/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 t="shared" si="146"/>
        <v/>
      </c>
      <c r="M1892" s="65" t="str">
        <f t="shared" ca="1" si="147"/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148"/>
        <v/>
      </c>
      <c r="S1892" s="1" t="str">
        <f t="shared" si="149"/>
        <v/>
      </c>
      <c r="T1892" s="1">
        <f>IF($E1892="",0,SUMPRODUCT((AY_SONU!$O$7:$O$42="Evet")*(AY_SONU!$B$7:$B$42=DATE(YEAR($E1892),MONTH($E1892),1))))</f>
        <v>0</v>
      </c>
      <c r="U1892" s="1" t="str">
        <f>IF(OR($G1892="",$H1892="Mahsup"),"",$G1892&amp;"|"&amp;COUNTIFS($G$7:$G1892,$G1892,$H$7:$H1892,"&lt;&gt;Mahsup"))</f>
        <v/>
      </c>
    </row>
    <row r="1893" spans="1:21" ht="18" customHeight="1" x14ac:dyDescent="0.3">
      <c r="A1893" s="2"/>
      <c r="B1893" s="65" t="str">
        <f t="shared" si="145"/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 t="shared" si="146"/>
        <v/>
      </c>
      <c r="M1893" s="65" t="str">
        <f t="shared" ca="1" si="147"/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148"/>
        <v/>
      </c>
      <c r="S1893" s="1" t="str">
        <f t="shared" si="149"/>
        <v/>
      </c>
      <c r="T1893" s="1">
        <f>IF($E1893="",0,SUMPRODUCT((AY_SONU!$O$7:$O$42="Evet")*(AY_SONU!$B$7:$B$42=DATE(YEAR($E1893),MONTH($E1893),1))))</f>
        <v>0<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cent="0.3">
      <c r="A1894" s="2"/>
      <c r="B1894" s="65" t="str">
        <f t="shared" si="145"/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 t="shared" si="146"/>
        <v/>
      </c>
      <c r="M1894" s="65" t="str">
        <f t="shared" ca="1" si="147"/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148"/>
        <v/>
      </c>
      <c r="S1894" s="1" t="str">
        <f t="shared" si="149"/>
        <v/>
      </c>
      <c r="T1894" s="1">
        <f>IF($E1894="",0,SUMPRODUCT((AY_SONU!$O$7:$O$42="Evet")*(AY_SONU!$B$7:$B$42=DATE(YEAR($E1894),MONTH($E1894),1))))</f>
        <v>0</v>
      </c>
      <c r="U1894" s="1" t="str">
        <f>IF(OR($G1894="",$H1894="Mahsup"),"",$G1894&amp;"|"&amp;COUNTIFS($G$7:$G1894,$G1894,$H$7:$H1894,"&lt;&gt;Mahsup"))</f>
        <v/>
      </c>
    </row>
    <row r="1895" spans="1:21" ht="18" customHeight="1" x14ac:dyDescent="0.3">
      <c r="A1895" s="2"/>
      <c r="B1895" s="65" t="str">
        <f t="shared" si="145"/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 t="shared" si="146"/>
        <v/>
      </c>
      <c r="M1895" s="65" t="str">
        <f t="shared" ca="1" si="147"/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148"/>
        <v/>
      </c>
      <c r="S1895" s="1" t="str">
        <f t="shared" si="149"/>
        <v/>
      </c>
      <c r="T1895" s="1">
        <f>IF($E1895="",0,SUMPRODUCT((AY_SONU!$O$7:$O$42="Evet")*(AY_SONU!$B$7:$B$42=DATE(YEAR($E1895),MONTH($E1895),1))))</f>
        <v>0</v>
      </c>
      <c r="U1895" s="1" t="str">
        <f>IF(OR($G1895="",$H1895="Mahsup"),"",$G1895&amp;"|"&amp;COUNTIFS($G$7:$G1895,$G1895,$H$7:$H1895,"&lt;&gt;Mahsup"))</f>
        <v/>
      </c>
    </row>
    <row r="1896" spans="1:21" ht="18" customHeight="1" x14ac:dyDescent="0.3">
      <c r="A1896" s="2"/>
      <c r="B1896" s="65" t="str">
        <f t="shared" si="145"/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 t="shared" si="146"/>
        <v/>
      </c>
      <c r="M1896" s="65" t="str">
        <f t="shared" ca="1" si="147"/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148"/>
        <v/>
      </c>
      <c r="S1896" s="1" t="str">
        <f t="shared" si="149"/>
        <v/>
      </c>
      <c r="T1896" s="1">
        <f>IF($E1896="",0,SUMPRODUCT((AY_SONU!$O$7:$O$42="Evet")*(AY_SONU!$B$7:$B$42=DATE(YEAR($E1896),MONTH($E1896),1))))</f>
        <v>0</v>
      </c>
      <c r="U1896" s="1" t="str">
        <f>IF(OR($G1896="",$H1896="Mahsup"),"",$G1896&amp;"|"&amp;COUNTIFS($G$7:$G1896,$G1896,$H$7:$H1896,"&lt;&gt;Mahsup"))</f>
        <v/>
      </c>
    </row>
    <row r="1897" spans="1:21" ht="18" customHeight="1" x14ac:dyDescent="0.3">
      <c r="A1897" s="2"/>
      <c r="B1897" s="65" t="str">
        <f t="shared" si="145"/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 t="shared" si="146"/>
        <v/>
      </c>
      <c r="M1897" s="65" t="str">
        <f t="shared" ca="1" si="147"/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148"/>
        <v/>
      </c>
      <c r="S1897" s="1" t="str">
        <f t="shared" si="149"/>
        <v/>
      </c>
      <c r="T1897" s="1">
        <f>IF($E1897="",0,SUMPRODUCT((AY_SONU!$O$7:$O$42="Evet")*(AY_SONU!$B$7:$B$42=DATE(YEAR($E1897),MONTH($E1897),1))))</f>
        <v>0</v>
      </c>
      <c r="U1897" s="1" t="str">
        <f>IF(OR($G1897="",$H1897="Mahsup"),"",$G1897&amp;"|"&amp;COUNTIFS($G$7:$G1897,$G1897,$H$7:$H1897,"&lt;&gt;Mahsup"))</f>
        <v/>
      </c>
    </row>
    <row r="1898" spans="1:21" ht="18" customHeight="1" x14ac:dyDescent="0.3">
      <c r="A1898" s="2"/>
      <c r="B1898" s="65" t="str">
        <f t="shared" si="145"/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 t="shared" si="146"/>
        <v/>
      </c>
      <c r="M1898" s="65" t="str">
        <f t="shared" ca="1" si="147"/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148"/>
        <v/>
      </c>
      <c r="S1898" s="1" t="str">
        <f t="shared" si="149"/>
        <v/>
      </c>
      <c r="T1898" s="1">
        <f>IF($E1898="",0,SUMPRODUCT((AY_SONU!$O$7:$O$42="Evet")*(AY_SONU!$B$7:$B$42=DATE(YEAR($E1898),MONTH($E1898),1))))</f>
        <v>0</v>
      </c>
      <c r="U1898" s="1" t="str">
        <f>IF(OR($G1898="",$H1898="Mahsup"),"",$G1898&amp;"|"&amp;COUNTIFS($G$7:$G1898,$G1898,$H$7:$H1898,"&lt;&gt;Mahsup"))</f>
        <v/>
      </c>
    </row>
    <row r="1899" spans="1:21" ht="18" customHeight="1" x14ac:dyDescent="0.3">
      <c r="A1899" s="2"/>
      <c r="B1899" s="65" t="str">
        <f t="shared" si="145"/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 t="shared" si="146"/>
        <v/>
      </c>
      <c r="M1899" s="65" t="str">
        <f t="shared" ca="1" si="147"/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148"/>
        <v/>
      </c>
      <c r="S1899" s="1" t="str">
        <f t="shared" si="149"/>
        <v/>
      </c>
      <c r="T1899" s="1">
        <f>IF($E1899="",0,SUMPRODUCT((AY_SONU!$O$7:$O$42="Evet")*(AY_SONU!$B$7:$B$42=DATE(YEAR($E1899),MONTH($E1899),1))))</f>
        <v>0</v>
      </c>
      <c r="U1899" s="1" t="str">
        <f>IF(OR($G1899="",$H1899="Mahsup"),"",$G1899&amp;"|"&amp;COUNTIFS($G$7:$G1899,$G1899,$H$7:$H1899,"&lt;&gt;Mahsup"))</f>
        <v/>
      </c>
    </row>
    <row r="1900" spans="1:21" ht="18" customHeight="1" x14ac:dyDescent="0.3">
      <c r="A1900" s="2"/>
      <c r="B1900" s="65" t="str">
        <f t="shared" si="145"/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 t="shared" si="146"/>
        <v/>
      </c>
      <c r="M1900" s="65" t="str">
        <f t="shared" ca="1" si="147"/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148"/>
        <v/>
      </c>
      <c r="S1900" s="1" t="str">
        <f t="shared" si="149"/>
        <v/>
      </c>
      <c r="T1900" s="1">
        <f>IF($E1900="",0,SUMPRODUCT((AY_SONU!$O$7:$O$42="Evet")*(AY_SONU!$B$7:$B$42=DATE(YEAR($E1900),MONTH($E1900),1))))</f>
        <v>0</v>
      </c>
      <c r="U1900" s="1" t="str">
        <f>IF(OR($G1900="",$H1900="Mahsup"),"",$G1900&amp;"|"&amp;COUNTIFS($G$7:$G1900,$G1900,$H$7:$H1900,"&lt;&gt;Mahsup"))</f>
        <v/>
      </c>
    </row>
    <row r="1901" spans="1:21" ht="18" customHeight="1" x14ac:dyDescent="0.3">
      <c r="A1901" s="2"/>
      <c r="B1901" s="65" t="str">
        <f t="shared" si="145"/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 t="shared" si="146"/>
        <v/>
      </c>
      <c r="M1901" s="65" t="str">
        <f t="shared" ca="1" si="147"/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148"/>
        <v/>
      </c>
      <c r="S1901" s="1" t="str">
        <f t="shared" si="149"/>
        <v/>
      </c>
      <c r="T1901" s="1">
        <f>IF($E1901="",0,SUMPRODUCT((AY_SONU!$O$7:$O$42="Evet")*(AY_SONU!$B$7:$B$42=DATE(YEAR($E1901),MONTH($E1901),1))))</f>
        <v>0</v>
      </c>
      <c r="U1901" s="1" t="str">
        <f>IF(OR($G1901="",$H1901="Mahsup"),"",$G1901&amp;"|"&amp;COUNTIFS($G$7:$G1901,$G1901,$H$7:$H1901,"&lt;&gt;Mahsup"))</f>
        <v/>
      </c>
    </row>
    <row r="1902" spans="1:21" ht="18" customHeight="1" x14ac:dyDescent="0.3">
      <c r="A1902" s="2"/>
      <c r="B1902" s="65" t="str">
        <f t="shared" si="145"/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 t="shared" si="146"/>
        <v/>
      </c>
      <c r="M1902" s="65" t="str">
        <f t="shared" ca="1" si="147"/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148"/>
        <v/>
      </c>
      <c r="S1902" s="1" t="str">
        <f t="shared" si="149"/>
        <v/>
      </c>
      <c r="T1902" s="1">
        <f>IF($E1902="",0,SUMPRODUCT((AY_SONU!$O$7:$O$42="Evet")*(AY_SONU!$B$7:$B$42=DATE(YEAR($E1902),MONTH($E1902),1))))</f>
        <v>0</v>
      </c>
      <c r="U1902" s="1" t="str">
        <f>IF(OR($G1902="",$H1902="Mahsup"),"",$G1902&amp;"|"&amp;COUNTIFS($G$7:$G1902,$G1902,$H$7:$H1902,"&lt;&gt;Mahsup"))</f>
        <v/>
      </c>
    </row>
    <row r="1903" spans="1:21" ht="18" customHeight="1" x14ac:dyDescent="0.3">
      <c r="A1903" s="2"/>
      <c r="B1903" s="65" t="str">
        <f t="shared" si="145"/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 t="shared" si="146"/>
        <v/>
      </c>
      <c r="M1903" s="65" t="str">
        <f t="shared" ca="1" si="147"/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148"/>
        <v/>
      </c>
      <c r="S1903" s="1" t="str">
        <f t="shared" si="149"/>
        <v/>
      </c>
      <c r="T1903" s="1">
        <f>IF($E1903="",0,SUMPRODUCT((AY_SONU!$O$7:$O$42="Evet")*(AY_SONU!$B$7:$B$42=DATE(YEAR($E1903),MONTH($E1903),1))))</f>
        <v>0</v>
      </c>
      <c r="U1903" s="1" t="str">
        <f>IF(OR($G1903="",$H1903="Mahsup"),"",$G1903&amp;"|"&amp;COUNTIFS($G$7:$G1903,$G1903,$H$7:$H1903,"&lt;&gt;Mahsup"))</f>
        <v/>
      </c>
    </row>
    <row r="1904" spans="1:21" ht="18" customHeight="1" x14ac:dyDescent="0.3">
      <c r="A1904" s="2"/>
      <c r="B1904" s="65" t="str">
        <f t="shared" si="145"/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 t="shared" si="146"/>
        <v/>
      </c>
      <c r="M1904" s="65" t="str">
        <f t="shared" ca="1" si="147"/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148"/>
        <v/>
      </c>
      <c r="S1904" s="1" t="str">
        <f t="shared" si="149"/>
        <v/>
      </c>
      <c r="T1904" s="1">
        <f>IF($E1904="",0,SUMPRODUCT((AY_SONU!$O$7:$O$42="Evet")*(AY_SONU!$B$7:$B$42=DATE(YEAR($E1904),MONTH($E1904),1))))</f>
        <v>0</v>
      </c>
      <c r="U1904" s="1" t="str">
        <f>IF(OR($G1904="",$H1904="Mahsup"),"",$G1904&amp;"|"&amp;COUNTIFS($G$7:$G1904,$G1904,$H$7:$H1904,"&lt;&gt;Mahsup"))</f>
        <v/>
      </c>
    </row>
    <row r="1905" spans="1:21" ht="18" customHeight="1" x14ac:dyDescent="0.3">
      <c r="A1905" s="2"/>
      <c r="B1905" s="65" t="str">
        <f t="shared" si="145"/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 t="shared" si="146"/>
        <v/>
      </c>
      <c r="M1905" s="65" t="str">
        <f t="shared" ca="1" si="147"/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148"/>
        <v/>
      </c>
      <c r="S1905" s="1" t="str">
        <f t="shared" si="149"/>
        <v/>
      </c>
      <c r="T1905" s="1">
        <f>IF($E1905="",0,SUMPRODUCT((AY_SONU!$O$7:$O$42="Evet")*(AY_SONU!$B$7:$B$42=DATE(YEAR($E1905),MONTH($E1905),1))))</f>
        <v>0</v>
      </c>
      <c r="U1905" s="1" t="str">
        <f>IF(OR($G1905="",$H1905="Mahsup"),"",$G1905&amp;"|"&amp;COUNTIFS($G$7:$G1905,$G1905,$H$7:$H1905,"&lt;&gt;Mahsup"))</f>
        <v/>
      </c>
    </row>
    <row r="1906" spans="1:21" ht="18" customHeight="1" x14ac:dyDescent="0.3">
      <c r="A1906" s="2"/>
      <c r="B1906" s="65" t="str">
        <f t="shared" si="145"/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 t="shared" si="146"/>
        <v/>
      </c>
      <c r="M1906" s="65" t="str">
        <f t="shared" ca="1" si="147"/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148"/>
        <v/>
      </c>
      <c r="S1906" s="1" t="str">
        <f t="shared" si="149"/>
        <v/>
      </c>
      <c r="T1906" s="1">
        <f>IF($E1906="",0,SUMPRODUCT((AY_SONU!$O$7:$O$42="Evet")*(AY_SONU!$B$7:$B$42=DATE(YEAR($E1906),MONTH($E1906),1))))</f>
        <v>0</v>
      </c>
      <c r="U1906" s="1" t="str">
        <f>IF(OR($G1906="",$H1906="Mahsup"),"",$G1906&amp;"|"&amp;COUNTIFS($G$7:$G1906,$G1906,$H$7:$H1906,"&lt;&gt;Mahsup"))</f>
        <v/>
      </c>
    </row>
    <row r="1907" spans="1:21" ht="18" customHeight="1" x14ac:dyDescent="0.3">
      <c r="A1907" s="2"/>
      <c r="B1907" s="65" t="str">
        <f t="shared" si="145"/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 t="shared" si="146"/>
        <v/>
      </c>
      <c r="M1907" s="65" t="str">
        <f t="shared" ca="1" si="147"/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148"/>
        <v/>
      </c>
      <c r="S1907" s="1" t="str">
        <f t="shared" si="149"/>
        <v/>
      </c>
      <c r="T1907" s="1">
        <f>IF($E1907="",0,SUMPRODUCT((AY_SONU!$O$7:$O$42="Evet")*(AY_SONU!$B$7:$B$42=DATE(YEAR($E1907),MONTH($E1907),1))))</f>
        <v>0</v>
      </c>
      <c r="U1907" s="1" t="str">
        <f>IF(OR($G1907="",$H1907="Mahsup"),"",$G1907&amp;"|"&amp;COUNTIFS($G$7:$G1907,$G1907,$H$7:$H1907,"&lt;&gt;Mahsup"))</f>
        <v/>
      </c>
    </row>
    <row r="1908" spans="1:21" ht="18" customHeight="1" x14ac:dyDescent="0.3">
      <c r="A1908" s="2"/>
      <c r="B1908" s="65" t="str">
        <f t="shared" si="145"/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 t="shared" si="146"/>
        <v/>
      </c>
      <c r="M1908" s="65" t="str">
        <f t="shared" ca="1" si="147"/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148"/>
        <v/>
      </c>
      <c r="S1908" s="1" t="str">
        <f t="shared" si="149"/>
        <v/>
      </c>
      <c r="T1908" s="1">
        <f>IF($E1908="",0,SUMPRODUCT((AY_SONU!$O$7:$O$42="Evet")*(AY_SONU!$B$7:$B$42=DATE(YEAR($E1908),MONTH($E1908),1))))</f>
        <v>0</v>
      </c>
      <c r="U1908" s="1" t="str">
        <f>IF(OR($G1908="",$H1908="Mahsup"),"",$G1908&amp;"|"&amp;COUNTIFS($G$7:$G1908,$G1908,$H$7:$H1908,"&lt;&gt;Mahsup"))</f>
        <v/>
      </c>
    </row>
    <row r="1909" spans="1:21" ht="18" customHeight="1" x14ac:dyDescent="0.3">
      <c r="A1909" s="2"/>
      <c r="B1909" s="65" t="str">
        <f t="shared" si="145"/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 t="shared" si="146"/>
        <v/>
      </c>
      <c r="M1909" s="65" t="str">
        <f t="shared" ca="1" si="147"/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148"/>
        <v/>
      </c>
      <c r="S1909" s="1" t="str">
        <f t="shared" si="149"/>
        <v/>
      </c>
      <c r="T1909" s="1">
        <f>IF($E1909="",0,SUMPRODUCT((AY_SONU!$O$7:$O$42="Evet")*(AY_SONU!$B$7:$B$42=DATE(YEAR($E1909),MONTH($E1909),1))))</f>
        <v>0</v>
      </c>
      <c r="U1909" s="1" t="str">
        <f>IF(OR($G1909="",$H1909="Mahsup"),"",$G1909&amp;"|"&amp;COUNTIFS($G$7:$G1909,$G1909,$H$7:$H1909,"&lt;&gt;Mahsup"))</f>
        <v/>
      </c>
    </row>
    <row r="1910" spans="1:21" ht="18" customHeight="1" x14ac:dyDescent="0.3">
      <c r="A1910" s="2"/>
      <c r="B1910" s="65" t="str">
        <f t="shared" si="145"/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 t="shared" si="146"/>
        <v/>
      </c>
      <c r="M1910" s="65" t="str">
        <f t="shared" ca="1" si="147"/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148"/>
        <v/>
      </c>
      <c r="S1910" s="1" t="str">
        <f t="shared" si="149"/>
        <v/>
      </c>
      <c r="T1910" s="1">
        <f>IF($E1910="",0,SUMPRODUCT((AY_SONU!$O$7:$O$42="Evet")*(AY_SONU!$B$7:$B$42=DATE(YEAR($E1910),MONTH($E1910),1))))</f>
        <v>0</v>
      </c>
      <c r="U1910" s="1" t="str">
        <f>IF(OR($G1910="",$H1910="Mahsup"),"",$G1910&amp;"|"&amp;COUNTIFS($G$7:$G1910,$G1910,$H$7:$H1910,"&lt;&gt;Mahsup"))</f>
        <v/>
      </c>
    </row>
    <row r="1911" spans="1:21" ht="18" customHeight="1" x14ac:dyDescent="0.3">
      <c r="A1911" s="2"/>
      <c r="B1911" s="65" t="str">
        <f t="shared" si="145"/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 t="shared" si="146"/>
        <v/>
      </c>
      <c r="M1911" s="65" t="str">
        <f t="shared" ca="1" si="147"/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148"/>
        <v/>
      </c>
      <c r="S1911" s="1" t="str">
        <f t="shared" si="149"/>
        <v/>
      </c>
      <c r="T1911" s="1">
        <f>IF($E1911="",0,SUMPRODUCT((AY_SONU!$O$7:$O$42="Evet")*(AY_SONU!$B$7:$B$42=DATE(YEAR($E1911),MONTH($E1911),1))))</f>
        <v>0</v>
      </c>
      <c r="U1911" s="1" t="str">
        <f>IF(OR($G1911="",$H1911="Mahsup"),"",$G1911&amp;"|"&amp;COUNTIFS($G$7:$G1911,$G1911,$H$7:$H1911,"&lt;&gt;Mahsup"))</f>
        <v/>
      </c>
    </row>
    <row r="1912" spans="1:21" ht="18" customHeight="1" x14ac:dyDescent="0.3">
      <c r="A1912" s="2"/>
      <c r="B1912" s="65" t="str">
        <f t="shared" si="145"/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 t="shared" si="146"/>
        <v/>
      </c>
      <c r="M1912" s="65" t="str">
        <f t="shared" ca="1" si="147"/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148"/>
        <v/>
      </c>
      <c r="S1912" s="1" t="str">
        <f t="shared" si="149"/>
        <v/>
      </c>
      <c r="T1912" s="1">
        <f>IF($E1912="",0,SUMPRODUCT((AY_SONU!$O$7:$O$42="Evet")*(AY_SONU!$B$7:$B$42=DATE(YEAR($E1912),MONTH($E1912),1))))</f>
        <v>0</v>
      </c>
      <c r="U1912" s="1" t="str">
        <f>IF(OR($G1912="",$H1912="Mahsup"),"",$G1912&amp;"|"&amp;COUNTIFS($G$7:$G1912,$G1912,$H$7:$H1912,"&lt;&gt;Mahsup"))</f>
        <v/>
      </c>
    </row>
    <row r="1913" spans="1:21" ht="18" customHeight="1" x14ac:dyDescent="0.3">
      <c r="A1913" s="2"/>
      <c r="B1913" s="65" t="str">
        <f t="shared" si="145"/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 t="shared" si="146"/>
        <v/>
      </c>
      <c r="M1913" s="65" t="str">
        <f t="shared" ca="1" si="147"/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148"/>
        <v/>
      </c>
      <c r="S1913" s="1" t="str">
        <f t="shared" si="149"/>
        <v/>
      </c>
      <c r="T1913" s="1">
        <f>IF($E1913="",0,SUMPRODUCT((AY_SONU!$O$7:$O$42="Evet")*(AY_SONU!$B$7:$B$42=DATE(YEAR($E1913),MONTH($E1913),1))))</f>
        <v>0</v>
      </c>
      <c r="U1913" s="1" t="str">
        <f>IF(OR($G1913="",$H1913="Mahsup"),"",$G1913&amp;"|"&amp;COUNTIFS($G$7:$G1913,$G1913,$H$7:$H1913,"&lt;&gt;Mahsup"))</f>
        <v/>
      </c>
    </row>
    <row r="1914" spans="1:21" ht="18" customHeight="1" x14ac:dyDescent="0.3">
      <c r="A1914" s="2"/>
      <c r="B1914" s="65" t="str">
        <f t="shared" si="145"/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 t="shared" si="146"/>
        <v/>
      </c>
      <c r="M1914" s="65" t="str">
        <f t="shared" ca="1" si="147"/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148"/>
        <v/>
      </c>
      <c r="S1914" s="1" t="str">
        <f t="shared" si="149"/>
        <v/>
      </c>
      <c r="T1914" s="1">
        <f>IF($E1914="",0,SUMPRODUCT((AY_SONU!$O$7:$O$42="Evet")*(AY_SONU!$B$7:$B$42=DATE(YEAR($E1914),MONTH($E1914),1))))</f>
        <v>0</v>
      </c>
      <c r="U1914" s="1" t="str">
        <f>IF(OR($G1914="",$H1914="Mahsup"),"",$G1914&amp;"|"&amp;COUNTIFS($G$7:$G1914,$G1914,$H$7:$H1914,"&lt;&gt;Mahsup"))</f>
        <v/>
      </c>
    </row>
    <row r="1915" spans="1:21" ht="18" customHeight="1" x14ac:dyDescent="0.3">
      <c r="A1915" s="2"/>
      <c r="B1915" s="65" t="str">
        <f t="shared" si="145"/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 t="shared" si="146"/>
        <v/>
      </c>
      <c r="M1915" s="65" t="str">
        <f t="shared" ca="1" si="147"/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148"/>
        <v/>
      </c>
      <c r="S1915" s="1" t="str">
        <f t="shared" si="149"/>
        <v/>
      </c>
      <c r="T1915" s="1">
        <f>IF($E1915="",0,SUMPRODUCT((AY_SONU!$O$7:$O$42="Evet")*(AY_SONU!$B$7:$B$42=DATE(YEAR($E1915),MONTH($E1915),1))))</f>
        <v>0</v>
      </c>
      <c r="U1915" s="1" t="str">
        <f>IF(OR($G1915="",$H1915="Mahsup"),"",$G1915&amp;"|"&amp;COUNTIFS($G$7:$G1915,$G1915,$H$7:$H1915,"&lt;&gt;Mahsup"))</f>
        <v/>
      </c>
    </row>
    <row r="1916" spans="1:21" ht="18" customHeight="1" x14ac:dyDescent="0.3">
      <c r="A1916" s="2"/>
      <c r="B1916" s="65" t="str">
        <f t="shared" si="145"/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 t="shared" si="146"/>
        <v/>
      </c>
      <c r="M1916" s="65" t="str">
        <f t="shared" ca="1" si="147"/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148"/>
        <v/>
      </c>
      <c r="S1916" s="1" t="str">
        <f t="shared" si="149"/>
        <v/>
      </c>
      <c r="T1916" s="1">
        <f>IF($E1916="",0,SUMPRODUCT((AY_SONU!$O$7:$O$42="Evet")*(AY_SONU!$B$7:$B$42=DATE(YEAR($E1916),MONTH($E1916),1))))</f>
        <v>0</v>
      </c>
      <c r="U1916" s="1" t="str">
        <f>IF(OR($G1916="",$H1916="Mahsup"),"",$G1916&amp;"|"&amp;COUNTIFS($G$7:$G1916,$G1916,$H$7:$H1916,"&lt;&gt;Mahsup"))</f>
        <v/>
      </c>
    </row>
    <row r="1917" spans="1:21" ht="18" customHeight="1" x14ac:dyDescent="0.3">
      <c r="A1917" s="2"/>
      <c r="B1917" s="65" t="str">
        <f t="shared" si="145"/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 t="shared" si="146"/>
        <v/>
      </c>
      <c r="M1917" s="65" t="str">
        <f t="shared" ca="1" si="147"/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148"/>
        <v/>
      </c>
      <c r="S1917" s="1" t="str">
        <f t="shared" si="149"/>
        <v/>
      </c>
      <c r="T1917" s="1">
        <f>IF($E1917="",0,SUMPRODUCT((AY_SONU!$O$7:$O$42="Evet")*(AY_SONU!$B$7:$B$42=DATE(YEAR($E1917),MONTH($E1917),1))))</f>
        <v>0</v>
      </c>
      <c r="U1917" s="1" t="str">
        <f>IF(OR($G1917="",$H1917="Mahsup"),"",$G1917&amp;"|"&amp;COUNTIFS($G$7:$G1917,$G1917,$H$7:$H1917,"&lt;&gt;Mahsup"))</f>
        <v/>
      </c>
    </row>
    <row r="1918" spans="1:21" ht="18" customHeight="1" x14ac:dyDescent="0.3">
      <c r="A1918" s="2"/>
      <c r="B1918" s="65" t="str">
        <f t="shared" si="145"/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 t="shared" si="146"/>
        <v/>
      </c>
      <c r="M1918" s="65" t="str">
        <f t="shared" ca="1" si="147"/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148"/>
        <v/>
      </c>
      <c r="S1918" s="1" t="str">
        <f t="shared" si="149"/>
        <v/>
      </c>
      <c r="T1918" s="1">
        <f>IF($E1918="",0,SUMPRODUCT((AY_SONU!$O$7:$O$42="Evet")*(AY_SONU!$B$7:$B$42=DATE(YEAR($E1918),MONTH($E1918),1))))</f>
        <v>0</v>
      </c>
      <c r="U1918" s="1" t="str">
        <f>IF(OR($G1918="",$H1918="Mahsup"),"",$G1918&amp;"|"&amp;COUNTIFS($G$7:$G1918,$G1918,$H$7:$H1918,"&lt;&gt;Mahsup"))</f>
        <v/>
      </c>
    </row>
    <row r="1919" spans="1:21" ht="18" customHeight="1" x14ac:dyDescent="0.3">
      <c r="A1919" s="2"/>
      <c r="B1919" s="65" t="str">
        <f t="shared" si="145"/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 t="shared" si="146"/>
        <v/>
      </c>
      <c r="M1919" s="65" t="str">
        <f t="shared" ca="1" si="147"/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148"/>
        <v/>
      </c>
      <c r="S1919" s="1" t="str">
        <f t="shared" si="149"/>
        <v/>
      </c>
      <c r="T1919" s="1">
        <f>IF($E1919="",0,SUMPRODUCT((AY_SONU!$O$7:$O$42="Evet")*(AY_SONU!$B$7:$B$42=DATE(YEAR($E1919),MONTH($E1919),1))))</f>
        <v>0</v>
      </c>
      <c r="U1919" s="1" t="str">
        <f>IF(OR($G1919="",$H1919="Mahsup"),"",$G1919&amp;"|"&amp;COUNTIFS($G$7:$G1919,$G1919,$H$7:$H1919,"&lt;&gt;Mahsup"))</f>
        <v/>
      </c>
    </row>
    <row r="1920" spans="1:21" ht="18" customHeight="1" x14ac:dyDescent="0.3">
      <c r="A1920" s="2"/>
      <c r="B1920" s="65" t="str">
        <f t="shared" si="145"/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 t="shared" si="146"/>
        <v/>
      </c>
      <c r="M1920" s="65" t="str">
        <f t="shared" ca="1" si="147"/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148"/>
        <v/>
      </c>
      <c r="S1920" s="1" t="str">
        <f t="shared" si="149"/>
        <v/>
      </c>
      <c r="T1920" s="1">
        <f>IF($E1920="",0,SUMPRODUCT((AY_SONU!$O$7:$O$42="Evet")*(AY_SONU!$B$7:$B$42=DATE(YEAR($E1920),MONTH($E1920),1))))</f>
        <v>0</v>
      </c>
      <c r="U1920" s="1" t="str">
        <f>IF(OR($G1920="",$H1920="Mahsup"),"",$G1920&amp;"|"&amp;COUNTIFS($G$7:$G1920,$G1920,$H$7:$H1920,"&lt;&gt;Mahsup"))</f>
        <v/>
      </c>
    </row>
    <row r="1921" spans="1:21" ht="18" customHeight="1" x14ac:dyDescent="0.3">
      <c r="A1921" s="2"/>
      <c r="B1921" s="65" t="str">
        <f t="shared" si="145"/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 t="shared" si="146"/>
        <v/>
      </c>
      <c r="M1921" s="65" t="str">
        <f t="shared" ca="1" si="147"/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148"/>
        <v/>
      </c>
      <c r="S1921" s="1" t="str">
        <f t="shared" si="149"/>
        <v/>
      </c>
      <c r="T1921" s="1">
        <f>IF($E1921="",0,SUMPRODUCT((AY_SONU!$O$7:$O$42="Evet")*(AY_SONU!$B$7:$B$42=DATE(YEAR($E1921),MONTH($E1921),1))))</f>
        <v>0</v>
      </c>
      <c r="U1921" s="1" t="str">
        <f>IF(OR($G1921="",$H1921="Mahsup"),"",$G1921&amp;"|"&amp;COUNTIFS($G$7:$G1921,$G1921,$H$7:$H1921,"&lt;&gt;Mahsup"))</f>
        <v/>
      </c>
    </row>
    <row r="1922" spans="1:21" ht="18" customHeight="1" x14ac:dyDescent="0.3">
      <c r="A1922" s="2"/>
      <c r="B1922" s="65" t="str">
        <f t="shared" si="145"/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 t="shared" si="146"/>
        <v/>
      </c>
      <c r="M1922" s="65" t="str">
        <f t="shared" ca="1" si="147"/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148"/>
        <v/>
      </c>
      <c r="S1922" s="1" t="str">
        <f t="shared" si="149"/>
        <v/>
      </c>
      <c r="T1922" s="1">
        <f>IF($E1922="",0,SUMPRODUCT((AY_SONU!$O$7:$O$42="Evet")*(AY_SONU!$B$7:$B$42=DATE(YEAR($E1922),MONTH($E1922),1))))</f>
        <v>0</v>
      </c>
      <c r="U1922" s="1" t="str">
        <f>IF(OR($G1922="",$H1922="Mahsup"),"",$G1922&amp;"|"&amp;COUNTIFS($G$7:$G1922,$G1922,$H$7:$H1922,"&lt;&gt;Mahsup"))</f>
        <v/>
      </c>
    </row>
    <row r="1923" spans="1:21" ht="18" customHeight="1" x14ac:dyDescent="0.3">
      <c r="A1923" s="2"/>
      <c r="B1923" s="65" t="str">
        <f t="shared" si="145"/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 t="shared" si="146"/>
        <v/>
      </c>
      <c r="M1923" s="65" t="str">
        <f t="shared" ca="1" si="147"/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148"/>
        <v/>
      </c>
      <c r="S1923" s="1" t="str">
        <f t="shared" si="149"/>
        <v/>
      </c>
      <c r="T1923" s="1">
        <f>IF($E1923="",0,SUMPRODUCT((AY_SONU!$O$7:$O$42="Evet")*(AY_SONU!$B$7:$B$42=DATE(YEAR($E1923),MONTH($E1923),1))))</f>
        <v>0</v>
      </c>
      <c r="U1923" s="1" t="str">
        <f>IF(OR($G1923="",$H1923="Mahsup"),"",$G1923&amp;"|"&amp;COUNTIFS($G$7:$G1923,$G1923,$H$7:$H1923,"&lt;&gt;Mahsup"))</f>
        <v/>
      </c>
    </row>
    <row r="1924" spans="1:21" ht="18" customHeight="1" x14ac:dyDescent="0.3">
      <c r="A1924" s="2"/>
      <c r="B1924" s="65" t="str">
        <f t="shared" si="145"/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 t="shared" si="146"/>
        <v/>
      </c>
      <c r="M1924" s="65" t="str">
        <f t="shared" ca="1" si="147"/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148"/>
        <v/>
      </c>
      <c r="S1924" s="1" t="str">
        <f t="shared" si="149"/>
        <v/>
      </c>
      <c r="T1924" s="1">
        <f>IF($E1924="",0,SUMPRODUCT((AY_SONU!$O$7:$O$42="Evet")*(AY_SONU!$B$7:$B$42=DATE(YEAR($E1924),MONTH($E1924),1))))</f>
        <v>0</v>
      </c>
      <c r="U1924" s="1" t="str">
        <f>IF(OR($G1924="",$H1924="Mahsup"),"",$G1924&amp;"|"&amp;COUNTIFS($G$7:$G1924,$G1924,$H$7:$H1924,"&lt;&gt;Mahsup"))</f>
        <v/>
      </c>
    </row>
    <row r="1925" spans="1:21" ht="18" customHeight="1" x14ac:dyDescent="0.3">
      <c r="A1925" s="2"/>
      <c r="B1925" s="65" t="str">
        <f t="shared" si="145"/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 t="shared" si="146"/>
        <v/>
      </c>
      <c r="M1925" s="65" t="str">
        <f t="shared" ca="1" si="147"/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148"/>
        <v/>
      </c>
      <c r="S1925" s="1" t="str">
        <f t="shared" si="149"/>
        <v/>
      </c>
      <c r="T1925" s="1">
        <f>IF($E1925="",0,SUMPRODUCT((AY_SONU!$O$7:$O$42="Evet")*(AY_SONU!$B$7:$B$42=DATE(YEAR($E1925),MONTH($E1925),1))))</f>
        <v>0</v>
      </c>
      <c r="U1925" s="1" t="str">
        <f>IF(OR($G1925="",$H1925="Mahsup"),"",$G1925&amp;"|"&amp;COUNTIFS($G$7:$G1925,$G1925,$H$7:$H1925,"&lt;&gt;Mahsup"))</f>
        <v/>
      </c>
    </row>
    <row r="1926" spans="1:21" ht="18" customHeight="1" x14ac:dyDescent="0.3">
      <c r="A1926" s="2"/>
      <c r="B1926" s="65" t="str">
        <f t="shared" si="145"/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 t="shared" si="146"/>
        <v/>
      </c>
      <c r="M1926" s="65" t="str">
        <f t="shared" ca="1" si="147"/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148"/>
        <v/>
      </c>
      <c r="S1926" s="1" t="str">
        <f t="shared" si="149"/>
        <v/>
      </c>
      <c r="T1926" s="1">
        <f>IF($E1926="",0,SUMPRODUCT((AY_SONU!$O$7:$O$42="Evet")*(AY_SONU!$B$7:$B$42=DATE(YEAR($E1926),MONTH($E1926),1))))</f>
        <v>0</v>
      </c>
      <c r="U1926" s="1" t="str">
        <f>IF(OR($G1926="",$H1926="Mahsup"),"",$G1926&amp;"|"&amp;COUNTIFS($G$7:$G1926,$G1926,$H$7:$H1926,"&lt;&gt;Mahsup"))</f>
        <v/>
      </c>
    </row>
    <row r="1927" spans="1:21" ht="18" customHeight="1" x14ac:dyDescent="0.3">
      <c r="A1927" s="2"/>
      <c r="B1927" s="65" t="str">
        <f t="shared" ref="B1927:B1990" si="150"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 t="shared" ref="L1927:L1990" si="151">IF($E1927="","",DATE(YEAR($E1927),MONTH($E1927),1))</f>
        <v/>
      </c>
      <c r="M1927" s="65" t="str">
        <f t="shared" ref="M1927:M1990" ca="1" si="152"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153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154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  <c r="U1927" s="1" t="str">
        <f>IF(OR($G1927="",$H1927="Mahsup"),"",$G1927&amp;"|"&amp;COUNTIFS($G$7:$G1927,$G1927,$H$7:$H1927,"&lt;&gt;Mahsup"))</f>
        <v/>
      </c>
    </row>
    <row r="1928" spans="1:21" ht="18" customHeight="1" x14ac:dyDescent="0.3">
      <c r="A1928" s="2"/>
      <c r="B1928" s="65" t="str">
        <f t="shared" si="150"/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 t="shared" si="151"/>
        <v/>
      </c>
      <c r="M1928" s="65" t="str">
        <f t="shared" ca="1" si="152"/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153"/>
        <v/>
      </c>
      <c r="S1928" s="1" t="str">
        <f t="shared" si="154"/>
        <v/>
      </c>
      <c r="T1928" s="1">
        <f>IF($E1928="",0,SUMPRODUCT((AY_SONU!$O$7:$O$42="Evet")*(AY_SONU!$B$7:$B$42=DATE(YEAR($E1928),MONTH($E1928),1))))</f>
        <v>0</v>
      </c>
      <c r="U1928" s="1" t="str">
        <f>IF(OR($G1928="",$H1928="Mahsup"),"",$G1928&amp;"|"&amp;COUNTIFS($G$7:$G1928,$G1928,$H$7:$H1928,"&lt;&gt;Mahsup"))</f>
        <v/>
      </c>
    </row>
    <row r="1929" spans="1:21" ht="18" customHeight="1" x14ac:dyDescent="0.3">
      <c r="A1929" s="2"/>
      <c r="B1929" s="65" t="str">
        <f t="shared" si="150"/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 t="shared" si="151"/>
        <v/>
      </c>
      <c r="M1929" s="65" t="str">
        <f t="shared" ca="1" si="152"/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153"/>
        <v/>
      </c>
      <c r="S1929" s="1" t="str">
        <f t="shared" si="154"/>
        <v/>
      </c>
      <c r="T1929" s="1">
        <f>IF($E1929="",0,SUMPRODUCT((AY_SONU!$O$7:$O$42="Evet")*(AY_SONU!$B$7:$B$42=DATE(YEAR($E1929),MONTH($E1929),1))))</f>
        <v>0</v>
      </c>
      <c r="U1929" s="1" t="str">
        <f>IF(OR($G1929="",$H1929="Mahsup"),"",$G1929&amp;"|"&amp;COUNTIFS($G$7:$G1929,$G1929,$H$7:$H1929,"&lt;&gt;Mahsup"))</f>
        <v/>
      </c>
    </row>
    <row r="1930" spans="1:21" ht="18" customHeight="1" x14ac:dyDescent="0.3">
      <c r="A1930" s="2"/>
      <c r="B1930" s="65" t="str">
        <f t="shared" si="150"/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 t="shared" si="151"/>
        <v/>
      </c>
      <c r="M1930" s="65" t="str">
        <f t="shared" ca="1" si="152"/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153"/>
        <v/>
      </c>
      <c r="S1930" s="1" t="str">
        <f t="shared" si="154"/>
        <v/>
      </c>
      <c r="T1930" s="1">
        <f>IF($E1930="",0,SUMPRODUCT((AY_SONU!$O$7:$O$42="Evet")*(AY_SONU!$B$7:$B$42=DATE(YEAR($E1930),MONTH($E1930),1))))</f>
        <v>0</v>
      </c>
      <c r="U1930" s="1" t="str">
        <f>IF(OR($G1930="",$H1930="Mahsup"),"",$G1930&amp;"|"&amp;COUNTIFS($G$7:$G1930,$G1930,$H$7:$H1930,"&lt;&gt;Mahsup"))</f>
        <v/>
      </c>
    </row>
    <row r="1931" spans="1:21" ht="18" customHeight="1" x14ac:dyDescent="0.3">
      <c r="A1931" s="2"/>
      <c r="B1931" s="65" t="str">
        <f t="shared" si="150"/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 t="shared" si="151"/>
        <v/>
      </c>
      <c r="M1931" s="65" t="str">
        <f t="shared" ca="1" si="152"/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153"/>
        <v/>
      </c>
      <c r="S1931" s="1" t="str">
        <f t="shared" si="154"/>
        <v/>
      </c>
      <c r="T1931" s="1">
        <f>IF($E1931="",0,SUMPRODUCT((AY_SONU!$O$7:$O$42="Evet")*(AY_SONU!$B$7:$B$42=DATE(YEAR($E1931),MONTH($E1931),1))))</f>
        <v>0</v>
      </c>
      <c r="U1931" s="1" t="str">
        <f>IF(OR($G1931="",$H1931="Mahsup"),"",$G1931&amp;"|"&amp;COUNTIFS($G$7:$G1931,$G1931,$H$7:$H1931,"&lt;&gt;Mahsup"))</f>
        <v/>
      </c>
    </row>
    <row r="1932" spans="1:21" ht="18" customHeight="1" x14ac:dyDescent="0.3">
      <c r="A1932" s="2"/>
      <c r="B1932" s="65" t="str">
        <f t="shared" si="150"/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 t="shared" si="151"/>
        <v/>
      </c>
      <c r="M1932" s="65" t="str">
        <f t="shared" ca="1" si="152"/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153"/>
        <v/>
      </c>
      <c r="S1932" s="1" t="str">
        <f t="shared" si="154"/>
        <v/>
      </c>
      <c r="T1932" s="1">
        <f>IF($E1932="",0,SUMPRODUCT((AY_SONU!$O$7:$O$42="Evet")*(AY_SONU!$B$7:$B$42=DATE(YEAR($E1932),MONTH($E1932),1))))</f>
        <v>0</v>
      </c>
      <c r="U1932" s="1" t="str">
        <f>IF(OR($G1932="",$H1932="Mahsup"),"",$G1932&amp;"|"&amp;COUNTIFS($G$7:$G1932,$G1932,$H$7:$H1932,"&lt;&gt;Mahsup"))</f>
        <v/>
      </c>
    </row>
    <row r="1933" spans="1:21" ht="18" customHeight="1" x14ac:dyDescent="0.3">
      <c r="A1933" s="2"/>
      <c r="B1933" s="65" t="str">
        <f t="shared" si="150"/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 t="shared" si="151"/>
        <v/>
      </c>
      <c r="M1933" s="65" t="str">
        <f t="shared" ca="1" si="152"/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153"/>
        <v/>
      </c>
      <c r="S1933" s="1" t="str">
        <f t="shared" si="154"/>
        <v/>
      </c>
      <c r="T1933" s="1">
        <f>IF($E1933="",0,SUMPRODUCT((AY_SONU!$O$7:$O$42="Evet")*(AY_SONU!$B$7:$B$42=DATE(YEAR($E1933),MONTH($E1933),1))))</f>
        <v>0</v>
      </c>
      <c r="U1933" s="1" t="str">
        <f>IF(OR($G1933="",$H1933="Mahsup"),"",$G1933&amp;"|"&amp;COUNTIFS($G$7:$G1933,$G1933,$H$7:$H1933,"&lt;&gt;Mahsup"))</f>
        <v/>
      </c>
    </row>
    <row r="1934" spans="1:21" ht="18" customHeight="1" x14ac:dyDescent="0.3">
      <c r="A1934" s="2"/>
      <c r="B1934" s="65" t="str">
        <f t="shared" si="150"/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 t="shared" si="151"/>
        <v/>
      </c>
      <c r="M1934" s="65" t="str">
        <f t="shared" ca="1" si="152"/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153"/>
        <v/>
      </c>
      <c r="S1934" s="1" t="str">
        <f t="shared" si="154"/>
        <v/>
      </c>
      <c r="T1934" s="1">
        <f>IF($E1934="",0,SUMPRODUCT((AY_SONU!$O$7:$O$42="Evet")*(AY_SONU!$B$7:$B$42=DATE(YEAR($E1934),MONTH($E1934),1))))</f>
        <v>0</v>
      </c>
      <c r="U1934" s="1" t="str">
        <f>IF(OR($G1934="",$H1934="Mahsup"),"",$G1934&amp;"|"&amp;COUNTIFS($G$7:$G1934,$G1934,$H$7:$H1934,"&lt;&gt;Mahsup"))</f>
        <v/>
      </c>
    </row>
    <row r="1935" spans="1:21" ht="18" customHeight="1" x14ac:dyDescent="0.3">
      <c r="A1935" s="2"/>
      <c r="B1935" s="65" t="str">
        <f t="shared" si="150"/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 t="shared" si="151"/>
        <v/>
      </c>
      <c r="M1935" s="65" t="str">
        <f t="shared" ca="1" si="152"/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153"/>
        <v/>
      </c>
      <c r="S1935" s="1" t="str">
        <f t="shared" si="154"/>
        <v/>
      </c>
      <c r="T1935" s="1">
        <f>IF($E1935="",0,SUMPRODUCT((AY_SONU!$O$7:$O$42="Evet")*(AY_SONU!$B$7:$B$42=DATE(YEAR($E1935),MONTH($E1935),1))))</f>
        <v>0</v>
      </c>
      <c r="U1935" s="1" t="str">
        <f>IF(OR($G1935="",$H1935="Mahsup"),"",$G1935&amp;"|"&amp;COUNTIFS($G$7:$G1935,$G1935,$H$7:$H1935,"&lt;&gt;Mahsup"))</f>
        <v/>
      </c>
    </row>
    <row r="1936" spans="1:21" ht="18" customHeight="1" x14ac:dyDescent="0.3">
      <c r="A1936" s="2"/>
      <c r="B1936" s="65" t="str">
        <f t="shared" si="150"/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 t="shared" si="151"/>
        <v/>
      </c>
      <c r="M1936" s="65" t="str">
        <f t="shared" ca="1" si="152"/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153"/>
        <v/>
      </c>
      <c r="S1936" s="1" t="str">
        <f t="shared" si="154"/>
        <v/>
      </c>
      <c r="T1936" s="1">
        <f>IF($E1936="",0,SUMPRODUCT((AY_SONU!$O$7:$O$42="Evet")*(AY_SONU!$B$7:$B$42=DATE(YEAR($E1936),MONTH($E1936),1))))</f>
        <v>0</v>
      </c>
      <c r="U1936" s="1" t="str">
        <f>IF(OR($G1936="",$H1936="Mahsup"),"",$G1936&amp;"|"&amp;COUNTIFS($G$7:$G1936,$G1936,$H$7:$H1936,"&lt;&gt;Mahsup"))</f>
        <v/>
      </c>
    </row>
    <row r="1937" spans="1:21" ht="18" customHeight="1" x14ac:dyDescent="0.3">
      <c r="A1937" s="2"/>
      <c r="B1937" s="65" t="str">
        <f t="shared" si="150"/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 t="shared" si="151"/>
        <v/>
      </c>
      <c r="M1937" s="65" t="str">
        <f t="shared" ca="1" si="152"/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153"/>
        <v/>
      </c>
      <c r="S1937" s="1" t="str">
        <f t="shared" si="154"/>
        <v/>
      </c>
      <c r="T1937" s="1">
        <f>IF($E1937="",0,SUMPRODUCT((AY_SONU!$O$7:$O$42="Evet")*(AY_SONU!$B$7:$B$42=DATE(YEAR($E1937),MONTH($E1937),1))))</f>
        <v>0</v>
      </c>
      <c r="U1937" s="1" t="str">
        <f>IF(OR($G1937="",$H1937="Mahsup"),"",$G1937&amp;"|"&amp;COUNTIFS($G$7:$G1937,$G1937,$H$7:$H1937,"&lt;&gt;Mahsup"))</f>
        <v/>
      </c>
    </row>
    <row r="1938" spans="1:21" ht="18" customHeight="1" x14ac:dyDescent="0.3">
      <c r="A1938" s="2"/>
      <c r="B1938" s="65" t="str">
        <f t="shared" si="150"/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 t="shared" si="151"/>
        <v/>
      </c>
      <c r="M1938" s="65" t="str">
        <f t="shared" ca="1" si="152"/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153"/>
        <v/>
      </c>
      <c r="S1938" s="1" t="str">
        <f t="shared" si="154"/>
        <v/>
      </c>
      <c r="T1938" s="1">
        <f>IF($E1938="",0,SUMPRODUCT((AY_SONU!$O$7:$O$42="Evet")*(AY_SONU!$B$7:$B$42=DATE(YEAR($E1938),MONTH($E1938),1))))</f>
        <v>0</v>
      </c>
      <c r="U1938" s="1" t="str">
        <f>IF(OR($G1938="",$H1938="Mahsup"),"",$G1938&amp;"|"&amp;COUNTIFS($G$7:$G1938,$G1938,$H$7:$H1938,"&lt;&gt;Mahsup"))</f>
        <v/>
      </c>
    </row>
    <row r="1939" spans="1:21" ht="18" customHeight="1" x14ac:dyDescent="0.3">
      <c r="A1939" s="2"/>
      <c r="B1939" s="65" t="str">
        <f t="shared" si="150"/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 t="shared" si="151"/>
        <v/>
      </c>
      <c r="M1939" s="65" t="str">
        <f t="shared" ca="1" si="152"/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153"/>
        <v/>
      </c>
      <c r="S1939" s="1" t="str">
        <f t="shared" si="154"/>
        <v/>
      </c>
      <c r="T1939" s="1">
        <f>IF($E1939="",0,SUMPRODUCT((AY_SONU!$O$7:$O$42="Evet")*(AY_SONU!$B$7:$B$42=DATE(YEAR($E1939),MONTH($E1939),1))))</f>
        <v>0</v>
      </c>
      <c r="U1939" s="1" t="str">
        <f>IF(OR($G1939="",$H1939="Mahsup"),"",$G1939&amp;"|"&amp;COUNTIFS($G$7:$G1939,$G1939,$H$7:$H1939,"&lt;&gt;Mahsup"))</f>
        <v/>
      </c>
    </row>
    <row r="1940" spans="1:21" ht="18" customHeight="1" x14ac:dyDescent="0.3">
      <c r="A1940" s="2"/>
      <c r="B1940" s="65" t="str">
        <f t="shared" si="150"/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 t="shared" si="151"/>
        <v/>
      </c>
      <c r="M1940" s="65" t="str">
        <f t="shared" ca="1" si="152"/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153"/>
        <v/>
      </c>
      <c r="S1940" s="1" t="str">
        <f t="shared" si="154"/>
        <v/>
      </c>
      <c r="T1940" s="1">
        <f>IF($E1940="",0,SUMPRODUCT((AY_SONU!$O$7:$O$42="Evet")*(AY_SONU!$B$7:$B$42=DATE(YEAR($E1940),MONTH($E1940),1))))</f>
        <v>0</v>
      </c>
      <c r="U1940" s="1" t="str">
        <f>IF(OR($G1940="",$H1940="Mahsup"),"",$G1940&amp;"|"&amp;COUNTIFS($G$7:$G1940,$G1940,$H$7:$H1940,"&lt;&gt;Mahsup"))</f>
        <v/>
      </c>
    </row>
    <row r="1941" spans="1:21" ht="18" customHeight="1" x14ac:dyDescent="0.3">
      <c r="A1941" s="2"/>
      <c r="B1941" s="65" t="str">
        <f t="shared" si="150"/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 t="shared" si="151"/>
        <v/>
      </c>
      <c r="M1941" s="65" t="str">
        <f t="shared" ca="1" si="152"/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153"/>
        <v/>
      </c>
      <c r="S1941" s="1" t="str">
        <f t="shared" si="154"/>
        <v/>
      </c>
      <c r="T1941" s="1">
        <f>IF($E1941="",0,SUMPRODUCT((AY_SONU!$O$7:$O$42="Evet")*(AY_SONU!$B$7:$B$42=DATE(YEAR($E1941),MONTH($E1941),1))))</f>
        <v>0</v>
      </c>
      <c r="U1941" s="1" t="str">
        <f>IF(OR($G1941="",$H1941="Mahsup"),"",$G1941&amp;"|"&amp;COUNTIFS($G$7:$G1941,$G1941,$H$7:$H1941,"&lt;&gt;Mahsup"))</f>
        <v/>
      </c>
    </row>
    <row r="1942" spans="1:21" ht="18" customHeight="1" x14ac:dyDescent="0.3">
      <c r="A1942" s="2"/>
      <c r="B1942" s="65" t="str">
        <f t="shared" si="150"/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 t="shared" si="151"/>
        <v/>
      </c>
      <c r="M1942" s="65" t="str">
        <f t="shared" ca="1" si="152"/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153"/>
        <v/>
      </c>
      <c r="S1942" s="1" t="str">
        <f t="shared" si="154"/>
        <v/>
      </c>
      <c r="T1942" s="1">
        <f>IF($E1942="",0,SUMPRODUCT((AY_SONU!$O$7:$O$42="Evet")*(AY_SONU!$B$7:$B$42=DATE(YEAR($E1942),MONTH($E1942),1))))</f>
        <v>0</v>
      </c>
      <c r="U1942" s="1" t="str">
        <f>IF(OR($G1942="",$H1942="Mahsup"),"",$G1942&amp;"|"&amp;COUNTIFS($G$7:$G1942,$G1942,$H$7:$H1942,"&lt;&gt;Mahsup"))</f>
        <v/>
      </c>
    </row>
    <row r="1943" spans="1:21" ht="18" customHeight="1" x14ac:dyDescent="0.3">
      <c r="A1943" s="2"/>
      <c r="B1943" s="65" t="str">
        <f t="shared" si="150"/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 t="shared" si="151"/>
        <v/>
      </c>
      <c r="M1943" s="65" t="str">
        <f t="shared" ca="1" si="152"/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153"/>
        <v/>
      </c>
      <c r="S1943" s="1" t="str">
        <f t="shared" si="154"/>
        <v/>
      </c>
      <c r="T1943" s="1">
        <f>IF($E1943="",0,SUMPRODUCT((AY_SONU!$O$7:$O$42="Evet")*(AY_SONU!$B$7:$B$42=DATE(YEAR($E1943),MONTH($E1943),1))))</f>
        <v>0</v>
      </c>
      <c r="U1943" s="1" t="str">
        <f>IF(OR($G1943="",$H1943="Mahsup"),"",$G1943&amp;"|"&amp;COUNTIFS($G$7:$G1943,$G1943,$H$7:$H1943,"&lt;&gt;Mahsup"))</f>
        <v/>
      </c>
    </row>
    <row r="1944" spans="1:21" ht="18" customHeight="1" x14ac:dyDescent="0.3">
      <c r="A1944" s="2"/>
      <c r="B1944" s="65" t="str">
        <f t="shared" si="150"/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 t="shared" si="151"/>
        <v/>
      </c>
      <c r="M1944" s="65" t="str">
        <f t="shared" ca="1" si="152"/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153"/>
        <v/>
      </c>
      <c r="S1944" s="1" t="str">
        <f t="shared" si="154"/>
        <v/>
      </c>
      <c r="T1944" s="1">
        <f>IF($E1944="",0,SUMPRODUCT((AY_SONU!$O$7:$O$42="Evet")*(AY_SONU!$B$7:$B$42=DATE(YEAR($E1944),MONTH($E1944),1))))</f>
        <v>0</v>
      </c>
      <c r="U1944" s="1" t="str">
        <f>IF(OR($G1944="",$H1944="Mahsup"),"",$G1944&amp;"|"&amp;COUNTIFS($G$7:$G1944,$G1944,$H$7:$H1944,"&lt;&gt;Mahsup"))</f>
        <v/>
      </c>
    </row>
    <row r="1945" spans="1:21" ht="18" customHeight="1" x14ac:dyDescent="0.3">
      <c r="A1945" s="2"/>
      <c r="B1945" s="65" t="str">
        <f t="shared" si="150"/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 t="shared" si="151"/>
        <v/>
      </c>
      <c r="M1945" s="65" t="str">
        <f t="shared" ca="1" si="152"/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153"/>
        <v/>
      </c>
      <c r="S1945" s="1" t="str">
        <f t="shared" si="154"/>
        <v/>
      </c>
      <c r="T1945" s="1">
        <f>IF($E1945="",0,SUMPRODUCT((AY_SONU!$O$7:$O$42="Evet")*(AY_SONU!$B$7:$B$42=DATE(YEAR($E1945),MONTH($E1945),1))))</f>
        <v>0</v>
      </c>
      <c r="U1945" s="1" t="str">
        <f>IF(OR($G1945="",$H1945="Mahsup"),"",$G1945&amp;"|"&amp;COUNTIFS($G$7:$G1945,$G1945,$H$7:$H1945,"&lt;&gt;Mahsup"))</f>
        <v/>
      </c>
    </row>
    <row r="1946" spans="1:21" ht="18" customHeight="1" x14ac:dyDescent="0.3">
      <c r="A1946" s="2"/>
      <c r="B1946" s="65" t="str">
        <f t="shared" si="150"/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 t="shared" si="151"/>
        <v/>
      </c>
      <c r="M1946" s="65" t="str">
        <f t="shared" ca="1" si="152"/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153"/>
        <v/>
      </c>
      <c r="S1946" s="1" t="str">
        <f t="shared" si="154"/>
        <v/>
      </c>
      <c r="T1946" s="1">
        <f>IF($E1946="",0,SUMPRODUCT((AY_SONU!$O$7:$O$42="Evet")*(AY_SONU!$B$7:$B$42=DATE(YEAR($E1946),MONTH($E1946),1))))</f>
        <v>0</v>
      </c>
      <c r="U1946" s="1" t="str">
        <f>IF(OR($G1946="",$H1946="Mahsup"),"",$G1946&amp;"|"&amp;COUNTIFS($G$7:$G1946,$G1946,$H$7:$H1946,"&lt;&gt;Mahsup"))</f>
        <v/>
      </c>
    </row>
    <row r="1947" spans="1:21" ht="18" customHeight="1" x14ac:dyDescent="0.3">
      <c r="A1947" s="2"/>
      <c r="B1947" s="65" t="str">
        <f t="shared" si="150"/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 t="shared" si="151"/>
        <v/>
      </c>
      <c r="M1947" s="65" t="str">
        <f t="shared" ca="1" si="152"/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153"/>
        <v/>
      </c>
      <c r="S1947" s="1" t="str">
        <f t="shared" si="154"/>
        <v/>
      </c>
      <c r="T1947" s="1">
        <f>IF($E1947="",0,SUMPRODUCT((AY_SONU!$O$7:$O$42="Evet")*(AY_SONU!$B$7:$B$42=DATE(YEAR($E1947),MONTH($E1947),1))))</f>
        <v>0</v>
      </c>
      <c r="U1947" s="1" t="str">
        <f>IF(OR($G1947="",$H1947="Mahsup"),"",$G1947&amp;"|"&amp;COUNTIFS($G$7:$G1947,$G1947,$H$7:$H1947,"&lt;&gt;Mahsup"))</f>
        <v/>
      </c>
    </row>
    <row r="1948" spans="1:21" ht="18" customHeight="1" x14ac:dyDescent="0.3">
      <c r="A1948" s="2"/>
      <c r="B1948" s="65" t="str">
        <f t="shared" si="150"/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 t="shared" si="151"/>
        <v/>
      </c>
      <c r="M1948" s="65" t="str">
        <f t="shared" ca="1" si="152"/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153"/>
        <v/>
      </c>
      <c r="S1948" s="1" t="str">
        <f t="shared" si="154"/>
        <v/>
      </c>
      <c r="T1948" s="1">
        <f>IF($E1948="",0,SUMPRODUCT((AY_SONU!$O$7:$O$42="Evet")*(AY_SONU!$B$7:$B$42=DATE(YEAR($E1948),MONTH($E1948),1))))</f>
        <v>0</v>
      </c>
      <c r="U1948" s="1" t="str">
        <f>IF(OR($G1948="",$H1948="Mahsup"),"",$G1948&amp;"|"&amp;COUNTIFS($G$7:$G1948,$G1948,$H$7:$H1948,"&lt;&gt;Mahsup"))</f>
        <v/>
      </c>
    </row>
    <row r="1949" spans="1:21" ht="18" customHeight="1" x14ac:dyDescent="0.3">
      <c r="A1949" s="2"/>
      <c r="B1949" s="65" t="str">
        <f t="shared" si="150"/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 t="shared" si="151"/>
        <v/>
      </c>
      <c r="M1949" s="65" t="str">
        <f t="shared" ca="1" si="152"/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153"/>
        <v/>
      </c>
      <c r="S1949" s="1" t="str">
        <f t="shared" si="154"/>
        <v/>
      </c>
      <c r="T1949" s="1">
        <f>IF($E1949="",0,SUMPRODUCT((AY_SONU!$O$7:$O$42="Evet")*(AY_SONU!$B$7:$B$42=DATE(YEAR($E1949),MONTH($E1949),1))))</f>
        <v>0</v>
      </c>
      <c r="U1949" s="1" t="str">
        <f>IF(OR($G1949="",$H1949="Mahsup"),"",$G1949&amp;"|"&amp;COUNTIFS($G$7:$G1949,$G1949,$H$7:$H1949,"&lt;&gt;Mahsup"))</f>
        <v/>
      </c>
    </row>
    <row r="1950" spans="1:21" ht="18" customHeight="1" x14ac:dyDescent="0.3">
      <c r="A1950" s="2"/>
      <c r="B1950" s="65" t="str">
        <f t="shared" si="150"/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 t="shared" si="151"/>
        <v/>
      </c>
      <c r="M1950" s="65" t="str">
        <f t="shared" ca="1" si="152"/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153"/>
        <v/>
      </c>
      <c r="S1950" s="1" t="str">
        <f t="shared" si="154"/>
        <v/>
      </c>
      <c r="T1950" s="1">
        <f>IF($E1950="",0,SUMPRODUCT((AY_SONU!$O$7:$O$42="Evet")*(AY_SONU!$B$7:$B$42=DATE(YEAR($E1950),MONTH($E1950),1))))</f>
        <v>0</v>
      </c>
      <c r="U1950" s="1" t="str">
        <f>IF(OR($G1950="",$H1950="Mahsup"),"",$G1950&amp;"|"&amp;COUNTIFS($G$7:$G1950,$G1950,$H$7:$H1950,"&lt;&gt;Mahsup"))</f>
        <v/>
      </c>
    </row>
    <row r="1951" spans="1:21" ht="18" customHeight="1" x14ac:dyDescent="0.3">
      <c r="A1951" s="2"/>
      <c r="B1951" s="65" t="str">
        <f t="shared" si="150"/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 t="shared" si="151"/>
        <v/>
      </c>
      <c r="M1951" s="65" t="str">
        <f t="shared" ca="1" si="152"/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153"/>
        <v/>
      </c>
      <c r="S1951" s="1" t="str">
        <f t="shared" si="154"/>
        <v/>
      </c>
      <c r="T1951" s="1">
        <f>IF($E1951="",0,SUMPRODUCT((AY_SONU!$O$7:$O$42="Evet")*(AY_SONU!$B$7:$B$42=DATE(YEAR($E1951),MONTH($E1951),1))))</f>
        <v>0</v>
      </c>
      <c r="U1951" s="1" t="str">
        <f>IF(OR($G1951="",$H1951="Mahsup"),"",$G1951&amp;"|"&amp;COUNTIFS($G$7:$G1951,$G1951,$H$7:$H1951,"&lt;&gt;Mahsup"))</f>
        <v/>
      </c>
    </row>
    <row r="1952" spans="1:21" ht="18" customHeight="1" x14ac:dyDescent="0.3">
      <c r="A1952" s="2"/>
      <c r="B1952" s="65" t="str">
        <f t="shared" si="150"/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 t="shared" si="151"/>
        <v/>
      </c>
      <c r="M1952" s="65" t="str">
        <f t="shared" ca="1" si="152"/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153"/>
        <v/>
      </c>
      <c r="S1952" s="1" t="str">
        <f t="shared" si="154"/>
        <v/>
      </c>
      <c r="T1952" s="1">
        <f>IF($E1952="",0,SUMPRODUCT((AY_SONU!$O$7:$O$42="Evet")*(AY_SONU!$B$7:$B$42=DATE(YEAR($E1952),MONTH($E1952),1))))</f>
        <v>0</v>
      </c>
      <c r="U1952" s="1" t="str">
        <f>IF(OR($G1952="",$H1952="Mahsup"),"",$G1952&amp;"|"&amp;COUNTIFS($G$7:$G1952,$G1952,$H$7:$H1952,"&lt;&gt;Mahsup"))</f>
        <v/>
      </c>
    </row>
    <row r="1953" spans="1:21" ht="18" customHeight="1" x14ac:dyDescent="0.3">
      <c r="A1953" s="2"/>
      <c r="B1953" s="65" t="str">
        <f t="shared" si="150"/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 t="shared" si="151"/>
        <v/>
      </c>
      <c r="M1953" s="65" t="str">
        <f t="shared" ca="1" si="152"/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153"/>
        <v/>
      </c>
      <c r="S1953" s="1" t="str">
        <f t="shared" si="154"/>
        <v/>
      </c>
      <c r="T1953" s="1">
        <f>IF($E1953="",0,SUMPRODUCT((AY_SONU!$O$7:$O$42="Evet")*(AY_SONU!$B$7:$B$42=DATE(YEAR($E1953),MONTH($E1953),1))))</f>
        <v>0</v>
      </c>
      <c r="U1953" s="1" t="str">
        <f>IF(OR($G1953="",$H1953="Mahsup"),"",$G1953&amp;"|"&amp;COUNTIFS($G$7:$G1953,$G1953,$H$7:$H1953,"&lt;&gt;Mahsup"))</f>
        <v/>
      </c>
    </row>
    <row r="1954" spans="1:21" ht="18" customHeight="1" x14ac:dyDescent="0.3">
      <c r="A1954" s="2"/>
      <c r="B1954" s="65" t="str">
        <f t="shared" si="150"/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 t="shared" si="151"/>
        <v/>
      </c>
      <c r="M1954" s="65" t="str">
        <f t="shared" ca="1" si="152"/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153"/>
        <v/>
      </c>
      <c r="S1954" s="1" t="str">
        <f t="shared" si="154"/>
        <v/>
      </c>
      <c r="T1954" s="1">
        <f>IF($E1954="",0,SUMPRODUCT((AY_SONU!$O$7:$O$42="Evet")*(AY_SONU!$B$7:$B$42=DATE(YEAR($E1954),MONTH($E1954),1))))</f>
        <v>0</v>
      </c>
      <c r="U1954" s="1" t="str">
        <f>IF(OR($G1954="",$H1954="Mahsup"),"",$G1954&amp;"|"&amp;COUNTIFS($G$7:$G1954,$G1954,$H$7:$H1954,"&lt;&gt;Mahsup"))</f>
        <v/>
      </c>
    </row>
    <row r="1955" spans="1:21" ht="18" customHeight="1" x14ac:dyDescent="0.3">
      <c r="A1955" s="2"/>
      <c r="B1955" s="65" t="str">
        <f t="shared" si="150"/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 t="shared" si="151"/>
        <v/>
      </c>
      <c r="M1955" s="65" t="str">
        <f t="shared" ca="1" si="152"/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153"/>
        <v/>
      </c>
      <c r="S1955" s="1" t="str">
        <f t="shared" si="154"/>
        <v/>
      </c>
      <c r="T1955" s="1">
        <f>IF($E1955="",0,SUMPRODUCT((AY_SONU!$O$7:$O$42="Evet")*(AY_SONU!$B$7:$B$42=DATE(YEAR($E1955),MONTH($E1955),1))))</f>
        <v>0</v>
      </c>
      <c r="U1955" s="1" t="str">
        <f>IF(OR($G1955="",$H1955="Mahsup"),"",$G1955&amp;"|"&amp;COUNTIFS($G$7:$G1955,$G1955,$H$7:$H1955,"&lt;&gt;Mahsup"))</f>
        <v/>
      </c>
    </row>
    <row r="1956" spans="1:21" ht="18" customHeight="1" x14ac:dyDescent="0.3">
      <c r="A1956" s="2"/>
      <c r="B1956" s="65" t="str">
        <f t="shared" si="150"/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 t="shared" si="151"/>
        <v/>
      </c>
      <c r="M1956" s="65" t="str">
        <f t="shared" ca="1" si="152"/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153"/>
        <v/>
      </c>
      <c r="S1956" s="1" t="str">
        <f t="shared" si="154"/>
        <v/>
      </c>
      <c r="T1956" s="1">
        <f>IF($E1956="",0,SUMPRODUCT((AY_SONU!$O$7:$O$42="Evet")*(AY_SONU!$B$7:$B$42=DATE(YEAR($E1956),MONTH($E1956),1))))</f>
        <v>0</v>
      </c>
      <c r="U1956" s="1" t="str">
        <f>IF(OR($G1956="",$H1956="Mahsup"),"",$G1956&amp;"|"&amp;COUNTIFS($G$7:$G1956,$G1956,$H$7:$H1956,"&lt;&gt;Mahsup"))</f>
        <v/>
      </c>
    </row>
    <row r="1957" spans="1:21" ht="18" customHeight="1" x14ac:dyDescent="0.3">
      <c r="A1957" s="2"/>
      <c r="B1957" s="65" t="str">
        <f t="shared" si="150"/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 t="shared" si="151"/>
        <v/>
      </c>
      <c r="M1957" s="65" t="str">
        <f t="shared" ca="1" si="152"/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153"/>
        <v/>
      </c>
      <c r="S1957" s="1" t="str">
        <f t="shared" si="154"/>
        <v/>
      </c>
      <c r="T1957" s="1">
        <f>IF($E1957="",0,SUMPRODUCT((AY_SONU!$O$7:$O$42="Evet")*(AY_SONU!$B$7:$B$42=DATE(YEAR($E1957),MONTH($E1957),1))))</f>
        <v>0</v>
      </c>
      <c r="U1957" s="1" t="str">
        <f>IF(OR($G1957="",$H1957="Mahsup"),"",$G1957&amp;"|"&amp;COUNTIFS($G$7:$G1957,$G1957,$H$7:$H1957,"&lt;&gt;Mahsup"))</f>
        <v/>
      </c>
    </row>
    <row r="1958" spans="1:21" ht="18" customHeight="1" x14ac:dyDescent="0.3">
      <c r="A1958" s="2"/>
      <c r="B1958" s="65" t="str">
        <f t="shared" si="150"/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 t="shared" si="151"/>
        <v/>
      </c>
      <c r="M1958" s="65" t="str">
        <f t="shared" ca="1" si="152"/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153"/>
        <v/>
      </c>
      <c r="S1958" s="1" t="str">
        <f t="shared" si="154"/>
        <v/>
      </c>
      <c r="T1958" s="1">
        <f>IF($E1958="",0,SUMPRODUCT((AY_SONU!$O$7:$O$42="Evet")*(AY_SONU!$B$7:$B$42=DATE(YEAR($E1958),MONTH($E1958),1))))</f>
        <v>0</v>
      </c>
      <c r="U1958" s="1" t="str">
        <f>IF(OR($G1958="",$H1958="Mahsup"),"",$G1958&amp;"|"&amp;COUNTIFS($G$7:$G1958,$G1958,$H$7:$H1958,"&lt;&gt;Mahsup"))</f>
        <v/>
      </c>
    </row>
    <row r="1959" spans="1:21" ht="18" customHeight="1" x14ac:dyDescent="0.3">
      <c r="A1959" s="2"/>
      <c r="B1959" s="65" t="str">
        <f t="shared" si="150"/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 t="shared" si="151"/>
        <v/>
      </c>
      <c r="M1959" s="65" t="str">
        <f t="shared" ca="1" si="152"/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153"/>
        <v/>
      </c>
      <c r="S1959" s="1" t="str">
        <f t="shared" si="154"/>
        <v/>
      </c>
      <c r="T1959" s="1">
        <f>IF($E1959="",0,SUMPRODUCT((AY_SONU!$O$7:$O$42="Evet")*(AY_SONU!$B$7:$B$42=DATE(YEAR($E1959),MONTH($E1959),1))))</f>
        <v>0</v>
      </c>
      <c r="U1959" s="1" t="str">
        <f>IF(OR($G1959="",$H1959="Mahsup"),"",$G1959&amp;"|"&amp;COUNTIFS($G$7:$G1959,$G1959,$H$7:$H1959,"&lt;&gt;Mahsup"))</f>
        <v/>
      </c>
    </row>
    <row r="1960" spans="1:21" ht="18" customHeight="1" x14ac:dyDescent="0.3">
      <c r="A1960" s="2"/>
      <c r="B1960" s="65" t="str">
        <f t="shared" si="150"/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 t="shared" si="151"/>
        <v/>
      </c>
      <c r="M1960" s="65" t="str">
        <f t="shared" ca="1" si="152"/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153"/>
        <v/>
      </c>
      <c r="S1960" s="1" t="str">
        <f t="shared" si="154"/>
        <v/>
      </c>
      <c r="T1960" s="1">
        <f>IF($E1960="",0,SUMPRODUCT((AY_SONU!$O$7:$O$42="Evet")*(AY_SONU!$B$7:$B$42=DATE(YEAR($E1960),MONTH($E1960),1))))</f>
        <v>0</v>
      </c>
      <c r="U1960" s="1" t="str">
        <f>IF(OR($G1960="",$H1960="Mahsup"),"",$G1960&amp;"|"&amp;COUNTIFS($G$7:$G1960,$G1960,$H$7:$H1960,"&lt;&gt;Mahsup"))</f>
        <v/>
      </c>
    </row>
    <row r="1961" spans="1:21" ht="18" customHeight="1" x14ac:dyDescent="0.3">
      <c r="A1961" s="2"/>
      <c r="B1961" s="65" t="str">
        <f t="shared" si="150"/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 t="shared" si="151"/>
        <v/>
      </c>
      <c r="M1961" s="65" t="str">
        <f t="shared" ca="1" si="152"/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153"/>
        <v/>
      </c>
      <c r="S1961" s="1" t="str">
        <f t="shared" si="154"/>
        <v/>
      </c>
      <c r="T1961" s="1">
        <f>IF($E1961="",0,SUMPRODUCT((AY_SONU!$O$7:$O$42="Evet")*(AY_SONU!$B$7:$B$42=DATE(YEAR($E1961),MONTH($E1961),1))))</f>
        <v>0</v>
      </c>
      <c r="U1961" s="1" t="str">
        <f>IF(OR($G1961="",$H1961="Mahsup"),"",$G1961&amp;"|"&amp;COUNTIFS($G$7:$G1961,$G1961,$H$7:$H1961,"&lt;&gt;Mahsup"))</f>
        <v/>
      </c>
    </row>
    <row r="1962" spans="1:21" ht="18" customHeight="1" x14ac:dyDescent="0.3">
      <c r="A1962" s="2"/>
      <c r="B1962" s="65" t="str">
        <f t="shared" si="150"/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 t="shared" si="151"/>
        <v/>
      </c>
      <c r="M1962" s="65" t="str">
        <f t="shared" ca="1" si="152"/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153"/>
        <v/>
      </c>
      <c r="S1962" s="1" t="str">
        <f t="shared" si="154"/>
        <v/>
      </c>
      <c r="T1962" s="1">
        <f>IF($E1962="",0,SUMPRODUCT((AY_SONU!$O$7:$O$42="Evet")*(AY_SONU!$B$7:$B$42=DATE(YEAR($E1962),MONTH($E1962),1))))</f>
        <v>0</v>
      </c>
      <c r="U1962" s="1" t="str">
        <f>IF(OR($G1962="",$H1962="Mahsup"),"",$G1962&amp;"|"&amp;COUNTIFS($G$7:$G1962,$G1962,$H$7:$H1962,"&lt;&gt;Mahsup"))</f>
        <v/>
      </c>
    </row>
    <row r="1963" spans="1:21" ht="18" customHeight="1" x14ac:dyDescent="0.3">
      <c r="A1963" s="2"/>
      <c r="B1963" s="65" t="str">
        <f t="shared" si="150"/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 t="shared" si="151"/>
        <v/>
      </c>
      <c r="M1963" s="65" t="str">
        <f t="shared" ca="1" si="152"/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153"/>
        <v/>
      </c>
      <c r="S1963" s="1" t="str">
        <f t="shared" si="154"/>
        <v/>
      </c>
      <c r="T1963" s="1">
        <f>IF($E1963="",0,SUMPRODUCT((AY_SONU!$O$7:$O$42="Evet")*(AY_SONU!$B$7:$B$42=DATE(YEAR($E1963),MONTH($E1963),1))))</f>
        <v>0</v>
      </c>
      <c r="U1963" s="1" t="str">
        <f>IF(OR($G1963="",$H1963="Mahsup"),"",$G1963&amp;"|"&amp;COUNTIFS($G$7:$G1963,$G1963,$H$7:$H1963,"&lt;&gt;Mahsup"))</f>
        <v/>
      </c>
    </row>
    <row r="1964" spans="1:21" ht="18" customHeight="1" x14ac:dyDescent="0.3">
      <c r="A1964" s="2"/>
      <c r="B1964" s="65" t="str">
        <f t="shared" si="150"/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 t="shared" si="151"/>
        <v/>
      </c>
      <c r="M1964" s="65" t="str">
        <f t="shared" ca="1" si="152"/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153"/>
        <v/>
      </c>
      <c r="S1964" s="1" t="str">
        <f t="shared" si="154"/>
        <v/>
      </c>
      <c r="T1964" s="1">
        <f>IF($E1964="",0,SUMPRODUCT((AY_SONU!$O$7:$O$42="Evet")*(AY_SONU!$B$7:$B$42=DATE(YEAR($E1964),MONTH($E1964),1))))</f>
        <v>0</v>
      </c>
      <c r="U1964" s="1" t="str">
        <f>IF(OR($G1964="",$H1964="Mahsup"),"",$G1964&amp;"|"&amp;COUNTIFS($G$7:$G1964,$G1964,$H$7:$H1964,"&lt;&gt;Mahsup"))</f>
        <v/>
      </c>
    </row>
    <row r="1965" spans="1:21" ht="18" customHeight="1" x14ac:dyDescent="0.3">
      <c r="A1965" s="2"/>
      <c r="B1965" s="65" t="str">
        <f t="shared" si="150"/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 t="shared" si="151"/>
        <v/>
      </c>
      <c r="M1965" s="65" t="str">
        <f t="shared" ca="1" si="152"/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153"/>
        <v/>
      </c>
      <c r="S1965" s="1" t="str">
        <f t="shared" si="154"/>
        <v/>
      </c>
      <c r="T1965" s="1">
        <f>IF($E1965="",0,SUMPRODUCT((AY_SONU!$O$7:$O$42="Evet")*(AY_SONU!$B$7:$B$42=DATE(YEAR($E1965),MONTH($E1965),1))))</f>
        <v>0</v>
      </c>
      <c r="U1965" s="1" t="str">
        <f>IF(OR($G1965="",$H1965="Mahsup"),"",$G1965&amp;"|"&amp;COUNTIFS($G$7:$G1965,$G1965,$H$7:$H1965,"&lt;&gt;Mahsup"))</f>
        <v/>
      </c>
    </row>
    <row r="1966" spans="1:21" ht="18" customHeight="1" x14ac:dyDescent="0.3">
      <c r="A1966" s="2"/>
      <c r="B1966" s="65" t="str">
        <f t="shared" si="150"/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 t="shared" si="151"/>
        <v/>
      </c>
      <c r="M1966" s="65" t="str">
        <f t="shared" ca="1" si="152"/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153"/>
        <v/>
      </c>
      <c r="S1966" s="1" t="str">
        <f t="shared" si="154"/>
        <v/>
      </c>
      <c r="T1966" s="1">
        <f>IF($E1966="",0,SUMPRODUCT((AY_SONU!$O$7:$O$42="Evet")*(AY_SONU!$B$7:$B$42=DATE(YEAR($E1966),MONTH($E1966),1))))</f>
        <v>0</v>
      </c>
      <c r="U1966" s="1" t="str">
        <f>IF(OR($G1966="",$H1966="Mahsup"),"",$G1966&amp;"|"&amp;COUNTIFS($G$7:$G1966,$G1966,$H$7:$H1966,"&lt;&gt;Mahsup"))</f>
        <v/>
      </c>
    </row>
    <row r="1967" spans="1:21" ht="18" customHeight="1" x14ac:dyDescent="0.3">
      <c r="A1967" s="2"/>
      <c r="B1967" s="65" t="str">
        <f t="shared" si="150"/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 t="shared" si="151"/>
        <v/>
      </c>
      <c r="M1967" s="65" t="str">
        <f t="shared" ca="1" si="152"/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153"/>
        <v/>
      </c>
      <c r="S1967" s="1" t="str">
        <f t="shared" si="154"/>
        <v/>
      </c>
      <c r="T1967" s="1">
        <f>IF($E1967="",0,SUMPRODUCT((AY_SONU!$O$7:$O$42="Evet")*(AY_SONU!$B$7:$B$42=DATE(YEAR($E1967),MONTH($E1967),1))))</f>
        <v>0</v>
      </c>
      <c r="U1967" s="1" t="str">
        <f>IF(OR($G1967="",$H1967="Mahsup"),"",$G1967&amp;"|"&amp;COUNTIFS($G$7:$G1967,$G1967,$H$7:$H1967,"&lt;&gt;Mahsup"))</f>
        <v/>
      </c>
    </row>
    <row r="1968" spans="1:21" ht="18" customHeight="1" x14ac:dyDescent="0.3">
      <c r="A1968" s="2"/>
      <c r="B1968" s="65" t="str">
        <f t="shared" si="150"/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 t="shared" si="151"/>
        <v/>
      </c>
      <c r="M1968" s="65" t="str">
        <f t="shared" ca="1" si="152"/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153"/>
        <v/>
      </c>
      <c r="S1968" s="1" t="str">
        <f t="shared" si="154"/>
        <v/>
      </c>
      <c r="T1968" s="1">
        <f>IF($E1968="",0,SUMPRODUCT((AY_SONU!$O$7:$O$42="Evet")*(AY_SONU!$B$7:$B$42=DATE(YEAR($E1968),MONTH($E1968),1))))</f>
        <v>0</v>
      </c>
      <c r="U1968" s="1" t="str">
        <f>IF(OR($G1968="",$H1968="Mahsup"),"",$G1968&amp;"|"&amp;COUNTIFS($G$7:$G1968,$G1968,$H$7:$H1968,"&lt;&gt;Mahsup"))</f>
        <v/>
      </c>
    </row>
    <row r="1969" spans="1:21" ht="18" customHeight="1" x14ac:dyDescent="0.3">
      <c r="A1969" s="2"/>
      <c r="B1969" s="65" t="str">
        <f t="shared" si="150"/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 t="shared" si="151"/>
        <v/>
      </c>
      <c r="M1969" s="65" t="str">
        <f t="shared" ca="1" si="152"/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153"/>
        <v/>
      </c>
      <c r="S1969" s="1" t="str">
        <f t="shared" si="154"/>
        <v/>
      </c>
      <c r="T1969" s="1">
        <f>IF($E1969="",0,SUMPRODUCT((AY_SONU!$O$7:$O$42="Evet")*(AY_SONU!$B$7:$B$42=DATE(YEAR($E1969),MONTH($E1969),1))))</f>
        <v>0</v>
      </c>
      <c r="U1969" s="1" t="str">
        <f>IF(OR($G1969="",$H1969="Mahsup"),"",$G1969&amp;"|"&amp;COUNTIFS($G$7:$G1969,$G1969,$H$7:$H1969,"&lt;&gt;Mahsup"))</f>
        <v/>
      </c>
    </row>
    <row r="1970" spans="1:21" ht="18" customHeight="1" x14ac:dyDescent="0.3">
      <c r="A1970" s="2"/>
      <c r="B1970" s="65" t="str">
        <f t="shared" si="150"/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 t="shared" si="151"/>
        <v/>
      </c>
      <c r="M1970" s="65" t="str">
        <f t="shared" ca="1" si="152"/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153"/>
        <v/>
      </c>
      <c r="S1970" s="1" t="str">
        <f t="shared" si="154"/>
        <v/>
      </c>
      <c r="T1970" s="1">
        <f>IF($E1970="",0,SUMPRODUCT((AY_SONU!$O$7:$O$42="Evet")*(AY_SONU!$B$7:$B$42=DATE(YEAR($E1970),MONTH($E1970),1))))</f>
        <v>0</v>
      </c>
      <c r="U1970" s="1" t="str">
        <f>IF(OR($G1970="",$H1970="Mahsup"),"",$G1970&amp;"|"&amp;COUNTIFS($G$7:$G1970,$G1970,$H$7:$H1970,"&lt;&gt;Mahsup"))</f>
        <v/>
      </c>
    </row>
    <row r="1971" spans="1:21" ht="18" customHeight="1" x14ac:dyDescent="0.3">
      <c r="A1971" s="2"/>
      <c r="B1971" s="65" t="str">
        <f t="shared" si="150"/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 t="shared" si="151"/>
        <v/>
      </c>
      <c r="M1971" s="65" t="str">
        <f t="shared" ca="1" si="152"/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153"/>
        <v/>
      </c>
      <c r="S1971" s="1" t="str">
        <f t="shared" si="154"/>
        <v/>
      </c>
      <c r="T1971" s="1">
        <f>IF($E1971="",0,SUMPRODUCT((AY_SONU!$O$7:$O$42="Evet")*(AY_SONU!$B$7:$B$42=DATE(YEAR($E1971),MONTH($E1971),1))))</f>
        <v>0</v>
      </c>
      <c r="U1971" s="1" t="str">
        <f>IF(OR($G1971="",$H1971="Mahsup"),"",$G1971&amp;"|"&amp;COUNTIFS($G$7:$G1971,$G1971,$H$7:$H1971,"&lt;&gt;Mahsup"))</f>
        <v/>
      </c>
    </row>
    <row r="1972" spans="1:21" ht="18" customHeight="1" x14ac:dyDescent="0.3">
      <c r="A1972" s="2"/>
      <c r="B1972" s="65" t="str">
        <f t="shared" si="150"/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 t="shared" si="151"/>
        <v/>
      </c>
      <c r="M1972" s="65" t="str">
        <f t="shared" ca="1" si="152"/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153"/>
        <v/>
      </c>
      <c r="S1972" s="1" t="str">
        <f t="shared" si="154"/>
        <v/>
      </c>
      <c r="T1972" s="1">
        <f>IF($E1972="",0,SUMPRODUCT((AY_SONU!$O$7:$O$42="Evet")*(AY_SONU!$B$7:$B$42=DATE(YEAR($E1972),MONTH($E1972),1))))</f>
        <v>0</v>
      </c>
      <c r="U1972" s="1" t="str">
        <f>IF(OR($G1972="",$H1972="Mahsup"),"",$G1972&amp;"|"&amp;COUNTIFS($G$7:$G1972,$G1972,$H$7:$H1972,"&lt;&gt;Mahsup"))</f>
        <v/>
      </c>
    </row>
    <row r="1973" spans="1:21" ht="18" customHeight="1" x14ac:dyDescent="0.3">
      <c r="A1973" s="2"/>
      <c r="B1973" s="65" t="str">
        <f t="shared" si="150"/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 t="shared" si="151"/>
        <v/>
      </c>
      <c r="M1973" s="65" t="str">
        <f t="shared" ca="1" si="152"/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153"/>
        <v/>
      </c>
      <c r="S1973" s="1" t="str">
        <f t="shared" si="154"/>
        <v/>
      </c>
      <c r="T1973" s="1">
        <f>IF($E1973="",0,SUMPRODUCT((AY_SONU!$O$7:$O$42="Evet")*(AY_SONU!$B$7:$B$42=DATE(YEAR($E1973),MONTH($E1973),1))))</f>
        <v>0</v>
      </c>
      <c r="U1973" s="1" t="str">
        <f>IF(OR($G1973="",$H1973="Mahsup"),"",$G1973&amp;"|"&amp;COUNTIFS($G$7:$G1973,$G1973,$H$7:$H1973,"&lt;&gt;Mahsup"))</f>
        <v/>
      </c>
    </row>
    <row r="1974" spans="1:21" ht="18" customHeight="1" x14ac:dyDescent="0.3">
      <c r="A1974" s="2"/>
      <c r="B1974" s="65" t="str">
        <f t="shared" si="150"/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 t="shared" si="151"/>
        <v/>
      </c>
      <c r="M1974" s="65" t="str">
        <f t="shared" ca="1" si="152"/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153"/>
        <v/>
      </c>
      <c r="S1974" s="1" t="str">
        <f t="shared" si="154"/>
        <v/>
      </c>
      <c r="T1974" s="1">
        <f>IF($E1974="",0,SUMPRODUCT((AY_SONU!$O$7:$O$42="Evet")*(AY_SONU!$B$7:$B$42=DATE(YEAR($E1974),MONTH($E1974),1))))</f>
        <v>0</v>
      </c>
      <c r="U1974" s="1" t="str">
        <f>IF(OR($G1974="",$H1974="Mahsup"),"",$G1974&amp;"|"&amp;COUNTIFS($G$7:$G1974,$G1974,$H$7:$H1974,"&lt;&gt;Mahsup"))</f>
        <v/>
      </c>
    </row>
    <row r="1975" spans="1:21" ht="18" customHeight="1" x14ac:dyDescent="0.3">
      <c r="A1975" s="2"/>
      <c r="B1975" s="65" t="str">
        <f t="shared" si="150"/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 t="shared" si="151"/>
        <v/>
      </c>
      <c r="M1975" s="65" t="str">
        <f t="shared" ca="1" si="152"/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153"/>
        <v/>
      </c>
      <c r="S1975" s="1" t="str">
        <f t="shared" si="154"/>
        <v/>
      </c>
      <c r="T1975" s="1">
        <f>IF($E1975="",0,SUMPRODUCT((AY_SONU!$O$7:$O$42="Evet")*(AY_SONU!$B$7:$B$42=DATE(YEAR($E1975),MONTH($E1975),1))))</f>
        <v>0</v>
      </c>
      <c r="U1975" s="1" t="str">
        <f>IF(OR($G1975="",$H1975="Mahsup"),"",$G1975&amp;"|"&amp;COUNTIFS($G$7:$G1975,$G1975,$H$7:$H1975,"&lt;&gt;Mahsup"))</f>
        <v/>
      </c>
    </row>
    <row r="1976" spans="1:21" ht="18" customHeight="1" x14ac:dyDescent="0.3">
      <c r="A1976" s="2"/>
      <c r="B1976" s="65" t="str">
        <f t="shared" si="150"/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 t="shared" si="151"/>
        <v/>
      </c>
      <c r="M1976" s="65" t="str">
        <f t="shared" ca="1" si="152"/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153"/>
        <v/>
      </c>
      <c r="S1976" s="1" t="str">
        <f t="shared" si="154"/>
        <v/>
      </c>
      <c r="T1976" s="1">
        <f>IF($E1976="",0,SUMPRODUCT((AY_SONU!$O$7:$O$42="Evet")*(AY_SONU!$B$7:$B$42=DATE(YEAR($E1976),MONTH($E1976),1))))</f>
        <v>0</v>
      </c>
      <c r="U1976" s="1" t="str">
        <f>IF(OR($G1976="",$H1976="Mahsup"),"",$G1976&amp;"|"&amp;COUNTIFS($G$7:$G1976,$G1976,$H$7:$H1976,"&lt;&gt;Mahsup"))</f>
        <v/>
      </c>
    </row>
    <row r="1977" spans="1:21" ht="18" customHeight="1" x14ac:dyDescent="0.3">
      <c r="A1977" s="2"/>
      <c r="B1977" s="65" t="str">
        <f t="shared" si="150"/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 t="shared" si="151"/>
        <v/>
      </c>
      <c r="M1977" s="65" t="str">
        <f t="shared" ca="1" si="152"/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153"/>
        <v/>
      </c>
      <c r="S1977" s="1" t="str">
        <f t="shared" si="154"/>
        <v/>
      </c>
      <c r="T1977" s="1">
        <f>IF($E1977="",0,SUMPRODUCT((AY_SONU!$O$7:$O$42="Evet")*(AY_SONU!$B$7:$B$42=DATE(YEAR($E1977),MONTH($E1977),1))))</f>
        <v>0</v>
      </c>
      <c r="U1977" s="1" t="str">
        <f>IF(OR($G1977="",$H1977="Mahsup"),"",$G1977&amp;"|"&amp;COUNTIFS($G$7:$G1977,$G1977,$H$7:$H1977,"&lt;&gt;Mahsup"))</f>
        <v/>
      </c>
    </row>
    <row r="1978" spans="1:21" ht="18" customHeight="1" x14ac:dyDescent="0.3">
      <c r="A1978" s="2"/>
      <c r="B1978" s="65" t="str">
        <f t="shared" si="150"/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 t="shared" si="151"/>
        <v/>
      </c>
      <c r="M1978" s="65" t="str">
        <f t="shared" ca="1" si="152"/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153"/>
        <v/>
      </c>
      <c r="S1978" s="1" t="str">
        <f t="shared" si="154"/>
        <v/>
      </c>
      <c r="T1978" s="1">
        <f>IF($E1978="",0,SUMPRODUCT((AY_SONU!$O$7:$O$42="Evet")*(AY_SONU!$B$7:$B$42=DATE(YEAR($E1978),MONTH($E1978),1))))</f>
        <v>0</v>
      </c>
      <c r="U1978" s="1" t="str">
        <f>IF(OR($G1978="",$H1978="Mahsup"),"",$G1978&amp;"|"&amp;COUNTIFS($G$7:$G1978,$G1978,$H$7:$H1978,"&lt;&gt;Mahsup"))</f>
        <v/>
      </c>
    </row>
    <row r="1979" spans="1:21" ht="18" customHeight="1" x14ac:dyDescent="0.3">
      <c r="A1979" s="2"/>
      <c r="B1979" s="65" t="str">
        <f t="shared" si="150"/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 t="shared" si="151"/>
        <v/>
      </c>
      <c r="M1979" s="65" t="str">
        <f t="shared" ca="1" si="152"/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153"/>
        <v/>
      </c>
      <c r="S1979" s="1" t="str">
        <f t="shared" si="154"/>
        <v/>
      </c>
      <c r="T1979" s="1">
        <f>IF($E1979="",0,SUMPRODUCT((AY_SONU!$O$7:$O$42="Evet")*(AY_SONU!$B$7:$B$42=DATE(YEAR($E1979),MONTH($E1979),1))))</f>
        <v>0</v>
      </c>
      <c r="U1979" s="1" t="str">
        <f>IF(OR($G1979="",$H1979="Mahsup"),"",$G1979&amp;"|"&amp;COUNTIFS($G$7:$G1979,$G1979,$H$7:$H1979,"&lt;&gt;Mahsup"))</f>
        <v/>
      </c>
    </row>
    <row r="1980" spans="1:21" ht="18" customHeight="1" x14ac:dyDescent="0.3">
      <c r="A1980" s="2"/>
      <c r="B1980" s="65" t="str">
        <f t="shared" si="150"/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 t="shared" si="151"/>
        <v/>
      </c>
      <c r="M1980" s="65" t="str">
        <f t="shared" ca="1" si="152"/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153"/>
        <v/>
      </c>
      <c r="S1980" s="1" t="str">
        <f t="shared" si="154"/>
        <v/>
      </c>
      <c r="T1980" s="1">
        <f>IF($E1980="",0,SUMPRODUCT((AY_SONU!$O$7:$O$42="Evet")*(AY_SONU!$B$7:$B$42=DATE(YEAR($E1980),MONTH($E1980),1))))</f>
        <v>0</v>
      </c>
      <c r="U1980" s="1" t="str">
        <f>IF(OR($G1980="",$H1980="Mahsup"),"",$G1980&amp;"|"&amp;COUNTIFS($G$7:$G1980,$G1980,$H$7:$H1980,"&lt;&gt;Mahsup"))</f>
        <v/>
      </c>
    </row>
    <row r="1981" spans="1:21" ht="18" customHeight="1" x14ac:dyDescent="0.3">
      <c r="A1981" s="2"/>
      <c r="B1981" s="65" t="str">
        <f t="shared" si="150"/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 t="shared" si="151"/>
        <v/>
      </c>
      <c r="M1981" s="65" t="str">
        <f t="shared" ca="1" si="152"/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153"/>
        <v/>
      </c>
      <c r="S1981" s="1" t="str">
        <f t="shared" si="154"/>
        <v/>
      </c>
      <c r="T1981" s="1">
        <f>IF($E1981="",0,SUMPRODUCT((AY_SONU!$O$7:$O$42="Evet")*(AY_SONU!$B$7:$B$42=DATE(YEAR($E1981),MONTH($E1981),1))))</f>
        <v>0</v>
      </c>
      <c r="U1981" s="1" t="str">
        <f>IF(OR($G1981="",$H1981="Mahsup"),"",$G1981&amp;"|"&amp;COUNTIFS($G$7:$G1981,$G1981,$H$7:$H1981,"&lt;&gt;Mahsup"))</f>
        <v/>
      </c>
    </row>
    <row r="1982" spans="1:21" ht="18" customHeight="1" x14ac:dyDescent="0.3">
      <c r="A1982" s="2"/>
      <c r="B1982" s="65" t="str">
        <f t="shared" si="150"/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 t="shared" si="151"/>
        <v/>
      </c>
      <c r="M1982" s="65" t="str">
        <f t="shared" ca="1" si="152"/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153"/>
        <v/>
      </c>
      <c r="S1982" s="1" t="str">
        <f t="shared" si="154"/>
        <v/>
      </c>
      <c r="T1982" s="1">
        <f>IF($E1982="",0,SUMPRODUCT((AY_SONU!$O$7:$O$42="Evet")*(AY_SONU!$B$7:$B$42=DATE(YEAR($E1982),MONTH($E1982),1))))</f>
        <v>0</v>
      </c>
      <c r="U1982" s="1" t="str">
        <f>IF(OR($G1982="",$H1982="Mahsup"),"",$G1982&amp;"|"&amp;COUNTIFS($G$7:$G1982,$G1982,$H$7:$H1982,"&lt;&gt;Mahsup"))</f>
        <v/>
      </c>
    </row>
    <row r="1983" spans="1:21" ht="18" customHeight="1" x14ac:dyDescent="0.3">
      <c r="A1983" s="2"/>
      <c r="B1983" s="65" t="str">
        <f t="shared" si="150"/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 t="shared" si="151"/>
        <v/>
      </c>
      <c r="M1983" s="65" t="str">
        <f t="shared" ca="1" si="152"/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153"/>
        <v/>
      </c>
      <c r="S1983" s="1" t="str">
        <f t="shared" si="154"/>
        <v/>
      </c>
      <c r="T1983" s="1">
        <f>IF($E1983="",0,SUMPRODUCT((AY_SONU!$O$7:$O$42="Evet")*(AY_SONU!$B$7:$B$42=DATE(YEAR($E1983),MONTH($E1983),1))))</f>
        <v>0</v>
      </c>
      <c r="U1983" s="1" t="str">
        <f>IF(OR($G1983="",$H1983="Mahsup"),"",$G1983&amp;"|"&amp;COUNTIFS($G$7:$G1983,$G1983,$H$7:$H1983,"&lt;&gt;Mahsup"))</f>
        <v/>
      </c>
    </row>
    <row r="1984" spans="1:21" ht="18" customHeight="1" x14ac:dyDescent="0.3">
      <c r="A1984" s="2"/>
      <c r="B1984" s="65" t="str">
        <f t="shared" si="150"/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 t="shared" si="151"/>
        <v/>
      </c>
      <c r="M1984" s="65" t="str">
        <f t="shared" ca="1" si="152"/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153"/>
        <v/>
      </c>
      <c r="S1984" s="1" t="str">
        <f t="shared" si="154"/>
        <v/>
      </c>
      <c r="T1984" s="1">
        <f>IF($E1984="",0,SUMPRODUCT((AY_SONU!$O$7:$O$42="Evet")*(AY_SONU!$B$7:$B$42=DATE(YEAR($E1984),MONTH($E1984),1))))</f>
        <v>0</v>
      </c>
      <c r="U1984" s="1" t="str">
        <f>IF(OR($G1984="",$H1984="Mahsup"),"",$G1984&amp;"|"&amp;COUNTIFS($G$7:$G1984,$G1984,$H$7:$H1984,"&lt;&gt;Mahsup"))</f>
        <v/>
      </c>
    </row>
    <row r="1985" spans="1:21" ht="18" customHeight="1" x14ac:dyDescent="0.3">
      <c r="A1985" s="2"/>
      <c r="B1985" s="65" t="str">
        <f t="shared" si="150"/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 t="shared" si="151"/>
        <v/>
      </c>
      <c r="M1985" s="65" t="str">
        <f t="shared" ca="1" si="152"/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153"/>
        <v/>
      </c>
      <c r="S1985" s="1" t="str">
        <f t="shared" si="154"/>
        <v/>
      </c>
      <c r="T1985" s="1">
        <f>IF($E1985="",0,SUMPRODUCT((AY_SONU!$O$7:$O$42="Evet")*(AY_SONU!$B$7:$B$42=DATE(YEAR($E1985),MONTH($E1985),1))))</f>
        <v>0</v>
      </c>
      <c r="U1985" s="1" t="str">
        <f>IF(OR($G1985="",$H1985="Mahsup"),"",$G1985&amp;"|"&amp;COUNTIFS($G$7:$G1985,$G1985,$H$7:$H1985,"&lt;&gt;Mahsup"))</f>
        <v/>
      </c>
    </row>
    <row r="1986" spans="1:21" ht="18" customHeight="1" x14ac:dyDescent="0.3">
      <c r="A1986" s="2"/>
      <c r="B1986" s="65" t="str">
        <f t="shared" si="150"/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 t="shared" si="151"/>
        <v/>
      </c>
      <c r="M1986" s="65" t="str">
        <f t="shared" ca="1" si="152"/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153"/>
        <v/>
      </c>
      <c r="S1986" s="1" t="str">
        <f t="shared" si="154"/>
        <v/>
      </c>
      <c r="T1986" s="1">
        <f>IF($E1986="",0,SUMPRODUCT((AY_SONU!$O$7:$O$42="Evet")*(AY_SONU!$B$7:$B$42=DATE(YEAR($E1986),MONTH($E1986),1))))</f>
        <v>0</v>
      </c>
      <c r="U1986" s="1" t="str">
        <f>IF(OR($G1986="",$H1986="Mahsup"),"",$G1986&amp;"|"&amp;COUNTIFS($G$7:$G1986,$G1986,$H$7:$H1986,"&lt;&gt;Mahsup"))</f>
        <v/>
      </c>
    </row>
    <row r="1987" spans="1:21" ht="18" customHeight="1" x14ac:dyDescent="0.3">
      <c r="A1987" s="2"/>
      <c r="B1987" s="65" t="str">
        <f t="shared" si="150"/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 t="shared" si="151"/>
        <v/>
      </c>
      <c r="M1987" s="65" t="str">
        <f t="shared" ca="1" si="152"/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153"/>
        <v/>
      </c>
      <c r="S1987" s="1" t="str">
        <f t="shared" si="154"/>
        <v/>
      </c>
      <c r="T1987" s="1">
        <f>IF($E1987="",0,SUMPRODUCT((AY_SONU!$O$7:$O$42="Evet")*(AY_SONU!$B$7:$B$42=DATE(YEAR($E1987),MONTH($E1987),1))))</f>
        <v>0</v>
      </c>
      <c r="U1987" s="1" t="str">
        <f>IF(OR($G1987="",$H1987="Mahsup"),"",$G1987&amp;"|"&amp;COUNTIFS($G$7:$G1987,$G1987,$H$7:$H1987,"&lt;&gt;Mahsup"))</f>
        <v/>
      </c>
    </row>
    <row r="1988" spans="1:21" ht="18" customHeight="1" x14ac:dyDescent="0.3">
      <c r="A1988" s="2"/>
      <c r="B1988" s="65" t="str">
        <f t="shared" si="150"/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 t="shared" si="151"/>
        <v/>
      </c>
      <c r="M1988" s="65" t="str">
        <f t="shared" ca="1" si="152"/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153"/>
        <v/>
      </c>
      <c r="S1988" s="1" t="str">
        <f t="shared" si="154"/>
        <v/>
      </c>
      <c r="T1988" s="1">
        <f>IF($E1988="",0,SUMPRODUCT((AY_SONU!$O$7:$O$42="Evet")*(AY_SONU!$B$7:$B$42=DATE(YEAR($E1988),MONTH($E1988),1))))</f>
        <v>0</v>
      </c>
      <c r="U1988" s="1" t="str">
        <f>IF(OR($G1988="",$H1988="Mahsup"),"",$G1988&amp;"|"&amp;COUNTIFS($G$7:$G1988,$G1988,$H$7:$H1988,"&lt;&gt;Mahsup"))</f>
        <v/>
      </c>
    </row>
    <row r="1989" spans="1:21" ht="18" customHeight="1" x14ac:dyDescent="0.3">
      <c r="A1989" s="2"/>
      <c r="B1989" s="65" t="str">
        <f t="shared" si="150"/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 t="shared" si="151"/>
        <v/>
      </c>
      <c r="M1989" s="65" t="str">
        <f t="shared" ca="1" si="152"/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153"/>
        <v/>
      </c>
      <c r="S1989" s="1" t="str">
        <f t="shared" si="154"/>
        <v/>
      </c>
      <c r="T1989" s="1">
        <f>IF($E1989="",0,SUMPRODUCT((AY_SONU!$O$7:$O$42="Evet")*(AY_SONU!$B$7:$B$42=DATE(YEAR($E1989),MONTH($E1989),1))))</f>
        <v>0</v>
      </c>
      <c r="U1989" s="1" t="str">
        <f>IF(OR($G1989="",$H1989="Mahsup"),"",$G1989&amp;"|"&amp;COUNTIFS($G$7:$G1989,$G1989,$H$7:$H1989,"&lt;&gt;Mahsup"))</f>
        <v/>
      </c>
    </row>
    <row r="1990" spans="1:21" ht="18" customHeight="1" x14ac:dyDescent="0.3">
      <c r="A1990" s="2"/>
      <c r="B1990" s="65" t="str">
        <f t="shared" si="150"/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 t="shared" si="151"/>
        <v/>
      </c>
      <c r="M1990" s="65" t="str">
        <f t="shared" ca="1" si="152"/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153"/>
        <v/>
      </c>
      <c r="S1990" s="1" t="str">
        <f t="shared" si="154"/>
        <v/>
      </c>
      <c r="T1990" s="1">
        <f>IF($E1990="",0,SUMPRODUCT((AY_SONU!$O$7:$O$42="Evet")*(AY_SONU!$B$7:$B$42=DATE(YEAR($E1990),MONTH($E1990),1))))</f>
        <v>0</v>
      </c>
      <c r="U1990" s="1" t="str">
        <f>IF(OR($G1990="",$H1990="Mahsup"),"",$G1990&amp;"|"&amp;COUNTIFS($G$7:$G1990,$G1990,$H$7:$H1990,"&lt;&gt;Mahsup"))</f>
        <v/>
      </c>
    </row>
    <row r="1991" spans="1:21" ht="18" customHeight="1" x14ac:dyDescent="0.3">
      <c r="A1991" s="2"/>
      <c r="B1991" s="65" t="str">
        <f t="shared" ref="B1991:B2054" si="155"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 t="shared" ref="L1991:L2054" si="156">IF($E1991="","",DATE(YEAR($E1991),MONTH($E1991),1))</f>
        <v/>
      </c>
      <c r="M1991" s="65" t="str">
        <f t="shared" ref="M1991:M2054" ca="1" si="157"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158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159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  <c r="U1991" s="1" t="str">
        <f>IF(OR($G1991="",$H1991="Mahsup"),"",$G1991&amp;"|"&amp;COUNTIFS($G$7:$G1991,$G1991,$H$7:$H1991,"&lt;&gt;Mahsup"))</f>
        <v/>
      </c>
    </row>
    <row r="1992" spans="1:21" ht="18" customHeight="1" x14ac:dyDescent="0.3">
      <c r="A1992" s="2"/>
      <c r="B1992" s="65" t="str">
        <f t="shared" si="155"/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 t="shared" si="156"/>
        <v/>
      </c>
      <c r="M1992" s="65" t="str">
        <f t="shared" ca="1" si="157"/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158"/>
        <v/>
      </c>
      <c r="S1992" s="1" t="str">
        <f t="shared" si="159"/>
        <v/>
      </c>
      <c r="T1992" s="1">
        <f>IF($E1992="",0,SUMPRODUCT((AY_SONU!$O$7:$O$42="Evet")*(AY_SONU!$B$7:$B$42=DATE(YEAR($E1992),MONTH($E1992),1))))</f>
        <v>0</v>
      </c>
      <c r="U1992" s="1" t="str">
        <f>IF(OR($G1992="",$H1992="Mahsup"),"",$G1992&amp;"|"&amp;COUNTIFS($G$7:$G1992,$G1992,$H$7:$H1992,"&lt;&gt;Mahsup"))</f>
        <v/>
      </c>
    </row>
    <row r="1993" spans="1:21" ht="18" customHeight="1" x14ac:dyDescent="0.3">
      <c r="A1993" s="2"/>
      <c r="B1993" s="65" t="str">
        <f t="shared" si="155"/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 t="shared" si="156"/>
        <v/>
      </c>
      <c r="M1993" s="65" t="str">
        <f t="shared" ca="1" si="157"/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158"/>
        <v/>
      </c>
      <c r="S1993" s="1" t="str">
        <f t="shared" si="159"/>
        <v/>
      </c>
      <c r="T1993" s="1">
        <f>IF($E1993="",0,SUMPRODUCT((AY_SONU!$O$7:$O$42="Evet")*(AY_SONU!$B$7:$B$42=DATE(YEAR($E1993),MONTH($E1993),1))))</f>
        <v>0</v>
      </c>
      <c r="U1993" s="1" t="str">
        <f>IF(OR($G1993="",$H1993="Mahsup"),"",$G1993&amp;"|"&amp;COUNTIFS($G$7:$G1993,$G1993,$H$7:$H1993,"&lt;&gt;Mahsup"))</f>
        <v/>
      </c>
    </row>
    <row r="1994" spans="1:21" ht="18" customHeight="1" x14ac:dyDescent="0.3">
      <c r="A1994" s="2"/>
      <c r="B1994" s="65" t="str">
        <f t="shared" si="155"/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 t="shared" si="156"/>
        <v/>
      </c>
      <c r="M1994" s="65" t="str">
        <f t="shared" ca="1" si="157"/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158"/>
        <v/>
      </c>
      <c r="S1994" s="1" t="str">
        <f t="shared" si="159"/>
        <v/>
      </c>
      <c r="T1994" s="1">
        <f>IF($E1994="",0,SUMPRODUCT((AY_SONU!$O$7:$O$42="Evet")*(AY_SONU!$B$7:$B$42=DATE(YEAR($E1994),MONTH($E1994),1))))</f>
        <v>0</v>
      </c>
      <c r="U1994" s="1" t="str">
        <f>IF(OR($G1994="",$H1994="Mahsup"),"",$G1994&amp;"|"&amp;COUNTIFS($G$7:$G1994,$G1994,$H$7:$H1994,"&lt;&gt;Mahsup"))</f>
        <v/>
      </c>
    </row>
    <row r="1995" spans="1:21" ht="18" customHeight="1" x14ac:dyDescent="0.3">
      <c r="A1995" s="2"/>
      <c r="B1995" s="65" t="str">
        <f t="shared" si="155"/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 t="shared" si="156"/>
        <v/>
      </c>
      <c r="M1995" s="65" t="str">
        <f t="shared" ca="1" si="157"/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158"/>
        <v/>
      </c>
      <c r="S1995" s="1" t="str">
        <f t="shared" si="159"/>
        <v/>
      </c>
      <c r="T1995" s="1">
        <f>IF($E1995="",0,SUMPRODUCT((AY_SONU!$O$7:$O$42="Evet")*(AY_SONU!$B$7:$B$42=DATE(YEAR($E1995),MONTH($E1995),1))))</f>
        <v>0</v>
      </c>
      <c r="U1995" s="1" t="str">
        <f>IF(OR($G1995="",$H1995="Mahsup"),"",$G1995&amp;"|"&amp;COUNTIFS($G$7:$G1995,$G1995,$H$7:$H1995,"&lt;&gt;Mahsup"))</f>
        <v/>
      </c>
    </row>
    <row r="1996" spans="1:21" ht="18" customHeight="1" x14ac:dyDescent="0.3">
      <c r="A1996" s="2"/>
      <c r="B1996" s="65" t="str">
        <f t="shared" si="155"/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 t="shared" si="156"/>
        <v/>
      </c>
      <c r="M1996" s="65" t="str">
        <f t="shared" ca="1" si="157"/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158"/>
        <v/>
      </c>
      <c r="S1996" s="1" t="str">
        <f t="shared" si="159"/>
        <v/>
      </c>
      <c r="T1996" s="1">
        <f>IF($E1996="",0,SUMPRODUCT((AY_SONU!$O$7:$O$42="Evet")*(AY_SONU!$B$7:$B$42=DATE(YEAR($E1996),MONTH($E1996),1))))</f>
        <v>0</v>
      </c>
      <c r="U1996" s="1" t="str">
        <f>IF(OR($G1996="",$H1996="Mahsup"),"",$G1996&amp;"|"&amp;COUNTIFS($G$7:$G1996,$G1996,$H$7:$H1996,"&lt;&gt;Mahsup"))</f>
        <v/>
      </c>
    </row>
    <row r="1997" spans="1:21" ht="18" customHeight="1" x14ac:dyDescent="0.3">
      <c r="A1997" s="2"/>
      <c r="B1997" s="65" t="str">
        <f t="shared" si="155"/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 t="shared" si="156"/>
        <v/>
      </c>
      <c r="M1997" s="65" t="str">
        <f t="shared" ca="1" si="157"/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158"/>
        <v/>
      </c>
      <c r="S1997" s="1" t="str">
        <f t="shared" si="159"/>
        <v/>
      </c>
      <c r="T1997" s="1">
        <f>IF($E1997="",0,SUMPRODUCT((AY_SONU!$O$7:$O$42="Evet")*(AY_SONU!$B$7:$B$42=DATE(YEAR($E1997),MONTH($E1997),1))))</f>
        <v>0</v>
      </c>
      <c r="U1997" s="1" t="str">
        <f>IF(OR($G1997="",$H1997="Mahsup"),"",$G1997&amp;"|"&amp;COUNTIFS($G$7:$G1997,$G1997,$H$7:$H1997,"&lt;&gt;Mahsup"))</f>
        <v/>
      </c>
    </row>
    <row r="1998" spans="1:21" ht="18" customHeight="1" x14ac:dyDescent="0.3">
      <c r="A1998" s="2"/>
      <c r="B1998" s="65" t="str">
        <f t="shared" si="155"/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 t="shared" si="156"/>
        <v/>
      </c>
      <c r="M1998" s="65" t="str">
        <f t="shared" ca="1" si="157"/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158"/>
        <v/>
      </c>
      <c r="S1998" s="1" t="str">
        <f t="shared" si="159"/>
        <v/>
      </c>
      <c r="T1998" s="1">
        <f>IF($E1998="",0,SUMPRODUCT((AY_SONU!$O$7:$O$42="Evet")*(AY_SONU!$B$7:$B$42=DATE(YEAR($E1998),MONTH($E1998),1))))</f>
        <v>0</v>
      </c>
      <c r="U1998" s="1" t="str">
        <f>IF(OR($G1998="",$H1998="Mahsup"),"",$G1998&amp;"|"&amp;COUNTIFS($G$7:$G1998,$G1998,$H$7:$H1998,"&lt;&gt;Mahsup"))</f>
        <v/>
      </c>
    </row>
    <row r="1999" spans="1:21" ht="18" customHeight="1" x14ac:dyDescent="0.3">
      <c r="A1999" s="2"/>
      <c r="B1999" s="65" t="str">
        <f t="shared" si="155"/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 t="shared" si="156"/>
        <v/>
      </c>
      <c r="M1999" s="65" t="str">
        <f t="shared" ca="1" si="157"/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158"/>
        <v/>
      </c>
      <c r="S1999" s="1" t="str">
        <f t="shared" si="159"/>
        <v/>
      </c>
      <c r="T1999" s="1">
        <f>IF($E1999="",0,SUMPRODUCT((AY_SONU!$O$7:$O$42="Evet")*(AY_SONU!$B$7:$B$42=DATE(YEAR($E1999),MONTH($E1999),1))))</f>
        <v>0</v>
      </c>
      <c r="U1999" s="1" t="str">
        <f>IF(OR($G1999="",$H1999="Mahsup"),"",$G1999&amp;"|"&amp;COUNTIFS($G$7:$G1999,$G1999,$H$7:$H1999,"&lt;&gt;Mahsup"))</f>
        <v/>
      </c>
    </row>
    <row r="2000" spans="1:21" ht="18" customHeight="1" x14ac:dyDescent="0.3">
      <c r="A2000" s="2"/>
      <c r="B2000" s="65" t="str">
        <f t="shared" si="155"/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 t="shared" si="156"/>
        <v/>
      </c>
      <c r="M2000" s="65" t="str">
        <f t="shared" ca="1" si="157"/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158"/>
        <v/>
      </c>
      <c r="S2000" s="1" t="str">
        <f t="shared" si="159"/>
        <v/>
      </c>
      <c r="T2000" s="1">
        <f>IF($E2000="",0,SUMPRODUCT((AY_SONU!$O$7:$O$42="Evet")*(AY_SONU!$B$7:$B$42=DATE(YEAR($E2000),MONTH($E2000),1))))</f>
        <v>0</v>
      </c>
      <c r="U2000" s="1" t="str">
        <f>IF(OR($G2000="",$H2000="Mahsup"),"",$G2000&amp;"|"&amp;COUNTIFS($G$7:$G2000,$G2000,$H$7:$H2000,"&lt;&gt;Mahsup"))</f>
        <v/>
      </c>
    </row>
    <row r="2001" spans="1:21" ht="18" customHeight="1" x14ac:dyDescent="0.3">
      <c r="A2001" s="2"/>
      <c r="B2001" s="65" t="str">
        <f t="shared" si="155"/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 t="shared" si="156"/>
        <v/>
      </c>
      <c r="M2001" s="65" t="str">
        <f t="shared" ca="1" si="157"/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158"/>
        <v/>
      </c>
      <c r="S2001" s="1" t="str">
        <f t="shared" si="159"/>
        <v/>
      </c>
      <c r="T2001" s="1">
        <f>IF($E2001="",0,SUMPRODUCT((AY_SONU!$O$7:$O$42="Evet")*(AY_SONU!$B$7:$B$42=DATE(YEAR($E2001),MONTH($E2001),1))))</f>
        <v>0</v>
      </c>
      <c r="U2001" s="1" t="str">
        <f>IF(OR($G2001="",$H2001="Mahsup"),"",$G2001&amp;"|"&amp;COUNTIFS($G$7:$G2001,$G2001,$H$7:$H2001,"&lt;&gt;Mahsup"))</f>
        <v/>
      </c>
    </row>
    <row r="2002" spans="1:21" ht="18" customHeight="1" x14ac:dyDescent="0.3">
      <c r="A2002" s="2"/>
      <c r="B2002" s="65" t="str">
        <f t="shared" si="155"/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 t="shared" si="156"/>
        <v/>
      </c>
      <c r="M2002" s="65" t="str">
        <f t="shared" ca="1" si="157"/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158"/>
        <v/>
      </c>
      <c r="S2002" s="1" t="str">
        <f t="shared" si="159"/>
        <v/>
      </c>
      <c r="T2002" s="1">
        <f>IF($E2002="",0,SUMPRODUCT((AY_SONU!$O$7:$O$42="Evet")*(AY_SONU!$B$7:$B$42=DATE(YEAR($E2002),MONTH($E2002),1))))</f>
        <v>0</v>
      </c>
      <c r="U2002" s="1" t="str">
        <f>IF(OR($G2002="",$H2002="Mahsup"),"",$G2002&amp;"|"&amp;COUNTIFS($G$7:$G2002,$G2002,$H$7:$H2002,"&lt;&gt;Mahsup"))</f>
        <v/>
      </c>
    </row>
    <row r="2003" spans="1:21" ht="18" customHeight="1" x14ac:dyDescent="0.3">
      <c r="A2003" s="2"/>
      <c r="B2003" s="65" t="str">
        <f t="shared" si="155"/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 t="shared" si="156"/>
        <v/>
      </c>
      <c r="M2003" s="65" t="str">
        <f t="shared" ca="1" si="157"/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158"/>
        <v/>
      </c>
      <c r="S2003" s="1" t="str">
        <f t="shared" si="159"/>
        <v/>
      </c>
      <c r="T2003" s="1">
        <f>IF($E2003="",0,SUMPRODUCT((AY_SONU!$O$7:$O$42="Evet")*(AY_SONU!$B$7:$B$42=DATE(YEAR($E2003),MONTH($E2003),1))))</f>
        <v>0</v>
      </c>
      <c r="U2003" s="1" t="str">
        <f>IF(OR($G2003="",$H2003="Mahsup"),"",$G2003&amp;"|"&amp;COUNTIFS($G$7:$G2003,$G2003,$H$7:$H2003,"&lt;&gt;Mahsup"))</f>
        <v/>
      </c>
    </row>
    <row r="2004" spans="1:21" ht="18" customHeight="1" x14ac:dyDescent="0.3">
      <c r="A2004" s="2"/>
      <c r="B2004" s="65" t="str">
        <f t="shared" si="155"/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 t="shared" si="156"/>
        <v/>
      </c>
      <c r="M2004" s="65" t="str">
        <f t="shared" ca="1" si="157"/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158"/>
        <v/>
      </c>
      <c r="S2004" s="1" t="str">
        <f t="shared" si="159"/>
        <v/>
      </c>
      <c r="T2004" s="1">
        <f>IF($E2004="",0,SUMPRODUCT((AY_SONU!$O$7:$O$42="Evet")*(AY_SONU!$B$7:$B$42=DATE(YEAR($E2004),MONTH($E2004),1))))</f>
        <v>0</v>
      </c>
      <c r="U2004" s="1" t="str">
        <f>IF(OR($G2004="",$H2004="Mahsup"),"",$G2004&amp;"|"&amp;COUNTIFS($G$7:$G2004,$G2004,$H$7:$H2004,"&lt;&gt;Mahsup"))</f>
        <v/>
      </c>
    </row>
    <row r="2005" spans="1:21" ht="18" customHeight="1" x14ac:dyDescent="0.3">
      <c r="A2005" s="2"/>
      <c r="B2005" s="65" t="str">
        <f t="shared" si="155"/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 t="shared" si="156"/>
        <v/>
      </c>
      <c r="M2005" s="65" t="str">
        <f t="shared" ca="1" si="157"/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158"/>
        <v/>
      </c>
      <c r="S2005" s="1" t="str">
        <f t="shared" si="159"/>
        <v/>
      </c>
      <c r="T2005" s="1">
        <f>IF($E2005="",0,SUMPRODUCT((AY_SONU!$O$7:$O$42="Evet")*(AY_SONU!$B$7:$B$42=DATE(YEAR($E2005),MONTH($E2005),1))))</f>
        <v>0</v>
      </c>
      <c r="U2005" s="1" t="str">
        <f>IF(OR($G2005="",$H2005="Mahsup"),"",$G2005&amp;"|"&amp;COUNTIFS($G$7:$G2005,$G2005,$H$7:$H2005,"&lt;&gt;Mahsup"))</f>
        <v/>
      </c>
    </row>
    <row r="2006" spans="1:21" ht="18" customHeight="1" x14ac:dyDescent="0.3">
      <c r="A2006" s="2"/>
      <c r="B2006" s="65" t="str">
        <f t="shared" si="155"/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 t="shared" si="156"/>
        <v/>
      </c>
      <c r="M2006" s="65" t="str">
        <f t="shared" ca="1" si="157"/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158"/>
        <v/>
      </c>
      <c r="S2006" s="1" t="str">
        <f t="shared" si="159"/>
        <v/>
      </c>
      <c r="T2006" s="1">
        <f>IF($E2006="",0,SUMPRODUCT((AY_SONU!$O$7:$O$42="Evet")*(AY_SONU!$B$7:$B$42=DATE(YEAR($E2006),MONTH($E2006),1))))</f>
        <v>0</v>
      </c>
      <c r="U2006" s="1" t="str">
        <f>IF(OR($G2006="",$H2006="Mahsup"),"",$G2006&amp;"|"&amp;COUNTIFS($G$7:$G2006,$G2006,$H$7:$H2006,"&lt;&gt;Mahsup"))</f>
        <v/>
      </c>
    </row>
    <row r="2007" spans="1:21" ht="18" customHeight="1" x14ac:dyDescent="0.3">
      <c r="A2007" s="2"/>
      <c r="B2007" s="65" t="str">
        <f t="shared" si="155"/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 t="shared" si="156"/>
        <v/>
      </c>
      <c r="M2007" s="65" t="str">
        <f t="shared" ca="1" si="157"/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158"/>
        <v/>
      </c>
      <c r="S2007" s="1" t="str">
        <f t="shared" si="159"/>
        <v/>
      </c>
      <c r="T2007" s="1">
        <f>IF($E2007="",0,SUMPRODUCT((AY_SONU!$O$7:$O$42="Evet")*(AY_SONU!$B$7:$B$42=DATE(YEAR($E2007),MONTH($E2007),1))))</f>
        <v>0</v>
      </c>
      <c r="U2007" s="1" t="str">
        <f>IF(OR($G2007="",$H2007="Mahsup"),"",$G2007&amp;"|"&amp;COUNTIFS($G$7:$G2007,$G2007,$H$7:$H2007,"&lt;&gt;Mahsup"))</f>
        <v/>
      </c>
    </row>
    <row r="2008" spans="1:21" ht="18" customHeight="1" x14ac:dyDescent="0.3">
      <c r="A2008" s="2"/>
      <c r="B2008" s="65" t="str">
        <f t="shared" si="155"/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 t="shared" si="156"/>
        <v/>
      </c>
      <c r="M2008" s="65" t="str">
        <f t="shared" ca="1" si="157"/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158"/>
        <v/>
      </c>
      <c r="S2008" s="1" t="str">
        <f t="shared" si="159"/>
        <v/>
      </c>
      <c r="T2008" s="1">
        <f>IF($E2008="",0,SUMPRODUCT((AY_SONU!$O$7:$O$42="Evet")*(AY_SONU!$B$7:$B$42=DATE(YEAR($E2008),MONTH($E2008),1))))</f>
        <v>0</v>
      </c>
      <c r="U2008" s="1" t="str">
        <f>IF(OR($G2008="",$H2008="Mahsup"),"",$G2008&amp;"|"&amp;COUNTIFS($G$7:$G2008,$G2008,$H$7:$H2008,"&lt;&gt;Mahsup"))</f>
        <v/>
      </c>
    </row>
    <row r="2009" spans="1:21" ht="18" customHeight="1" x14ac:dyDescent="0.3">
      <c r="A2009" s="2"/>
      <c r="B2009" s="65" t="str">
        <f t="shared" si="155"/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 t="shared" si="156"/>
        <v/>
      </c>
      <c r="M2009" s="65" t="str">
        <f t="shared" ca="1" si="157"/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158"/>
        <v/>
      </c>
      <c r="S2009" s="1" t="str">
        <f t="shared" si="159"/>
        <v/>
      </c>
      <c r="T2009" s="1">
        <f>IF($E2009="",0,SUMPRODUCT((AY_SONU!$O$7:$O$42="Evet")*(AY_SONU!$B$7:$B$42=DATE(YEAR($E2009),MONTH($E2009),1))))</f>
        <v>0</v>
      </c>
      <c r="U2009" s="1" t="str">
        <f>IF(OR($G2009="",$H2009="Mahsup"),"",$G2009&amp;"|"&amp;COUNTIFS($G$7:$G2009,$G2009,$H$7:$H2009,"&lt;&gt;Mahsup"))</f>
        <v/>
      </c>
    </row>
    <row r="2010" spans="1:21" ht="18" customHeight="1" x14ac:dyDescent="0.3">
      <c r="A2010" s="2"/>
      <c r="B2010" s="65" t="str">
        <f t="shared" si="155"/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 t="shared" si="156"/>
        <v/>
      </c>
      <c r="M2010" s="65" t="str">
        <f t="shared" ca="1" si="157"/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158"/>
        <v/>
      </c>
      <c r="S2010" s="1" t="str">
        <f t="shared" si="159"/>
        <v/>
      </c>
      <c r="T2010" s="1">
        <f>IF($E2010="",0,SUMPRODUCT((AY_SONU!$O$7:$O$42="Evet")*(AY_SONU!$B$7:$B$42=DATE(YEAR($E2010),MONTH($E2010),1))))</f>
        <v>0</v>
      </c>
      <c r="U2010" s="1" t="str">
        <f>IF(OR($G2010="",$H2010="Mahsup"),"",$G2010&amp;"|"&amp;COUNTIFS($G$7:$G2010,$G2010,$H$7:$H2010,"&lt;&gt;Mahsup"))</f>
        <v/>
      </c>
    </row>
    <row r="2011" spans="1:21" ht="18" customHeight="1" x14ac:dyDescent="0.3">
      <c r="A2011" s="2"/>
      <c r="B2011" s="65" t="str">
        <f t="shared" si="155"/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 t="shared" si="156"/>
        <v/>
      </c>
      <c r="M2011" s="65" t="str">
        <f t="shared" ca="1" si="157"/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158"/>
        <v/>
      </c>
      <c r="S2011" s="1" t="str">
        <f t="shared" si="159"/>
        <v/>
      </c>
      <c r="T2011" s="1">
        <f>IF($E2011="",0,SUMPRODUCT((AY_SONU!$O$7:$O$42="Evet")*(AY_SONU!$B$7:$B$42=DATE(YEAR($E2011),MONTH($E2011),1))))</f>
        <v>0</v>
      </c>
      <c r="U2011" s="1" t="str">
        <f>IF(OR($G2011="",$H2011="Mahsup"),"",$G2011&amp;"|"&amp;COUNTIFS($G$7:$G2011,$G2011,$H$7:$H2011,"&lt;&gt;Mahsup"))</f>
        <v/>
      </c>
    </row>
    <row r="2012" spans="1:21" ht="18" customHeight="1" x14ac:dyDescent="0.3">
      <c r="A2012" s="2"/>
      <c r="B2012" s="65" t="str">
        <f t="shared" si="155"/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 t="shared" si="156"/>
        <v/>
      </c>
      <c r="M2012" s="65" t="str">
        <f t="shared" ca="1" si="157"/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158"/>
        <v/>
      </c>
      <c r="S2012" s="1" t="str">
        <f t="shared" si="159"/>
        <v/>
      </c>
      <c r="T2012" s="1">
        <f>IF($E2012="",0,SUMPRODUCT((AY_SONU!$O$7:$O$42="Evet")*(AY_SONU!$B$7:$B$42=DATE(YEAR($E2012),MONTH($E2012),1))))</f>
        <v>0</v>
      </c>
      <c r="U2012" s="1" t="str">
        <f>IF(OR($G2012="",$H2012="Mahsup"),"",$G2012&amp;"|"&amp;COUNTIFS($G$7:$G2012,$G2012,$H$7:$H2012,"&lt;&gt;Mahsup"))</f>
        <v/>
      </c>
    </row>
    <row r="2013" spans="1:21" ht="18" customHeight="1" x14ac:dyDescent="0.3">
      <c r="A2013" s="2"/>
      <c r="B2013" s="65" t="str">
        <f t="shared" si="155"/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 t="shared" si="156"/>
        <v/>
      </c>
      <c r="M2013" s="65" t="str">
        <f t="shared" ca="1" si="157"/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158"/>
        <v/>
      </c>
      <c r="S2013" s="1" t="str">
        <f t="shared" si="159"/>
        <v/>
      </c>
      <c r="T2013" s="1">
        <f>IF($E2013="",0,SUMPRODUCT((AY_SONU!$O$7:$O$42="Evet")*(AY_SONU!$B$7:$B$42=DATE(YEAR($E2013),MONTH($E2013),1))))</f>
        <v>0</v>
      </c>
      <c r="U2013" s="1" t="str">
        <f>IF(OR($G2013="",$H2013="Mahsup"),"",$G2013&amp;"|"&amp;COUNTIFS($G$7:$G2013,$G2013,$H$7:$H2013,"&lt;&gt;Mahsup"))</f>
        <v/>
      </c>
    </row>
    <row r="2014" spans="1:21" ht="18" customHeight="1" x14ac:dyDescent="0.3">
      <c r="A2014" s="2"/>
      <c r="B2014" s="65" t="str">
        <f t="shared" si="155"/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 t="shared" si="156"/>
        <v/>
      </c>
      <c r="M2014" s="65" t="str">
        <f t="shared" ca="1" si="157"/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158"/>
        <v/>
      </c>
      <c r="S2014" s="1" t="str">
        <f t="shared" si="159"/>
        <v/>
      </c>
      <c r="T2014" s="1">
        <f>IF($E2014="",0,SUMPRODUCT((AY_SONU!$O$7:$O$42="Evet")*(AY_SONU!$B$7:$B$42=DATE(YEAR($E2014),MONTH($E2014),1))))</f>
        <v>0</v>
      </c>
      <c r="U2014" s="1" t="str">
        <f>IF(OR($G2014="",$H2014="Mahsup"),"",$G2014&amp;"|"&amp;COUNTIFS($G$7:$G2014,$G2014,$H$7:$H2014,"&lt;&gt;Mahsup"))</f>
        <v/>
      </c>
    </row>
    <row r="2015" spans="1:21" ht="18" customHeight="1" x14ac:dyDescent="0.3">
      <c r="A2015" s="2"/>
      <c r="B2015" s="65" t="str">
        <f t="shared" si="155"/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 t="shared" si="156"/>
        <v/>
      </c>
      <c r="M2015" s="65" t="str">
        <f t="shared" ca="1" si="157"/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158"/>
        <v/>
      </c>
      <c r="S2015" s="1" t="str">
        <f t="shared" si="159"/>
        <v/>
      </c>
      <c r="T2015" s="1">
        <f>IF($E2015="",0,SUMPRODUCT((AY_SONU!$O$7:$O$42="Evet")*(AY_SONU!$B$7:$B$42=DATE(YEAR($E2015),MONTH($E2015),1))))</f>
        <v>0</v>
      </c>
      <c r="U2015" s="1" t="str">
        <f>IF(OR($G2015="",$H2015="Mahsup"),"",$G2015&amp;"|"&amp;COUNTIFS($G$7:$G2015,$G2015,$H$7:$H2015,"&lt;&gt;Mahsup"))</f>
        <v/>
      </c>
    </row>
    <row r="2016" spans="1:21" ht="18" customHeight="1" x14ac:dyDescent="0.3">
      <c r="A2016" s="2"/>
      <c r="B2016" s="65" t="str">
        <f t="shared" si="155"/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 t="shared" si="156"/>
        <v/>
      </c>
      <c r="M2016" s="65" t="str">
        <f t="shared" ca="1" si="157"/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158"/>
        <v/>
      </c>
      <c r="S2016" s="1" t="str">
        <f t="shared" si="159"/>
        <v/>
      </c>
      <c r="T2016" s="1">
        <f>IF($E2016="",0,SUMPRODUCT((AY_SONU!$O$7:$O$42="Evet")*(AY_SONU!$B$7:$B$42=DATE(YEAR($E2016),MONTH($E2016),1))))</f>
        <v>0</v>
      </c>
      <c r="U2016" s="1" t="str">
        <f>IF(OR($G2016="",$H2016="Mahsup"),"",$G2016&amp;"|"&amp;COUNTIFS($G$7:$G2016,$G2016,$H$7:$H2016,"&lt;&gt;Mahsup"))</f>
        <v/>
      </c>
    </row>
    <row r="2017" spans="1:21" ht="18" customHeight="1" x14ac:dyDescent="0.3">
      <c r="A2017" s="2"/>
      <c r="B2017" s="65" t="str">
        <f t="shared" si="155"/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 t="shared" si="156"/>
        <v/>
      </c>
      <c r="M2017" s="65" t="str">
        <f t="shared" ca="1" si="157"/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158"/>
        <v/>
      </c>
      <c r="S2017" s="1" t="str">
        <f t="shared" si="159"/>
        <v/>
      </c>
      <c r="T2017" s="1">
        <f>IF($E2017="",0,SUMPRODUCT((AY_SONU!$O$7:$O$42="Evet")*(AY_SONU!$B$7:$B$42=DATE(YEAR($E2017),MONTH($E2017),1))))</f>
        <v>0</v>
      </c>
      <c r="U2017" s="1" t="str">
        <f>IF(OR($G2017="",$H2017="Mahsup"),"",$G2017&amp;"|"&amp;COUNTIFS($G$7:$G2017,$G2017,$H$7:$H2017,"&lt;&gt;Mahsup"))</f>
        <v/>
      </c>
    </row>
    <row r="2018" spans="1:21" ht="18" customHeight="1" x14ac:dyDescent="0.3">
      <c r="A2018" s="2"/>
      <c r="B2018" s="65" t="str">
        <f t="shared" si="155"/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 t="shared" si="156"/>
        <v/>
      </c>
      <c r="M2018" s="65" t="str">
        <f t="shared" ca="1" si="157"/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158"/>
        <v/>
      </c>
      <c r="S2018" s="1" t="str">
        <f t="shared" si="159"/>
        <v/>
      </c>
      <c r="T2018" s="1">
        <f>IF($E2018="",0,SUMPRODUCT((AY_SONU!$O$7:$O$42="Evet")*(AY_SONU!$B$7:$B$42=DATE(YEAR($E2018),MONTH($E2018),1))))</f>
        <v>0</v>
      </c>
      <c r="U2018" s="1" t="str">
        <f>IF(OR($G2018="",$H2018="Mahsup"),"",$G2018&amp;"|"&amp;COUNTIFS($G$7:$G2018,$G2018,$H$7:$H2018,"&lt;&gt;Mahsup"))</f>
        <v/>
      </c>
    </row>
    <row r="2019" spans="1:21" ht="18" customHeight="1" x14ac:dyDescent="0.3">
      <c r="A2019" s="2"/>
      <c r="B2019" s="65" t="str">
        <f t="shared" si="155"/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 t="shared" si="156"/>
        <v/>
      </c>
      <c r="M2019" s="65" t="str">
        <f t="shared" ca="1" si="157"/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158"/>
        <v/>
      </c>
      <c r="S2019" s="1" t="str">
        <f t="shared" si="159"/>
        <v/>
      </c>
      <c r="T2019" s="1">
        <f>IF($E2019="",0,SUMPRODUCT((AY_SONU!$O$7:$O$42="Evet")*(AY_SONU!$B$7:$B$42=DATE(YEAR($E2019),MONTH($E2019),1))))</f>
        <v>0</v>
      </c>
      <c r="U2019" s="1" t="str">
        <f>IF(OR($G2019="",$H2019="Mahsup"),"",$G2019&amp;"|"&amp;COUNTIFS($G$7:$G2019,$G2019,$H$7:$H2019,"&lt;&gt;Mahsup"))</f>
        <v/>
      </c>
    </row>
    <row r="2020" spans="1:21" ht="18" customHeight="1" x14ac:dyDescent="0.3">
      <c r="A2020" s="2"/>
      <c r="B2020" s="65" t="str">
        <f t="shared" si="155"/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 t="shared" si="156"/>
        <v/>
      </c>
      <c r="M2020" s="65" t="str">
        <f t="shared" ca="1" si="157"/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158"/>
        <v/>
      </c>
      <c r="S2020" s="1" t="str">
        <f t="shared" si="159"/>
        <v/>
      </c>
      <c r="T2020" s="1">
        <f>IF($E2020="",0,SUMPRODUCT((AY_SONU!$O$7:$O$42="Evet")*(AY_SONU!$B$7:$B$42=DATE(YEAR($E2020),MONTH($E2020),1))))</f>
        <v>0</v>
      </c>
      <c r="U2020" s="1" t="str">
        <f>IF(OR($G2020="",$H2020="Mahsup"),"",$G2020&amp;"|"&amp;COUNTIFS($G$7:$G2020,$G2020,$H$7:$H2020,"&lt;&gt;Mahsup"))</f>
        <v/>
      </c>
    </row>
    <row r="2021" spans="1:21" ht="18" customHeight="1" x14ac:dyDescent="0.3">
      <c r="A2021" s="2"/>
      <c r="B2021" s="65" t="str">
        <f t="shared" si="155"/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 t="shared" si="156"/>
        <v/>
      </c>
      <c r="M2021" s="65" t="str">
        <f t="shared" ca="1" si="157"/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158"/>
        <v/>
      </c>
      <c r="S2021" s="1" t="str">
        <f t="shared" si="159"/>
        <v/>
      </c>
      <c r="T2021" s="1">
        <f>IF($E2021="",0,SUMPRODUCT((AY_SONU!$O$7:$O$42="Evet")*(AY_SONU!$B$7:$B$42=DATE(YEAR($E2021),MONTH($E2021),1))))</f>
        <v>0</v>
      </c>
      <c r="U2021" s="1" t="str">
        <f>IF(OR($G2021="",$H2021="Mahsup"),"",$G2021&amp;"|"&amp;COUNTIFS($G$7:$G2021,$G2021,$H$7:$H2021,"&lt;&gt;Mahsup"))</f>
        <v/>
      </c>
    </row>
    <row r="2022" spans="1:21" ht="18" customHeight="1" x14ac:dyDescent="0.3">
      <c r="A2022" s="2"/>
      <c r="B2022" s="65" t="str">
        <f t="shared" si="155"/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 t="shared" si="156"/>
        <v/>
      </c>
      <c r="M2022" s="65" t="str">
        <f t="shared" ca="1" si="157"/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158"/>
        <v/>
      </c>
      <c r="S2022" s="1" t="str">
        <f t="shared" si="159"/>
        <v/>
      </c>
      <c r="T2022" s="1">
        <f>IF($E2022="",0,SUMPRODUCT((AY_SONU!$O$7:$O$42="Evet")*(AY_SONU!$B$7:$B$42=DATE(YEAR($E2022),MONTH($E2022),1))))</f>
        <v>0</v>
      </c>
      <c r="U2022" s="1" t="str">
        <f>IF(OR($G2022="",$H2022="Mahsup"),"",$G2022&amp;"|"&amp;COUNTIFS($G$7:$G2022,$G2022,$H$7:$H2022,"&lt;&gt;Mahsup"))</f>
        <v/>
      </c>
    </row>
    <row r="2023" spans="1:21" ht="18" customHeight="1" x14ac:dyDescent="0.3">
      <c r="A2023" s="2"/>
      <c r="B2023" s="65" t="str">
        <f t="shared" si="155"/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 t="shared" si="156"/>
        <v/>
      </c>
      <c r="M2023" s="65" t="str">
        <f t="shared" ca="1" si="157"/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158"/>
        <v/>
      </c>
      <c r="S2023" s="1" t="str">
        <f t="shared" si="159"/>
        <v/>
      </c>
      <c r="T2023" s="1">
        <f>IF($E2023="",0,SUMPRODUCT((AY_SONU!$O$7:$O$42="Evet")*(AY_SONU!$B$7:$B$42=DATE(YEAR($E2023),MONTH($E2023),1))))</f>
        <v>0</v>
      </c>
      <c r="U2023" s="1" t="str">
        <f>IF(OR($G2023="",$H2023="Mahsup"),"",$G2023&amp;"|"&amp;COUNTIFS($G$7:$G2023,$G2023,$H$7:$H2023,"&lt;&gt;Mahsup"))</f>
        <v/>
      </c>
    </row>
    <row r="2024" spans="1:21" ht="18" customHeight="1" x14ac:dyDescent="0.3">
      <c r="A2024" s="2"/>
      <c r="B2024" s="65" t="str">
        <f t="shared" si="155"/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 t="shared" si="156"/>
        <v/>
      </c>
      <c r="M2024" s="65" t="str">
        <f t="shared" ca="1" si="157"/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158"/>
        <v/>
      </c>
      <c r="S2024" s="1" t="str">
        <f t="shared" si="159"/>
        <v/>
      </c>
      <c r="T2024" s="1">
        <f>IF($E2024="",0,SUMPRODUCT((AY_SONU!$O$7:$O$42="Evet")*(AY_SONU!$B$7:$B$42=DATE(YEAR($E2024),MONTH($E2024),1))))</f>
        <v>0</v>
      </c>
      <c r="U2024" s="1" t="str">
        <f>IF(OR($G2024="",$H2024="Mahsup"),"",$G2024&amp;"|"&amp;COUNTIFS($G$7:$G2024,$G2024,$H$7:$H2024,"&lt;&gt;Mahsup"))</f>
        <v/>
      </c>
    </row>
    <row r="2025" spans="1:21" ht="18" customHeight="1" x14ac:dyDescent="0.3">
      <c r="A2025" s="2"/>
      <c r="B2025" s="65" t="str">
        <f t="shared" si="155"/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 t="shared" si="156"/>
        <v/>
      </c>
      <c r="M2025" s="65" t="str">
        <f t="shared" ca="1" si="157"/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158"/>
        <v/>
      </c>
      <c r="S2025" s="1" t="str">
        <f t="shared" si="159"/>
        <v/>
      </c>
      <c r="T2025" s="1">
        <f>IF($E2025="",0,SUMPRODUCT((AY_SONU!$O$7:$O$42="Evet")*(AY_SONU!$B$7:$B$42=DATE(YEAR($E2025),MONTH($E2025),1))))</f>
        <v>0</v>
      </c>
      <c r="U2025" s="1" t="str">
        <f>IF(OR($G2025="",$H2025="Mahsup"),"",$G2025&amp;"|"&amp;COUNTIFS($G$7:$G2025,$G2025,$H$7:$H2025,"&lt;&gt;Mahsup"))</f>
        <v/>
      </c>
    </row>
    <row r="2026" spans="1:21" ht="18" customHeight="1" x14ac:dyDescent="0.3">
      <c r="A2026" s="2"/>
      <c r="B2026" s="65" t="str">
        <f t="shared" si="155"/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 t="shared" si="156"/>
        <v/>
      </c>
      <c r="M2026" s="65" t="str">
        <f t="shared" ca="1" si="157"/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158"/>
        <v/>
      </c>
      <c r="S2026" s="1" t="str">
        <f t="shared" si="159"/>
        <v/>
      </c>
      <c r="T2026" s="1">
        <f>IF($E2026="",0,SUMPRODUCT((AY_SONU!$O$7:$O$42="Evet")*(AY_SONU!$B$7:$B$42=DATE(YEAR($E2026),MONTH($E2026),1))))</f>
        <v>0</v>
      </c>
      <c r="U2026" s="1" t="str">
        <f>IF(OR($G2026="",$H2026="Mahsup"),"",$G2026&amp;"|"&amp;COUNTIFS($G$7:$G2026,$G2026,$H$7:$H2026,"&lt;&gt;Mahsup"))</f>
        <v/>
      </c>
    </row>
    <row r="2027" spans="1:21" ht="18" customHeight="1" x14ac:dyDescent="0.3">
      <c r="A2027" s="2"/>
      <c r="B2027" s="65" t="str">
        <f t="shared" si="155"/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 t="shared" si="156"/>
        <v/>
      </c>
      <c r="M2027" s="65" t="str">
        <f t="shared" ca="1" si="157"/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158"/>
        <v/>
      </c>
      <c r="S2027" s="1" t="str">
        <f t="shared" si="159"/>
        <v/>
      </c>
      <c r="T2027" s="1">
        <f>IF($E2027="",0,SUMPRODUCT((AY_SONU!$O$7:$O$42="Evet")*(AY_SONU!$B$7:$B$42=DATE(YEAR($E2027),MONTH($E2027),1))))</f>
        <v>0</v>
      </c>
      <c r="U2027" s="1" t="str">
        <f>IF(OR($G2027="",$H2027="Mahsup"),"",$G2027&amp;"|"&amp;COUNTIFS($G$7:$G2027,$G2027,$H$7:$H2027,"&lt;&gt;Mahsup"))</f>
        <v/>
      </c>
    </row>
    <row r="2028" spans="1:21" ht="18" customHeight="1" x14ac:dyDescent="0.3">
      <c r="A2028" s="2"/>
      <c r="B2028" s="65" t="str">
        <f t="shared" si="155"/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 t="shared" si="156"/>
        <v/>
      </c>
      <c r="M2028" s="65" t="str">
        <f t="shared" ca="1" si="157"/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158"/>
        <v/>
      </c>
      <c r="S2028" s="1" t="str">
        <f t="shared" si="159"/>
        <v/>
      </c>
      <c r="T2028" s="1">
        <f>IF($E2028="",0,SUMPRODUCT((AY_SONU!$O$7:$O$42="Evet")*(AY_SONU!$B$7:$B$42=DATE(YEAR($E2028),MONTH($E2028),1))))</f>
        <v>0</v>
      </c>
      <c r="U2028" s="1" t="str">
        <f>IF(OR($G2028="",$H2028="Mahsup"),"",$G2028&amp;"|"&amp;COUNTIFS($G$7:$G2028,$G2028,$H$7:$H2028,"&lt;&gt;Mahsup"))</f>
        <v/>
      </c>
    </row>
    <row r="2029" spans="1:21" ht="18" customHeight="1" x14ac:dyDescent="0.3">
      <c r="A2029" s="2"/>
      <c r="B2029" s="65" t="str">
        <f t="shared" si="155"/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 t="shared" si="156"/>
        <v/>
      </c>
      <c r="M2029" s="65" t="str">
        <f t="shared" ca="1" si="157"/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158"/>
        <v/>
      </c>
      <c r="S2029" s="1" t="str">
        <f t="shared" si="159"/>
        <v/>
      </c>
      <c r="T2029" s="1">
        <f>IF($E2029="",0,SUMPRODUCT((AY_SONU!$O$7:$O$42="Evet")*(AY_SONU!$B$7:$B$42=DATE(YEAR($E2029),MONTH($E2029),1))))</f>
        <v>0</v>
      </c>
      <c r="U2029" s="1" t="str">
        <f>IF(OR($G2029="",$H2029="Mahsup"),"",$G2029&amp;"|"&amp;COUNTIFS($G$7:$G2029,$G2029,$H$7:$H2029,"&lt;&gt;Mahsup"))</f>
        <v/>
      </c>
    </row>
    <row r="2030" spans="1:21" ht="18" customHeight="1" x14ac:dyDescent="0.3">
      <c r="A2030" s="2"/>
      <c r="B2030" s="65" t="str">
        <f t="shared" si="155"/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 t="shared" si="156"/>
        <v/>
      </c>
      <c r="M2030" s="65" t="str">
        <f t="shared" ca="1" si="157"/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158"/>
        <v/>
      </c>
      <c r="S2030" s="1" t="str">
        <f t="shared" si="159"/>
        <v/>
      </c>
      <c r="T2030" s="1">
        <f>IF($E2030="",0,SUMPRODUCT((AY_SONU!$O$7:$O$42="Evet")*(AY_SONU!$B$7:$B$42=DATE(YEAR($E2030),MONTH($E2030),1))))</f>
        <v>0</v>
      </c>
      <c r="U2030" s="1" t="str">
        <f>IF(OR($G2030="",$H2030="Mahsup"),"",$G2030&amp;"|"&amp;COUNTIFS($G$7:$G2030,$G2030,$H$7:$H2030,"&lt;&gt;Mahsup"))</f>
        <v/>
      </c>
    </row>
    <row r="2031" spans="1:21" ht="18" customHeight="1" x14ac:dyDescent="0.3">
      <c r="A2031" s="2"/>
      <c r="B2031" s="65" t="str">
        <f t="shared" si="155"/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 t="shared" si="156"/>
        <v/>
      </c>
      <c r="M2031" s="65" t="str">
        <f t="shared" ca="1" si="157"/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158"/>
        <v/>
      </c>
      <c r="S2031" s="1" t="str">
        <f t="shared" si="159"/>
        <v/>
      </c>
      <c r="T2031" s="1">
        <f>IF($E2031="",0,SUMPRODUCT((AY_SONU!$O$7:$O$42="Evet")*(AY_SONU!$B$7:$B$42=DATE(YEAR($E2031),MONTH($E2031),1))))</f>
        <v>0</v>
      </c>
      <c r="U2031" s="1" t="str">
        <f>IF(OR($G2031="",$H2031="Mahsup"),"",$G2031&amp;"|"&amp;COUNTIFS($G$7:$G2031,$G2031,$H$7:$H2031,"&lt;&gt;Mahsup"))</f>
        <v/>
      </c>
    </row>
    <row r="2032" spans="1:21" ht="18" customHeight="1" x14ac:dyDescent="0.3">
      <c r="A2032" s="2"/>
      <c r="B2032" s="65" t="str">
        <f t="shared" si="155"/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 t="shared" si="156"/>
        <v/>
      </c>
      <c r="M2032" s="65" t="str">
        <f t="shared" ca="1" si="157"/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158"/>
        <v/>
      </c>
      <c r="S2032" s="1" t="str">
        <f t="shared" si="159"/>
        <v/>
      </c>
      <c r="T2032" s="1">
        <f>IF($E2032="",0,SUMPRODUCT((AY_SONU!$O$7:$O$42="Evet")*(AY_SONU!$B$7:$B$42=DATE(YEAR($E2032),MONTH($E2032),1))))</f>
        <v>0</v>
      </c>
      <c r="U2032" s="1" t="str">
        <f>IF(OR($G2032="",$H2032="Mahsup"),"",$G2032&amp;"|"&amp;COUNTIFS($G$7:$G2032,$G2032,$H$7:$H2032,"&lt;&gt;Mahsup"))</f>
        <v/>
      </c>
    </row>
    <row r="2033" spans="1:21" ht="18" customHeight="1" x14ac:dyDescent="0.3">
      <c r="A2033" s="2"/>
      <c r="B2033" s="65" t="str">
        <f t="shared" si="155"/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 t="shared" si="156"/>
        <v/>
      </c>
      <c r="M2033" s="65" t="str">
        <f t="shared" ca="1" si="157"/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158"/>
        <v/>
      </c>
      <c r="S2033" s="1" t="str">
        <f t="shared" si="159"/>
        <v/>
      </c>
      <c r="T2033" s="1">
        <f>IF($E2033="",0,SUMPRODUCT((AY_SONU!$O$7:$O$42="Evet")*(AY_SONU!$B$7:$B$42=DATE(YEAR($E2033),MONTH($E2033),1))))</f>
        <v>0</v>
      </c>
      <c r="U2033" s="1" t="str">
        <f>IF(OR($G2033="",$H2033="Mahsup"),"",$G2033&amp;"|"&amp;COUNTIFS($G$7:$G2033,$G2033,$H$7:$H2033,"&lt;&gt;Mahsup"))</f>
        <v/>
      </c>
    </row>
    <row r="2034" spans="1:21" ht="18" customHeight="1" x14ac:dyDescent="0.3">
      <c r="A2034" s="2"/>
      <c r="B2034" s="65" t="str">
        <f t="shared" si="155"/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 t="shared" si="156"/>
        <v/>
      </c>
      <c r="M2034" s="65" t="str">
        <f t="shared" ca="1" si="157"/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158"/>
        <v/>
      </c>
      <c r="S2034" s="1" t="str">
        <f t="shared" si="159"/>
        <v/>
      </c>
      <c r="T2034" s="1">
        <f>IF($E2034="",0,SUMPRODUCT((AY_SONU!$O$7:$O$42="Evet")*(AY_SONU!$B$7:$B$42=DATE(YEAR($E2034),MONTH($E2034),1))))</f>
        <v>0</v>
      </c>
      <c r="U2034" s="1" t="str">
        <f>IF(OR($G2034="",$H2034="Mahsup"),"",$G2034&amp;"|"&amp;COUNTIFS($G$7:$G2034,$G2034,$H$7:$H2034,"&lt;&gt;Mahsup"))</f>
        <v/>
      </c>
    </row>
    <row r="2035" spans="1:21" ht="18" customHeight="1" x14ac:dyDescent="0.3">
      <c r="A2035" s="2"/>
      <c r="B2035" s="65" t="str">
        <f t="shared" si="155"/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 t="shared" si="156"/>
        <v/>
      </c>
      <c r="M2035" s="65" t="str">
        <f t="shared" ca="1" si="157"/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158"/>
        <v/>
      </c>
      <c r="S2035" s="1" t="str">
        <f t="shared" si="159"/>
        <v/>
      </c>
      <c r="T2035" s="1">
        <f>IF($E2035="",0,SUMPRODUCT((AY_SONU!$O$7:$O$42="Evet")*(AY_SONU!$B$7:$B$42=DATE(YEAR($E2035),MONTH($E2035),1))))</f>
        <v>0</v>
      </c>
      <c r="U2035" s="1" t="str">
        <f>IF(OR($G2035="",$H2035="Mahsup"),"",$G2035&amp;"|"&amp;COUNTIFS($G$7:$G2035,$G2035,$H$7:$H2035,"&lt;&gt;Mahsup"))</f>
        <v/>
      </c>
    </row>
    <row r="2036" spans="1:21" ht="18" customHeight="1" x14ac:dyDescent="0.3">
      <c r="A2036" s="2"/>
      <c r="B2036" s="65" t="str">
        <f t="shared" si="155"/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 t="shared" si="156"/>
        <v/>
      </c>
      <c r="M2036" s="65" t="str">
        <f t="shared" ca="1" si="157"/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158"/>
        <v/>
      </c>
      <c r="S2036" s="1" t="str">
        <f t="shared" si="159"/>
        <v/>
      </c>
      <c r="T2036" s="1">
        <f>IF($E2036="",0,SUMPRODUCT((AY_SONU!$O$7:$O$42="Evet")*(AY_SONU!$B$7:$B$42=DATE(YEAR($E2036),MONTH($E2036),1))))</f>
        <v>0</v>
      </c>
      <c r="U2036" s="1" t="str">
        <f>IF(OR($G2036="",$H2036="Mahsup"),"",$G2036&amp;"|"&amp;COUNTIFS($G$7:$G2036,$G2036,$H$7:$H2036,"&lt;&gt;Mahsup"))</f>
        <v/>
      </c>
    </row>
    <row r="2037" spans="1:21" ht="18" customHeight="1" x14ac:dyDescent="0.3">
      <c r="A2037" s="2"/>
      <c r="B2037" s="65" t="str">
        <f t="shared" si="155"/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 t="shared" si="156"/>
        <v/>
      </c>
      <c r="M2037" s="65" t="str">
        <f t="shared" ca="1" si="157"/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158"/>
        <v/>
      </c>
      <c r="S2037" s="1" t="str">
        <f t="shared" si="159"/>
        <v/>
      </c>
      <c r="T2037" s="1">
        <f>IF($E2037="",0,SUMPRODUCT((AY_SONU!$O$7:$O$42="Evet")*(AY_SONU!$B$7:$B$42=DATE(YEAR($E2037),MONTH($E2037),1))))</f>
        <v>0</v>
      </c>
      <c r="U2037" s="1" t="str">
        <f>IF(OR($G2037="",$H2037="Mahsup"),"",$G2037&amp;"|"&amp;COUNTIFS($G$7:$G2037,$G2037,$H$7:$H2037,"&lt;&gt;Mahsup"))</f>
        <v/>
      </c>
    </row>
    <row r="2038" spans="1:21" ht="18" customHeight="1" x14ac:dyDescent="0.3">
      <c r="A2038" s="2"/>
      <c r="B2038" s="65" t="str">
        <f t="shared" si="155"/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 t="shared" si="156"/>
        <v/>
      </c>
      <c r="M2038" s="65" t="str">
        <f t="shared" ca="1" si="157"/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158"/>
        <v/>
      </c>
      <c r="S2038" s="1" t="str">
        <f t="shared" si="159"/>
        <v/>
      </c>
      <c r="T2038" s="1">
        <f>IF($E2038="",0,SUMPRODUCT((AY_SONU!$O$7:$O$42="Evet")*(AY_SONU!$B$7:$B$42=DATE(YEAR($E2038),MONTH($E2038),1))))</f>
        <v>0</v>
      </c>
      <c r="U2038" s="1" t="str">
        <f>IF(OR($G2038="",$H2038="Mahsup"),"",$G2038&amp;"|"&amp;COUNTIFS($G$7:$G2038,$G2038,$H$7:$H2038,"&lt;&gt;Mahsup"))</f>
        <v/>
      </c>
    </row>
    <row r="2039" spans="1:21" ht="18" customHeight="1" x14ac:dyDescent="0.3">
      <c r="A2039" s="2"/>
      <c r="B2039" s="65" t="str">
        <f t="shared" si="155"/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 t="shared" si="156"/>
        <v/>
      </c>
      <c r="M2039" s="65" t="str">
        <f t="shared" ca="1" si="157"/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158"/>
        <v/>
      </c>
      <c r="S2039" s="1" t="str">
        <f t="shared" si="159"/>
        <v/>
      </c>
      <c r="T2039" s="1">
        <f>IF($E2039="",0,SUMPRODUCT((AY_SONU!$O$7:$O$42="Evet")*(AY_SONU!$B$7:$B$42=DATE(YEAR($E2039),MONTH($E2039),1))))</f>
        <v>0</v>
      </c>
      <c r="U2039" s="1" t="str">
        <f>IF(OR($G2039="",$H2039="Mahsup"),"",$G2039&amp;"|"&amp;COUNTIFS($G$7:$G2039,$G2039,$H$7:$H2039,"&lt;&gt;Mahsup"))</f>
        <v/>
      </c>
    </row>
    <row r="2040" spans="1:21" ht="18" customHeight="1" x14ac:dyDescent="0.3">
      <c r="A2040" s="2"/>
      <c r="B2040" s="65" t="str">
        <f t="shared" si="155"/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 t="shared" si="156"/>
        <v/>
      </c>
      <c r="M2040" s="65" t="str">
        <f t="shared" ca="1" si="157"/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158"/>
        <v/>
      </c>
      <c r="S2040" s="1" t="str">
        <f t="shared" si="159"/>
        <v/>
      </c>
      <c r="T2040" s="1">
        <f>IF($E2040="",0,SUMPRODUCT((AY_SONU!$O$7:$O$42="Evet")*(AY_SONU!$B$7:$B$42=DATE(YEAR($E2040),MONTH($E2040),1))))</f>
        <v>0</v>
      </c>
      <c r="U2040" s="1" t="str">
        <f>IF(OR($G2040="",$H2040="Mahsup"),"",$G2040&amp;"|"&amp;COUNTIFS($G$7:$G2040,$G2040,$H$7:$H2040,"&lt;&gt;Mahsup"))</f>
        <v/>
      </c>
    </row>
    <row r="2041" spans="1:21" ht="18" customHeight="1" x14ac:dyDescent="0.3">
      <c r="A2041" s="2"/>
      <c r="B2041" s="65" t="str">
        <f t="shared" si="155"/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 t="shared" si="156"/>
        <v/>
      </c>
      <c r="M2041" s="65" t="str">
        <f t="shared" ca="1" si="157"/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158"/>
        <v/>
      </c>
      <c r="S2041" s="1" t="str">
        <f t="shared" si="159"/>
        <v/>
      </c>
      <c r="T2041" s="1">
        <f>IF($E2041="",0,SUMPRODUCT((AY_SONU!$O$7:$O$42="Evet")*(AY_SONU!$B$7:$B$42=DATE(YEAR($E2041),MONTH($E2041),1))))</f>
        <v>0</v>
      </c>
      <c r="U2041" s="1" t="str">
        <f>IF(OR($G2041="",$H2041="Mahsup"),"",$G2041&amp;"|"&amp;COUNTIFS($G$7:$G2041,$G2041,$H$7:$H2041,"&lt;&gt;Mahsup"))</f>
        <v/>
      </c>
    </row>
    <row r="2042" spans="1:21" ht="18" customHeight="1" x14ac:dyDescent="0.3">
      <c r="A2042" s="2"/>
      <c r="B2042" s="65" t="str">
        <f t="shared" si="155"/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 t="shared" si="156"/>
        <v/>
      </c>
      <c r="M2042" s="65" t="str">
        <f t="shared" ca="1" si="157"/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158"/>
        <v/>
      </c>
      <c r="S2042" s="1" t="str">
        <f t="shared" si="159"/>
        <v/>
      </c>
      <c r="T2042" s="1">
        <f>IF($E2042="",0,SUMPRODUCT((AY_SONU!$O$7:$O$42="Evet")*(AY_SONU!$B$7:$B$42=DATE(YEAR($E2042),MONTH($E2042),1))))</f>
        <v>0</v>
      </c>
      <c r="U2042" s="1" t="str">
        <f>IF(OR($G2042="",$H2042="Mahsup"),"",$G2042&amp;"|"&amp;COUNTIFS($G$7:$G2042,$G2042,$H$7:$H2042,"&lt;&gt;Mahsup"))</f>
        <v/>
      </c>
    </row>
    <row r="2043" spans="1:21" ht="18" customHeight="1" x14ac:dyDescent="0.3">
      <c r="A2043" s="2"/>
      <c r="B2043" s="65" t="str">
        <f t="shared" si="155"/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 t="shared" si="156"/>
        <v/>
      </c>
      <c r="M2043" s="65" t="str">
        <f t="shared" ca="1" si="157"/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158"/>
        <v/>
      </c>
      <c r="S2043" s="1" t="str">
        <f t="shared" si="159"/>
        <v/>
      </c>
      <c r="T2043" s="1">
        <f>IF($E2043="",0,SUMPRODUCT((AY_SONU!$O$7:$O$42="Evet")*(AY_SONU!$B$7:$B$42=DATE(YEAR($E2043),MONTH($E2043),1))))</f>
        <v>0</v>
      </c>
      <c r="U2043" s="1" t="str">
        <f>IF(OR($G2043="",$H2043="Mahsup"),"",$G2043&amp;"|"&amp;COUNTIFS($G$7:$G2043,$G2043,$H$7:$H2043,"&lt;&gt;Mahsup"))</f>
        <v/>
      </c>
    </row>
    <row r="2044" spans="1:21" ht="18" customHeight="1" x14ac:dyDescent="0.3">
      <c r="A2044" s="2"/>
      <c r="B2044" s="65" t="str">
        <f t="shared" si="155"/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 t="shared" si="156"/>
        <v/>
      </c>
      <c r="M2044" s="65" t="str">
        <f t="shared" ca="1" si="157"/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158"/>
        <v/>
      </c>
      <c r="S2044" s="1" t="str">
        <f t="shared" si="159"/>
        <v/>
      </c>
      <c r="T2044" s="1">
        <f>IF($E2044="",0,SUMPRODUCT((AY_SONU!$O$7:$O$42="Evet")*(AY_SONU!$B$7:$B$42=DATE(YEAR($E2044),MONTH($E2044),1))))</f>
        <v>0</v>
      </c>
      <c r="U2044" s="1" t="str">
        <f>IF(OR($G2044="",$H2044="Mahsup"),"",$G2044&amp;"|"&amp;COUNTIFS($G$7:$G2044,$G2044,$H$7:$H2044,"&lt;&gt;Mahsup"))</f>
        <v/>
      </c>
    </row>
    <row r="2045" spans="1:21" ht="18" customHeight="1" x14ac:dyDescent="0.3">
      <c r="A2045" s="2"/>
      <c r="B2045" s="65" t="str">
        <f t="shared" si="155"/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 t="shared" si="156"/>
        <v/>
      </c>
      <c r="M2045" s="65" t="str">
        <f t="shared" ca="1" si="157"/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158"/>
        <v/>
      </c>
      <c r="S2045" s="1" t="str">
        <f t="shared" si="159"/>
        <v/>
      </c>
      <c r="T2045" s="1">
        <f>IF($E2045="",0,SUMPRODUCT((AY_SONU!$O$7:$O$42="Evet")*(AY_SONU!$B$7:$B$42=DATE(YEAR($E2045),MONTH($E2045),1))))</f>
        <v>0</v>
      </c>
      <c r="U2045" s="1" t="str">
        <f>IF(OR($G2045="",$H2045="Mahsup"),"",$G2045&amp;"|"&amp;COUNTIFS($G$7:$G2045,$G2045,$H$7:$H2045,"&lt;&gt;Mahsup"))</f>
        <v/>
      </c>
    </row>
    <row r="2046" spans="1:21" ht="18" customHeight="1" x14ac:dyDescent="0.3">
      <c r="A2046" s="2"/>
      <c r="B2046" s="65" t="str">
        <f t="shared" si="155"/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 t="shared" si="156"/>
        <v/>
      </c>
      <c r="M2046" s="65" t="str">
        <f t="shared" ca="1" si="157"/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158"/>
        <v/>
      </c>
      <c r="S2046" s="1" t="str">
        <f t="shared" si="159"/>
        <v/>
      </c>
      <c r="T2046" s="1">
        <f>IF($E2046="",0,SUMPRODUCT((AY_SONU!$O$7:$O$42="Evet")*(AY_SONU!$B$7:$B$42=DATE(YEAR($E2046),MONTH($E2046),1))))</f>
        <v>0</v>
      </c>
      <c r="U2046" s="1" t="str">
        <f>IF(OR($G2046="",$H2046="Mahsup"),"",$G2046&amp;"|"&amp;COUNTIFS($G$7:$G2046,$G2046,$H$7:$H2046,"&lt;&gt;Mahsup"))</f>
        <v/>
      </c>
    </row>
    <row r="2047" spans="1:21" ht="18" customHeight="1" x14ac:dyDescent="0.3">
      <c r="A2047" s="2"/>
      <c r="B2047" s="65" t="str">
        <f t="shared" si="155"/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 t="shared" si="156"/>
        <v/>
      </c>
      <c r="M2047" s="65" t="str">
        <f t="shared" ca="1" si="157"/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158"/>
        <v/>
      </c>
      <c r="S2047" s="1" t="str">
        <f t="shared" si="159"/>
        <v/>
      </c>
      <c r="T2047" s="1">
        <f>IF($E2047="",0,SUMPRODUCT((AY_SONU!$O$7:$O$42="Evet")*(AY_SONU!$B$7:$B$42=DATE(YEAR($E2047),MONTH($E2047),1))))</f>
        <v>0</v>
      </c>
      <c r="U2047" s="1" t="str">
        <f>IF(OR($G2047="",$H2047="Mahsup"),"",$G2047&amp;"|"&amp;COUNTIFS($G$7:$G2047,$G2047,$H$7:$H2047,"&lt;&gt;Mahsup"))</f>
        <v/>
      </c>
    </row>
    <row r="2048" spans="1:21" ht="18" customHeight="1" x14ac:dyDescent="0.3">
      <c r="A2048" s="2"/>
      <c r="B2048" s="65" t="str">
        <f t="shared" si="155"/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 t="shared" si="156"/>
        <v/>
      </c>
      <c r="M2048" s="65" t="str">
        <f t="shared" ca="1" si="157"/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158"/>
        <v/>
      </c>
      <c r="S2048" s="1" t="str">
        <f t="shared" si="159"/>
        <v/>
      </c>
      <c r="T2048" s="1">
        <f>IF($E2048="",0,SUMPRODUCT((AY_SONU!$O$7:$O$42="Evet")*(AY_SONU!$B$7:$B$42=DATE(YEAR($E2048),MONTH($E2048),1))))</f>
        <v>0</v>
      </c>
      <c r="U2048" s="1" t="str">
        <f>IF(OR($G2048="",$H2048="Mahsup"),"",$G2048&amp;"|"&amp;COUNTIFS($G$7:$G2048,$G2048,$H$7:$H2048,"&lt;&gt;Mahsup"))</f>
        <v/>
      </c>
    </row>
    <row r="2049" spans="1:21" ht="18" customHeight="1" x14ac:dyDescent="0.3">
      <c r="A2049" s="2"/>
      <c r="B2049" s="65" t="str">
        <f t="shared" si="155"/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 t="shared" si="156"/>
        <v/>
      </c>
      <c r="M2049" s="65" t="str">
        <f t="shared" ca="1" si="157"/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158"/>
        <v/>
      </c>
      <c r="S2049" s="1" t="str">
        <f t="shared" si="159"/>
        <v/>
      </c>
      <c r="T2049" s="1">
        <f>IF($E2049="",0,SUMPRODUCT((AY_SONU!$O$7:$O$42="Evet")*(AY_SONU!$B$7:$B$42=DATE(YEAR($E2049),MONTH($E2049),1))))</f>
        <v>0</v>
      </c>
      <c r="U2049" s="1" t="str">
        <f>IF(OR($G2049="",$H2049="Mahsup"),"",$G2049&amp;"|"&amp;COUNTIFS($G$7:$G2049,$G2049,$H$7:$H2049,"&lt;&gt;Mahsup"))</f>
        <v/>
      </c>
    </row>
    <row r="2050" spans="1:21" ht="18" customHeight="1" x14ac:dyDescent="0.3">
      <c r="A2050" s="2"/>
      <c r="B2050" s="65" t="str">
        <f t="shared" si="155"/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 t="shared" si="156"/>
        <v/>
      </c>
      <c r="M2050" s="65" t="str">
        <f t="shared" ca="1" si="157"/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158"/>
        <v/>
      </c>
      <c r="S2050" s="1" t="str">
        <f t="shared" si="159"/>
        <v/>
      </c>
      <c r="T2050" s="1">
        <f>IF($E2050="",0,SUMPRODUCT((AY_SONU!$O$7:$O$42="Evet")*(AY_SONU!$B$7:$B$42=DATE(YEAR($E2050),MONTH($E2050),1))))</f>
        <v>0</v>
      </c>
      <c r="U2050" s="1" t="str">
        <f>IF(OR($G2050="",$H2050="Mahsup"),"",$G2050&amp;"|"&amp;COUNTIFS($G$7:$G2050,$G2050,$H$7:$H2050,"&lt;&gt;Mahsup"))</f>
        <v/>
      </c>
    </row>
    <row r="2051" spans="1:21" ht="18" customHeight="1" x14ac:dyDescent="0.3">
      <c r="A2051" s="2"/>
      <c r="B2051" s="65" t="str">
        <f t="shared" si="155"/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 t="shared" si="156"/>
        <v/>
      </c>
      <c r="M2051" s="65" t="str">
        <f t="shared" ca="1" si="157"/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158"/>
        <v/>
      </c>
      <c r="S2051" s="1" t="str">
        <f t="shared" si="159"/>
        <v/>
      </c>
      <c r="T2051" s="1">
        <f>IF($E2051="",0,SUMPRODUCT((AY_SONU!$O$7:$O$42="Evet")*(AY_SONU!$B$7:$B$42=DATE(YEAR($E2051),MONTH($E2051),1))))</f>
        <v>0</v>
      </c>
      <c r="U2051" s="1" t="str">
        <f>IF(OR($G2051="",$H2051="Mahsup"),"",$G2051&amp;"|"&amp;COUNTIFS($G$7:$G2051,$G2051,$H$7:$H2051,"&lt;&gt;Mahsup"))</f>
        <v/>
      </c>
    </row>
    <row r="2052" spans="1:21" ht="18" customHeight="1" x14ac:dyDescent="0.3">
      <c r="A2052" s="2"/>
      <c r="B2052" s="65" t="str">
        <f t="shared" si="155"/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 t="shared" si="156"/>
        <v/>
      </c>
      <c r="M2052" s="65" t="str">
        <f t="shared" ca="1" si="157"/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158"/>
        <v/>
      </c>
      <c r="S2052" s="1" t="str">
        <f t="shared" si="159"/>
        <v/>
      </c>
      <c r="T2052" s="1">
        <f>IF($E2052="",0,SUMPRODUCT((AY_SONU!$O$7:$O$42="Evet")*(AY_SONU!$B$7:$B$42=DATE(YEAR($E2052),MONTH($E2052),1))))</f>
        <v>0</v>
      </c>
      <c r="U2052" s="1" t="str">
        <f>IF(OR($G2052="",$H2052="Mahsup"),"",$G2052&amp;"|"&amp;COUNTIFS($G$7:$G2052,$G2052,$H$7:$H2052,"&lt;&gt;Mahsup"))</f>
        <v/>
      </c>
    </row>
    <row r="2053" spans="1:21" ht="18" customHeight="1" x14ac:dyDescent="0.3">
      <c r="A2053" s="2"/>
      <c r="B2053" s="65" t="str">
        <f t="shared" si="155"/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 t="shared" si="156"/>
        <v/>
      </c>
      <c r="M2053" s="65" t="str">
        <f t="shared" ca="1" si="157"/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158"/>
        <v/>
      </c>
      <c r="S2053" s="1" t="str">
        <f t="shared" si="159"/>
        <v/>
      </c>
      <c r="T2053" s="1">
        <f>IF($E2053="",0,SUMPRODUCT((AY_SONU!$O$7:$O$42="Evet")*(AY_SONU!$B$7:$B$42=DATE(YEAR($E2053),MONTH($E2053),1))))</f>
        <v>0</v>
      </c>
      <c r="U2053" s="1" t="str">
        <f>IF(OR($G2053="",$H2053="Mahsup"),"",$G2053&amp;"|"&amp;COUNTIFS($G$7:$G2053,$G2053,$H$7:$H2053,"&lt;&gt;Mahsup"))</f>
        <v/>
      </c>
    </row>
    <row r="2054" spans="1:21" ht="18" customHeight="1" x14ac:dyDescent="0.3">
      <c r="A2054" s="2"/>
      <c r="B2054" s="65" t="str">
        <f t="shared" si="155"/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 t="shared" si="156"/>
        <v/>
      </c>
      <c r="M2054" s="65" t="str">
        <f t="shared" ca="1" si="157"/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158"/>
        <v/>
      </c>
      <c r="S2054" s="1" t="str">
        <f t="shared" si="159"/>
        <v/>
      </c>
      <c r="T2054" s="1">
        <f>IF($E2054="",0,SUMPRODUCT((AY_SONU!$O$7:$O$42="Evet")*(AY_SONU!$B$7:$B$42=DATE(YEAR($E2054),MONTH($E2054),1))))</f>
        <v>0</v>
      </c>
      <c r="U2054" s="1" t="str">
        <f>IF(OR($G2054="",$H2054="Mahsup"),"",$G2054&amp;"|"&amp;COUNTIFS($G$7:$G2054,$G2054,$H$7:$H2054,"&lt;&gt;Mahsup"))</f>
        <v/>
      </c>
    </row>
    <row r="2055" spans="1:21" ht="18" customHeight="1" x14ac:dyDescent="0.3">
      <c r="A2055" s="2"/>
      <c r="B2055" s="65" t="str">
        <f t="shared" ref="B2055:B2118" si="160"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 t="shared" ref="L2055:L2118" si="161">IF($E2055="","",DATE(YEAR($E2055),MONTH($E2055),1))</f>
        <v/>
      </c>
      <c r="M2055" s="65" t="str">
        <f t="shared" ref="M2055:M2118" ca="1" si="162"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163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164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  <c r="U2055" s="1" t="str">
        <f>IF(OR($G2055="",$H2055="Mahsup"),"",$G2055&amp;"|"&amp;COUNTIFS($G$7:$G2055,$G2055,$H$7:$H2055,"&lt;&gt;Mahsup"))</f>
        <v/>
      </c>
    </row>
    <row r="2056" spans="1:21" ht="18" customHeight="1" x14ac:dyDescent="0.3">
      <c r="A2056" s="2"/>
      <c r="B2056" s="65" t="str">
        <f t="shared" si="160"/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 t="shared" si="161"/>
        <v/>
      </c>
      <c r="M2056" s="65" t="str">
        <f t="shared" ca="1" si="162"/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163"/>
        <v/>
      </c>
      <c r="S2056" s="1" t="str">
        <f t="shared" si="164"/>
        <v/>
      </c>
      <c r="T2056" s="1">
        <f>IF($E2056="",0,SUMPRODUCT((AY_SONU!$O$7:$O$42="Evet")*(AY_SONU!$B$7:$B$42=DATE(YEAR($E2056),MONTH($E2056),1))))</f>
        <v>0</v>
      </c>
      <c r="U2056" s="1" t="str">
        <f>IF(OR($G2056="",$H2056="Mahsup"),"",$G2056&amp;"|"&amp;COUNTIFS($G$7:$G2056,$G2056,$H$7:$H2056,"&lt;&gt;Mahsup"))</f>
        <v/>
      </c>
    </row>
    <row r="2057" spans="1:21" ht="18" customHeight="1" x14ac:dyDescent="0.3">
      <c r="A2057" s="2"/>
      <c r="B2057" s="65" t="str">
        <f t="shared" si="160"/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 t="shared" si="161"/>
        <v/>
      </c>
      <c r="M2057" s="65" t="str">
        <f t="shared" ca="1" si="162"/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163"/>
        <v/>
      </c>
      <c r="S2057" s="1" t="str">
        <f t="shared" si="164"/>
        <v/>
      </c>
      <c r="T2057" s="1">
        <f>IF($E2057="",0,SUMPRODUCT((AY_SONU!$O$7:$O$42="Evet")*(AY_SONU!$B$7:$B$42=DATE(YEAR($E2057),MONTH($E2057),1))))</f>
        <v>0</v>
      </c>
      <c r="U2057" s="1" t="str">
        <f>IF(OR($G2057="",$H2057="Mahsup"),"",$G2057&amp;"|"&amp;COUNTIFS($G$7:$G2057,$G2057,$H$7:$H2057,"&lt;&gt;Mahsup"))</f>
        <v/>
      </c>
    </row>
    <row r="2058" spans="1:21" ht="18" customHeight="1" x14ac:dyDescent="0.3">
      <c r="A2058" s="2"/>
      <c r="B2058" s="65" t="str">
        <f t="shared" si="160"/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 t="shared" si="161"/>
        <v/>
      </c>
      <c r="M2058" s="65" t="str">
        <f t="shared" ca="1" si="162"/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163"/>
        <v/>
      </c>
      <c r="S2058" s="1" t="str">
        <f t="shared" si="164"/>
        <v/>
      </c>
      <c r="T2058" s="1">
        <f>IF($E2058="",0,SUMPRODUCT((AY_SONU!$O$7:$O$42="Evet")*(AY_SONU!$B$7:$B$42=DATE(YEAR($E2058),MONTH($E2058),1))))</f>
        <v>0</v>
      </c>
      <c r="U2058" s="1" t="str">
        <f>IF(OR($G2058="",$H2058="Mahsup"),"",$G2058&amp;"|"&amp;COUNTIFS($G$7:$G2058,$G2058,$H$7:$H2058,"&lt;&gt;Mahsup"))</f>
        <v/>
      </c>
    </row>
    <row r="2059" spans="1:21" ht="18" customHeight="1" x14ac:dyDescent="0.3">
      <c r="A2059" s="2"/>
      <c r="B2059" s="65" t="str">
        <f t="shared" si="160"/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 t="shared" si="161"/>
        <v/>
      </c>
      <c r="M2059" s="65" t="str">
        <f t="shared" ca="1" si="162"/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163"/>
        <v/>
      </c>
      <c r="S2059" s="1" t="str">
        <f t="shared" si="164"/>
        <v/>
      </c>
      <c r="T2059" s="1">
        <f>IF($E2059="",0,SUMPRODUCT((AY_SONU!$O$7:$O$42="Evet")*(AY_SONU!$B$7:$B$42=DATE(YEAR($E2059),MONTH($E2059),1))))</f>
        <v>0</v>
      </c>
      <c r="U2059" s="1" t="str">
        <f>IF(OR($G2059="",$H2059="Mahsup"),"",$G2059&amp;"|"&amp;COUNTIFS($G$7:$G2059,$G2059,$H$7:$H2059,"&lt;&gt;Mahsup"))</f>
        <v/>
      </c>
    </row>
    <row r="2060" spans="1:21" ht="18" customHeight="1" x14ac:dyDescent="0.3">
      <c r="A2060" s="2"/>
      <c r="B2060" s="65" t="str">
        <f t="shared" si="160"/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 t="shared" si="161"/>
        <v/>
      </c>
      <c r="M2060" s="65" t="str">
        <f t="shared" ca="1" si="162"/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163"/>
        <v/>
      </c>
      <c r="S2060" s="1" t="str">
        <f t="shared" si="164"/>
        <v/>
      </c>
      <c r="T2060" s="1">
        <f>IF($E2060="",0,SUMPRODUCT((AY_SONU!$O$7:$O$42="Evet")*(AY_SONU!$B$7:$B$42=DATE(YEAR($E2060),MONTH($E2060),1))))</f>
        <v>0</v>
      </c>
      <c r="U2060" s="1" t="str">
        <f>IF(OR($G2060="",$H2060="Mahsup"),"",$G2060&amp;"|"&amp;COUNTIFS($G$7:$G2060,$G2060,$H$7:$H2060,"&lt;&gt;Mahsup"))</f>
        <v/>
      </c>
    </row>
    <row r="2061" spans="1:21" ht="18" customHeight="1" x14ac:dyDescent="0.3">
      <c r="A2061" s="2"/>
      <c r="B2061" s="65" t="str">
        <f t="shared" si="160"/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 t="shared" si="161"/>
        <v/>
      </c>
      <c r="M2061" s="65" t="str">
        <f t="shared" ca="1" si="162"/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163"/>
        <v/>
      </c>
      <c r="S2061" s="1" t="str">
        <f t="shared" si="164"/>
        <v/>
      </c>
      <c r="T2061" s="1">
        <f>IF($E2061="",0,SUMPRODUCT((AY_SONU!$O$7:$O$42="Evet")*(AY_SONU!$B$7:$B$42=DATE(YEAR($E2061),MONTH($E2061),1))))</f>
        <v>0</v>
      </c>
      <c r="U2061" s="1" t="str">
        <f>IF(OR($G2061="",$H2061="Mahsup"),"",$G2061&amp;"|"&amp;COUNTIFS($G$7:$G2061,$G2061,$H$7:$H2061,"&lt;&gt;Mahsup"))</f>
        <v/>
      </c>
    </row>
    <row r="2062" spans="1:21" ht="18" customHeight="1" x14ac:dyDescent="0.3">
      <c r="A2062" s="2"/>
      <c r="B2062" s="65" t="str">
        <f t="shared" si="160"/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 t="shared" si="161"/>
        <v/>
      </c>
      <c r="M2062" s="65" t="str">
        <f t="shared" ca="1" si="162"/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163"/>
        <v/>
      </c>
      <c r="S2062" s="1" t="str">
        <f t="shared" si="164"/>
        <v/>
      </c>
      <c r="T2062" s="1">
        <f>IF($E2062="",0,SUMPRODUCT((AY_SONU!$O$7:$O$42="Evet")*(AY_SONU!$B$7:$B$42=DATE(YEAR($E2062),MONTH($E2062),1))))</f>
        <v>0</v>
      </c>
      <c r="U2062" s="1" t="str">
        <f>IF(OR($G2062="",$H2062="Mahsup"),"",$G2062&amp;"|"&amp;COUNTIFS($G$7:$G2062,$G2062,$H$7:$H2062,"&lt;&gt;Mahsup"))</f>
        <v/>
      </c>
    </row>
    <row r="2063" spans="1:21" ht="18" customHeight="1" x14ac:dyDescent="0.3">
      <c r="A2063" s="2"/>
      <c r="B2063" s="65" t="str">
        <f t="shared" si="160"/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 t="shared" si="161"/>
        <v/>
      </c>
      <c r="M2063" s="65" t="str">
        <f t="shared" ca="1" si="162"/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163"/>
        <v/>
      </c>
      <c r="S2063" s="1" t="str">
        <f t="shared" si="164"/>
        <v/>
      </c>
      <c r="T2063" s="1">
        <f>IF($E2063="",0,SUMPRODUCT((AY_SONU!$O$7:$O$42="Evet")*(AY_SONU!$B$7:$B$42=DATE(YEAR($E2063),MONTH($E2063),1))))</f>
        <v>0</v>
      </c>
      <c r="U2063" s="1" t="str">
        <f>IF(OR($G2063="",$H2063="Mahsup"),"",$G2063&amp;"|"&amp;COUNTIFS($G$7:$G2063,$G2063,$H$7:$H2063,"&lt;&gt;Mahsup"))</f>
        <v/>
      </c>
    </row>
    <row r="2064" spans="1:21" ht="18" customHeight="1" x14ac:dyDescent="0.3">
      <c r="A2064" s="2"/>
      <c r="B2064" s="65" t="str">
        <f t="shared" si="160"/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 t="shared" si="161"/>
        <v/>
      </c>
      <c r="M2064" s="65" t="str">
        <f t="shared" ca="1" si="162"/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163"/>
        <v/>
      </c>
      <c r="S2064" s="1" t="str">
        <f t="shared" si="164"/>
        <v/>
      </c>
      <c r="T2064" s="1">
        <f>IF($E2064="",0,SUMPRODUCT((AY_SONU!$O$7:$O$42="Evet")*(AY_SONU!$B$7:$B$42=DATE(YEAR($E2064),MONTH($E2064),1))))</f>
        <v>0</v>
      </c>
      <c r="U2064" s="1" t="str">
        <f>IF(OR($G2064="",$H2064="Mahsup"),"",$G2064&amp;"|"&amp;COUNTIFS($G$7:$G2064,$G2064,$H$7:$H2064,"&lt;&gt;Mahsup"))</f>
        <v/>
      </c>
    </row>
    <row r="2065" spans="1:21" ht="18" customHeight="1" x14ac:dyDescent="0.3">
      <c r="A2065" s="2"/>
      <c r="B2065" s="65" t="str">
        <f t="shared" si="160"/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 t="shared" si="161"/>
        <v/>
      </c>
      <c r="M2065" s="65" t="str">
        <f t="shared" ca="1" si="162"/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163"/>
        <v/>
      </c>
      <c r="S2065" s="1" t="str">
        <f t="shared" si="164"/>
        <v/>
      </c>
      <c r="T2065" s="1">
        <f>IF($E2065="",0,SUMPRODUCT((AY_SONU!$O$7:$O$42="Evet")*(AY_SONU!$B$7:$B$42=DATE(YEAR($E2065),MONTH($E2065),1))))</f>
        <v>0</v>
      </c>
      <c r="U2065" s="1" t="str">
        <f>IF(OR($G2065="",$H2065="Mahsup"),"",$G2065&amp;"|"&amp;COUNTIFS($G$7:$G2065,$G2065,$H$7:$H2065,"&lt;&gt;Mahsup"))</f>
        <v/>
      </c>
    </row>
    <row r="2066" spans="1:21" ht="18" customHeight="1" x14ac:dyDescent="0.3">
      <c r="A2066" s="2"/>
      <c r="B2066" s="65" t="str">
        <f t="shared" si="160"/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 t="shared" si="161"/>
        <v/>
      </c>
      <c r="M2066" s="65" t="str">
        <f t="shared" ca="1" si="162"/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163"/>
        <v/>
      </c>
      <c r="S2066" s="1" t="str">
        <f t="shared" si="164"/>
        <v/>
      </c>
      <c r="T2066" s="1">
        <f>IF($E2066="",0,SUMPRODUCT((AY_SONU!$O$7:$O$42="Evet")*(AY_SONU!$B$7:$B$42=DATE(YEAR($E2066),MONTH($E2066),1))))</f>
        <v>0</v>
      </c>
      <c r="U2066" s="1" t="str">
        <f>IF(OR($G2066="",$H2066="Mahsup"),"",$G2066&amp;"|"&amp;COUNTIFS($G$7:$G2066,$G2066,$H$7:$H2066,"&lt;&gt;Mahsup"))</f>
        <v/>
      </c>
    </row>
    <row r="2067" spans="1:21" ht="18" customHeight="1" x14ac:dyDescent="0.3">
      <c r="A2067" s="2"/>
      <c r="B2067" s="65" t="str">
        <f t="shared" si="160"/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 t="shared" si="161"/>
        <v/>
      </c>
      <c r="M2067" s="65" t="str">
        <f t="shared" ca="1" si="162"/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163"/>
        <v/>
      </c>
      <c r="S2067" s="1" t="str">
        <f t="shared" si="164"/>
        <v/>
      </c>
      <c r="T2067" s="1">
        <f>IF($E2067="",0,SUMPRODUCT((AY_SONU!$O$7:$O$42="Evet")*(AY_SONU!$B$7:$B$42=DATE(YEAR($E2067),MONTH($E2067),1))))</f>
        <v>0</v>
      </c>
      <c r="U2067" s="1" t="str">
        <f>IF(OR($G2067="",$H2067="Mahsup"),"",$G2067&amp;"|"&amp;COUNTIFS($G$7:$G2067,$G2067,$H$7:$H2067,"&lt;&gt;Mahsup"))</f>
        <v/>
      </c>
    </row>
    <row r="2068" spans="1:21" ht="18" customHeight="1" x14ac:dyDescent="0.3">
      <c r="A2068" s="2"/>
      <c r="B2068" s="65" t="str">
        <f t="shared" si="160"/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 t="shared" si="161"/>
        <v/>
      </c>
      <c r="M2068" s="65" t="str">
        <f t="shared" ca="1" si="162"/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163"/>
        <v/>
      </c>
      <c r="S2068" s="1" t="str">
        <f t="shared" si="164"/>
        <v/>
      </c>
      <c r="T2068" s="1">
        <f>IF($E2068="",0,SUMPRODUCT((AY_SONU!$O$7:$O$42="Evet")*(AY_SONU!$B$7:$B$42=DATE(YEAR($E2068),MONTH($E2068),1))))</f>
        <v>0</v>
      </c>
      <c r="U2068" s="1" t="str">
        <f>IF(OR($G2068="",$H2068="Mahsup"),"",$G2068&amp;"|"&amp;COUNTIFS($G$7:$G2068,$G2068,$H$7:$H2068,"&lt;&gt;Mahsup"))</f>
        <v/>
      </c>
    </row>
    <row r="2069" spans="1:21" ht="18" customHeight="1" x14ac:dyDescent="0.3">
      <c r="A2069" s="2"/>
      <c r="B2069" s="65" t="str">
        <f t="shared" si="160"/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 t="shared" si="161"/>
        <v/>
      </c>
      <c r="M2069" s="65" t="str">
        <f t="shared" ca="1" si="162"/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163"/>
        <v/>
      </c>
      <c r="S2069" s="1" t="str">
        <f t="shared" si="164"/>
        <v/>
      </c>
      <c r="T2069" s="1">
        <f>IF($E2069="",0,SUMPRODUCT((AY_SONU!$O$7:$O$42="Evet")*(AY_SONU!$B$7:$B$42=DATE(YEAR($E2069),MONTH($E2069),1))))</f>
        <v>0</v>
      </c>
      <c r="U2069" s="1" t="str">
        <f>IF(OR($G2069="",$H2069="Mahsup"),"",$G2069&amp;"|"&amp;COUNTIFS($G$7:$G2069,$G2069,$H$7:$H2069,"&lt;&gt;Mahsup"))</f>
        <v/>
      </c>
    </row>
    <row r="2070" spans="1:21" ht="18" customHeight="1" x14ac:dyDescent="0.3">
      <c r="A2070" s="2"/>
      <c r="B2070" s="65" t="str">
        <f t="shared" si="160"/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 t="shared" si="161"/>
        <v/>
      </c>
      <c r="M2070" s="65" t="str">
        <f t="shared" ca="1" si="162"/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163"/>
        <v/>
      </c>
      <c r="S2070" s="1" t="str">
        <f t="shared" si="164"/>
        <v/>
      </c>
      <c r="T2070" s="1">
        <f>IF($E2070="",0,SUMPRODUCT((AY_SONU!$O$7:$O$42="Evet")*(AY_SONU!$B$7:$B$42=DATE(YEAR($E2070),MONTH($E2070),1))))</f>
        <v>0</v>
      </c>
      <c r="U2070" s="1" t="str">
        <f>IF(OR($G2070="",$H2070="Mahsup"),"",$G2070&amp;"|"&amp;COUNTIFS($G$7:$G2070,$G2070,$H$7:$H2070,"&lt;&gt;Mahsup"))</f>
        <v/>
      </c>
    </row>
    <row r="2071" spans="1:21" ht="18" customHeight="1" x14ac:dyDescent="0.3">
      <c r="A2071" s="2"/>
      <c r="B2071" s="65" t="str">
        <f t="shared" si="160"/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 t="shared" si="161"/>
        <v/>
      </c>
      <c r="M2071" s="65" t="str">
        <f t="shared" ca="1" si="162"/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163"/>
        <v/>
      </c>
      <c r="S2071" s="1" t="str">
        <f t="shared" si="164"/>
        <v/>
      </c>
      <c r="T2071" s="1">
        <f>IF($E2071="",0,SUMPRODUCT((AY_SONU!$O$7:$O$42="Evet")*(AY_SONU!$B$7:$B$42=DATE(YEAR($E2071),MONTH($E2071),1))))</f>
        <v>0</v>
      </c>
      <c r="U2071" s="1" t="str">
        <f>IF(OR($G2071="",$H2071="Mahsup"),"",$G2071&amp;"|"&amp;COUNTIFS($G$7:$G2071,$G2071,$H$7:$H2071,"&lt;&gt;Mahsup"))</f>
        <v/>
      </c>
    </row>
    <row r="2072" spans="1:21" ht="18" customHeight="1" x14ac:dyDescent="0.3">
      <c r="A2072" s="2"/>
      <c r="B2072" s="65" t="str">
        <f t="shared" si="160"/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 t="shared" si="161"/>
        <v/>
      </c>
      <c r="M2072" s="65" t="str">
        <f t="shared" ca="1" si="162"/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163"/>
        <v/>
      </c>
      <c r="S2072" s="1" t="str">
        <f t="shared" si="164"/>
        <v/>
      </c>
      <c r="T2072" s="1">
        <f>IF($E2072="",0,SUMPRODUCT((AY_SONU!$O$7:$O$42="Evet")*(AY_SONU!$B$7:$B$42=DATE(YEAR($E2072),MONTH($E2072),1))))</f>
        <v>0</v>
      </c>
      <c r="U2072" s="1" t="str">
        <f>IF(OR($G2072="",$H2072="Mahsup"),"",$G2072&amp;"|"&amp;COUNTIFS($G$7:$G2072,$G2072,$H$7:$H2072,"&lt;&gt;Mahsup"))</f>
        <v/>
      </c>
    </row>
    <row r="2073" spans="1:21" ht="18" customHeight="1" x14ac:dyDescent="0.3">
      <c r="A2073" s="2"/>
      <c r="B2073" s="65" t="str">
        <f t="shared" si="160"/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 t="shared" si="161"/>
        <v/>
      </c>
      <c r="M2073" s="65" t="str">
        <f t="shared" ca="1" si="162"/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163"/>
        <v/>
      </c>
      <c r="S2073" s="1" t="str">
        <f t="shared" si="164"/>
        <v/>
      </c>
      <c r="T2073" s="1">
        <f>IF($E2073="",0,SUMPRODUCT((AY_SONU!$O$7:$O$42="Evet")*(AY_SONU!$B$7:$B$42=DATE(YEAR($E2073),MONTH($E2073),1))))</f>
        <v>0</v>
      </c>
      <c r="U2073" s="1" t="str">
        <f>IF(OR($G2073="",$H2073="Mahsup"),"",$G2073&amp;"|"&amp;COUNTIFS($G$7:$G2073,$G2073,$H$7:$H2073,"&lt;&gt;Mahsup"))</f>
        <v/>
      </c>
    </row>
    <row r="2074" spans="1:21" ht="18" customHeight="1" x14ac:dyDescent="0.3">
      <c r="A2074" s="2"/>
      <c r="B2074" s="65" t="str">
        <f t="shared" si="160"/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 t="shared" si="161"/>
        <v/>
      </c>
      <c r="M2074" s="65" t="str">
        <f t="shared" ca="1" si="162"/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163"/>
        <v/>
      </c>
      <c r="S2074" s="1" t="str">
        <f t="shared" si="164"/>
        <v/>
      </c>
      <c r="T2074" s="1">
        <f>IF($E2074="",0,SUMPRODUCT((AY_SONU!$O$7:$O$42="Evet")*(AY_SONU!$B$7:$B$42=DATE(YEAR($E2074),MONTH($E2074),1))))</f>
        <v>0</v>
      </c>
      <c r="U2074" s="1" t="str">
        <f>IF(OR($G2074="",$H2074="Mahsup"),"",$G2074&amp;"|"&amp;COUNTIFS($G$7:$G2074,$G2074,$H$7:$H2074,"&lt;&gt;Mahsup"))</f>
        <v/>
      </c>
    </row>
    <row r="2075" spans="1:21" ht="18" customHeight="1" x14ac:dyDescent="0.3">
      <c r="A2075" s="2"/>
      <c r="B2075" s="65" t="str">
        <f t="shared" si="160"/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 t="shared" si="161"/>
        <v/>
      </c>
      <c r="M2075" s="65" t="str">
        <f t="shared" ca="1" si="162"/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163"/>
        <v/>
      </c>
      <c r="S2075" s="1" t="str">
        <f t="shared" si="164"/>
        <v/>
      </c>
      <c r="T2075" s="1">
        <f>IF($E2075="",0,SUMPRODUCT((AY_SONU!$O$7:$O$42="Evet")*(AY_SONU!$B$7:$B$42=DATE(YEAR($E2075),MONTH($E2075),1))))</f>
        <v>0</v>
      </c>
      <c r="U2075" s="1" t="str">
        <f>IF(OR($G2075="",$H2075="Mahsup"),"",$G2075&amp;"|"&amp;COUNTIFS($G$7:$G2075,$G2075,$H$7:$H2075,"&lt;&gt;Mahsup"))</f>
        <v/>
      </c>
    </row>
    <row r="2076" spans="1:21" ht="18" customHeight="1" x14ac:dyDescent="0.3">
      <c r="A2076" s="2"/>
      <c r="B2076" s="65" t="str">
        <f t="shared" si="160"/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 t="shared" si="161"/>
        <v/>
      </c>
      <c r="M2076" s="65" t="str">
        <f t="shared" ca="1" si="162"/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163"/>
        <v/>
      </c>
      <c r="S2076" s="1" t="str">
        <f t="shared" si="164"/>
        <v/>
      </c>
      <c r="T2076" s="1">
        <f>IF($E2076="",0,SUMPRODUCT((AY_SONU!$O$7:$O$42="Evet")*(AY_SONU!$B$7:$B$42=DATE(YEAR($E2076),MONTH($E2076),1))))</f>
        <v>0</v>
      </c>
      <c r="U2076" s="1" t="str">
        <f>IF(OR($G2076="",$H2076="Mahsup"),"",$G2076&amp;"|"&amp;COUNTIFS($G$7:$G2076,$G2076,$H$7:$H2076,"&lt;&gt;Mahsup"))</f>
        <v/>
      </c>
    </row>
    <row r="2077" spans="1:21" ht="18" customHeight="1" x14ac:dyDescent="0.3">
      <c r="A2077" s="2"/>
      <c r="B2077" s="65" t="str">
        <f t="shared" si="160"/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 t="shared" si="161"/>
        <v/>
      </c>
      <c r="M2077" s="65" t="str">
        <f t="shared" ca="1" si="162"/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163"/>
        <v/>
      </c>
      <c r="S2077" s="1" t="str">
        <f t="shared" si="164"/>
        <v/>
      </c>
      <c r="T2077" s="1">
        <f>IF($E2077="",0,SUMPRODUCT((AY_SONU!$O$7:$O$42="Evet")*(AY_SONU!$B$7:$B$42=DATE(YEAR($E2077),MONTH($E2077),1))))</f>
        <v>0</v>
      </c>
      <c r="U2077" s="1" t="str">
        <f>IF(OR($G2077="",$H2077="Mahsup"),"",$G2077&amp;"|"&amp;COUNTIFS($G$7:$G2077,$G2077,$H$7:$H2077,"&lt;&gt;Mahsup"))</f>
        <v/>
      </c>
    </row>
    <row r="2078" spans="1:21" ht="18" customHeight="1" x14ac:dyDescent="0.3">
      <c r="A2078" s="2"/>
      <c r="B2078" s="65" t="str">
        <f t="shared" si="160"/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 t="shared" si="161"/>
        <v/>
      </c>
      <c r="M2078" s="65" t="str">
        <f t="shared" ca="1" si="162"/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163"/>
        <v/>
      </c>
      <c r="S2078" s="1" t="str">
        <f t="shared" si="164"/>
        <v/>
      </c>
      <c r="T2078" s="1">
        <f>IF($E2078="",0,SUMPRODUCT((AY_SONU!$O$7:$O$42="Evet")*(AY_SONU!$B$7:$B$42=DATE(YEAR($E2078),MONTH($E2078),1))))</f>
        <v>0</v>
      </c>
      <c r="U2078" s="1" t="str">
        <f>IF(OR($G2078="",$H2078="Mahsup"),"",$G2078&amp;"|"&amp;COUNTIFS($G$7:$G2078,$G2078,$H$7:$H2078,"&lt;&gt;Mahsup"))</f>
        <v/>
      </c>
    </row>
    <row r="2079" spans="1:21" ht="18" customHeight="1" x14ac:dyDescent="0.3">
      <c r="A2079" s="2"/>
      <c r="B2079" s="65" t="str">
        <f t="shared" si="160"/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 t="shared" si="161"/>
        <v/>
      </c>
      <c r="M2079" s="65" t="str">
        <f t="shared" ca="1" si="162"/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163"/>
        <v/>
      </c>
      <c r="S2079" s="1" t="str">
        <f t="shared" si="164"/>
        <v/>
      </c>
      <c r="T2079" s="1">
        <f>IF($E2079="",0,SUMPRODUCT((AY_SONU!$O$7:$O$42="Evet")*(AY_SONU!$B$7:$B$42=DATE(YEAR($E2079),MONTH($E2079),1))))</f>
        <v>0</v>
      </c>
      <c r="U2079" s="1" t="str">
        <f>IF(OR($G2079="",$H2079="Mahsup"),"",$G2079&amp;"|"&amp;COUNTIFS($G$7:$G2079,$G2079,$H$7:$H2079,"&lt;&gt;Mahsup"))</f>
        <v/>
      </c>
    </row>
    <row r="2080" spans="1:21" ht="18" customHeight="1" x14ac:dyDescent="0.3">
      <c r="A2080" s="2"/>
      <c r="B2080" s="65" t="str">
        <f t="shared" si="160"/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 t="shared" si="161"/>
        <v/>
      </c>
      <c r="M2080" s="65" t="str">
        <f t="shared" ca="1" si="162"/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163"/>
        <v/>
      </c>
      <c r="S2080" s="1" t="str">
        <f t="shared" si="164"/>
        <v/>
      </c>
      <c r="T2080" s="1">
        <f>IF($E2080="",0,SUMPRODUCT((AY_SONU!$O$7:$O$42="Evet")*(AY_SONU!$B$7:$B$42=DATE(YEAR($E2080),MONTH($E2080),1))))</f>
        <v>0</v>
      </c>
      <c r="U2080" s="1" t="str">
        <f>IF(OR($G2080="",$H2080="Mahsup"),"",$G2080&amp;"|"&amp;COUNTIFS($G$7:$G2080,$G2080,$H$7:$H2080,"&lt;&gt;Mahsup"))</f>
        <v/>
      </c>
    </row>
    <row r="2081" spans="1:21" ht="18" customHeight="1" x14ac:dyDescent="0.3">
      <c r="A2081" s="2"/>
      <c r="B2081" s="65" t="str">
        <f t="shared" si="160"/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 t="shared" si="161"/>
        <v/>
      </c>
      <c r="M2081" s="65" t="str">
        <f t="shared" ca="1" si="162"/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163"/>
        <v/>
      </c>
      <c r="S2081" s="1" t="str">
        <f t="shared" si="164"/>
        <v/>
      </c>
      <c r="T2081" s="1">
        <f>IF($E2081="",0,SUMPRODUCT((AY_SONU!$O$7:$O$42="Evet")*(AY_SONU!$B$7:$B$42=DATE(YEAR($E2081),MONTH($E2081),1))))</f>
        <v>0</v>
      </c>
      <c r="U2081" s="1" t="str">
        <f>IF(OR($G2081="",$H2081="Mahsup"),"",$G2081&amp;"|"&amp;COUNTIFS($G$7:$G2081,$G2081,$H$7:$H2081,"&lt;&gt;Mahsup"))</f>
        <v/>
      </c>
    </row>
    <row r="2082" spans="1:21" ht="18" customHeight="1" x14ac:dyDescent="0.3">
      <c r="A2082" s="2"/>
      <c r="B2082" s="65" t="str">
        <f t="shared" si="160"/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 t="shared" si="161"/>
        <v/>
      </c>
      <c r="M2082" s="65" t="str">
        <f t="shared" ca="1" si="162"/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163"/>
        <v/>
      </c>
      <c r="S2082" s="1" t="str">
        <f t="shared" si="164"/>
        <v/>
      </c>
      <c r="T2082" s="1">
        <f>IF($E2082="",0,SUMPRODUCT((AY_SONU!$O$7:$O$42="Evet")*(AY_SONU!$B$7:$B$42=DATE(YEAR($E2082),MONTH($E2082),1))))</f>
        <v>0</v>
      </c>
      <c r="U2082" s="1" t="str">
        <f>IF(OR($G2082="",$H2082="Mahsup"),"",$G2082&amp;"|"&amp;COUNTIFS($G$7:$G2082,$G2082,$H$7:$H2082,"&lt;&gt;Mahsup"))</f>
        <v/>
      </c>
    </row>
    <row r="2083" spans="1:21" ht="18" customHeight="1" x14ac:dyDescent="0.3">
      <c r="A2083" s="2"/>
      <c r="B2083" s="65" t="str">
        <f t="shared" si="160"/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 t="shared" si="161"/>
        <v/>
      </c>
      <c r="M2083" s="65" t="str">
        <f t="shared" ca="1" si="162"/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163"/>
        <v/>
      </c>
      <c r="S2083" s="1" t="str">
        <f t="shared" si="164"/>
        <v/>
      </c>
      <c r="T2083" s="1">
        <f>IF($E2083="",0,SUMPRODUCT((AY_SONU!$O$7:$O$42="Evet")*(AY_SONU!$B$7:$B$42=DATE(YEAR($E2083),MONTH($E2083),1))))</f>
        <v>0</v>
      </c>
      <c r="U2083" s="1" t="str">
        <f>IF(OR($G2083="",$H2083="Mahsup"),"",$G2083&amp;"|"&amp;COUNTIFS($G$7:$G2083,$G2083,$H$7:$H2083,"&lt;&gt;Mahsup"))</f>
        <v/>
      </c>
    </row>
    <row r="2084" spans="1:21" ht="18" customHeight="1" x14ac:dyDescent="0.3">
      <c r="A2084" s="2"/>
      <c r="B2084" s="65" t="str">
        <f t="shared" si="160"/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 t="shared" si="161"/>
        <v/>
      </c>
      <c r="M2084" s="65" t="str">
        <f t="shared" ca="1" si="162"/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163"/>
        <v/>
      </c>
      <c r="S2084" s="1" t="str">
        <f t="shared" si="164"/>
        <v/>
      </c>
      <c r="T2084" s="1">
        <f>IF($E2084="",0,SUMPRODUCT((AY_SONU!$O$7:$O$42="Evet")*(AY_SONU!$B$7:$B$42=DATE(YEAR($E2084),MONTH($E2084),1))))</f>
        <v>0</v>
      </c>
      <c r="U2084" s="1" t="str">
        <f>IF(OR($G2084="",$H2084="Mahsup"),"",$G2084&amp;"|"&amp;COUNTIFS($G$7:$G2084,$G2084,$H$7:$H2084,"&lt;&gt;Mahsup"))</f>
        <v/>
      </c>
    </row>
    <row r="2085" spans="1:21" ht="18" customHeight="1" x14ac:dyDescent="0.3">
      <c r="A2085" s="2"/>
      <c r="B2085" s="65" t="str">
        <f t="shared" si="160"/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 t="shared" si="161"/>
        <v/>
      </c>
      <c r="M2085" s="65" t="str">
        <f t="shared" ca="1" si="162"/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163"/>
        <v/>
      </c>
      <c r="S2085" s="1" t="str">
        <f t="shared" si="164"/>
        <v/>
      </c>
      <c r="T2085" s="1">
        <f>IF($E2085="",0,SUMPRODUCT((AY_SONU!$O$7:$O$42="Evet")*(AY_SONU!$B$7:$B$42=DATE(YEAR($E2085),MONTH($E2085),1))))</f>
        <v>0</v>
      </c>
      <c r="U2085" s="1" t="str">
        <f>IF(OR($G2085="",$H2085="Mahsup"),"",$G2085&amp;"|"&amp;COUNTIFS($G$7:$G2085,$G2085,$H$7:$H2085,"&lt;&gt;Mahsup"))</f>
        <v/>
      </c>
    </row>
    <row r="2086" spans="1:21" ht="18" customHeight="1" x14ac:dyDescent="0.3">
      <c r="A2086" s="2"/>
      <c r="B2086" s="65" t="str">
        <f t="shared" si="160"/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 t="shared" si="161"/>
        <v/>
      </c>
      <c r="M2086" s="65" t="str">
        <f t="shared" ca="1" si="162"/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163"/>
        <v/>
      </c>
      <c r="S2086" s="1" t="str">
        <f t="shared" si="164"/>
        <v/>
      </c>
      <c r="T2086" s="1">
        <f>IF($E2086="",0,SUMPRODUCT((AY_SONU!$O$7:$O$42="Evet")*(AY_SONU!$B$7:$B$42=DATE(YEAR($E2086),MONTH($E2086),1))))</f>
        <v>0</v>
      </c>
      <c r="U2086" s="1" t="str">
        <f>IF(OR($G2086="",$H2086="Mahsup"),"",$G2086&amp;"|"&amp;COUNTIFS($G$7:$G2086,$G2086,$H$7:$H2086,"&lt;&gt;Mahsup"))</f>
        <v/>
      </c>
    </row>
    <row r="2087" spans="1:21" ht="18" customHeight="1" x14ac:dyDescent="0.3">
      <c r="A2087" s="2"/>
      <c r="B2087" s="65" t="str">
        <f t="shared" si="160"/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 t="shared" si="161"/>
        <v/>
      </c>
      <c r="M2087" s="65" t="str">
        <f t="shared" ca="1" si="162"/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163"/>
        <v/>
      </c>
      <c r="S2087" s="1" t="str">
        <f t="shared" si="164"/>
        <v/>
      </c>
      <c r="T2087" s="1">
        <f>IF($E2087="",0,SUMPRODUCT((AY_SONU!$O$7:$O$42="Evet")*(AY_SONU!$B$7:$B$42=DATE(YEAR($E2087),MONTH($E2087),1))))</f>
        <v>0</v>
      </c>
      <c r="U2087" s="1" t="str">
        <f>IF(OR($G2087="",$H2087="Mahsup"),"",$G2087&amp;"|"&amp;COUNTIFS($G$7:$G2087,$G2087,$H$7:$H2087,"&lt;&gt;Mahsup"))</f>
        <v/>
      </c>
    </row>
    <row r="2088" spans="1:21" ht="18" customHeight="1" x14ac:dyDescent="0.3">
      <c r="A2088" s="2"/>
      <c r="B2088" s="65" t="str">
        <f t="shared" si="160"/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 t="shared" si="161"/>
        <v/>
      </c>
      <c r="M2088" s="65" t="str">
        <f t="shared" ca="1" si="162"/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163"/>
        <v/>
      </c>
      <c r="S2088" s="1" t="str">
        <f t="shared" si="164"/>
        <v/>
      </c>
      <c r="T2088" s="1">
        <f>IF($E2088="",0,SUMPRODUCT((AY_SONU!$O$7:$O$42="Evet")*(AY_SONU!$B$7:$B$42=DATE(YEAR($E2088),MONTH($E2088),1))))</f>
        <v>0</v>
      </c>
      <c r="U2088" s="1" t="str">
        <f>IF(OR($G2088="",$H2088="Mahsup"),"",$G2088&amp;"|"&amp;COUNTIFS($G$7:$G2088,$G2088,$H$7:$H2088,"&lt;&gt;Mahsup"))</f>
        <v/>
      </c>
    </row>
    <row r="2089" spans="1:21" ht="18" customHeight="1" x14ac:dyDescent="0.3">
      <c r="A2089" s="2"/>
      <c r="B2089" s="65" t="str">
        <f t="shared" si="160"/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 t="shared" si="161"/>
        <v/>
      </c>
      <c r="M2089" s="65" t="str">
        <f t="shared" ca="1" si="162"/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163"/>
        <v/>
      </c>
      <c r="S2089" s="1" t="str">
        <f t="shared" si="164"/>
        <v/>
      </c>
      <c r="T2089" s="1">
        <f>IF($E2089="",0,SUMPRODUCT((AY_SONU!$O$7:$O$42="Evet")*(AY_SONU!$B$7:$B$42=DATE(YEAR($E2089),MONTH($E2089),1))))</f>
        <v>0</v>
      </c>
      <c r="U2089" s="1" t="str">
        <f>IF(OR($G2089="",$H2089="Mahsup"),"",$G2089&amp;"|"&amp;COUNTIFS($G$7:$G2089,$G2089,$H$7:$H2089,"&lt;&gt;Mahsup"))</f>
        <v/>
      </c>
    </row>
    <row r="2090" spans="1:21" ht="18" customHeight="1" x14ac:dyDescent="0.3">
      <c r="A2090" s="2"/>
      <c r="B2090" s="65" t="str">
        <f t="shared" si="160"/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 t="shared" si="161"/>
        <v/>
      </c>
      <c r="M2090" s="65" t="str">
        <f t="shared" ca="1" si="162"/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163"/>
        <v/>
      </c>
      <c r="S2090" s="1" t="str">
        <f t="shared" si="164"/>
        <v/>
      </c>
      <c r="T2090" s="1">
        <f>IF($E2090="",0,SUMPRODUCT((AY_SONU!$O$7:$O$42="Evet")*(AY_SONU!$B$7:$B$42=DATE(YEAR($E2090),MONTH($E2090),1))))</f>
        <v>0</v>
      </c>
      <c r="U2090" s="1" t="str">
        <f>IF(OR($G2090="",$H2090="Mahsup"),"",$G2090&amp;"|"&amp;COUNTIFS($G$7:$G2090,$G2090,$H$7:$H2090,"&lt;&gt;Mahsup"))</f>
        <v/>
      </c>
    </row>
    <row r="2091" spans="1:21" ht="18" customHeight="1" x14ac:dyDescent="0.3">
      <c r="A2091" s="2"/>
      <c r="B2091" s="65" t="str">
        <f t="shared" si="160"/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 t="shared" si="161"/>
        <v/>
      </c>
      <c r="M2091" s="65" t="str">
        <f t="shared" ca="1" si="162"/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163"/>
        <v/>
      </c>
      <c r="S2091" s="1" t="str">
        <f t="shared" si="164"/>
        <v/>
      </c>
      <c r="T2091" s="1">
        <f>IF($E2091="",0,SUMPRODUCT((AY_SONU!$O$7:$O$42="Evet")*(AY_SONU!$B$7:$B$42=DATE(YEAR($E2091),MONTH($E2091),1))))</f>
        <v>0</v>
      </c>
      <c r="U2091" s="1" t="str">
        <f>IF(OR($G2091="",$H2091="Mahsup"),"",$G2091&amp;"|"&amp;COUNTIFS($G$7:$G2091,$G2091,$H$7:$H2091,"&lt;&gt;Mahsup"))</f>
        <v/>
      </c>
    </row>
    <row r="2092" spans="1:21" ht="18" customHeight="1" x14ac:dyDescent="0.3">
      <c r="A2092" s="2"/>
      <c r="B2092" s="65" t="str">
        <f t="shared" si="160"/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 t="shared" si="161"/>
        <v/>
      </c>
      <c r="M2092" s="65" t="str">
        <f t="shared" ca="1" si="162"/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163"/>
        <v/>
      </c>
      <c r="S2092" s="1" t="str">
        <f t="shared" si="164"/>
        <v/>
      </c>
      <c r="T2092" s="1">
        <f>IF($E2092="",0,SUMPRODUCT((AY_SONU!$O$7:$O$42="Evet")*(AY_SONU!$B$7:$B$42=DATE(YEAR($E2092),MONTH($E2092),1))))</f>
        <v>0</v>
      </c>
      <c r="U2092" s="1" t="str">
        <f>IF(OR($G2092="",$H2092="Mahsup"),"",$G2092&amp;"|"&amp;COUNTIFS($G$7:$G2092,$G2092,$H$7:$H2092,"&lt;&gt;Mahsup"))</f>
        <v/>
      </c>
    </row>
    <row r="2093" spans="1:21" ht="18" customHeight="1" x14ac:dyDescent="0.3">
      <c r="A2093" s="2"/>
      <c r="B2093" s="65" t="str">
        <f t="shared" si="160"/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 t="shared" si="161"/>
        <v/>
      </c>
      <c r="M2093" s="65" t="str">
        <f t="shared" ca="1" si="162"/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163"/>
        <v/>
      </c>
      <c r="S2093" s="1" t="str">
        <f t="shared" si="164"/>
        <v/>
      </c>
      <c r="T2093" s="1">
        <f>IF($E2093="",0,SUMPRODUCT((AY_SONU!$O$7:$O$42="Evet")*(AY_SONU!$B$7:$B$42=DATE(YEAR($E2093),MONTH($E2093),1))))</f>
        <v>0</v>
      </c>
      <c r="U2093" s="1" t="str">
        <f>IF(OR($G2093="",$H2093="Mahsup"),"",$G2093&amp;"|"&amp;COUNTIFS($G$7:$G2093,$G2093,$H$7:$H2093,"&lt;&gt;Mahsup"))</f>
        <v/>
      </c>
    </row>
    <row r="2094" spans="1:21" ht="18" customHeight="1" x14ac:dyDescent="0.3">
      <c r="A2094" s="2"/>
      <c r="B2094" s="65" t="str">
        <f t="shared" si="160"/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 t="shared" si="161"/>
        <v/>
      </c>
      <c r="M2094" s="65" t="str">
        <f t="shared" ca="1" si="162"/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163"/>
        <v/>
      </c>
      <c r="S2094" s="1" t="str">
        <f t="shared" si="164"/>
        <v/>
      </c>
      <c r="T2094" s="1">
        <f>IF($E2094="",0,SUMPRODUCT((AY_SONU!$O$7:$O$42="Evet")*(AY_SONU!$B$7:$B$42=DATE(YEAR($E2094),MONTH($E2094),1))))</f>
        <v>0</v>
      </c>
      <c r="U2094" s="1" t="str">
        <f>IF(OR($G2094="",$H2094="Mahsup"),"",$G2094&amp;"|"&amp;COUNTIFS($G$7:$G2094,$G2094,$H$7:$H2094,"&lt;&gt;Mahsup"))</f>
        <v/>
      </c>
    </row>
    <row r="2095" spans="1:21" ht="18" customHeight="1" x14ac:dyDescent="0.3">
      <c r="A2095" s="2"/>
      <c r="B2095" s="65" t="str">
        <f t="shared" si="160"/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 t="shared" si="161"/>
        <v/>
      </c>
      <c r="M2095" s="65" t="str">
        <f t="shared" ca="1" si="162"/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163"/>
        <v/>
      </c>
      <c r="S2095" s="1" t="str">
        <f t="shared" si="164"/>
        <v/>
      </c>
      <c r="T2095" s="1">
        <f>IF($E2095="",0,SUMPRODUCT((AY_SONU!$O$7:$O$42="Evet")*(AY_SONU!$B$7:$B$42=DATE(YEAR($E2095),MONTH($E2095),1))))</f>
        <v>0</v>
      </c>
      <c r="U2095" s="1" t="str">
        <f>IF(OR($G2095="",$H2095="Mahsup"),"",$G2095&amp;"|"&amp;COUNTIFS($G$7:$G2095,$G2095,$H$7:$H2095,"&lt;&gt;Mahsup"))</f>
        <v/>
      </c>
    </row>
    <row r="2096" spans="1:21" ht="18" customHeight="1" x14ac:dyDescent="0.3">
      <c r="A2096" s="2"/>
      <c r="B2096" s="65" t="str">
        <f t="shared" si="160"/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 t="shared" si="161"/>
        <v/>
      </c>
      <c r="M2096" s="65" t="str">
        <f t="shared" ca="1" si="162"/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163"/>
        <v/>
      </c>
      <c r="S2096" s="1" t="str">
        <f t="shared" si="164"/>
        <v/>
      </c>
      <c r="T2096" s="1">
        <f>IF($E2096="",0,SUMPRODUCT((AY_SONU!$O$7:$O$42="Evet")*(AY_SONU!$B$7:$B$42=DATE(YEAR($E2096),MONTH($E2096),1))))</f>
        <v>0</v>
      </c>
      <c r="U2096" s="1" t="str">
        <f>IF(OR($G2096="",$H2096="Mahsup"),"",$G2096&amp;"|"&amp;COUNTIFS($G$7:$G2096,$G2096,$H$7:$H2096,"&lt;&gt;Mahsup"))</f>
        <v/>
      </c>
    </row>
    <row r="2097" spans="1:21" ht="18" customHeight="1" x14ac:dyDescent="0.3">
      <c r="A2097" s="2"/>
      <c r="B2097" s="65" t="str">
        <f t="shared" si="160"/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 t="shared" si="161"/>
        <v/>
      </c>
      <c r="M2097" s="65" t="str">
        <f t="shared" ca="1" si="162"/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163"/>
        <v/>
      </c>
      <c r="S2097" s="1" t="str">
        <f t="shared" si="164"/>
        <v/>
      </c>
      <c r="T2097" s="1">
        <f>IF($E2097="",0,SUMPRODUCT((AY_SONU!$O$7:$O$42="Evet")*(AY_SONU!$B$7:$B$42=DATE(YEAR($E2097),MONTH($E2097),1))))</f>
        <v>0</v>
      </c>
      <c r="U2097" s="1" t="str">
        <f>IF(OR($G2097="",$H2097="Mahsup"),"",$G2097&amp;"|"&amp;COUNTIFS($G$7:$G2097,$G2097,$H$7:$H2097,"&lt;&gt;Mahsup"))</f>
        <v/>
      </c>
    </row>
    <row r="2098" spans="1:21" ht="18" customHeight="1" x14ac:dyDescent="0.3">
      <c r="A2098" s="2"/>
      <c r="B2098" s="65" t="str">
        <f t="shared" si="160"/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 t="shared" si="161"/>
        <v/>
      </c>
      <c r="M2098" s="65" t="str">
        <f t="shared" ca="1" si="162"/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163"/>
        <v/>
      </c>
      <c r="S2098" s="1" t="str">
        <f t="shared" si="164"/>
        <v/>
      </c>
      <c r="T2098" s="1">
        <f>IF($E2098="",0,SUMPRODUCT((AY_SONU!$O$7:$O$42="Evet")*(AY_SONU!$B$7:$B$42=DATE(YEAR($E2098),MONTH($E2098),1))))</f>
        <v>0</v>
      </c>
      <c r="U2098" s="1" t="str">
        <f>IF(OR($G2098="",$H2098="Mahsup"),"",$G2098&amp;"|"&amp;COUNTIFS($G$7:$G2098,$G2098,$H$7:$H2098,"&lt;&gt;Mahsup"))</f>
        <v/>
      </c>
    </row>
    <row r="2099" spans="1:21" ht="18" customHeight="1" x14ac:dyDescent="0.3">
      <c r="A2099" s="2"/>
      <c r="B2099" s="65" t="str">
        <f t="shared" si="160"/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 t="shared" si="161"/>
        <v/>
      </c>
      <c r="M2099" s="65" t="str">
        <f t="shared" ca="1" si="162"/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163"/>
        <v/>
      </c>
      <c r="S2099" s="1" t="str">
        <f t="shared" si="164"/>
        <v/>
      </c>
      <c r="T2099" s="1">
        <f>IF($E2099="",0,SUMPRODUCT((AY_SONU!$O$7:$O$42="Evet")*(AY_SONU!$B$7:$B$42=DATE(YEAR($E2099),MONTH($E2099),1))))</f>
        <v>0</v>
      </c>
      <c r="U2099" s="1" t="str">
        <f>IF(OR($G2099="",$H2099="Mahsup"),"",$G2099&amp;"|"&amp;COUNTIFS($G$7:$G2099,$G2099,$H$7:$H2099,"&lt;&gt;Mahsup"))</f>
        <v/>
      </c>
    </row>
    <row r="2100" spans="1:21" ht="18" customHeight="1" x14ac:dyDescent="0.3">
      <c r="A2100" s="2"/>
      <c r="B2100" s="65" t="str">
        <f t="shared" si="160"/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 t="shared" si="161"/>
        <v/>
      </c>
      <c r="M2100" s="65" t="str">
        <f t="shared" ca="1" si="162"/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163"/>
        <v/>
      </c>
      <c r="S2100" s="1" t="str">
        <f t="shared" si="164"/>
        <v/>
      </c>
      <c r="T2100" s="1">
        <f>IF($E2100="",0,SUMPRODUCT((AY_SONU!$O$7:$O$42="Evet")*(AY_SONU!$B$7:$B$42=DATE(YEAR($E2100),MONTH($E2100),1))))</f>
        <v>0</v>
      </c>
      <c r="U2100" s="1" t="str">
        <f>IF(OR($G2100="",$H2100="Mahsup"),"",$G2100&amp;"|"&amp;COUNTIFS($G$7:$G2100,$G2100,$H$7:$H2100,"&lt;&gt;Mahsup"))</f>
        <v/>
      </c>
    </row>
    <row r="2101" spans="1:21" ht="18" customHeight="1" x14ac:dyDescent="0.3">
      <c r="A2101" s="2"/>
      <c r="B2101" s="65" t="str">
        <f t="shared" si="160"/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 t="shared" si="161"/>
        <v/>
      </c>
      <c r="M2101" s="65" t="str">
        <f t="shared" ca="1" si="162"/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163"/>
        <v/>
      </c>
      <c r="S2101" s="1" t="str">
        <f t="shared" si="164"/>
        <v/>
      </c>
      <c r="T2101" s="1">
        <f>IF($E2101="",0,SUMPRODUCT((AY_SONU!$O$7:$O$42="Evet")*(AY_SONU!$B$7:$B$42=DATE(YEAR($E2101),MONTH($E2101),1))))</f>
        <v>0</v>
      </c>
      <c r="U2101" s="1" t="str">
        <f>IF(OR($G2101="",$H2101="Mahsup"),"",$G2101&amp;"|"&amp;COUNTIFS($G$7:$G2101,$G2101,$H$7:$H2101,"&lt;&gt;Mahsup"))</f>
        <v/>
      </c>
    </row>
    <row r="2102" spans="1:21" ht="18" customHeight="1" x14ac:dyDescent="0.3">
      <c r="A2102" s="2"/>
      <c r="B2102" s="65" t="str">
        <f t="shared" si="160"/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 t="shared" si="161"/>
        <v/>
      </c>
      <c r="M2102" s="65" t="str">
        <f t="shared" ca="1" si="162"/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163"/>
        <v/>
      </c>
      <c r="S2102" s="1" t="str">
        <f t="shared" si="164"/>
        <v/>
      </c>
      <c r="T2102" s="1">
        <f>IF($E2102="",0,SUMPRODUCT((AY_SONU!$O$7:$O$42="Evet")*(AY_SONU!$B$7:$B$42=DATE(YEAR($E2102),MONTH($E2102),1))))</f>
        <v>0</v>
      </c>
      <c r="U2102" s="1" t="str">
        <f>IF(OR($G2102="",$H2102="Mahsup"),"",$G2102&amp;"|"&amp;COUNTIFS($G$7:$G2102,$G2102,$H$7:$H2102,"&lt;&gt;Mahsup"))</f>
        <v/>
      </c>
    </row>
    <row r="2103" spans="1:21" ht="18" customHeight="1" x14ac:dyDescent="0.3">
      <c r="A2103" s="2"/>
      <c r="B2103" s="65" t="str">
        <f t="shared" si="160"/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 t="shared" si="161"/>
        <v/>
      </c>
      <c r="M2103" s="65" t="str">
        <f t="shared" ca="1" si="162"/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163"/>
        <v/>
      </c>
      <c r="S2103" s="1" t="str">
        <f t="shared" si="164"/>
        <v/>
      </c>
      <c r="T2103" s="1">
        <f>IF($E2103="",0,SUMPRODUCT((AY_SONU!$O$7:$O$42="Evet")*(AY_SONU!$B$7:$B$42=DATE(YEAR($E2103),MONTH($E2103),1))))</f>
        <v>0</v>
      </c>
      <c r="U2103" s="1" t="str">
        <f>IF(OR($G2103="",$H2103="Mahsup"),"",$G2103&amp;"|"&amp;COUNTIFS($G$7:$G2103,$G2103,$H$7:$H2103,"&lt;&gt;Mahsup"))</f>
        <v/>
      </c>
    </row>
    <row r="2104" spans="1:21" ht="18" customHeight="1" x14ac:dyDescent="0.3">
      <c r="A2104" s="2"/>
      <c r="B2104" s="65" t="str">
        <f t="shared" si="160"/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 t="shared" si="161"/>
        <v/>
      </c>
      <c r="M2104" s="65" t="str">
        <f t="shared" ca="1" si="162"/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163"/>
        <v/>
      </c>
      <c r="S2104" s="1" t="str">
        <f t="shared" si="164"/>
        <v/>
      </c>
      <c r="T2104" s="1">
        <f>IF($E2104="",0,SUMPRODUCT((AY_SONU!$O$7:$O$42="Evet")*(AY_SONU!$B$7:$B$42=DATE(YEAR($E2104),MONTH($E2104),1))))</f>
        <v>0</v>
      </c>
      <c r="U2104" s="1" t="str">
        <f>IF(OR($G2104="",$H2104="Mahsup"),"",$G2104&amp;"|"&amp;COUNTIFS($G$7:$G2104,$G2104,$H$7:$H2104,"&lt;&gt;Mahsup"))</f>
        <v/>
      </c>
    </row>
    <row r="2105" spans="1:21" ht="18" customHeight="1" x14ac:dyDescent="0.3">
      <c r="A2105" s="2"/>
      <c r="B2105" s="65" t="str">
        <f t="shared" si="160"/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 t="shared" si="161"/>
        <v/>
      </c>
      <c r="M2105" s="65" t="str">
        <f t="shared" ca="1" si="162"/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163"/>
        <v/>
      </c>
      <c r="S2105" s="1" t="str">
        <f t="shared" si="164"/>
        <v/>
      </c>
      <c r="T2105" s="1">
        <f>IF($E2105="",0,SUMPRODUCT((AY_SONU!$O$7:$O$42="Evet")*(AY_SONU!$B$7:$B$42=DATE(YEAR($E2105),MONTH($E2105),1))))</f>
        <v>0</v>
      </c>
      <c r="U2105" s="1" t="str">
        <f>IF(OR($G2105="",$H2105="Mahsup"),"",$G2105&amp;"|"&amp;COUNTIFS($G$7:$G2105,$G2105,$H$7:$H2105,"&lt;&gt;Mahsup"))</f>
        <v/>
      </c>
    </row>
    <row r="2106" spans="1:21" ht="18" customHeight="1" x14ac:dyDescent="0.3">
      <c r="A2106" s="2"/>
      <c r="B2106" s="65" t="str">
        <f t="shared" si="160"/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 t="shared" si="161"/>
        <v/>
      </c>
      <c r="M2106" s="65" t="str">
        <f t="shared" ca="1" si="162"/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163"/>
        <v/>
      </c>
      <c r="S2106" s="1" t="str">
        <f t="shared" si="164"/>
        <v/>
      </c>
      <c r="T2106" s="1">
        <f>IF($E2106="",0,SUMPRODUCT((AY_SONU!$O$7:$O$42="Evet")*(AY_SONU!$B$7:$B$42=DATE(YEAR($E2106),MONTH($E2106),1))))</f>
        <v>0</v>
      </c>
      <c r="U2106" s="1" t="str">
        <f>IF(OR($G2106="",$H2106="Mahsup"),"",$G2106&amp;"|"&amp;COUNTIFS($G$7:$G2106,$G2106,$H$7:$H2106,"&lt;&gt;Mahsup"))</f>
        <v/>
      </c>
    </row>
    <row r="2107" spans="1:21" ht="18" customHeight="1" x14ac:dyDescent="0.3">
      <c r="A2107" s="2"/>
      <c r="B2107" s="65" t="str">
        <f t="shared" si="160"/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 t="shared" si="161"/>
        <v/>
      </c>
      <c r="M2107" s="65" t="str">
        <f t="shared" ca="1" si="162"/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163"/>
        <v/>
      </c>
      <c r="S2107" s="1" t="str">
        <f t="shared" si="164"/>
        <v/>
      </c>
      <c r="T2107" s="1">
        <f>IF($E2107="",0,SUMPRODUCT((AY_SONU!$O$7:$O$42="Evet")*(AY_SONU!$B$7:$B$42=DATE(YEAR($E2107),MONTH($E2107),1))))</f>
        <v>0</v>
      </c>
      <c r="U2107" s="1" t="str">
        <f>IF(OR($G2107="",$H2107="Mahsup"),"",$G2107&amp;"|"&amp;COUNTIFS($G$7:$G2107,$G2107,$H$7:$H2107,"&lt;&gt;Mahsup"))</f>
        <v/>
      </c>
    </row>
    <row r="2108" spans="1:21" ht="18" customHeight="1" x14ac:dyDescent="0.3">
      <c r="A2108" s="2"/>
      <c r="B2108" s="65" t="str">
        <f t="shared" si="160"/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 t="shared" si="161"/>
        <v/>
      </c>
      <c r="M2108" s="65" t="str">
        <f t="shared" ca="1" si="162"/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163"/>
        <v/>
      </c>
      <c r="S2108" s="1" t="str">
        <f t="shared" si="164"/>
        <v/>
      </c>
      <c r="T2108" s="1">
        <f>IF($E2108="",0,SUMPRODUCT((AY_SONU!$O$7:$O$42="Evet")*(AY_SONU!$B$7:$B$42=DATE(YEAR($E2108),MONTH($E2108),1))))</f>
        <v>0</v>
      </c>
      <c r="U2108" s="1" t="str">
        <f>IF(OR($G2108="",$H2108="Mahsup"),"",$G2108&amp;"|"&amp;COUNTIFS($G$7:$G2108,$G2108,$H$7:$H2108,"&lt;&gt;Mahsup"))</f>
        <v/>
      </c>
    </row>
    <row r="2109" spans="1:21" ht="18" customHeight="1" x14ac:dyDescent="0.3">
      <c r="A2109" s="2"/>
      <c r="B2109" s="65" t="str">
        <f t="shared" si="160"/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 t="shared" si="161"/>
        <v/>
      </c>
      <c r="M2109" s="65" t="str">
        <f t="shared" ca="1" si="162"/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163"/>
        <v/>
      </c>
      <c r="S2109" s="1" t="str">
        <f t="shared" si="164"/>
        <v/>
      </c>
      <c r="T2109" s="1">
        <f>IF($E2109="",0,SUMPRODUCT((AY_SONU!$O$7:$O$42="Evet")*(AY_SONU!$B$7:$B$42=DATE(YEAR($E2109),MONTH($E2109),1))))</f>
        <v>0</v>
      </c>
      <c r="U2109" s="1" t="str">
        <f>IF(OR($G2109="",$H2109="Mahsup"),"",$G2109&amp;"|"&amp;COUNTIFS($G$7:$G2109,$G2109,$H$7:$H2109,"&lt;&gt;Mahsup"))</f>
        <v/>
      </c>
    </row>
    <row r="2110" spans="1:21" ht="18" customHeight="1" x14ac:dyDescent="0.3">
      <c r="A2110" s="2"/>
      <c r="B2110" s="65" t="str">
        <f t="shared" si="160"/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 t="shared" si="161"/>
        <v/>
      </c>
      <c r="M2110" s="65" t="str">
        <f t="shared" ca="1" si="162"/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163"/>
        <v/>
      </c>
      <c r="S2110" s="1" t="str">
        <f t="shared" si="164"/>
        <v/>
      </c>
      <c r="T2110" s="1">
        <f>IF($E2110="",0,SUMPRODUCT((AY_SONU!$O$7:$O$42="Evet")*(AY_SONU!$B$7:$B$42=DATE(YEAR($E2110),MONTH($E2110),1))))</f>
        <v>0</v>
      </c>
      <c r="U2110" s="1" t="str">
        <f>IF(OR($G2110="",$H2110="Mahsup"),"",$G2110&amp;"|"&amp;COUNTIFS($G$7:$G2110,$G2110,$H$7:$H2110,"&lt;&gt;Mahsup"))</f>
        <v/>
      </c>
    </row>
    <row r="2111" spans="1:21" ht="18" customHeight="1" x14ac:dyDescent="0.3">
      <c r="A2111" s="2"/>
      <c r="B2111" s="65" t="str">
        <f t="shared" si="160"/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 t="shared" si="161"/>
        <v/>
      </c>
      <c r="M2111" s="65" t="str">
        <f t="shared" ca="1" si="162"/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163"/>
        <v/>
      </c>
      <c r="S2111" s="1" t="str">
        <f t="shared" si="164"/>
        <v/>
      </c>
      <c r="T2111" s="1">
        <f>IF($E2111="",0,SUMPRODUCT((AY_SONU!$O$7:$O$42="Evet")*(AY_SONU!$B$7:$B$42=DATE(YEAR($E2111),MONTH($E2111),1))))</f>
        <v>0</v>
      </c>
      <c r="U2111" s="1" t="str">
        <f>IF(OR($G2111="",$H2111="Mahsup"),"",$G2111&amp;"|"&amp;COUNTIFS($G$7:$G2111,$G2111,$H$7:$H2111,"&lt;&gt;Mahsup"))</f>
        <v/>
      </c>
    </row>
    <row r="2112" spans="1:21" ht="18" customHeight="1" x14ac:dyDescent="0.3">
      <c r="A2112" s="2"/>
      <c r="B2112" s="65" t="str">
        <f t="shared" si="160"/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 t="shared" si="161"/>
        <v/>
      </c>
      <c r="M2112" s="65" t="str">
        <f t="shared" ca="1" si="162"/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163"/>
        <v/>
      </c>
      <c r="S2112" s="1" t="str">
        <f t="shared" si="164"/>
        <v/>
      </c>
      <c r="T2112" s="1">
        <f>IF($E2112="",0,SUMPRODUCT((AY_SONU!$O$7:$O$42="Evet")*(AY_SONU!$B$7:$B$42=DATE(YEAR($E2112),MONTH($E2112),1))))</f>
        <v>0</v>
      </c>
      <c r="U2112" s="1" t="str">
        <f>IF(OR($G2112="",$H2112="Mahsup"),"",$G2112&amp;"|"&amp;COUNTIFS($G$7:$G2112,$G2112,$H$7:$H2112,"&lt;&gt;Mahsup"))</f>
        <v/>
      </c>
    </row>
    <row r="2113" spans="1:21" ht="18" customHeight="1" x14ac:dyDescent="0.3">
      <c r="A2113" s="2"/>
      <c r="B2113" s="65" t="str">
        <f t="shared" si="160"/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 t="shared" si="161"/>
        <v/>
      </c>
      <c r="M2113" s="65" t="str">
        <f t="shared" ca="1" si="162"/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163"/>
        <v/>
      </c>
      <c r="S2113" s="1" t="str">
        <f t="shared" si="164"/>
        <v/>
      </c>
      <c r="T2113" s="1">
        <f>IF($E2113="",0,SUMPRODUCT((AY_SONU!$O$7:$O$42="Evet")*(AY_SONU!$B$7:$B$42=DATE(YEAR($E2113),MONTH($E2113),1))))</f>
        <v>0</v>
      </c>
      <c r="U2113" s="1" t="str">
        <f>IF(OR($G2113="",$H2113="Mahsup"),"",$G2113&amp;"|"&amp;COUNTIFS($G$7:$G2113,$G2113,$H$7:$H2113,"&lt;&gt;Mahsup"))</f>
        <v/>
      </c>
    </row>
    <row r="2114" spans="1:21" ht="18" customHeight="1" x14ac:dyDescent="0.3">
      <c r="A2114" s="2"/>
      <c r="B2114" s="65" t="str">
        <f t="shared" si="160"/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 t="shared" si="161"/>
        <v/>
      </c>
      <c r="M2114" s="65" t="str">
        <f t="shared" ca="1" si="162"/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163"/>
        <v/>
      </c>
      <c r="S2114" s="1" t="str">
        <f t="shared" si="164"/>
        <v/>
      </c>
      <c r="T2114" s="1">
        <f>IF($E2114="",0,SUMPRODUCT((AY_SONU!$O$7:$O$42="Evet")*(AY_SONU!$B$7:$B$42=DATE(YEAR($E2114),MONTH($E2114),1))))</f>
        <v>0</v>
      </c>
      <c r="U2114" s="1" t="str">
        <f>IF(OR($G2114="",$H2114="Mahsup"),"",$G2114&amp;"|"&amp;COUNTIFS($G$7:$G2114,$G2114,$H$7:$H2114,"&lt;&gt;Mahsup"))</f>
        <v/>
      </c>
    </row>
    <row r="2115" spans="1:21" ht="18" customHeight="1" x14ac:dyDescent="0.3">
      <c r="A2115" s="2"/>
      <c r="B2115" s="65" t="str">
        <f t="shared" si="160"/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 t="shared" si="161"/>
        <v/>
      </c>
      <c r="M2115" s="65" t="str">
        <f t="shared" ca="1" si="162"/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163"/>
        <v/>
      </c>
      <c r="S2115" s="1" t="str">
        <f t="shared" si="164"/>
        <v/>
      </c>
      <c r="T2115" s="1">
        <f>IF($E2115="",0,SUMPRODUCT((AY_SONU!$O$7:$O$42="Evet")*(AY_SONU!$B$7:$B$42=DATE(YEAR($E2115),MONTH($E2115),1))))</f>
        <v>0</v>
      </c>
      <c r="U2115" s="1" t="str">
        <f>IF(OR($G2115="",$H2115="Mahsup"),"",$G2115&amp;"|"&amp;COUNTIFS($G$7:$G2115,$G2115,$H$7:$H2115,"&lt;&gt;Mahsup"))</f>
        <v/>
      </c>
    </row>
    <row r="2116" spans="1:21" ht="18" customHeight="1" x14ac:dyDescent="0.3">
      <c r="A2116" s="2"/>
      <c r="B2116" s="65" t="str">
        <f t="shared" si="160"/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 t="shared" si="161"/>
        <v/>
      </c>
      <c r="M2116" s="65" t="str">
        <f t="shared" ca="1" si="162"/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163"/>
        <v/>
      </c>
      <c r="S2116" s="1" t="str">
        <f t="shared" si="164"/>
        <v/>
      </c>
      <c r="T2116" s="1">
        <f>IF($E2116="",0,SUMPRODUCT((AY_SONU!$O$7:$O$42="Evet")*(AY_SONU!$B$7:$B$42=DATE(YEAR($E2116),MONTH($E2116),1))))</f>
        <v>0</v>
      </c>
      <c r="U2116" s="1" t="str">
        <f>IF(OR($G2116="",$H2116="Mahsup"),"",$G2116&amp;"|"&amp;COUNTIFS($G$7:$G2116,$G2116,$H$7:$H2116,"&lt;&gt;Mahsup"))</f>
        <v/>
      </c>
    </row>
    <row r="2117" spans="1:21" ht="18" customHeight="1" x14ac:dyDescent="0.3">
      <c r="A2117" s="2"/>
      <c r="B2117" s="65" t="str">
        <f t="shared" si="160"/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 t="shared" si="161"/>
        <v/>
      </c>
      <c r="M2117" s="65" t="str">
        <f t="shared" ca="1" si="162"/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163"/>
        <v/>
      </c>
      <c r="S2117" s="1" t="str">
        <f t="shared" si="164"/>
        <v/>
      </c>
      <c r="T2117" s="1">
        <f>IF($E2117="",0,SUMPRODUCT((AY_SONU!$O$7:$O$42="Evet")*(AY_SONU!$B$7:$B$42=DATE(YEAR($E2117),MONTH($E2117),1))))</f>
        <v>0</v>
      </c>
      <c r="U2117" s="1" t="str">
        <f>IF(OR($G2117="",$H2117="Mahsup"),"",$G2117&amp;"|"&amp;COUNTIFS($G$7:$G2117,$G2117,$H$7:$H2117,"&lt;&gt;Mahsup"))</f>
        <v/>
      </c>
    </row>
    <row r="2118" spans="1:21" ht="18" customHeight="1" x14ac:dyDescent="0.3">
      <c r="A2118" s="2"/>
      <c r="B2118" s="65" t="str">
        <f t="shared" si="160"/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 t="shared" si="161"/>
        <v/>
      </c>
      <c r="M2118" s="65" t="str">
        <f t="shared" ca="1" si="162"/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163"/>
        <v/>
      </c>
      <c r="S2118" s="1" t="str">
        <f t="shared" si="164"/>
        <v/>
      </c>
      <c r="T2118" s="1">
        <f>IF($E2118="",0,SUMPRODUCT((AY_SONU!$O$7:$O$42="Evet")*(AY_SONU!$B$7:$B$42=DATE(YEAR($E2118),MONTH($E2118),1))))</f>
        <v>0</v>
      </c>
      <c r="U2118" s="1" t="str">
        <f>IF(OR($G2118="",$H2118="Mahsup"),"",$G2118&amp;"|"&amp;COUNTIFS($G$7:$G2118,$G2118,$H$7:$H2118,"&lt;&gt;Mahsup"))</f>
        <v/>
      </c>
    </row>
    <row r="2119" spans="1:21" ht="18" customHeight="1" x14ac:dyDescent="0.3">
      <c r="A2119" s="2"/>
      <c r="B2119" s="65" t="str">
        <f t="shared" ref="B2119:B2182" si="165"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 t="shared" ref="L2119:L2182" si="166">IF($E2119="","",DATE(YEAR($E2119),MONTH($E2119),1))</f>
        <v/>
      </c>
      <c r="M2119" s="65" t="str">
        <f t="shared" ref="M2119:M2182" ca="1" si="167"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168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169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  <c r="U2119" s="1" t="str">
        <f>IF(OR($G2119="",$H2119="Mahsup"),"",$G2119&amp;"|"&amp;COUNTIFS($G$7:$G2119,$G2119,$H$7:$H2119,"&lt;&gt;Mahsup"))</f>
        <v/>
      </c>
    </row>
    <row r="2120" spans="1:21" ht="18" customHeight="1" x14ac:dyDescent="0.3">
      <c r="A2120" s="2"/>
      <c r="B2120" s="65" t="str">
        <f t="shared" si="165"/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 t="shared" si="166"/>
        <v/>
      </c>
      <c r="M2120" s="65" t="str">
        <f t="shared" ca="1" si="167"/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168"/>
        <v/>
      </c>
      <c r="S2120" s="1" t="str">
        <f t="shared" si="169"/>
        <v/>
      </c>
      <c r="T2120" s="1">
        <f>IF($E2120="",0,SUMPRODUCT((AY_SONU!$O$7:$O$42="Evet")*(AY_SONU!$B$7:$B$42=DATE(YEAR($E2120),MONTH($E2120),1))))</f>
        <v>0</v>
      </c>
      <c r="U2120" s="1" t="str">
        <f>IF(OR($G2120="",$H2120="Mahsup"),"",$G2120&amp;"|"&amp;COUNTIFS($G$7:$G2120,$G2120,$H$7:$H2120,"&lt;&gt;Mahsup"))</f>
        <v/>
      </c>
    </row>
    <row r="2121" spans="1:21" ht="18" customHeight="1" x14ac:dyDescent="0.3">
      <c r="A2121" s="2"/>
      <c r="B2121" s="65" t="str">
        <f t="shared" si="165"/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 t="shared" si="166"/>
        <v/>
      </c>
      <c r="M2121" s="65" t="str">
        <f t="shared" ca="1" si="167"/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168"/>
        <v/>
      </c>
      <c r="S2121" s="1" t="str">
        <f t="shared" si="169"/>
        <v/>
      </c>
      <c r="T2121" s="1">
        <f>IF($E2121="",0,SUMPRODUCT((AY_SONU!$O$7:$O$42="Evet")*(AY_SONU!$B$7:$B$42=DATE(YEAR($E2121),MONTH($E2121),1))))</f>
        <v>0</v>
      </c>
      <c r="U2121" s="1" t="str">
        <f>IF(OR($G2121="",$H2121="Mahsup"),"",$G2121&amp;"|"&amp;COUNTIFS($G$7:$G2121,$G2121,$H$7:$H2121,"&lt;&gt;Mahsup"))</f>
        <v/>
      </c>
    </row>
    <row r="2122" spans="1:21" ht="18" customHeight="1" x14ac:dyDescent="0.3">
      <c r="A2122" s="2"/>
      <c r="B2122" s="65" t="str">
        <f t="shared" si="165"/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 t="shared" si="166"/>
        <v/>
      </c>
      <c r="M2122" s="65" t="str">
        <f t="shared" ca="1" si="167"/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168"/>
        <v/>
      </c>
      <c r="S2122" s="1" t="str">
        <f t="shared" si="169"/>
        <v/>
      </c>
      <c r="T2122" s="1">
        <f>IF($E2122="",0,SUMPRODUCT((AY_SONU!$O$7:$O$42="Evet")*(AY_SONU!$B$7:$B$42=DATE(YEAR($E2122),MONTH($E2122),1))))</f>
        <v>0</v>
      </c>
      <c r="U2122" s="1" t="str">
        <f>IF(OR($G2122="",$H2122="Mahsup"),"",$G2122&amp;"|"&amp;COUNTIFS($G$7:$G2122,$G2122,$H$7:$H2122,"&lt;&gt;Mahsup"))</f>
        <v/>
      </c>
    </row>
    <row r="2123" spans="1:21" ht="18" customHeight="1" x14ac:dyDescent="0.3">
      <c r="A2123" s="2"/>
      <c r="B2123" s="65" t="str">
        <f t="shared" si="165"/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 t="shared" si="166"/>
        <v/>
      </c>
      <c r="M2123" s="65" t="str">
        <f t="shared" ca="1" si="167"/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168"/>
        <v/>
      </c>
      <c r="S2123" s="1" t="str">
        <f t="shared" si="169"/>
        <v/>
      </c>
      <c r="T2123" s="1">
        <f>IF($E2123="",0,SUMPRODUCT((AY_SONU!$O$7:$O$42="Evet")*(AY_SONU!$B$7:$B$42=DATE(YEAR($E2123),MONTH($E2123),1))))</f>
        <v>0</v>
      </c>
      <c r="U2123" s="1" t="str">
        <f>IF(OR($G2123="",$H2123="Mahsup"),"",$G2123&amp;"|"&amp;COUNTIFS($G$7:$G2123,$G2123,$H$7:$H2123,"&lt;&gt;Mahsup"))</f>
        <v/>
      </c>
    </row>
    <row r="2124" spans="1:21" ht="18" customHeight="1" x14ac:dyDescent="0.3">
      <c r="A2124" s="2"/>
      <c r="B2124" s="65" t="str">
        <f t="shared" si="165"/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 t="shared" si="166"/>
        <v/>
      </c>
      <c r="M2124" s="65" t="str">
        <f t="shared" ca="1" si="167"/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168"/>
        <v/>
      </c>
      <c r="S2124" s="1" t="str">
        <f t="shared" si="169"/>
        <v/>
      </c>
      <c r="T2124" s="1">
        <f>IF($E2124="",0,SUMPRODUCT((AY_SONU!$O$7:$O$42="Evet")*(AY_SONU!$B$7:$B$42=DATE(YEAR($E2124),MONTH($E2124),1))))</f>
        <v>0</v>
      </c>
      <c r="U2124" s="1" t="str">
        <f>IF(OR($G2124="",$H2124="Mahsup"),"",$G2124&amp;"|"&amp;COUNTIFS($G$7:$G2124,$G2124,$H$7:$H2124,"&lt;&gt;Mahsup"))</f>
        <v/>
      </c>
    </row>
    <row r="2125" spans="1:21" ht="18" customHeight="1" x14ac:dyDescent="0.3">
      <c r="A2125" s="2"/>
      <c r="B2125" s="65" t="str">
        <f t="shared" si="165"/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 t="shared" si="166"/>
        <v/>
      </c>
      <c r="M2125" s="65" t="str">
        <f t="shared" ca="1" si="167"/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168"/>
        <v/>
      </c>
      <c r="S2125" s="1" t="str">
        <f t="shared" si="169"/>
        <v/>
      </c>
      <c r="T2125" s="1">
        <f>IF($E2125="",0,SUMPRODUCT((AY_SONU!$O$7:$O$42="Evet")*(AY_SONU!$B$7:$B$42=DATE(YEAR($E2125),MONTH($E2125),1))))</f>
        <v>0</v>
      </c>
      <c r="U2125" s="1" t="str">
        <f>IF(OR($G2125="",$H2125="Mahsup"),"",$G2125&amp;"|"&amp;COUNTIFS($G$7:$G2125,$G2125,$H$7:$H2125,"&lt;&gt;Mahsup"))</f>
        <v/>
      </c>
    </row>
    <row r="2126" spans="1:21" ht="18" customHeight="1" x14ac:dyDescent="0.3">
      <c r="A2126" s="2"/>
      <c r="B2126" s="65" t="str">
        <f t="shared" si="165"/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 t="shared" si="166"/>
        <v/>
      </c>
      <c r="M2126" s="65" t="str">
        <f t="shared" ca="1" si="167"/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168"/>
        <v/>
      </c>
      <c r="S2126" s="1" t="str">
        <f t="shared" si="169"/>
        <v/>
      </c>
      <c r="T2126" s="1">
        <f>IF($E2126="",0,SUMPRODUCT((AY_SONU!$O$7:$O$42="Evet")*(AY_SONU!$B$7:$B$42=DATE(YEAR($E2126),MONTH($E2126),1))))</f>
        <v>0</v>
      </c>
      <c r="U2126" s="1" t="str">
        <f>IF(OR($G2126="",$H2126="Mahsup"),"",$G2126&amp;"|"&amp;COUNTIFS($G$7:$G2126,$G2126,$H$7:$H2126,"&lt;&gt;Mahsup"))</f>
        <v/>
      </c>
    </row>
    <row r="2127" spans="1:21" ht="18" customHeight="1" x14ac:dyDescent="0.3">
      <c r="A2127" s="2"/>
      <c r="B2127" s="65" t="str">
        <f t="shared" si="165"/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 t="shared" si="166"/>
        <v/>
      </c>
      <c r="M2127" s="65" t="str">
        <f t="shared" ca="1" si="167"/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168"/>
        <v/>
      </c>
      <c r="S2127" s="1" t="str">
        <f t="shared" si="169"/>
        <v/>
      </c>
      <c r="T2127" s="1">
        <f>IF($E2127="",0,SUMPRODUCT((AY_SONU!$O$7:$O$42="Evet")*(AY_SONU!$B$7:$B$42=DATE(YEAR($E2127),MONTH($E2127),1))))</f>
        <v>0</v>
      </c>
      <c r="U2127" s="1" t="str">
        <f>IF(OR($G2127="",$H2127="Mahsup"),"",$G2127&amp;"|"&amp;COUNTIFS($G$7:$G2127,$G2127,$H$7:$H2127,"&lt;&gt;Mahsup"))</f>
        <v/>
      </c>
    </row>
    <row r="2128" spans="1:21" ht="18" customHeight="1" x14ac:dyDescent="0.3">
      <c r="A2128" s="2"/>
      <c r="B2128" s="65" t="str">
        <f t="shared" si="165"/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 t="shared" si="166"/>
        <v/>
      </c>
      <c r="M2128" s="65" t="str">
        <f t="shared" ca="1" si="167"/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168"/>
        <v/>
      </c>
      <c r="S2128" s="1" t="str">
        <f t="shared" si="169"/>
        <v/>
      </c>
      <c r="T2128" s="1">
        <f>IF($E2128="",0,SUMPRODUCT((AY_SONU!$O$7:$O$42="Evet")*(AY_SONU!$B$7:$B$42=DATE(YEAR($E2128),MONTH($E2128),1))))</f>
        <v>0</v>
      </c>
      <c r="U2128" s="1" t="str">
        <f>IF(OR($G2128="",$H2128="Mahsup"),"",$G2128&amp;"|"&amp;COUNTIFS($G$7:$G2128,$G2128,$H$7:$H2128,"&lt;&gt;Mahsup"))</f>
        <v/>
      </c>
    </row>
    <row r="2129" spans="1:21" ht="18" customHeight="1" x14ac:dyDescent="0.3">
      <c r="A2129" s="2"/>
      <c r="B2129" s="65" t="str">
        <f t="shared" si="165"/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 t="shared" si="166"/>
        <v/>
      </c>
      <c r="M2129" s="65" t="str">
        <f t="shared" ca="1" si="167"/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168"/>
        <v/>
      </c>
      <c r="S2129" s="1" t="str">
        <f t="shared" si="169"/>
        <v/>
      </c>
      <c r="T2129" s="1">
        <f>IF($E2129="",0,SUMPRODUCT((AY_SONU!$O$7:$O$42="Evet")*(AY_SONU!$B$7:$B$42=DATE(YEAR($E2129),MONTH($E2129),1))))</f>
        <v>0</v>
      </c>
      <c r="U2129" s="1" t="str">
        <f>IF(OR($G2129="",$H2129="Mahsup"),"",$G2129&amp;"|"&amp;COUNTIFS($G$7:$G2129,$G2129,$H$7:$H2129,"&lt;&gt;Mahsup"))</f>
        <v/>
      </c>
    </row>
    <row r="2130" spans="1:21" ht="18" customHeight="1" x14ac:dyDescent="0.3">
      <c r="A2130" s="2"/>
      <c r="B2130" s="65" t="str">
        <f t="shared" si="165"/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 t="shared" si="166"/>
        <v/>
      </c>
      <c r="M2130" s="65" t="str">
        <f t="shared" ca="1" si="167"/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168"/>
        <v/>
      </c>
      <c r="S2130" s="1" t="str">
        <f t="shared" si="169"/>
        <v/>
      </c>
      <c r="T2130" s="1">
        <f>IF($E2130="",0,SUMPRODUCT((AY_SONU!$O$7:$O$42="Evet")*(AY_SONU!$B$7:$B$42=DATE(YEAR($E2130),MONTH($E2130),1))))</f>
        <v>0</v>
      </c>
      <c r="U2130" s="1" t="str">
        <f>IF(OR($G2130="",$H2130="Mahsup"),"",$G2130&amp;"|"&amp;COUNTIFS($G$7:$G2130,$G2130,$H$7:$H2130,"&lt;&gt;Mahsup"))</f>
        <v/>
      </c>
    </row>
    <row r="2131" spans="1:21" ht="18" customHeight="1" x14ac:dyDescent="0.3">
      <c r="A2131" s="2"/>
      <c r="B2131" s="65" t="str">
        <f t="shared" si="165"/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 t="shared" si="166"/>
        <v/>
      </c>
      <c r="M2131" s="65" t="str">
        <f t="shared" ca="1" si="167"/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168"/>
        <v/>
      </c>
      <c r="S2131" s="1" t="str">
        <f t="shared" si="169"/>
        <v/>
      </c>
      <c r="T2131" s="1">
        <f>IF($E2131="",0,SUMPRODUCT((AY_SONU!$O$7:$O$42="Evet")*(AY_SONU!$B$7:$B$42=DATE(YEAR($E2131),MONTH($E2131),1))))</f>
        <v>0</v>
      </c>
      <c r="U2131" s="1" t="str">
        <f>IF(OR($G2131="",$H2131="Mahsup"),"",$G2131&amp;"|"&amp;COUNTIFS($G$7:$G2131,$G2131,$H$7:$H2131,"&lt;&gt;Mahsup"))</f>
        <v/>
      </c>
    </row>
    <row r="2132" spans="1:21" ht="18" customHeight="1" x14ac:dyDescent="0.3">
      <c r="A2132" s="2"/>
      <c r="B2132" s="65" t="str">
        <f t="shared" si="165"/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 t="shared" si="166"/>
        <v/>
      </c>
      <c r="M2132" s="65" t="str">
        <f t="shared" ca="1" si="167"/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168"/>
        <v/>
      </c>
      <c r="S2132" s="1" t="str">
        <f t="shared" si="169"/>
        <v/>
      </c>
      <c r="T2132" s="1">
        <f>IF($E2132="",0,SUMPRODUCT((AY_SONU!$O$7:$O$42="Evet")*(AY_SONU!$B$7:$B$42=DATE(YEAR($E2132),MONTH($E2132),1))))</f>
        <v>0</v>
      </c>
      <c r="U2132" s="1" t="str">
        <f>IF(OR($G2132="",$H2132="Mahsup"),"",$G2132&amp;"|"&amp;COUNTIFS($G$7:$G2132,$G2132,$H$7:$H2132,"&lt;&gt;Mahsup"))</f>
        <v/>
      </c>
    </row>
    <row r="2133" spans="1:21" ht="18" customHeight="1" x14ac:dyDescent="0.3">
      <c r="A2133" s="2"/>
      <c r="B2133" s="65" t="str">
        <f t="shared" si="165"/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 t="shared" si="166"/>
        <v/>
      </c>
      <c r="M2133" s="65" t="str">
        <f t="shared" ca="1" si="167"/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168"/>
        <v/>
      </c>
      <c r="S2133" s="1" t="str">
        <f t="shared" si="169"/>
        <v/>
      </c>
      <c r="T2133" s="1">
        <f>IF($E2133="",0,SUMPRODUCT((AY_SONU!$O$7:$O$42="Evet")*(AY_SONU!$B$7:$B$42=DATE(YEAR($E2133),MONTH($E2133),1))))</f>
        <v>0</v>
      </c>
      <c r="U2133" s="1" t="str">
        <f>IF(OR($G2133="",$H2133="Mahsup"),"",$G2133&amp;"|"&amp;COUNTIFS($G$7:$G2133,$G2133,$H$7:$H2133,"&lt;&gt;Mahsup"))</f>
        <v/>
      </c>
    </row>
    <row r="2134" spans="1:21" ht="18" customHeight="1" x14ac:dyDescent="0.3">
      <c r="A2134" s="2"/>
      <c r="B2134" s="65" t="str">
        <f t="shared" si="165"/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 t="shared" si="166"/>
        <v/>
      </c>
      <c r="M2134" s="65" t="str">
        <f t="shared" ca="1" si="167"/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168"/>
        <v/>
      </c>
      <c r="S2134" s="1" t="str">
        <f t="shared" si="169"/>
        <v/>
      </c>
      <c r="T2134" s="1">
        <f>IF($E2134="",0,SUMPRODUCT((AY_SONU!$O$7:$O$42="Evet")*(AY_SONU!$B$7:$B$42=DATE(YEAR($E2134),MONTH($E2134),1))))</f>
        <v>0</v>
      </c>
      <c r="U2134" s="1" t="str">
        <f>IF(OR($G2134="",$H2134="Mahsup"),"",$G2134&amp;"|"&amp;COUNTIFS($G$7:$G2134,$G2134,$H$7:$H2134,"&lt;&gt;Mahsup"))</f>
        <v/>
      </c>
    </row>
    <row r="2135" spans="1:21" ht="18" customHeight="1" x14ac:dyDescent="0.3">
      <c r="A2135" s="2"/>
      <c r="B2135" s="65" t="str">
        <f t="shared" si="165"/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 t="shared" si="166"/>
        <v/>
      </c>
      <c r="M2135" s="65" t="str">
        <f t="shared" ca="1" si="167"/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168"/>
        <v/>
      </c>
      <c r="S2135" s="1" t="str">
        <f t="shared" si="169"/>
        <v/>
      </c>
      <c r="T2135" s="1">
        <f>IF($E2135="",0,SUMPRODUCT((AY_SONU!$O$7:$O$42="Evet")*(AY_SONU!$B$7:$B$42=DATE(YEAR($E2135),MONTH($E2135),1))))</f>
        <v>0</v>
      </c>
      <c r="U2135" s="1" t="str">
        <f>IF(OR($G2135="",$H2135="Mahsup"),"",$G2135&amp;"|"&amp;COUNTIFS($G$7:$G2135,$G2135,$H$7:$H2135,"&lt;&gt;Mahsup"))</f>
        <v/>
      </c>
    </row>
    <row r="2136" spans="1:21" ht="18" customHeight="1" x14ac:dyDescent="0.3">
      <c r="A2136" s="2"/>
      <c r="B2136" s="65" t="str">
        <f t="shared" si="165"/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 t="shared" si="166"/>
        <v/>
      </c>
      <c r="M2136" s="65" t="str">
        <f t="shared" ca="1" si="167"/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168"/>
        <v/>
      </c>
      <c r="S2136" s="1" t="str">
        <f t="shared" si="169"/>
        <v/>
      </c>
      <c r="T2136" s="1">
        <f>IF($E2136="",0,SUMPRODUCT((AY_SONU!$O$7:$O$42="Evet")*(AY_SONU!$B$7:$B$42=DATE(YEAR($E2136),MONTH($E2136),1))))</f>
        <v>0</v>
      </c>
      <c r="U2136" s="1" t="str">
        <f>IF(OR($G2136="",$H2136="Mahsup"),"",$G2136&amp;"|"&amp;COUNTIFS($G$7:$G2136,$G2136,$H$7:$H2136,"&lt;&gt;Mahsup"))</f>
        <v/>
      </c>
    </row>
    <row r="2137" spans="1:21" ht="18" customHeight="1" x14ac:dyDescent="0.3">
      <c r="A2137" s="2"/>
      <c r="B2137" s="65" t="str">
        <f t="shared" si="165"/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 t="shared" si="166"/>
        <v/>
      </c>
      <c r="M2137" s="65" t="str">
        <f t="shared" ca="1" si="167"/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168"/>
        <v/>
      </c>
      <c r="S2137" s="1" t="str">
        <f t="shared" si="169"/>
        <v/>
      </c>
      <c r="T2137" s="1">
        <f>IF($E2137="",0,SUMPRODUCT((AY_SONU!$O$7:$O$42="Evet")*(AY_SONU!$B$7:$B$42=DATE(YEAR($E2137),MONTH($E2137),1))))</f>
        <v>0</v>
      </c>
      <c r="U2137" s="1" t="str">
        <f>IF(OR($G2137="",$H2137="Mahsup"),"",$G2137&amp;"|"&amp;COUNTIFS($G$7:$G2137,$G2137,$H$7:$H2137,"&lt;&gt;Mahsup"))</f>
        <v/>
      </c>
    </row>
    <row r="2138" spans="1:21" ht="18" customHeight="1" x14ac:dyDescent="0.3">
      <c r="A2138" s="2"/>
      <c r="B2138" s="65" t="str">
        <f t="shared" si="165"/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 t="shared" si="166"/>
        <v/>
      </c>
      <c r="M2138" s="65" t="str">
        <f t="shared" ca="1" si="167"/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168"/>
        <v/>
      </c>
      <c r="S2138" s="1" t="str">
        <f t="shared" si="169"/>
        <v/>
      </c>
      <c r="T2138" s="1">
        <f>IF($E2138="",0,SUMPRODUCT((AY_SONU!$O$7:$O$42="Evet")*(AY_SONU!$B$7:$B$42=DATE(YEAR($E2138),MONTH($E2138),1))))</f>
        <v>0</v>
      </c>
      <c r="U2138" s="1" t="str">
        <f>IF(OR($G2138="",$H2138="Mahsup"),"",$G2138&amp;"|"&amp;COUNTIFS($G$7:$G2138,$G2138,$H$7:$H2138,"&lt;&gt;Mahsup"))</f>
        <v/>
      </c>
    </row>
    <row r="2139" spans="1:21" ht="18" customHeight="1" x14ac:dyDescent="0.3">
      <c r="A2139" s="2"/>
      <c r="B2139" s="65" t="str">
        <f t="shared" si="165"/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 t="shared" si="166"/>
        <v/>
      </c>
      <c r="M2139" s="65" t="str">
        <f t="shared" ca="1" si="167"/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168"/>
        <v/>
      </c>
      <c r="S2139" s="1" t="str">
        <f t="shared" si="169"/>
        <v/>
      </c>
      <c r="T2139" s="1">
        <f>IF($E2139="",0,SUMPRODUCT((AY_SONU!$O$7:$O$42="Evet")*(AY_SONU!$B$7:$B$42=DATE(YEAR($E2139),MONTH($E2139),1))))</f>
        <v>0</v>
      </c>
      <c r="U2139" s="1" t="str">
        <f>IF(OR($G2139="",$H2139="Mahsup"),"",$G2139&amp;"|"&amp;COUNTIFS($G$7:$G2139,$G2139,$H$7:$H2139,"&lt;&gt;Mahsup"))</f>
        <v/>
      </c>
    </row>
    <row r="2140" spans="1:21" ht="18" customHeight="1" x14ac:dyDescent="0.3">
      <c r="A2140" s="2"/>
      <c r="B2140" s="65" t="str">
        <f t="shared" si="165"/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 t="shared" si="166"/>
        <v/>
      </c>
      <c r="M2140" s="65" t="str">
        <f t="shared" ca="1" si="167"/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168"/>
        <v/>
      </c>
      <c r="S2140" s="1" t="str">
        <f t="shared" si="169"/>
        <v/>
      </c>
      <c r="T2140" s="1">
        <f>IF($E2140="",0,SUMPRODUCT((AY_SONU!$O$7:$O$42="Evet")*(AY_SONU!$B$7:$B$42=DATE(YEAR($E2140),MONTH($E2140),1))))</f>
        <v>0</v>
      </c>
      <c r="U2140" s="1" t="str">
        <f>IF(OR($G2140="",$H2140="Mahsup"),"",$G2140&amp;"|"&amp;COUNTIFS($G$7:$G2140,$G2140,$H$7:$H2140,"&lt;&gt;Mahsup"))</f>
        <v/>
      </c>
    </row>
    <row r="2141" spans="1:21" ht="18" customHeight="1" x14ac:dyDescent="0.3">
      <c r="A2141" s="2"/>
      <c r="B2141" s="65" t="str">
        <f t="shared" si="165"/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 t="shared" si="166"/>
        <v/>
      </c>
      <c r="M2141" s="65" t="str">
        <f t="shared" ca="1" si="167"/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168"/>
        <v/>
      </c>
      <c r="S2141" s="1" t="str">
        <f t="shared" si="169"/>
        <v/>
      </c>
      <c r="T2141" s="1">
        <f>IF($E2141="",0,SUMPRODUCT((AY_SONU!$O$7:$O$42="Evet")*(AY_SONU!$B$7:$B$42=DATE(YEAR($E2141),MONTH($E2141),1))))</f>
        <v>0</v>
      </c>
      <c r="U2141" s="1" t="str">
        <f>IF(OR($G2141="",$H2141="Mahsup"),"",$G2141&amp;"|"&amp;COUNTIFS($G$7:$G2141,$G2141,$H$7:$H2141,"&lt;&gt;Mahsup"))</f>
        <v/>
      </c>
    </row>
    <row r="2142" spans="1:21" ht="18" customHeight="1" x14ac:dyDescent="0.3">
      <c r="A2142" s="2"/>
      <c r="B2142" s="65" t="str">
        <f t="shared" si="165"/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 t="shared" si="166"/>
        <v/>
      </c>
      <c r="M2142" s="65" t="str">
        <f t="shared" ca="1" si="167"/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168"/>
        <v/>
      </c>
      <c r="S2142" s="1" t="str">
        <f t="shared" si="169"/>
        <v/>
      </c>
      <c r="T2142" s="1">
        <f>IF($E2142="",0,SUMPRODUCT((AY_SONU!$O$7:$O$42="Evet")*(AY_SONU!$B$7:$B$42=DATE(YEAR($E2142),MONTH($E2142),1))))</f>
        <v>0</v>
      </c>
      <c r="U2142" s="1" t="str">
        <f>IF(OR($G2142="",$H2142="Mahsup"),"",$G2142&amp;"|"&amp;COUNTIFS($G$7:$G2142,$G2142,$H$7:$H2142,"&lt;&gt;Mahsup"))</f>
        <v/>
      </c>
    </row>
    <row r="2143" spans="1:21" ht="18" customHeight="1" x14ac:dyDescent="0.3">
      <c r="A2143" s="2"/>
      <c r="B2143" s="65" t="str">
        <f t="shared" si="165"/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 t="shared" si="166"/>
        <v/>
      </c>
      <c r="M2143" s="65" t="str">
        <f t="shared" ca="1" si="167"/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168"/>
        <v/>
      </c>
      <c r="S2143" s="1" t="str">
        <f t="shared" si="169"/>
        <v/>
      </c>
      <c r="T2143" s="1">
        <f>IF($E2143="",0,SUMPRODUCT((AY_SONU!$O$7:$O$42="Evet")*(AY_SONU!$B$7:$B$42=DATE(YEAR($E2143),MONTH($E2143),1))))</f>
        <v>0</v>
      </c>
      <c r="U2143" s="1" t="str">
        <f>IF(OR($G2143="",$H2143="Mahsup"),"",$G2143&amp;"|"&amp;COUNTIFS($G$7:$G2143,$G2143,$H$7:$H2143,"&lt;&gt;Mahsup"))</f>
        <v/>
      </c>
    </row>
    <row r="2144" spans="1:21" ht="18" customHeight="1" x14ac:dyDescent="0.3">
      <c r="A2144" s="2"/>
      <c r="B2144" s="65" t="str">
        <f t="shared" si="165"/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 t="shared" si="166"/>
        <v/>
      </c>
      <c r="M2144" s="65" t="str">
        <f t="shared" ca="1" si="167"/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168"/>
        <v/>
      </c>
      <c r="S2144" s="1" t="str">
        <f t="shared" si="169"/>
        <v/>
      </c>
      <c r="T2144" s="1">
        <f>IF($E2144="",0,SUMPRODUCT((AY_SONU!$O$7:$O$42="Evet")*(AY_SONU!$B$7:$B$42=DATE(YEAR($E2144),MONTH($E2144),1))))</f>
        <v>0</v>
      </c>
      <c r="U2144" s="1" t="str">
        <f>IF(OR($G2144="",$H2144="Mahsup"),"",$G2144&amp;"|"&amp;COUNTIFS($G$7:$G2144,$G2144,$H$7:$H2144,"&lt;&gt;Mahsup"))</f>
        <v/>
      </c>
    </row>
    <row r="2145" spans="1:21" ht="18" customHeight="1" x14ac:dyDescent="0.3">
      <c r="A2145" s="2"/>
      <c r="B2145" s="65" t="str">
        <f t="shared" si="165"/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 t="shared" si="166"/>
        <v/>
      </c>
      <c r="M2145" s="65" t="str">
        <f t="shared" ca="1" si="167"/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168"/>
        <v/>
      </c>
      <c r="S2145" s="1" t="str">
        <f t="shared" si="169"/>
        <v/>
      </c>
      <c r="T2145" s="1">
        <f>IF($E2145="",0,SUMPRODUCT((AY_SONU!$O$7:$O$42="Evet")*(AY_SONU!$B$7:$B$42=DATE(YEAR($E2145),MONTH($E2145),1))))</f>
        <v>0</v>
      </c>
      <c r="U2145" s="1" t="str">
        <f>IF(OR($G2145="",$H2145="Mahsup"),"",$G2145&amp;"|"&amp;COUNTIFS($G$7:$G2145,$G2145,$H$7:$H2145,"&lt;&gt;Mahsup"))</f>
        <v/>
      </c>
    </row>
    <row r="2146" spans="1:21" ht="18" customHeight="1" x14ac:dyDescent="0.3">
      <c r="A2146" s="2"/>
      <c r="B2146" s="65" t="str">
        <f t="shared" si="165"/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 t="shared" si="166"/>
        <v/>
      </c>
      <c r="M2146" s="65" t="str">
        <f t="shared" ca="1" si="167"/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168"/>
        <v/>
      </c>
      <c r="S2146" s="1" t="str">
        <f t="shared" si="169"/>
        <v/>
      </c>
      <c r="T2146" s="1">
        <f>IF($E2146="",0,SUMPRODUCT((AY_SONU!$O$7:$O$42="Evet")*(AY_SONU!$B$7:$B$42=DATE(YEAR($E2146),MONTH($E2146),1))))</f>
        <v>0</v>
      </c>
      <c r="U2146" s="1" t="str">
        <f>IF(OR($G2146="",$H2146="Mahsup"),"",$G2146&amp;"|"&amp;COUNTIFS($G$7:$G2146,$G2146,$H$7:$H2146,"&lt;&gt;Mahsup"))</f>
        <v/>
      </c>
    </row>
    <row r="2147" spans="1:21" ht="18" customHeight="1" x14ac:dyDescent="0.3">
      <c r="A2147" s="2"/>
      <c r="B2147" s="65" t="str">
        <f t="shared" si="165"/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 t="shared" si="166"/>
        <v/>
      </c>
      <c r="M2147" s="65" t="str">
        <f t="shared" ca="1" si="167"/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168"/>
        <v/>
      </c>
      <c r="S2147" s="1" t="str">
        <f t="shared" si="169"/>
        <v/>
      </c>
      <c r="T2147" s="1">
        <f>IF($E2147="",0,SUMPRODUCT((AY_SONU!$O$7:$O$42="Evet")*(AY_SONU!$B$7:$B$42=DATE(YEAR($E2147),MONTH($E2147),1))))</f>
        <v>0</v>
      </c>
      <c r="U2147" s="1" t="str">
        <f>IF(OR($G2147="",$H2147="Mahsup"),"",$G2147&amp;"|"&amp;COUNTIFS($G$7:$G2147,$G2147,$H$7:$H2147,"&lt;&gt;Mahsup"))</f>
        <v/>
      </c>
    </row>
    <row r="2148" spans="1:21" ht="18" customHeight="1" x14ac:dyDescent="0.3">
      <c r="A2148" s="2"/>
      <c r="B2148" s="65" t="str">
        <f t="shared" si="165"/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 t="shared" si="166"/>
        <v/>
      </c>
      <c r="M2148" s="65" t="str">
        <f t="shared" ca="1" si="167"/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168"/>
        <v/>
      </c>
      <c r="S2148" s="1" t="str">
        <f t="shared" si="169"/>
        <v/>
      </c>
      <c r="T2148" s="1">
        <f>IF($E2148="",0,SUMPRODUCT((AY_SONU!$O$7:$O$42="Evet")*(AY_SONU!$B$7:$B$42=DATE(YEAR($E2148),MONTH($E2148),1))))</f>
        <v>0</v>
      </c>
      <c r="U2148" s="1" t="str">
        <f>IF(OR($G2148="",$H2148="Mahsup"),"",$G2148&amp;"|"&amp;COUNTIFS($G$7:$G2148,$G2148,$H$7:$H2148,"&lt;&gt;Mahsup"))</f>
        <v/>
      </c>
    </row>
    <row r="2149" spans="1:21" ht="18" customHeight="1" x14ac:dyDescent="0.3">
      <c r="A2149" s="2"/>
      <c r="B2149" s="65" t="str">
        <f t="shared" si="165"/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 t="shared" si="166"/>
        <v/>
      </c>
      <c r="M2149" s="65" t="str">
        <f t="shared" ca="1" si="167"/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168"/>
        <v/>
      </c>
      <c r="S2149" s="1" t="str">
        <f t="shared" si="169"/>
        <v/>
      </c>
      <c r="T2149" s="1">
        <f>IF($E2149="",0,SUMPRODUCT((AY_SONU!$O$7:$O$42="Evet")*(AY_SONU!$B$7:$B$42=DATE(YEAR($E2149),MONTH($E2149),1))))</f>
        <v>0</v>
      </c>
      <c r="U2149" s="1" t="str">
        <f>IF(OR($G2149="",$H2149="Mahsup"),"",$G2149&amp;"|"&amp;COUNTIFS($G$7:$G2149,$G2149,$H$7:$H2149,"&lt;&gt;Mahsup"))</f>
        <v/>
      </c>
    </row>
    <row r="2150" spans="1:21" ht="18" customHeight="1" x14ac:dyDescent="0.3">
      <c r="A2150" s="2"/>
      <c r="B2150" s="65" t="str">
        <f t="shared" si="165"/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 t="shared" si="166"/>
        <v/>
      </c>
      <c r="M2150" s="65" t="str">
        <f t="shared" ca="1" si="167"/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168"/>
        <v/>
      </c>
      <c r="S2150" s="1" t="str">
        <f t="shared" si="169"/>
        <v/>
      </c>
      <c r="T2150" s="1">
        <f>IF($E2150="",0,SUMPRODUCT((AY_SONU!$O$7:$O$42="Evet")*(AY_SONU!$B$7:$B$42=DATE(YEAR($E2150),MONTH($E2150),1))))</f>
        <v>0</v>
      </c>
      <c r="U2150" s="1" t="str">
        <f>IF(OR($G2150="",$H2150="Mahsup"),"",$G2150&amp;"|"&amp;COUNTIFS($G$7:$G2150,$G2150,$H$7:$H2150,"&lt;&gt;Mahsup"))</f>
        <v/>
      </c>
    </row>
    <row r="2151" spans="1:21" ht="18" customHeight="1" x14ac:dyDescent="0.3">
      <c r="A2151" s="2"/>
      <c r="B2151" s="65" t="str">
        <f t="shared" si="165"/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 t="shared" si="166"/>
        <v/>
      </c>
      <c r="M2151" s="65" t="str">
        <f t="shared" ca="1" si="167"/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168"/>
        <v/>
      </c>
      <c r="S2151" s="1" t="str">
        <f t="shared" si="169"/>
        <v/>
      </c>
      <c r="T2151" s="1">
        <f>IF($E2151="",0,SUMPRODUCT((AY_SONU!$O$7:$O$42="Evet")*(AY_SONU!$B$7:$B$42=DATE(YEAR($E2151),MONTH($E2151),1))))</f>
        <v>0</v>
      </c>
      <c r="U2151" s="1" t="str">
        <f>IF(OR($G2151="",$H2151="Mahsup"),"",$G2151&amp;"|"&amp;COUNTIFS($G$7:$G2151,$G2151,$H$7:$H2151,"&lt;&gt;Mahsup"))</f>
        <v/>
      </c>
    </row>
    <row r="2152" spans="1:21" ht="18" customHeight="1" x14ac:dyDescent="0.3">
      <c r="A2152" s="2"/>
      <c r="B2152" s="65" t="str">
        <f t="shared" si="165"/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 t="shared" si="166"/>
        <v/>
      </c>
      <c r="M2152" s="65" t="str">
        <f t="shared" ca="1" si="167"/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168"/>
        <v/>
      </c>
      <c r="S2152" s="1" t="str">
        <f t="shared" si="169"/>
        <v/>
      </c>
      <c r="T2152" s="1">
        <f>IF($E2152="",0,SUMPRODUCT((AY_SONU!$O$7:$O$42="Evet")*(AY_SONU!$B$7:$B$42=DATE(YEAR($E2152),MONTH($E2152),1))))</f>
        <v>0</v>
      </c>
      <c r="U2152" s="1" t="str">
        <f>IF(OR($G2152="",$H2152="Mahsup"),"",$G2152&amp;"|"&amp;COUNTIFS($G$7:$G2152,$G2152,$H$7:$H2152,"&lt;&gt;Mahsup"))</f>
        <v/>
      </c>
    </row>
    <row r="2153" spans="1:21" ht="18" customHeight="1" x14ac:dyDescent="0.3">
      <c r="A2153" s="2"/>
      <c r="B2153" s="65" t="str">
        <f t="shared" si="165"/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 t="shared" si="166"/>
        <v/>
      </c>
      <c r="M2153" s="65" t="str">
        <f t="shared" ca="1" si="167"/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168"/>
        <v/>
      </c>
      <c r="S2153" s="1" t="str">
        <f t="shared" si="169"/>
        <v/>
      </c>
      <c r="T2153" s="1">
        <f>IF($E2153="",0,SUMPRODUCT((AY_SONU!$O$7:$O$42="Evet")*(AY_SONU!$B$7:$B$42=DATE(YEAR($E2153),MONTH($E2153),1))))</f>
        <v>0</v>
      </c>
      <c r="U2153" s="1" t="str">
        <f>IF(OR($G2153="",$H2153="Mahsup"),"",$G2153&amp;"|"&amp;COUNTIFS($G$7:$G2153,$G2153,$H$7:$H2153,"&lt;&gt;Mahsup"))</f>
        <v/>
      </c>
    </row>
    <row r="2154" spans="1:21" ht="18" customHeight="1" x14ac:dyDescent="0.3">
      <c r="A2154" s="2"/>
      <c r="B2154" s="65" t="str">
        <f t="shared" si="165"/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 t="shared" si="166"/>
        <v/>
      </c>
      <c r="M2154" s="65" t="str">
        <f t="shared" ca="1" si="167"/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168"/>
        <v/>
      </c>
      <c r="S2154" s="1" t="str">
        <f t="shared" si="169"/>
        <v/>
      </c>
      <c r="T2154" s="1">
        <f>IF($E2154="",0,SUMPRODUCT((AY_SONU!$O$7:$O$42="Evet")*(AY_SONU!$B$7:$B$42=DATE(YEAR($E2154),MONTH($E2154),1))))</f>
        <v>0</v>
      </c>
      <c r="U2154" s="1" t="str">
        <f>IF(OR($G2154="",$H2154="Mahsup"),"",$G2154&amp;"|"&amp;COUNTIFS($G$7:$G2154,$G2154,$H$7:$H2154,"&lt;&gt;Mahsup"))</f>
        <v/>
      </c>
    </row>
    <row r="2155" spans="1:21" ht="18" customHeight="1" x14ac:dyDescent="0.3">
      <c r="A2155" s="2"/>
      <c r="B2155" s="65" t="str">
        <f t="shared" si="165"/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 t="shared" si="166"/>
        <v/>
      </c>
      <c r="M2155" s="65" t="str">
        <f t="shared" ca="1" si="167"/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168"/>
        <v/>
      </c>
      <c r="S2155" s="1" t="str">
        <f t="shared" si="169"/>
        <v/>
      </c>
      <c r="T2155" s="1">
        <f>IF($E2155="",0,SUMPRODUCT((AY_SONU!$O$7:$O$42="Evet")*(AY_SONU!$B$7:$B$42=DATE(YEAR($E2155),MONTH($E2155),1))))</f>
        <v>0</v>
      </c>
      <c r="U2155" s="1" t="str">
        <f>IF(OR($G2155="",$H2155="Mahsup"),"",$G2155&amp;"|"&amp;COUNTIFS($G$7:$G2155,$G2155,$H$7:$H2155,"&lt;&gt;Mahsup"))</f>
        <v/>
      </c>
    </row>
    <row r="2156" spans="1:21" ht="18" customHeight="1" x14ac:dyDescent="0.3">
      <c r="A2156" s="2"/>
      <c r="B2156" s="65" t="str">
        <f t="shared" si="165"/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 t="shared" si="166"/>
        <v/>
      </c>
      <c r="M2156" s="65" t="str">
        <f t="shared" ca="1" si="167"/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168"/>
        <v/>
      </c>
      <c r="S2156" s="1" t="str">
        <f t="shared" si="169"/>
        <v/>
      </c>
      <c r="T2156" s="1">
        <f>IF($E2156="",0,SUMPRODUCT((AY_SONU!$O$7:$O$42="Evet")*(AY_SONU!$B$7:$B$42=DATE(YEAR($E2156),MONTH($E2156),1))))</f>
        <v>0</v>
      </c>
      <c r="U2156" s="1" t="str">
        <f>IF(OR($G2156="",$H2156="Mahsup"),"",$G2156&amp;"|"&amp;COUNTIFS($G$7:$G2156,$G2156,$H$7:$H2156,"&lt;&gt;Mahsup"))</f>
        <v/>
      </c>
    </row>
    <row r="2157" spans="1:21" ht="18" customHeight="1" x14ac:dyDescent="0.3">
      <c r="A2157" s="2"/>
      <c r="B2157" s="65" t="str">
        <f t="shared" si="165"/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 t="shared" si="166"/>
        <v/>
      </c>
      <c r="M2157" s="65" t="str">
        <f t="shared" ca="1" si="167"/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168"/>
        <v/>
      </c>
      <c r="S2157" s="1" t="str">
        <f t="shared" si="169"/>
        <v/>
      </c>
      <c r="T2157" s="1">
        <f>IF($E2157="",0,SUMPRODUCT((AY_SONU!$O$7:$O$42="Evet")*(AY_SONU!$B$7:$B$42=DATE(YEAR($E2157),MONTH($E2157),1))))</f>
        <v>0</v>
      </c>
      <c r="U2157" s="1" t="str">
        <f>IF(OR($G2157="",$H2157="Mahsup"),"",$G2157&amp;"|"&amp;COUNTIFS($G$7:$G2157,$G2157,$H$7:$H2157,"&lt;&gt;Mahsup"))</f>
        <v/>
      </c>
    </row>
    <row r="2158" spans="1:21" ht="18" customHeight="1" x14ac:dyDescent="0.3">
      <c r="A2158" s="2"/>
      <c r="B2158" s="65" t="str">
        <f t="shared" si="165"/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 t="shared" si="166"/>
        <v/>
      </c>
      <c r="M2158" s="65" t="str">
        <f t="shared" ca="1" si="167"/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168"/>
        <v/>
      </c>
      <c r="S2158" s="1" t="str">
        <f t="shared" si="169"/>
        <v/>
      </c>
      <c r="T2158" s="1">
        <f>IF($E2158="",0,SUMPRODUCT((AY_SONU!$O$7:$O$42="Evet")*(AY_SONU!$B$7:$B$42=DATE(YEAR($E2158),MONTH($E2158),1))))</f>
        <v>0</v>
      </c>
      <c r="U2158" s="1" t="str">
        <f>IF(OR($G2158="",$H2158="Mahsup"),"",$G2158&amp;"|"&amp;COUNTIFS($G$7:$G2158,$G2158,$H$7:$H2158,"&lt;&gt;Mahsup"))</f>
        <v/>
      </c>
    </row>
    <row r="2159" spans="1:21" ht="18" customHeight="1" x14ac:dyDescent="0.3">
      <c r="A2159" s="2"/>
      <c r="B2159" s="65" t="str">
        <f t="shared" si="165"/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 t="shared" si="166"/>
        <v/>
      </c>
      <c r="M2159" s="65" t="str">
        <f t="shared" ca="1" si="167"/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168"/>
        <v/>
      </c>
      <c r="S2159" s="1" t="str">
        <f t="shared" si="169"/>
        <v/>
      </c>
      <c r="T2159" s="1">
        <f>IF($E2159="",0,SUMPRODUCT((AY_SONU!$O$7:$O$42="Evet")*(AY_SONU!$B$7:$B$42=DATE(YEAR($E2159),MONTH($E2159),1))))</f>
        <v>0</v>
      </c>
      <c r="U2159" s="1" t="str">
        <f>IF(OR($G2159="",$H2159="Mahsup"),"",$G2159&amp;"|"&amp;COUNTIFS($G$7:$G2159,$G2159,$H$7:$H2159,"&lt;&gt;Mahsup"))</f>
        <v/>
      </c>
    </row>
    <row r="2160" spans="1:21" ht="18" customHeight="1" x14ac:dyDescent="0.3">
      <c r="A2160" s="2"/>
      <c r="B2160" s="65" t="str">
        <f t="shared" si="165"/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 t="shared" si="166"/>
        <v/>
      </c>
      <c r="M2160" s="65" t="str">
        <f t="shared" ca="1" si="167"/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168"/>
        <v/>
      </c>
      <c r="S2160" s="1" t="str">
        <f t="shared" si="169"/>
        <v/>
      </c>
      <c r="T2160" s="1">
        <f>IF($E2160="",0,SUMPRODUCT((AY_SONU!$O$7:$O$42="Evet")*(AY_SONU!$B$7:$B$42=DATE(YEAR($E2160),MONTH($E2160),1))))</f>
        <v>0</v>
      </c>
      <c r="U2160" s="1" t="str">
        <f>IF(OR($G2160="",$H2160="Mahsup"),"",$G2160&amp;"|"&amp;COUNTIFS($G$7:$G2160,$G2160,$H$7:$H2160,"&lt;&gt;Mahsup"))</f>
        <v/>
      </c>
    </row>
    <row r="2161" spans="1:21" ht="18" customHeight="1" x14ac:dyDescent="0.3">
      <c r="A2161" s="2"/>
      <c r="B2161" s="65" t="str">
        <f t="shared" si="165"/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 t="shared" si="166"/>
        <v/>
      </c>
      <c r="M2161" s="65" t="str">
        <f t="shared" ca="1" si="167"/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168"/>
        <v/>
      </c>
      <c r="S2161" s="1" t="str">
        <f t="shared" si="169"/>
        <v/>
      </c>
      <c r="T2161" s="1">
        <f>IF($E2161="",0,SUMPRODUCT((AY_SONU!$O$7:$O$42="Evet")*(AY_SONU!$B$7:$B$42=DATE(YEAR($E2161),MONTH($E2161),1))))</f>
        <v>0</v>
      </c>
      <c r="U2161" s="1" t="str">
        <f>IF(OR($G2161="",$H2161="Mahsup"),"",$G2161&amp;"|"&amp;COUNTIFS($G$7:$G2161,$G2161,$H$7:$H2161,"&lt;&gt;Mahsup"))</f>
        <v/>
      </c>
    </row>
    <row r="2162" spans="1:21" ht="18" customHeight="1" x14ac:dyDescent="0.3">
      <c r="A2162" s="2"/>
      <c r="B2162" s="65" t="str">
        <f t="shared" si="165"/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 t="shared" si="166"/>
        <v/>
      </c>
      <c r="M2162" s="65" t="str">
        <f t="shared" ca="1" si="167"/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168"/>
        <v/>
      </c>
      <c r="S2162" s="1" t="str">
        <f t="shared" si="169"/>
        <v/>
      </c>
      <c r="T2162" s="1">
        <f>IF($E2162="",0,SUMPRODUCT((AY_SONU!$O$7:$O$42="Evet")*(AY_SONU!$B$7:$B$42=DATE(YEAR($E2162),MONTH($E2162),1))))</f>
        <v>0</v>
      </c>
      <c r="U2162" s="1" t="str">
        <f>IF(OR($G2162="",$H2162="Mahsup"),"",$G2162&amp;"|"&amp;COUNTIFS($G$7:$G2162,$G2162,$H$7:$H2162,"&lt;&gt;Mahsup"))</f>
        <v/>
      </c>
    </row>
    <row r="2163" spans="1:21" ht="18" customHeight="1" x14ac:dyDescent="0.3">
      <c r="A2163" s="2"/>
      <c r="B2163" s="65" t="str">
        <f t="shared" si="165"/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 t="shared" si="166"/>
        <v/>
      </c>
      <c r="M2163" s="65" t="str">
        <f t="shared" ca="1" si="167"/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168"/>
        <v/>
      </c>
      <c r="S2163" s="1" t="str">
        <f t="shared" si="169"/>
        <v/>
      </c>
      <c r="T2163" s="1">
        <f>IF($E2163="",0,SUMPRODUCT((AY_SONU!$O$7:$O$42="Evet")*(AY_SONU!$B$7:$B$42=DATE(YEAR($E2163),MONTH($E2163),1))))</f>
        <v>0</v>
      </c>
      <c r="U2163" s="1" t="str">
        <f>IF(OR($G2163="",$H2163="Mahsup"),"",$G2163&amp;"|"&amp;COUNTIFS($G$7:$G2163,$G2163,$H$7:$H2163,"&lt;&gt;Mahsup"))</f>
        <v/>
      </c>
    </row>
    <row r="2164" spans="1:21" ht="18" customHeight="1" x14ac:dyDescent="0.3">
      <c r="A2164" s="2"/>
      <c r="B2164" s="65" t="str">
        <f t="shared" si="165"/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 t="shared" si="166"/>
        <v/>
      </c>
      <c r="M2164" s="65" t="str">
        <f t="shared" ca="1" si="167"/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168"/>
        <v/>
      </c>
      <c r="S2164" s="1" t="str">
        <f t="shared" si="169"/>
        <v/>
      </c>
      <c r="T2164" s="1">
        <f>IF($E2164="",0,SUMPRODUCT((AY_SONU!$O$7:$O$42="Evet")*(AY_SONU!$B$7:$B$42=DATE(YEAR($E2164),MONTH($E2164),1))))</f>
        <v>0</v>
      </c>
      <c r="U2164" s="1" t="str">
        <f>IF(OR($G2164="",$H2164="Mahsup"),"",$G2164&amp;"|"&amp;COUNTIFS($G$7:$G2164,$G2164,$H$7:$H2164,"&lt;&gt;Mahsup"))</f>
        <v/>
      </c>
    </row>
    <row r="2165" spans="1:21" ht="18" customHeight="1" x14ac:dyDescent="0.3">
      <c r="A2165" s="2"/>
      <c r="B2165" s="65" t="str">
        <f t="shared" si="165"/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 t="shared" si="166"/>
        <v/>
      </c>
      <c r="M2165" s="65" t="str">
        <f t="shared" ca="1" si="167"/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168"/>
        <v/>
      </c>
      <c r="S2165" s="1" t="str">
        <f t="shared" si="169"/>
        <v/>
      </c>
      <c r="T2165" s="1">
        <f>IF($E2165="",0,SUMPRODUCT((AY_SONU!$O$7:$O$42="Evet")*(AY_SONU!$B$7:$B$42=DATE(YEAR($E2165),MONTH($E2165),1))))</f>
        <v>0</v>
      </c>
      <c r="U2165" s="1" t="str">
        <f>IF(OR($G2165="",$H2165="Mahsup"),"",$G2165&amp;"|"&amp;COUNTIFS($G$7:$G2165,$G2165,$H$7:$H2165,"&lt;&gt;Mahsup"))</f>
        <v/>
      </c>
    </row>
    <row r="2166" spans="1:21" ht="18" customHeight="1" x14ac:dyDescent="0.3">
      <c r="A2166" s="2"/>
      <c r="B2166" s="65" t="str">
        <f t="shared" si="165"/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 t="shared" si="166"/>
        <v/>
      </c>
      <c r="M2166" s="65" t="str">
        <f t="shared" ca="1" si="167"/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168"/>
        <v/>
      </c>
      <c r="S2166" s="1" t="str">
        <f t="shared" si="169"/>
        <v/>
      </c>
      <c r="T2166" s="1">
        <f>IF($E2166="",0,SUMPRODUCT((AY_SONU!$O$7:$O$42="Evet")*(AY_SONU!$B$7:$B$42=DATE(YEAR($E2166),MONTH($E2166),1))))</f>
        <v>0</v>
      </c>
      <c r="U2166" s="1" t="str">
        <f>IF(OR($G2166="",$H2166="Mahsup"),"",$G2166&amp;"|"&amp;COUNTIFS($G$7:$G2166,$G2166,$H$7:$H2166,"&lt;&gt;Mahsup"))</f>
        <v/>
      </c>
    </row>
    <row r="2167" spans="1:21" ht="18" customHeight="1" x14ac:dyDescent="0.3">
      <c r="A2167" s="2"/>
      <c r="B2167" s="65" t="str">
        <f t="shared" si="165"/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 t="shared" si="166"/>
        <v/>
      </c>
      <c r="M2167" s="65" t="str">
        <f t="shared" ca="1" si="167"/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168"/>
        <v/>
      </c>
      <c r="S2167" s="1" t="str">
        <f t="shared" si="169"/>
        <v/>
      </c>
      <c r="T2167" s="1">
        <f>IF($E2167="",0,SUMPRODUCT((AY_SONU!$O$7:$O$42="Evet")*(AY_SONU!$B$7:$B$42=DATE(YEAR($E2167),MONTH($E2167),1))))</f>
        <v>0</v>
      </c>
      <c r="U2167" s="1" t="str">
        <f>IF(OR($G2167="",$H2167="Mahsup"),"",$G2167&amp;"|"&amp;COUNTIFS($G$7:$G2167,$G2167,$H$7:$H2167,"&lt;&gt;Mahsup"))</f>
        <v/>
      </c>
    </row>
    <row r="2168" spans="1:21" ht="18" customHeight="1" x14ac:dyDescent="0.3">
      <c r="A2168" s="2"/>
      <c r="B2168" s="65" t="str">
        <f t="shared" si="165"/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 t="shared" si="166"/>
        <v/>
      </c>
      <c r="M2168" s="65" t="str">
        <f t="shared" ca="1" si="167"/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168"/>
        <v/>
      </c>
      <c r="S2168" s="1" t="str">
        <f t="shared" si="169"/>
        <v/>
      </c>
      <c r="T2168" s="1">
        <f>IF($E2168="",0,SUMPRODUCT((AY_SONU!$O$7:$O$42="Evet")*(AY_SONU!$B$7:$B$42=DATE(YEAR($E2168),MONTH($E2168),1))))</f>
        <v>0</v>
      </c>
      <c r="U2168" s="1" t="str">
        <f>IF(OR($G2168="",$H2168="Mahsup"),"",$G2168&amp;"|"&amp;COUNTIFS($G$7:$G2168,$G2168,$H$7:$H2168,"&lt;&gt;Mahsup"))</f>
        <v/>
      </c>
    </row>
    <row r="2169" spans="1:21" ht="18" customHeight="1" x14ac:dyDescent="0.3">
      <c r="A2169" s="2"/>
      <c r="B2169" s="65" t="str">
        <f t="shared" si="165"/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 t="shared" si="166"/>
        <v/>
      </c>
      <c r="M2169" s="65" t="str">
        <f t="shared" ca="1" si="167"/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168"/>
        <v/>
      </c>
      <c r="S2169" s="1" t="str">
        <f t="shared" si="169"/>
        <v/>
      </c>
      <c r="T2169" s="1">
        <f>IF($E2169="",0,SUMPRODUCT((AY_SONU!$O$7:$O$42="Evet")*(AY_SONU!$B$7:$B$42=DATE(YEAR($E2169),MONTH($E2169),1))))</f>
        <v>0</v>
      </c>
      <c r="U2169" s="1" t="str">
        <f>IF(OR($G2169="",$H2169="Mahsup"),"",$G2169&amp;"|"&amp;COUNTIFS($G$7:$G2169,$G2169,$H$7:$H2169,"&lt;&gt;Mahsup"))</f>
        <v/>
      </c>
    </row>
    <row r="2170" spans="1:21" ht="18" customHeight="1" x14ac:dyDescent="0.3">
      <c r="A2170" s="2"/>
      <c r="B2170" s="65" t="str">
        <f t="shared" si="165"/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 t="shared" si="166"/>
        <v/>
      </c>
      <c r="M2170" s="65" t="str">
        <f t="shared" ca="1" si="167"/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168"/>
        <v/>
      </c>
      <c r="S2170" s="1" t="str">
        <f t="shared" si="169"/>
        <v/>
      </c>
      <c r="T2170" s="1">
        <f>IF($E2170="",0,SUMPRODUCT((AY_SONU!$O$7:$O$42="Evet")*(AY_SONU!$B$7:$B$42=DATE(YEAR($E2170),MONTH($E2170),1))))</f>
        <v>0</v>
      </c>
      <c r="U2170" s="1" t="str">
        <f>IF(OR($G2170="",$H2170="Mahsup"),"",$G2170&amp;"|"&amp;COUNTIFS($G$7:$G2170,$G2170,$H$7:$H2170,"&lt;&gt;Mahsup"))</f>
        <v/>
      </c>
    </row>
    <row r="2171" spans="1:21" ht="18" customHeight="1" x14ac:dyDescent="0.3">
      <c r="A2171" s="2"/>
      <c r="B2171" s="65" t="str">
        <f t="shared" si="165"/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 t="shared" si="166"/>
        <v/>
      </c>
      <c r="M2171" s="65" t="str">
        <f t="shared" ca="1" si="167"/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168"/>
        <v/>
      </c>
      <c r="S2171" s="1" t="str">
        <f t="shared" si="169"/>
        <v/>
      </c>
      <c r="T2171" s="1">
        <f>IF($E2171="",0,SUMPRODUCT((AY_SONU!$O$7:$O$42="Evet")*(AY_SONU!$B$7:$B$42=DATE(YEAR($E2171),MONTH($E2171),1))))</f>
        <v>0</v>
      </c>
      <c r="U2171" s="1" t="str">
        <f>IF(OR($G2171="",$H2171="Mahsup"),"",$G2171&amp;"|"&amp;COUNTIFS($G$7:$G2171,$G2171,$H$7:$H2171,"&lt;&gt;Mahsup"))</f>
        <v/>
      </c>
    </row>
    <row r="2172" spans="1:21" ht="18" customHeight="1" x14ac:dyDescent="0.3">
      <c r="A2172" s="2"/>
      <c r="B2172" s="65" t="str">
        <f t="shared" si="165"/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 t="shared" si="166"/>
        <v/>
      </c>
      <c r="M2172" s="65" t="str">
        <f t="shared" ca="1" si="167"/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168"/>
        <v/>
      </c>
      <c r="S2172" s="1" t="str">
        <f t="shared" si="169"/>
        <v/>
      </c>
      <c r="T2172" s="1">
        <f>IF($E2172="",0,SUMPRODUCT((AY_SONU!$O$7:$O$42="Evet")*(AY_SONU!$B$7:$B$42=DATE(YEAR($E2172),MONTH($E2172),1))))</f>
        <v>0</v>
      </c>
      <c r="U2172" s="1" t="str">
        <f>IF(OR($G2172="",$H2172="Mahsup"),"",$G2172&amp;"|"&amp;COUNTIFS($G$7:$G2172,$G2172,$H$7:$H2172,"&lt;&gt;Mahsup"))</f>
        <v/>
      </c>
    </row>
    <row r="2173" spans="1:21" ht="18" customHeight="1" x14ac:dyDescent="0.3">
      <c r="A2173" s="2"/>
      <c r="B2173" s="65" t="str">
        <f t="shared" si="165"/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 t="shared" si="166"/>
        <v/>
      </c>
      <c r="M2173" s="65" t="str">
        <f t="shared" ca="1" si="167"/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168"/>
        <v/>
      </c>
      <c r="S2173" s="1" t="str">
        <f t="shared" si="169"/>
        <v/>
      </c>
      <c r="T2173" s="1">
        <f>IF($E2173="",0,SUMPRODUCT((AY_SONU!$O$7:$O$42="Evet")*(AY_SONU!$B$7:$B$42=DATE(YEAR($E2173),MONTH($E2173),1))))</f>
        <v>0</v>
      </c>
      <c r="U2173" s="1" t="str">
        <f>IF(OR($G2173="",$H2173="Mahsup"),"",$G2173&amp;"|"&amp;COUNTIFS($G$7:$G2173,$G2173,$H$7:$H2173,"&lt;&gt;Mahsup"))</f>
        <v/>
      </c>
    </row>
    <row r="2174" spans="1:21" ht="18" customHeight="1" x14ac:dyDescent="0.3">
      <c r="A2174" s="2"/>
      <c r="B2174" s="65" t="str">
        <f t="shared" si="165"/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 t="shared" si="166"/>
        <v/>
      </c>
      <c r="M2174" s="65" t="str">
        <f t="shared" ca="1" si="167"/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168"/>
        <v/>
      </c>
      <c r="S2174" s="1" t="str">
        <f t="shared" si="169"/>
        <v/>
      </c>
      <c r="T2174" s="1">
        <f>IF($E2174="",0,SUMPRODUCT((AY_SONU!$O$7:$O$42="Evet")*(AY_SONU!$B$7:$B$42=DATE(YEAR($E2174),MONTH($E2174),1))))</f>
        <v>0</v>
      </c>
      <c r="U2174" s="1" t="str">
        <f>IF(OR($G2174="",$H2174="Mahsup"),"",$G2174&amp;"|"&amp;COUNTIFS($G$7:$G2174,$G2174,$H$7:$H2174,"&lt;&gt;Mahsup"))</f>
        <v/>
      </c>
    </row>
    <row r="2175" spans="1:21" ht="18" customHeight="1" x14ac:dyDescent="0.3">
      <c r="A2175" s="2"/>
      <c r="B2175" s="65" t="str">
        <f t="shared" si="165"/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 t="shared" si="166"/>
        <v/>
      </c>
      <c r="M2175" s="65" t="str">
        <f t="shared" ca="1" si="167"/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168"/>
        <v/>
      </c>
      <c r="S2175" s="1" t="str">
        <f t="shared" si="169"/>
        <v/>
      </c>
      <c r="T2175" s="1">
        <f>IF($E2175="",0,SUMPRODUCT((AY_SONU!$O$7:$O$42="Evet")*(AY_SONU!$B$7:$B$42=DATE(YEAR($E2175),MONTH($E2175),1))))</f>
        <v>0</v>
      </c>
      <c r="U2175" s="1" t="str">
        <f>IF(OR($G2175="",$H2175="Mahsup"),"",$G2175&amp;"|"&amp;COUNTIFS($G$7:$G2175,$G2175,$H$7:$H2175,"&lt;&gt;Mahsup"))</f>
        <v/>
      </c>
    </row>
    <row r="2176" spans="1:21" ht="18" customHeight="1" x14ac:dyDescent="0.3">
      <c r="A2176" s="2"/>
      <c r="B2176" s="65" t="str">
        <f t="shared" si="165"/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 t="shared" si="166"/>
        <v/>
      </c>
      <c r="M2176" s="65" t="str">
        <f t="shared" ca="1" si="167"/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168"/>
        <v/>
      </c>
      <c r="S2176" s="1" t="str">
        <f t="shared" si="169"/>
        <v/>
      </c>
      <c r="T2176" s="1">
        <f>IF($E2176="",0,SUMPRODUCT((AY_SONU!$O$7:$O$42="Evet")*(AY_SONU!$B$7:$B$42=DATE(YEAR($E2176),MONTH($E2176),1))))</f>
        <v>0</v>
      </c>
      <c r="U2176" s="1" t="str">
        <f>IF(OR($G2176="",$H2176="Mahsup"),"",$G2176&amp;"|"&amp;COUNTIFS($G$7:$G2176,$G2176,$H$7:$H2176,"&lt;&gt;Mahsup"))</f>
        <v/>
      </c>
    </row>
    <row r="2177" spans="1:21" ht="18" customHeight="1" x14ac:dyDescent="0.3">
      <c r="A2177" s="2"/>
      <c r="B2177" s="65" t="str">
        <f t="shared" si="165"/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 t="shared" si="166"/>
        <v/>
      </c>
      <c r="M2177" s="65" t="str">
        <f t="shared" ca="1" si="167"/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168"/>
        <v/>
      </c>
      <c r="S2177" s="1" t="str">
        <f t="shared" si="169"/>
        <v/>
      </c>
      <c r="T2177" s="1">
        <f>IF($E2177="",0,SUMPRODUCT((AY_SONU!$O$7:$O$42="Evet")*(AY_SONU!$B$7:$B$42=DATE(YEAR($E2177),MONTH($E2177),1))))</f>
        <v>0</v>
      </c>
      <c r="U2177" s="1" t="str">
        <f>IF(OR($G2177="",$H2177="Mahsup"),"",$G2177&amp;"|"&amp;COUNTIFS($G$7:$G2177,$G2177,$H$7:$H2177,"&lt;&gt;Mahsup"))</f>
        <v/>
      </c>
    </row>
    <row r="2178" spans="1:21" ht="18" customHeight="1" x14ac:dyDescent="0.3">
      <c r="A2178" s="2"/>
      <c r="B2178" s="65" t="str">
        <f t="shared" si="165"/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 t="shared" si="166"/>
        <v/>
      </c>
      <c r="M2178" s="65" t="str">
        <f t="shared" ca="1" si="167"/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168"/>
        <v/>
      </c>
      <c r="S2178" s="1" t="str">
        <f t="shared" si="169"/>
        <v/>
      </c>
      <c r="T2178" s="1">
        <f>IF($E2178="",0,SUMPRODUCT((AY_SONU!$O$7:$O$42="Evet")*(AY_SONU!$B$7:$B$42=DATE(YEAR($E2178),MONTH($E2178),1))))</f>
        <v>0</v>
      </c>
      <c r="U2178" s="1" t="str">
        <f>IF(OR($G2178="",$H2178="Mahsup"),"",$G2178&amp;"|"&amp;COUNTIFS($G$7:$G2178,$G2178,$H$7:$H2178,"&lt;&gt;Mahsup"))</f>
        <v/>
      </c>
    </row>
    <row r="2179" spans="1:21" ht="18" customHeight="1" x14ac:dyDescent="0.3">
      <c r="A2179" s="2"/>
      <c r="B2179" s="65" t="str">
        <f t="shared" si="165"/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 t="shared" si="166"/>
        <v/>
      </c>
      <c r="M2179" s="65" t="str">
        <f t="shared" ca="1" si="167"/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168"/>
        <v/>
      </c>
      <c r="S2179" s="1" t="str">
        <f t="shared" si="169"/>
        <v/>
      </c>
      <c r="T2179" s="1">
        <f>IF($E2179="",0,SUMPRODUCT((AY_SONU!$O$7:$O$42="Evet")*(AY_SONU!$B$7:$B$42=DATE(YEAR($E2179),MONTH($E2179),1))))</f>
        <v>0</v>
      </c>
      <c r="U2179" s="1" t="str">
        <f>IF(OR($G2179="",$H2179="Mahsup"),"",$G2179&amp;"|"&amp;COUNTIFS($G$7:$G2179,$G2179,$H$7:$H2179,"&lt;&gt;Mahsup"))</f>
        <v/>
      </c>
    </row>
    <row r="2180" spans="1:21" ht="18" customHeight="1" x14ac:dyDescent="0.3">
      <c r="A2180" s="2"/>
      <c r="B2180" s="65" t="str">
        <f t="shared" si="165"/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 t="shared" si="166"/>
        <v/>
      </c>
      <c r="M2180" s="65" t="str">
        <f t="shared" ca="1" si="167"/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168"/>
        <v/>
      </c>
      <c r="S2180" s="1" t="str">
        <f t="shared" si="169"/>
        <v/>
      </c>
      <c r="T2180" s="1">
        <f>IF($E2180="",0,SUMPRODUCT((AY_SONU!$O$7:$O$42="Evet")*(AY_SONU!$B$7:$B$42=DATE(YEAR($E2180),MONTH($E2180),1))))</f>
        <v>0</v>
      </c>
      <c r="U2180" s="1" t="str">
        <f>IF(OR($G2180="",$H2180="Mahsup"),"",$G2180&amp;"|"&amp;COUNTIFS($G$7:$G2180,$G2180,$H$7:$H2180,"&lt;&gt;Mahsup"))</f>
        <v/>
      </c>
    </row>
    <row r="2181" spans="1:21" ht="18" customHeight="1" x14ac:dyDescent="0.3">
      <c r="A2181" s="2"/>
      <c r="B2181" s="65" t="str">
        <f t="shared" si="165"/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 t="shared" si="166"/>
        <v/>
      </c>
      <c r="M2181" s="65" t="str">
        <f t="shared" ca="1" si="167"/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168"/>
        <v/>
      </c>
      <c r="S2181" s="1" t="str">
        <f t="shared" si="169"/>
        <v/>
      </c>
      <c r="T2181" s="1">
        <f>IF($E2181="",0,SUMPRODUCT((AY_SONU!$O$7:$O$42="Evet")*(AY_SONU!$B$7:$B$42=DATE(YEAR($E2181),MONTH($E2181),1))))</f>
        <v>0</v>
      </c>
      <c r="U2181" s="1" t="str">
        <f>IF(OR($G2181="",$H2181="Mahsup"),"",$G2181&amp;"|"&amp;COUNTIFS($G$7:$G2181,$G2181,$H$7:$H2181,"&lt;&gt;Mahsup"))</f>
        <v/>
      </c>
    </row>
    <row r="2182" spans="1:21" ht="18" customHeight="1" x14ac:dyDescent="0.3">
      <c r="A2182" s="2"/>
      <c r="B2182" s="65" t="str">
        <f t="shared" si="165"/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 t="shared" si="166"/>
        <v/>
      </c>
      <c r="M2182" s="65" t="str">
        <f t="shared" ca="1" si="167"/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168"/>
        <v/>
      </c>
      <c r="S2182" s="1" t="str">
        <f t="shared" si="169"/>
        <v/>
      </c>
      <c r="T2182" s="1">
        <f>IF($E2182="",0,SUMPRODUCT((AY_SONU!$O$7:$O$42="Evet")*(AY_SONU!$B$7:$B$42=DATE(YEAR($E2182),MONTH($E2182),1))))</f>
        <v>0</v>
      </c>
      <c r="U2182" s="1" t="str">
        <f>IF(OR($G2182="",$H2182="Mahsup"),"",$G2182&amp;"|"&amp;COUNTIFS($G$7:$G2182,$G2182,$H$7:$H2182,"&lt;&gt;Mahsup"))</f>
        <v/>
      </c>
    </row>
    <row r="2183" spans="1:21" ht="18" customHeight="1" x14ac:dyDescent="0.3">
      <c r="A2183" s="2"/>
      <c r="B2183" s="65" t="str">
        <f t="shared" ref="B2183:B2246" si="170"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 t="shared" ref="L2183:L2246" si="171">IF($E2183="","",DATE(YEAR($E2183),MONTH($E2183),1))</f>
        <v/>
      </c>
      <c r="M2183" s="65" t="str">
        <f t="shared" ref="M2183:M2246" ca="1" si="172"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173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174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  <c r="U2183" s="1" t="str">
        <f>IF(OR($G2183="",$H2183="Mahsup"),"",$G2183&amp;"|"&amp;COUNTIFS($G$7:$G2183,$G2183,$H$7:$H2183,"&lt;&gt;Mahsup"))</f>
        <v/>
      </c>
    </row>
    <row r="2184" spans="1:21" ht="18" customHeight="1" x14ac:dyDescent="0.3">
      <c r="A2184" s="2"/>
      <c r="B2184" s="65" t="str">
        <f t="shared" si="170"/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 t="shared" si="171"/>
        <v/>
      </c>
      <c r="M2184" s="65" t="str">
        <f t="shared" ca="1" si="172"/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173"/>
        <v/>
      </c>
      <c r="S2184" s="1" t="str">
        <f t="shared" si="174"/>
        <v/>
      </c>
      <c r="T2184" s="1">
        <f>IF($E2184="",0,SUMPRODUCT((AY_SONU!$O$7:$O$42="Evet")*(AY_SONU!$B$7:$B$42=DATE(YEAR($E2184),MONTH($E2184),1))))</f>
        <v>0</v>
      </c>
      <c r="U2184" s="1" t="str">
        <f>IF(OR($G2184="",$H2184="Mahsup"),"",$G2184&amp;"|"&amp;COUNTIFS($G$7:$G2184,$G2184,$H$7:$H2184,"&lt;&gt;Mahsup"))</f>
        <v/>
      </c>
    </row>
    <row r="2185" spans="1:21" ht="18" customHeight="1" x14ac:dyDescent="0.3">
      <c r="A2185" s="2"/>
      <c r="B2185" s="65" t="str">
        <f t="shared" si="170"/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 t="shared" si="171"/>
        <v/>
      </c>
      <c r="M2185" s="65" t="str">
        <f t="shared" ca="1" si="172"/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173"/>
        <v/>
      </c>
      <c r="S2185" s="1" t="str">
        <f t="shared" si="174"/>
        <v/>
      </c>
      <c r="T2185" s="1">
        <f>IF($E2185="",0,SUMPRODUCT((AY_SONU!$O$7:$O$42="Evet")*(AY_SONU!$B$7:$B$42=DATE(YEAR($E2185),MONTH($E2185),1))))</f>
        <v>0</v>
      </c>
      <c r="U2185" s="1" t="str">
        <f>IF(OR($G2185="",$H2185="Mahsup"),"",$G2185&amp;"|"&amp;COUNTIFS($G$7:$G2185,$G2185,$H$7:$H2185,"&lt;&gt;Mahsup"))</f>
        <v/>
      </c>
    </row>
    <row r="2186" spans="1:21" ht="18" customHeight="1" x14ac:dyDescent="0.3">
      <c r="A2186" s="2"/>
      <c r="B2186" s="65" t="str">
        <f t="shared" si="170"/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 t="shared" si="171"/>
        <v/>
      </c>
      <c r="M2186" s="65" t="str">
        <f t="shared" ca="1" si="172"/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173"/>
        <v/>
      </c>
      <c r="S2186" s="1" t="str">
        <f t="shared" si="174"/>
        <v/>
      </c>
      <c r="T2186" s="1">
        <f>IF($E2186="",0,SUMPRODUCT((AY_SONU!$O$7:$O$42="Evet")*(AY_SONU!$B$7:$B$42=DATE(YEAR($E2186),MONTH($E2186),1))))</f>
        <v>0</v>
      </c>
      <c r="U2186" s="1" t="str">
        <f>IF(OR($G2186="",$H2186="Mahsup"),"",$G2186&amp;"|"&amp;COUNTIFS($G$7:$G2186,$G2186,$H$7:$H2186,"&lt;&gt;Mahsup"))</f>
        <v/>
      </c>
    </row>
    <row r="2187" spans="1:21" ht="18" customHeight="1" x14ac:dyDescent="0.3">
      <c r="A2187" s="2"/>
      <c r="B2187" s="65" t="str">
        <f t="shared" si="170"/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 t="shared" si="171"/>
        <v/>
      </c>
      <c r="M2187" s="65" t="str">
        <f t="shared" ca="1" si="172"/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173"/>
        <v/>
      </c>
      <c r="S2187" s="1" t="str">
        <f t="shared" si="174"/>
        <v/>
      </c>
      <c r="T2187" s="1">
        <f>IF($E2187="",0,SUMPRODUCT((AY_SONU!$O$7:$O$42="Evet")*(AY_SONU!$B$7:$B$42=DATE(YEAR($E2187),MONTH($E2187),1))))</f>
        <v>0</v>
      </c>
      <c r="U2187" s="1" t="str">
        <f>IF(OR($G2187="",$H2187="Mahsup"),"",$G2187&amp;"|"&amp;COUNTIFS($G$7:$G2187,$G2187,$H$7:$H2187,"&lt;&gt;Mahsup"))</f>
        <v/>
      </c>
    </row>
    <row r="2188" spans="1:21" ht="18" customHeight="1" x14ac:dyDescent="0.3">
      <c r="A2188" s="2"/>
      <c r="B2188" s="65" t="str">
        <f t="shared" si="170"/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 t="shared" si="171"/>
        <v/>
      </c>
      <c r="M2188" s="65" t="str">
        <f t="shared" ca="1" si="172"/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173"/>
        <v/>
      </c>
      <c r="S2188" s="1" t="str">
        <f t="shared" si="174"/>
        <v/>
      </c>
      <c r="T2188" s="1">
        <f>IF($E2188="",0,SUMPRODUCT((AY_SONU!$O$7:$O$42="Evet")*(AY_SONU!$B$7:$B$42=DATE(YEAR($E2188),MONTH($E2188),1))))</f>
        <v>0</v>
      </c>
      <c r="U2188" s="1" t="str">
        <f>IF(OR($G2188="",$H2188="Mahsup"),"",$G2188&amp;"|"&amp;COUNTIFS($G$7:$G2188,$G2188,$H$7:$H2188,"&lt;&gt;Mahsup"))</f>
        <v/>
      </c>
    </row>
    <row r="2189" spans="1:21" ht="18" customHeight="1" x14ac:dyDescent="0.3">
      <c r="A2189" s="2"/>
      <c r="B2189" s="65" t="str">
        <f t="shared" si="170"/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 t="shared" si="171"/>
        <v/>
      </c>
      <c r="M2189" s="65" t="str">
        <f t="shared" ca="1" si="172"/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173"/>
        <v/>
      </c>
      <c r="S2189" s="1" t="str">
        <f t="shared" si="174"/>
        <v/>
      </c>
      <c r="T2189" s="1">
        <f>IF($E2189="",0,SUMPRODUCT((AY_SONU!$O$7:$O$42="Evet")*(AY_SONU!$B$7:$B$42=DATE(YEAR($E2189),MONTH($E2189),1))))</f>
        <v>0</v>
      </c>
      <c r="U2189" s="1" t="str">
        <f>IF(OR($G2189="",$H2189="Mahsup"),"",$G2189&amp;"|"&amp;COUNTIFS($G$7:$G2189,$G2189,$H$7:$H2189,"&lt;&gt;Mahsup"))</f>
        <v/>
      </c>
    </row>
    <row r="2190" spans="1:21" ht="18" customHeight="1" x14ac:dyDescent="0.3">
      <c r="A2190" s="2"/>
      <c r="B2190" s="65" t="str">
        <f t="shared" si="170"/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 t="shared" si="171"/>
        <v/>
      </c>
      <c r="M2190" s="65" t="str">
        <f t="shared" ca="1" si="172"/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173"/>
        <v/>
      </c>
      <c r="S2190" s="1" t="str">
        <f t="shared" si="174"/>
        <v/>
      </c>
      <c r="T2190" s="1">
        <f>IF($E2190="",0,SUMPRODUCT((AY_SONU!$O$7:$O$42="Evet")*(AY_SONU!$B$7:$B$42=DATE(YEAR($E2190),MONTH($E2190),1))))</f>
        <v>0</v>
      </c>
      <c r="U2190" s="1" t="str">
        <f>IF(OR($G2190="",$H2190="Mahsup"),"",$G2190&amp;"|"&amp;COUNTIFS($G$7:$G2190,$G2190,$H$7:$H2190,"&lt;&gt;Mahsup"))</f>
        <v/>
      </c>
    </row>
    <row r="2191" spans="1:21" ht="18" customHeight="1" x14ac:dyDescent="0.3">
      <c r="A2191" s="2"/>
      <c r="B2191" s="65" t="str">
        <f t="shared" si="170"/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 t="shared" si="171"/>
        <v/>
      </c>
      <c r="M2191" s="65" t="str">
        <f t="shared" ca="1" si="172"/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173"/>
        <v/>
      </c>
      <c r="S2191" s="1" t="str">
        <f t="shared" si="174"/>
        <v/>
      </c>
      <c r="T2191" s="1">
        <f>IF($E2191="",0,SUMPRODUCT((AY_SONU!$O$7:$O$42="Evet")*(AY_SONU!$B$7:$B$42=DATE(YEAR($E2191),MONTH($E2191),1))))</f>
        <v>0</v>
      </c>
      <c r="U2191" s="1" t="str">
        <f>IF(OR($G2191="",$H2191="Mahsup"),"",$G2191&amp;"|"&amp;COUNTIFS($G$7:$G2191,$G2191,$H$7:$H2191,"&lt;&gt;Mahsup"))</f>
        <v/>
      </c>
    </row>
    <row r="2192" spans="1:21" ht="18" customHeight="1" x14ac:dyDescent="0.3">
      <c r="A2192" s="2"/>
      <c r="B2192" s="65" t="str">
        <f t="shared" si="170"/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 t="shared" si="171"/>
        <v/>
      </c>
      <c r="M2192" s="65" t="str">
        <f t="shared" ca="1" si="172"/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173"/>
        <v/>
      </c>
      <c r="S2192" s="1" t="str">
        <f t="shared" si="174"/>
        <v/>
      </c>
      <c r="T2192" s="1">
        <f>IF($E2192="",0,SUMPRODUCT((AY_SONU!$O$7:$O$42="Evet")*(AY_SONU!$B$7:$B$42=DATE(YEAR($E2192),MONTH($E2192),1))))</f>
        <v>0</v>
      </c>
      <c r="U2192" s="1" t="str">
        <f>IF(OR($G2192="",$H2192="Mahsup"),"",$G2192&amp;"|"&amp;COUNTIFS($G$7:$G2192,$G2192,$H$7:$H2192,"&lt;&gt;Mahsup"))</f>
        <v/>
      </c>
    </row>
    <row r="2193" spans="1:21" ht="18" customHeight="1" x14ac:dyDescent="0.3">
      <c r="A2193" s="2"/>
      <c r="B2193" s="65" t="str">
        <f t="shared" si="170"/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 t="shared" si="171"/>
        <v/>
      </c>
      <c r="M2193" s="65" t="str">
        <f t="shared" ca="1" si="172"/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173"/>
        <v/>
      </c>
      <c r="S2193" s="1" t="str">
        <f t="shared" si="174"/>
        <v/>
      </c>
      <c r="T2193" s="1">
        <f>IF($E2193="",0,SUMPRODUCT((AY_SONU!$O$7:$O$42="Evet")*(AY_SONU!$B$7:$B$42=DATE(YEAR($E2193),MONTH($E2193),1))))</f>
        <v>0</v>
      </c>
      <c r="U2193" s="1" t="str">
        <f>IF(OR($G2193="",$H2193="Mahsup"),"",$G2193&amp;"|"&amp;COUNTIFS($G$7:$G2193,$G2193,$H$7:$H2193,"&lt;&gt;Mahsup"))</f>
        <v/>
      </c>
    </row>
    <row r="2194" spans="1:21" ht="18" customHeight="1" x14ac:dyDescent="0.3">
      <c r="A2194" s="2"/>
      <c r="B2194" s="65" t="str">
        <f t="shared" si="170"/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 t="shared" si="171"/>
        <v/>
      </c>
      <c r="M2194" s="65" t="str">
        <f t="shared" ca="1" si="172"/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173"/>
        <v/>
      </c>
      <c r="S2194" s="1" t="str">
        <f t="shared" si="174"/>
        <v/>
      </c>
      <c r="T2194" s="1">
        <f>IF($E2194="",0,SUMPRODUCT((AY_SONU!$O$7:$O$42="Evet")*(AY_SONU!$B$7:$B$42=DATE(YEAR($E2194),MONTH($E2194),1))))</f>
        <v>0</v>
      </c>
      <c r="U2194" s="1" t="str">
        <f>IF(OR($G2194="",$H2194="Mahsup"),"",$G2194&amp;"|"&amp;COUNTIFS($G$7:$G2194,$G2194,$H$7:$H2194,"&lt;&gt;Mahsup"))</f>
        <v/>
      </c>
    </row>
    <row r="2195" spans="1:21" ht="18" customHeight="1" x14ac:dyDescent="0.3">
      <c r="A2195" s="2"/>
      <c r="B2195" s="65" t="str">
        <f t="shared" si="170"/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 t="shared" si="171"/>
        <v/>
      </c>
      <c r="M2195" s="65" t="str">
        <f t="shared" ca="1" si="172"/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173"/>
        <v/>
      </c>
      <c r="S2195" s="1" t="str">
        <f t="shared" si="174"/>
        <v/>
      </c>
      <c r="T2195" s="1">
        <f>IF($E2195="",0,SUMPRODUCT((AY_SONU!$O$7:$O$42="Evet")*(AY_SONU!$B$7:$B$42=DATE(YEAR($E2195),MONTH($E2195),1))))</f>
        <v>0</v>
      </c>
      <c r="U2195" s="1" t="str">
        <f>IF(OR($G2195="",$H2195="Mahsup"),"",$G2195&amp;"|"&amp;COUNTIFS($G$7:$G2195,$G2195,$H$7:$H2195,"&lt;&gt;Mahsup"))</f>
        <v/>
      </c>
    </row>
    <row r="2196" spans="1:21" ht="18" customHeight="1" x14ac:dyDescent="0.3">
      <c r="A2196" s="2"/>
      <c r="B2196" s="65" t="str">
        <f t="shared" si="170"/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 t="shared" si="171"/>
        <v/>
      </c>
      <c r="M2196" s="65" t="str">
        <f t="shared" ca="1" si="172"/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173"/>
        <v/>
      </c>
      <c r="S2196" s="1" t="str">
        <f t="shared" si="174"/>
        <v/>
      </c>
      <c r="T2196" s="1">
        <f>IF($E2196="",0,SUMPRODUCT((AY_SONU!$O$7:$O$42="Evet")*(AY_SONU!$B$7:$B$42=DATE(YEAR($E2196),MONTH($E2196),1))))</f>
        <v>0</v>
      </c>
      <c r="U2196" s="1" t="str">
        <f>IF(OR($G2196="",$H2196="Mahsup"),"",$G2196&amp;"|"&amp;COUNTIFS($G$7:$G2196,$G2196,$H$7:$H2196,"&lt;&gt;Mahsup"))</f>
        <v/>
      </c>
    </row>
    <row r="2197" spans="1:21" ht="18" customHeight="1" x14ac:dyDescent="0.3">
      <c r="A2197" s="2"/>
      <c r="B2197" s="65" t="str">
        <f t="shared" si="170"/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 t="shared" si="171"/>
        <v/>
      </c>
      <c r="M2197" s="65" t="str">
        <f t="shared" ca="1" si="172"/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173"/>
        <v/>
      </c>
      <c r="S2197" s="1" t="str">
        <f t="shared" si="174"/>
        <v/>
      </c>
      <c r="T2197" s="1">
        <f>IF($E2197="",0,SUMPRODUCT((AY_SONU!$O$7:$O$42="Evet")*(AY_SONU!$B$7:$B$42=DATE(YEAR($E2197),MONTH($E2197),1))))</f>
        <v>0</v>
      </c>
      <c r="U2197" s="1" t="str">
        <f>IF(OR($G2197="",$H2197="Mahsup"),"",$G2197&amp;"|"&amp;COUNTIFS($G$7:$G2197,$G2197,$H$7:$H2197,"&lt;&gt;Mahsup"))</f>
        <v/>
      </c>
    </row>
    <row r="2198" spans="1:21" ht="18" customHeight="1" x14ac:dyDescent="0.3">
      <c r="A2198" s="2"/>
      <c r="B2198" s="65" t="str">
        <f t="shared" si="170"/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 t="shared" si="171"/>
        <v/>
      </c>
      <c r="M2198" s="65" t="str">
        <f t="shared" ca="1" si="172"/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173"/>
        <v/>
      </c>
      <c r="S2198" s="1" t="str">
        <f t="shared" si="174"/>
        <v/>
      </c>
      <c r="T2198" s="1">
        <f>IF($E2198="",0,SUMPRODUCT((AY_SONU!$O$7:$O$42="Evet")*(AY_SONU!$B$7:$B$42=DATE(YEAR($E2198),MONTH($E2198),1))))</f>
        <v>0</v>
      </c>
      <c r="U2198" s="1" t="str">
        <f>IF(OR($G2198="",$H2198="Mahsup"),"",$G2198&amp;"|"&amp;COUNTIFS($G$7:$G2198,$G2198,$H$7:$H2198,"&lt;&gt;Mahsup"))</f>
        <v/>
      </c>
    </row>
    <row r="2199" spans="1:21" ht="18" customHeight="1" x14ac:dyDescent="0.3">
      <c r="A2199" s="2"/>
      <c r="B2199" s="65" t="str">
        <f t="shared" si="170"/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 t="shared" si="171"/>
        <v/>
      </c>
      <c r="M2199" s="65" t="str">
        <f t="shared" ca="1" si="172"/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173"/>
        <v/>
      </c>
      <c r="S2199" s="1" t="str">
        <f t="shared" si="174"/>
        <v/>
      </c>
      <c r="T2199" s="1">
        <f>IF($E2199="",0,SUMPRODUCT((AY_SONU!$O$7:$O$42="Evet")*(AY_SONU!$B$7:$B$42=DATE(YEAR($E2199),MONTH($E2199),1))))</f>
        <v>0</v>
      </c>
      <c r="U2199" s="1" t="str">
        <f>IF(OR($G2199="",$H2199="Mahsup"),"",$G2199&amp;"|"&amp;COUNTIFS($G$7:$G2199,$G2199,$H$7:$H2199,"&lt;&gt;Mahsup"))</f>
        <v/>
      </c>
    </row>
    <row r="2200" spans="1:21" ht="18" customHeight="1" x14ac:dyDescent="0.3">
      <c r="A2200" s="2"/>
      <c r="B2200" s="65" t="str">
        <f t="shared" si="170"/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 t="shared" si="171"/>
        <v/>
      </c>
      <c r="M2200" s="65" t="str">
        <f t="shared" ca="1" si="172"/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173"/>
        <v/>
      </c>
      <c r="S2200" s="1" t="str">
        <f t="shared" si="174"/>
        <v/>
      </c>
      <c r="T2200" s="1">
        <f>IF($E2200="",0,SUMPRODUCT((AY_SONU!$O$7:$O$42="Evet")*(AY_SONU!$B$7:$B$42=DATE(YEAR($E2200),MONTH($E2200),1))))</f>
        <v>0</v>
      </c>
      <c r="U2200" s="1" t="str">
        <f>IF(OR($G2200="",$H2200="Mahsup"),"",$G2200&amp;"|"&amp;COUNTIFS($G$7:$G2200,$G2200,$H$7:$H2200,"&lt;&gt;Mahsup"))</f>
        <v/>
      </c>
    </row>
    <row r="2201" spans="1:21" ht="18" customHeight="1" x14ac:dyDescent="0.3">
      <c r="A2201" s="2"/>
      <c r="B2201" s="65" t="str">
        <f t="shared" si="170"/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 t="shared" si="171"/>
        <v/>
      </c>
      <c r="M2201" s="65" t="str">
        <f t="shared" ca="1" si="172"/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173"/>
        <v/>
      </c>
      <c r="S2201" s="1" t="str">
        <f t="shared" si="174"/>
        <v/>
      </c>
      <c r="T2201" s="1">
        <f>IF($E2201="",0,SUMPRODUCT((AY_SONU!$O$7:$O$42="Evet")*(AY_SONU!$B$7:$B$42=DATE(YEAR($E2201),MONTH($E2201),1))))</f>
        <v>0</v>
      </c>
      <c r="U2201" s="1" t="str">
        <f>IF(OR($G2201="",$H2201="Mahsup"),"",$G2201&amp;"|"&amp;COUNTIFS($G$7:$G2201,$G2201,$H$7:$H2201,"&lt;&gt;Mahsup"))</f>
        <v/>
      </c>
    </row>
    <row r="2202" spans="1:21" ht="18" customHeight="1" x14ac:dyDescent="0.3">
      <c r="A2202" s="2"/>
      <c r="B2202" s="65" t="str">
        <f t="shared" si="170"/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 t="shared" si="171"/>
        <v/>
      </c>
      <c r="M2202" s="65" t="str">
        <f t="shared" ca="1" si="172"/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173"/>
        <v/>
      </c>
      <c r="S2202" s="1" t="str">
        <f t="shared" si="174"/>
        <v/>
      </c>
      <c r="T2202" s="1">
        <f>IF($E2202="",0,SUMPRODUCT((AY_SONU!$O$7:$O$42="Evet")*(AY_SONU!$B$7:$B$42=DATE(YEAR($E2202),MONTH($E2202),1))))</f>
        <v>0</v>
      </c>
      <c r="U2202" s="1" t="str">
        <f>IF(OR($G2202="",$H2202="Mahsup"),"",$G2202&amp;"|"&amp;COUNTIFS($G$7:$G2202,$G2202,$H$7:$H2202,"&lt;&gt;Mahsup"))</f>
        <v/>
      </c>
    </row>
    <row r="2203" spans="1:21" ht="18" customHeight="1" x14ac:dyDescent="0.3">
      <c r="A2203" s="2"/>
      <c r="B2203" s="65" t="str">
        <f t="shared" si="170"/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 t="shared" si="171"/>
        <v/>
      </c>
      <c r="M2203" s="65" t="str">
        <f t="shared" ca="1" si="172"/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173"/>
        <v/>
      </c>
      <c r="S2203" s="1" t="str">
        <f t="shared" si="174"/>
        <v/>
      </c>
      <c r="T2203" s="1">
        <f>IF($E2203="",0,SUMPRODUCT((AY_SONU!$O$7:$O$42="Evet")*(AY_SONU!$B$7:$B$42=DATE(YEAR($E2203),MONTH($E2203),1))))</f>
        <v>0</v>
      </c>
      <c r="U2203" s="1" t="str">
        <f>IF(OR($G2203="",$H2203="Mahsup"),"",$G2203&amp;"|"&amp;COUNTIFS($G$7:$G2203,$G2203,$H$7:$H2203,"&lt;&gt;Mahsup"))</f>
        <v/>
      </c>
    </row>
    <row r="2204" spans="1:21" ht="18" customHeight="1" x14ac:dyDescent="0.3">
      <c r="A2204" s="2"/>
      <c r="B2204" s="65" t="str">
        <f t="shared" si="170"/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 t="shared" si="171"/>
        <v/>
      </c>
      <c r="M2204" s="65" t="str">
        <f t="shared" ca="1" si="172"/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173"/>
        <v/>
      </c>
      <c r="S2204" s="1" t="str">
        <f t="shared" si="174"/>
        <v/>
      </c>
      <c r="T2204" s="1">
        <f>IF($E2204="",0,SUMPRODUCT((AY_SONU!$O$7:$O$42="Evet")*(AY_SONU!$B$7:$B$42=DATE(YEAR($E2204),MONTH($E2204),1))))</f>
        <v>0</v>
      </c>
      <c r="U2204" s="1" t="str">
        <f>IF(OR($G2204="",$H2204="Mahsup"),"",$G2204&amp;"|"&amp;COUNTIFS($G$7:$G2204,$G2204,$H$7:$H2204,"&lt;&gt;Mahsup"))</f>
        <v/>
      </c>
    </row>
    <row r="2205" spans="1:21" ht="18" customHeight="1" x14ac:dyDescent="0.3">
      <c r="A2205" s="2"/>
      <c r="B2205" s="65" t="str">
        <f t="shared" si="170"/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 t="shared" si="171"/>
        <v/>
      </c>
      <c r="M2205" s="65" t="str">
        <f t="shared" ca="1" si="172"/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173"/>
        <v/>
      </c>
      <c r="S2205" s="1" t="str">
        <f t="shared" si="174"/>
        <v/>
      </c>
      <c r="T2205" s="1">
        <f>IF($E2205="",0,SUMPRODUCT((AY_SONU!$O$7:$O$42="Evet")*(AY_SONU!$B$7:$B$42=DATE(YEAR($E2205),MONTH($E2205),1))))</f>
        <v>0</v>
      </c>
      <c r="U2205" s="1" t="str">
        <f>IF(OR($G2205="",$H2205="Mahsup"),"",$G2205&amp;"|"&amp;COUNTIFS($G$7:$G2205,$G2205,$H$7:$H2205,"&lt;&gt;Mahsup"))</f>
        <v/>
      </c>
    </row>
    <row r="2206" spans="1:21" ht="18" customHeight="1" x14ac:dyDescent="0.3">
      <c r="A2206" s="2"/>
      <c r="B2206" s="65" t="str">
        <f t="shared" si="170"/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 t="shared" si="171"/>
        <v/>
      </c>
      <c r="M2206" s="65" t="str">
        <f t="shared" ca="1" si="172"/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173"/>
        <v/>
      </c>
      <c r="S2206" s="1" t="str">
        <f t="shared" si="174"/>
        <v/>
      </c>
      <c r="T2206" s="1">
        <f>IF($E2206="",0,SUMPRODUCT((AY_SONU!$O$7:$O$42="Evet")*(AY_SONU!$B$7:$B$42=DATE(YEAR($E2206),MONTH($E2206),1))))</f>
        <v>0</v>
      </c>
      <c r="U2206" s="1" t="str">
        <f>IF(OR($G2206="",$H2206="Mahsup"),"",$G2206&amp;"|"&amp;COUNTIFS($G$7:$G2206,$G2206,$H$7:$H2206,"&lt;&gt;Mahsup"))</f>
        <v/>
      </c>
    </row>
    <row r="2207" spans="1:21" ht="18" customHeight="1" x14ac:dyDescent="0.3">
      <c r="A2207" s="2"/>
      <c r="B2207" s="65" t="str">
        <f t="shared" si="170"/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 t="shared" si="171"/>
        <v/>
      </c>
      <c r="M2207" s="65" t="str">
        <f t="shared" ca="1" si="172"/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173"/>
        <v/>
      </c>
      <c r="S2207" s="1" t="str">
        <f t="shared" si="174"/>
        <v/>
      </c>
      <c r="T2207" s="1">
        <f>IF($E2207="",0,SUMPRODUCT((AY_SONU!$O$7:$O$42="Evet")*(AY_SONU!$B$7:$B$42=DATE(YEAR($E2207),MONTH($E2207),1))))</f>
        <v>0</v>
      </c>
      <c r="U2207" s="1" t="str">
        <f>IF(OR($G2207="",$H2207="Mahsup"),"",$G2207&amp;"|"&amp;COUNTIFS($G$7:$G2207,$G2207,$H$7:$H2207,"&lt;&gt;Mahsup"))</f>
        <v/>
      </c>
    </row>
    <row r="2208" spans="1:21" ht="18" customHeight="1" x14ac:dyDescent="0.3">
      <c r="A2208" s="2"/>
      <c r="B2208" s="65" t="str">
        <f t="shared" si="170"/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 t="shared" si="171"/>
        <v/>
      </c>
      <c r="M2208" s="65" t="str">
        <f t="shared" ca="1" si="172"/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173"/>
        <v/>
      </c>
      <c r="S2208" s="1" t="str">
        <f t="shared" si="174"/>
        <v/>
      </c>
      <c r="T2208" s="1">
        <f>IF($E2208="",0,SUMPRODUCT((AY_SONU!$O$7:$O$42="Evet")*(AY_SONU!$B$7:$B$42=DATE(YEAR($E2208),MONTH($E2208),1))))</f>
        <v>0</v>
      </c>
      <c r="U2208" s="1" t="str">
        <f>IF(OR($G2208="",$H2208="Mahsup"),"",$G2208&amp;"|"&amp;COUNTIFS($G$7:$G2208,$G2208,$H$7:$H2208,"&lt;&gt;Mahsup"))</f>
        <v/>
      </c>
    </row>
    <row r="2209" spans="1:21" ht="18" customHeight="1" x14ac:dyDescent="0.3">
      <c r="A2209" s="2"/>
      <c r="B2209" s="65" t="str">
        <f t="shared" si="170"/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 t="shared" si="171"/>
        <v/>
      </c>
      <c r="M2209" s="65" t="str">
        <f t="shared" ca="1" si="172"/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173"/>
        <v/>
      </c>
      <c r="S2209" s="1" t="str">
        <f t="shared" si="174"/>
        <v/>
      </c>
      <c r="T2209" s="1">
        <f>IF($E2209="",0,SUMPRODUCT((AY_SONU!$O$7:$O$42="Evet")*(AY_SONU!$B$7:$B$42=DATE(YEAR($E2209),MONTH($E2209),1))))</f>
        <v>0</v>
      </c>
      <c r="U2209" s="1" t="str">
        <f>IF(OR($G2209="",$H2209="Mahsup"),"",$G2209&amp;"|"&amp;COUNTIFS($G$7:$G2209,$G2209,$H$7:$H2209,"&lt;&gt;Mahsup"))</f>
        <v/>
      </c>
    </row>
    <row r="2210" spans="1:21" ht="18" customHeight="1" x14ac:dyDescent="0.3">
      <c r="A2210" s="2"/>
      <c r="B2210" s="65" t="str">
        <f t="shared" si="170"/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 t="shared" si="171"/>
        <v/>
      </c>
      <c r="M2210" s="65" t="str">
        <f t="shared" ca="1" si="172"/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173"/>
        <v/>
      </c>
      <c r="S2210" s="1" t="str">
        <f t="shared" si="174"/>
        <v/>
      </c>
      <c r="T2210" s="1">
        <f>IF($E2210="",0,SUMPRODUCT((AY_SONU!$O$7:$O$42="Evet")*(AY_SONU!$B$7:$B$42=DATE(YEAR($E2210),MONTH($E2210),1))))</f>
        <v>0</v>
      </c>
      <c r="U2210" s="1" t="str">
        <f>IF(OR($G2210="",$H2210="Mahsup"),"",$G2210&amp;"|"&amp;COUNTIFS($G$7:$G2210,$G2210,$H$7:$H2210,"&lt;&gt;Mahsup"))</f>
        <v/>
      </c>
    </row>
    <row r="2211" spans="1:21" ht="18" customHeight="1" x14ac:dyDescent="0.3">
      <c r="A2211" s="2"/>
      <c r="B2211" s="65" t="str">
        <f t="shared" si="170"/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 t="shared" si="171"/>
        <v/>
      </c>
      <c r="M2211" s="65" t="str">
        <f t="shared" ca="1" si="172"/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173"/>
        <v/>
      </c>
      <c r="S2211" s="1" t="str">
        <f t="shared" si="174"/>
        <v/>
      </c>
      <c r="T2211" s="1">
        <f>IF($E2211="",0,SUMPRODUCT((AY_SONU!$O$7:$O$42="Evet")*(AY_SONU!$B$7:$B$42=DATE(YEAR($E2211),MONTH($E2211),1))))</f>
        <v>0</v>
      </c>
      <c r="U2211" s="1" t="str">
        <f>IF(OR($G2211="",$H2211="Mahsup"),"",$G2211&amp;"|"&amp;COUNTIFS($G$7:$G2211,$G2211,$H$7:$H2211,"&lt;&gt;Mahsup"))</f>
        <v/>
      </c>
    </row>
    <row r="2212" spans="1:21" ht="18" customHeight="1" x14ac:dyDescent="0.3">
      <c r="A2212" s="2"/>
      <c r="B2212" s="65" t="str">
        <f t="shared" si="170"/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 t="shared" si="171"/>
        <v/>
      </c>
      <c r="M2212" s="65" t="str">
        <f t="shared" ca="1" si="172"/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173"/>
        <v/>
      </c>
      <c r="S2212" s="1" t="str">
        <f t="shared" si="174"/>
        <v/>
      </c>
      <c r="T2212" s="1">
        <f>IF($E2212="",0,SUMPRODUCT((AY_SONU!$O$7:$O$42="Evet")*(AY_SONU!$B$7:$B$42=DATE(YEAR($E2212),MONTH($E2212),1))))</f>
        <v>0</v>
      </c>
      <c r="U2212" s="1" t="str">
        <f>IF(OR($G2212="",$H2212="Mahsup"),"",$G2212&amp;"|"&amp;COUNTIFS($G$7:$G2212,$G2212,$H$7:$H2212,"&lt;&gt;Mahsup"))</f>
        <v/>
      </c>
    </row>
    <row r="2213" spans="1:21" ht="18" customHeight="1" x14ac:dyDescent="0.3">
      <c r="A2213" s="2"/>
      <c r="B2213" s="65" t="str">
        <f t="shared" si="170"/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 t="shared" si="171"/>
        <v/>
      </c>
      <c r="M2213" s="65" t="str">
        <f t="shared" ca="1" si="172"/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173"/>
        <v/>
      </c>
      <c r="S2213" s="1" t="str">
        <f t="shared" si="174"/>
        <v/>
      </c>
      <c r="T2213" s="1">
        <f>IF($E2213="",0,SUMPRODUCT((AY_SONU!$O$7:$O$42="Evet")*(AY_SONU!$B$7:$B$42=DATE(YEAR($E2213),MONTH($E2213),1))))</f>
        <v>0</v>
      </c>
      <c r="U2213" s="1" t="str">
        <f>IF(OR($G2213="",$H2213="Mahsup"),"",$G2213&amp;"|"&amp;COUNTIFS($G$7:$G2213,$G2213,$H$7:$H2213,"&lt;&gt;Mahsup"))</f>
        <v/>
      </c>
    </row>
    <row r="2214" spans="1:21" ht="18" customHeight="1" x14ac:dyDescent="0.3">
      <c r="A2214" s="2"/>
      <c r="B2214" s="65" t="str">
        <f t="shared" si="170"/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 t="shared" si="171"/>
        <v/>
      </c>
      <c r="M2214" s="65" t="str">
        <f t="shared" ca="1" si="172"/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173"/>
        <v/>
      </c>
      <c r="S2214" s="1" t="str">
        <f t="shared" si="174"/>
        <v/>
      </c>
      <c r="T2214" s="1">
        <f>IF($E2214="",0,SUMPRODUCT((AY_SONU!$O$7:$O$42="Evet")*(AY_SONU!$B$7:$B$42=DATE(YEAR($E2214),MONTH($E2214),1))))</f>
        <v>0</v>
      </c>
      <c r="U2214" s="1" t="str">
        <f>IF(OR($G2214="",$H2214="Mahsup"),"",$G2214&amp;"|"&amp;COUNTIFS($G$7:$G2214,$G2214,$H$7:$H2214,"&lt;&gt;Mahsup"))</f>
        <v/>
      </c>
    </row>
    <row r="2215" spans="1:21" ht="18" customHeight="1" x14ac:dyDescent="0.3">
      <c r="A2215" s="2"/>
      <c r="B2215" s="65" t="str">
        <f t="shared" si="170"/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 t="shared" si="171"/>
        <v/>
      </c>
      <c r="M2215" s="65" t="str">
        <f t="shared" ca="1" si="172"/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173"/>
        <v/>
      </c>
      <c r="S2215" s="1" t="str">
        <f t="shared" si="174"/>
        <v/>
      </c>
      <c r="T2215" s="1">
        <f>IF($E2215="",0,SUMPRODUCT((AY_SONU!$O$7:$O$42="Evet")*(AY_SONU!$B$7:$B$42=DATE(YEAR($E2215),MONTH($E2215),1))))</f>
        <v>0</v>
      </c>
      <c r="U2215" s="1" t="str">
        <f>IF(OR($G2215="",$H2215="Mahsup"),"",$G2215&amp;"|"&amp;COUNTIFS($G$7:$G2215,$G2215,$H$7:$H2215,"&lt;&gt;Mahsup"))</f>
        <v/>
      </c>
    </row>
    <row r="2216" spans="1:21" ht="18" customHeight="1" x14ac:dyDescent="0.3">
      <c r="A2216" s="2"/>
      <c r="B2216" s="65" t="str">
        <f t="shared" si="170"/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 t="shared" si="171"/>
        <v/>
      </c>
      <c r="M2216" s="65" t="str">
        <f t="shared" ca="1" si="172"/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173"/>
        <v/>
      </c>
      <c r="S2216" s="1" t="str">
        <f t="shared" si="174"/>
        <v/>
      </c>
      <c r="T2216" s="1">
        <f>IF($E2216="",0,SUMPRODUCT((AY_SONU!$O$7:$O$42="Evet")*(AY_SONU!$B$7:$B$42=DATE(YEAR($E2216),MONTH($E2216),1))))</f>
        <v>0</v>
      </c>
      <c r="U2216" s="1" t="str">
        <f>IF(OR($G2216="",$H2216="Mahsup"),"",$G2216&amp;"|"&amp;COUNTIFS($G$7:$G2216,$G2216,$H$7:$H2216,"&lt;&gt;Mahsup"))</f>
        <v/>
      </c>
    </row>
    <row r="2217" spans="1:21" ht="18" customHeight="1" x14ac:dyDescent="0.3">
      <c r="A2217" s="2"/>
      <c r="B2217" s="65" t="str">
        <f t="shared" si="170"/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 t="shared" si="171"/>
        <v/>
      </c>
      <c r="M2217" s="65" t="str">
        <f t="shared" ca="1" si="172"/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173"/>
        <v/>
      </c>
      <c r="S2217" s="1" t="str">
        <f t="shared" si="174"/>
        <v/>
      </c>
      <c r="T2217" s="1">
        <f>IF($E2217="",0,SUMPRODUCT((AY_SONU!$O$7:$O$42="Evet")*(AY_SONU!$B$7:$B$42=DATE(YEAR($E2217),MONTH($E2217),1))))</f>
        <v>0</v>
      </c>
      <c r="U2217" s="1" t="str">
        <f>IF(OR($G2217="",$H2217="Mahsup"),"",$G2217&amp;"|"&amp;COUNTIFS($G$7:$G2217,$G2217,$H$7:$H2217,"&lt;&gt;Mahsup"))</f>
        <v/>
      </c>
    </row>
    <row r="2218" spans="1:21" ht="18" customHeight="1" x14ac:dyDescent="0.3">
      <c r="A2218" s="2"/>
      <c r="B2218" s="65" t="str">
        <f t="shared" si="170"/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 t="shared" si="171"/>
        <v/>
      </c>
      <c r="M2218" s="65" t="str">
        <f t="shared" ca="1" si="172"/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173"/>
        <v/>
      </c>
      <c r="S2218" s="1" t="str">
        <f t="shared" si="174"/>
        <v/>
      </c>
      <c r="T2218" s="1">
        <f>IF($E2218="",0,SUMPRODUCT((AY_SONU!$O$7:$O$42="Evet")*(AY_SONU!$B$7:$B$42=DATE(YEAR($E2218),MONTH($E2218),1))))</f>
        <v>0</v>
      </c>
      <c r="U2218" s="1" t="str">
        <f>IF(OR($G2218="",$H2218="Mahsup"),"",$G2218&amp;"|"&amp;COUNTIFS($G$7:$G2218,$G2218,$H$7:$H2218,"&lt;&gt;Mahsup"))</f>
        <v/>
      </c>
    </row>
    <row r="2219" spans="1:21" ht="18" customHeight="1" x14ac:dyDescent="0.3">
      <c r="A2219" s="2"/>
      <c r="B2219" s="65" t="str">
        <f t="shared" si="170"/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 t="shared" si="171"/>
        <v/>
      </c>
      <c r="M2219" s="65" t="str">
        <f t="shared" ca="1" si="172"/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173"/>
        <v/>
      </c>
      <c r="S2219" s="1" t="str">
        <f t="shared" si="174"/>
        <v/>
      </c>
      <c r="T2219" s="1">
        <f>IF($E2219="",0,SUMPRODUCT((AY_SONU!$O$7:$O$42="Evet")*(AY_SONU!$B$7:$B$42=DATE(YEAR($E2219),MONTH($E2219),1))))</f>
        <v>0</v>
      </c>
      <c r="U2219" s="1" t="str">
        <f>IF(OR($G2219="",$H2219="Mahsup"),"",$G2219&amp;"|"&amp;COUNTIFS($G$7:$G2219,$G2219,$H$7:$H2219,"&lt;&gt;Mahsup"))</f>
        <v/>
      </c>
    </row>
    <row r="2220" spans="1:21" ht="18" customHeight="1" x14ac:dyDescent="0.3">
      <c r="A2220" s="2"/>
      <c r="B2220" s="65" t="str">
        <f t="shared" si="170"/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 t="shared" si="171"/>
        <v/>
      </c>
      <c r="M2220" s="65" t="str">
        <f t="shared" ca="1" si="172"/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173"/>
        <v/>
      </c>
      <c r="S2220" s="1" t="str">
        <f t="shared" si="174"/>
        <v/>
      </c>
      <c r="T2220" s="1">
        <f>IF($E2220="",0,SUMPRODUCT((AY_SONU!$O$7:$O$42="Evet")*(AY_SONU!$B$7:$B$42=DATE(YEAR($E2220),MONTH($E2220),1))))</f>
        <v>0</v>
      </c>
      <c r="U2220" s="1" t="str">
        <f>IF(OR($G2220="",$H2220="Mahsup"),"",$G2220&amp;"|"&amp;COUNTIFS($G$7:$G2220,$G2220,$H$7:$H2220,"&lt;&gt;Mahsup"))</f>
        <v/>
      </c>
    </row>
    <row r="2221" spans="1:21" ht="18" customHeight="1" x14ac:dyDescent="0.3">
      <c r="A2221" s="2"/>
      <c r="B2221" s="65" t="str">
        <f t="shared" si="170"/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 t="shared" si="171"/>
        <v/>
      </c>
      <c r="M2221" s="65" t="str">
        <f t="shared" ca="1" si="172"/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173"/>
        <v/>
      </c>
      <c r="S2221" s="1" t="str">
        <f t="shared" si="174"/>
        <v/>
      </c>
      <c r="T2221" s="1">
        <f>IF($E2221="",0,SUMPRODUCT((AY_SONU!$O$7:$O$42="Evet")*(AY_SONU!$B$7:$B$42=DATE(YEAR($E2221),MONTH($E2221),1))))</f>
        <v>0</v>
      </c>
      <c r="U2221" s="1" t="str">
        <f>IF(OR($G2221="",$H2221="Mahsup"),"",$G2221&amp;"|"&amp;COUNTIFS($G$7:$G2221,$G2221,$H$7:$H2221,"&lt;&gt;Mahsup"))</f>
        <v/>
      </c>
    </row>
    <row r="2222" spans="1:21" ht="18" customHeight="1" x14ac:dyDescent="0.3">
      <c r="A2222" s="2"/>
      <c r="B2222" s="65" t="str">
        <f t="shared" si="170"/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 t="shared" si="171"/>
        <v/>
      </c>
      <c r="M2222" s="65" t="str">
        <f t="shared" ca="1" si="172"/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173"/>
        <v/>
      </c>
      <c r="S2222" s="1" t="str">
        <f t="shared" si="174"/>
        <v/>
      </c>
      <c r="T2222" s="1">
        <f>IF($E2222="",0,SUMPRODUCT((AY_SONU!$O$7:$O$42="Evet")*(AY_SONU!$B$7:$B$42=DATE(YEAR($E2222),MONTH($E2222),1))))</f>
        <v>0</v>
      </c>
      <c r="U2222" s="1" t="str">
        <f>IF(OR($G2222="",$H2222="Mahsup"),"",$G2222&amp;"|"&amp;COUNTIFS($G$7:$G2222,$G2222,$H$7:$H2222,"&lt;&gt;Mahsup"))</f>
        <v/>
      </c>
    </row>
    <row r="2223" spans="1:21" ht="18" customHeight="1" x14ac:dyDescent="0.3">
      <c r="A2223" s="2"/>
      <c r="B2223" s="65" t="str">
        <f t="shared" si="170"/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 t="shared" si="171"/>
        <v/>
      </c>
      <c r="M2223" s="65" t="str">
        <f t="shared" ca="1" si="172"/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173"/>
        <v/>
      </c>
      <c r="S2223" s="1" t="str">
        <f t="shared" si="174"/>
        <v/>
      </c>
      <c r="T2223" s="1">
        <f>IF($E2223="",0,SUMPRODUCT((AY_SONU!$O$7:$O$42="Evet")*(AY_SONU!$B$7:$B$42=DATE(YEAR($E2223),MONTH($E2223),1))))</f>
        <v>0</v>
      </c>
      <c r="U2223" s="1" t="str">
        <f>IF(OR($G2223="",$H2223="Mahsup"),"",$G2223&amp;"|"&amp;COUNTIFS($G$7:$G2223,$G2223,$H$7:$H2223,"&lt;&gt;Mahsup"))</f>
        <v/>
      </c>
    </row>
    <row r="2224" spans="1:21" ht="18" customHeight="1" x14ac:dyDescent="0.3">
      <c r="A2224" s="2"/>
      <c r="B2224" s="65" t="str">
        <f t="shared" si="170"/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 t="shared" si="171"/>
        <v/>
      </c>
      <c r="M2224" s="65" t="str">
        <f t="shared" ca="1" si="172"/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173"/>
        <v/>
      </c>
      <c r="S2224" s="1" t="str">
        <f t="shared" si="174"/>
        <v/>
      </c>
      <c r="T2224" s="1">
        <f>IF($E2224="",0,SUMPRODUCT((AY_SONU!$O$7:$O$42="Evet")*(AY_SONU!$B$7:$B$42=DATE(YEAR($E2224),MONTH($E2224),1))))</f>
        <v>0</v>
      </c>
      <c r="U2224" s="1" t="str">
        <f>IF(OR($G2224="",$H2224="Mahsup"),"",$G2224&amp;"|"&amp;COUNTIFS($G$7:$G2224,$G2224,$H$7:$H2224,"&lt;&gt;Mahsup"))</f>
        <v/>
      </c>
    </row>
    <row r="2225" spans="1:21" ht="18" customHeight="1" x14ac:dyDescent="0.3">
      <c r="A2225" s="2"/>
      <c r="B2225" s="65" t="str">
        <f t="shared" si="170"/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 t="shared" si="171"/>
        <v/>
      </c>
      <c r="M2225" s="65" t="str">
        <f t="shared" ca="1" si="172"/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173"/>
        <v/>
      </c>
      <c r="S2225" s="1" t="str">
        <f t="shared" si="174"/>
        <v/>
      </c>
      <c r="T2225" s="1">
        <f>IF($E2225="",0,SUMPRODUCT((AY_SONU!$O$7:$O$42="Evet")*(AY_SONU!$B$7:$B$42=DATE(YEAR($E2225),MONTH($E2225),1))))</f>
        <v>0</v>
      </c>
      <c r="U2225" s="1" t="str">
        <f>IF(OR($G2225="",$H2225="Mahsup"),"",$G2225&amp;"|"&amp;COUNTIFS($G$7:$G2225,$G2225,$H$7:$H2225,"&lt;&gt;Mahsup"))</f>
        <v/>
      </c>
    </row>
    <row r="2226" spans="1:21" ht="18" customHeight="1" x14ac:dyDescent="0.3">
      <c r="A2226" s="2"/>
      <c r="B2226" s="65" t="str">
        <f t="shared" si="170"/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 t="shared" si="171"/>
        <v/>
      </c>
      <c r="M2226" s="65" t="str">
        <f t="shared" ca="1" si="172"/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173"/>
        <v/>
      </c>
      <c r="S2226" s="1" t="str">
        <f t="shared" si="174"/>
        <v/>
      </c>
      <c r="T2226" s="1">
        <f>IF($E2226="",0,SUMPRODUCT((AY_SONU!$O$7:$O$42="Evet")*(AY_SONU!$B$7:$B$42=DATE(YEAR($E2226),MONTH($E2226),1))))</f>
        <v>0</v>
      </c>
      <c r="U2226" s="1" t="str">
        <f>IF(OR($G2226="",$H2226="Mahsup"),"",$G2226&amp;"|"&amp;COUNTIFS($G$7:$G2226,$G2226,$H$7:$H2226,"&lt;&gt;Mahsup"))</f>
        <v/>
      </c>
    </row>
    <row r="2227" spans="1:21" ht="18" customHeight="1" x14ac:dyDescent="0.3">
      <c r="A2227" s="2"/>
      <c r="B2227" s="65" t="str">
        <f t="shared" si="170"/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 t="shared" si="171"/>
        <v/>
      </c>
      <c r="M2227" s="65" t="str">
        <f t="shared" ca="1" si="172"/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173"/>
        <v/>
      </c>
      <c r="S2227" s="1" t="str">
        <f t="shared" si="174"/>
        <v/>
      </c>
      <c r="T2227" s="1">
        <f>IF($E2227="",0,SUMPRODUCT((AY_SONU!$O$7:$O$42="Evet")*(AY_SONU!$B$7:$B$42=DATE(YEAR($E2227),MONTH($E2227),1))))</f>
        <v>0</v>
      </c>
      <c r="U2227" s="1" t="str">
        <f>IF(OR($G2227="",$H2227="Mahsup"),"",$G2227&amp;"|"&amp;COUNTIFS($G$7:$G2227,$G2227,$H$7:$H2227,"&lt;&gt;Mahsup"))</f>
        <v/>
      </c>
    </row>
    <row r="2228" spans="1:21" ht="18" customHeight="1" x14ac:dyDescent="0.3">
      <c r="A2228" s="2"/>
      <c r="B2228" s="65" t="str">
        <f t="shared" si="170"/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 t="shared" si="171"/>
        <v/>
      </c>
      <c r="M2228" s="65" t="str">
        <f t="shared" ca="1" si="172"/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173"/>
        <v/>
      </c>
      <c r="S2228" s="1" t="str">
        <f t="shared" si="174"/>
        <v/>
      </c>
      <c r="T2228" s="1">
        <f>IF($E2228="",0,SUMPRODUCT((AY_SONU!$O$7:$O$42="Evet")*(AY_SONU!$B$7:$B$42=DATE(YEAR($E2228),MONTH($E2228),1))))</f>
        <v>0</v>
      </c>
      <c r="U2228" s="1" t="str">
        <f>IF(OR($G2228="",$H2228="Mahsup"),"",$G2228&amp;"|"&amp;COUNTIFS($G$7:$G2228,$G2228,$H$7:$H2228,"&lt;&gt;Mahsup"))</f>
        <v/>
      </c>
    </row>
    <row r="2229" spans="1:21" ht="18" customHeight="1" x14ac:dyDescent="0.3">
      <c r="A2229" s="2"/>
      <c r="B2229" s="65" t="str">
        <f t="shared" si="170"/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 t="shared" si="171"/>
        <v/>
      </c>
      <c r="M2229" s="65" t="str">
        <f t="shared" ca="1" si="172"/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173"/>
        <v/>
      </c>
      <c r="S2229" s="1" t="str">
        <f t="shared" si="174"/>
        <v/>
      </c>
      <c r="T2229" s="1">
        <f>IF($E2229="",0,SUMPRODUCT((AY_SONU!$O$7:$O$42="Evet")*(AY_SONU!$B$7:$B$42=DATE(YEAR($E2229),MONTH($E2229),1))))</f>
        <v>0</v>
      </c>
      <c r="U2229" s="1" t="str">
        <f>IF(OR($G2229="",$H2229="Mahsup"),"",$G2229&amp;"|"&amp;COUNTIFS($G$7:$G2229,$G2229,$H$7:$H2229,"&lt;&gt;Mahsup"))</f>
        <v/>
      </c>
    </row>
    <row r="2230" spans="1:21" ht="18" customHeight="1" x14ac:dyDescent="0.3">
      <c r="A2230" s="2"/>
      <c r="B2230" s="65" t="str">
        <f t="shared" si="170"/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 t="shared" si="171"/>
        <v/>
      </c>
      <c r="M2230" s="65" t="str">
        <f t="shared" ca="1" si="172"/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173"/>
        <v/>
      </c>
      <c r="S2230" s="1" t="str">
        <f t="shared" si="174"/>
        <v/>
      </c>
      <c r="T2230" s="1">
        <f>IF($E2230="",0,SUMPRODUCT((AY_SONU!$O$7:$O$42="Evet")*(AY_SONU!$B$7:$B$42=DATE(YEAR($E2230),MONTH($E2230),1))))</f>
        <v>0</v>
      </c>
      <c r="U2230" s="1" t="str">
        <f>IF(OR($G2230="",$H2230="Mahsup"),"",$G2230&amp;"|"&amp;COUNTIFS($G$7:$G2230,$G2230,$H$7:$H2230,"&lt;&gt;Mahsup"))</f>
        <v/>
      </c>
    </row>
    <row r="2231" spans="1:21" ht="18" customHeight="1" x14ac:dyDescent="0.3">
      <c r="A2231" s="2"/>
      <c r="B2231" s="65" t="str">
        <f t="shared" si="170"/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 t="shared" si="171"/>
        <v/>
      </c>
      <c r="M2231" s="65" t="str">
        <f t="shared" ca="1" si="172"/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173"/>
        <v/>
      </c>
      <c r="S2231" s="1" t="str">
        <f t="shared" si="174"/>
        <v/>
      </c>
      <c r="T2231" s="1">
        <f>IF($E2231="",0,SUMPRODUCT((AY_SONU!$O$7:$O$42="Evet")*(AY_SONU!$B$7:$B$42=DATE(YEAR($E2231),MONTH($E2231),1))))</f>
        <v>0</v>
      </c>
      <c r="U2231" s="1" t="str">
        <f>IF(OR($G2231="",$H2231="Mahsup"),"",$G2231&amp;"|"&amp;COUNTIFS($G$7:$G2231,$G2231,$H$7:$H2231,"&lt;&gt;Mahsup"))</f>
        <v/>
      </c>
    </row>
    <row r="2232" spans="1:21" ht="18" customHeight="1" x14ac:dyDescent="0.3">
      <c r="A2232" s="2"/>
      <c r="B2232" s="65" t="str">
        <f t="shared" si="170"/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 t="shared" si="171"/>
        <v/>
      </c>
      <c r="M2232" s="65" t="str">
        <f t="shared" ca="1" si="172"/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173"/>
        <v/>
      </c>
      <c r="S2232" s="1" t="str">
        <f t="shared" si="174"/>
        <v/>
      </c>
      <c r="T2232" s="1">
        <f>IF($E2232="",0,SUMPRODUCT((AY_SONU!$O$7:$O$42="Evet")*(AY_SONU!$B$7:$B$42=DATE(YEAR($E2232),MONTH($E2232),1))))</f>
        <v>0</v>
      </c>
      <c r="U2232" s="1" t="str">
        <f>IF(OR($G2232="",$H2232="Mahsup"),"",$G2232&amp;"|"&amp;COUNTIFS($G$7:$G2232,$G2232,$H$7:$H2232,"&lt;&gt;Mahsup"))</f>
        <v/>
      </c>
    </row>
    <row r="2233" spans="1:21" ht="18" customHeight="1" x14ac:dyDescent="0.3">
      <c r="A2233" s="2"/>
      <c r="B2233" s="65" t="str">
        <f t="shared" si="170"/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 t="shared" si="171"/>
        <v/>
      </c>
      <c r="M2233" s="65" t="str">
        <f t="shared" ca="1" si="172"/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173"/>
        <v/>
      </c>
      <c r="S2233" s="1" t="str">
        <f t="shared" si="174"/>
        <v/>
      </c>
      <c r="T2233" s="1">
        <f>IF($E2233="",0,SUMPRODUCT((AY_SONU!$O$7:$O$42="Evet")*(AY_SONU!$B$7:$B$42=DATE(YEAR($E2233),MONTH($E2233),1))))</f>
        <v>0</v>
      </c>
      <c r="U2233" s="1" t="str">
        <f>IF(OR($G2233="",$H2233="Mahsup"),"",$G2233&amp;"|"&amp;COUNTIFS($G$7:$G2233,$G2233,$H$7:$H2233,"&lt;&gt;Mahsup"))</f>
        <v/>
      </c>
    </row>
    <row r="2234" spans="1:21" ht="18" customHeight="1" x14ac:dyDescent="0.3">
      <c r="A2234" s="2"/>
      <c r="B2234" s="65" t="str">
        <f t="shared" si="170"/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 t="shared" si="171"/>
        <v/>
      </c>
      <c r="M2234" s="65" t="str">
        <f t="shared" ca="1" si="172"/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173"/>
        <v/>
      </c>
      <c r="S2234" s="1" t="str">
        <f t="shared" si="174"/>
        <v/>
      </c>
      <c r="T2234" s="1">
        <f>IF($E2234="",0,SUMPRODUCT((AY_SONU!$O$7:$O$42="Evet")*(AY_SONU!$B$7:$B$42=DATE(YEAR($E2234),MONTH($E2234),1))))</f>
        <v>0</v>
      </c>
      <c r="U2234" s="1" t="str">
        <f>IF(OR($G2234="",$H2234="Mahsup"),"",$G2234&amp;"|"&amp;COUNTIFS($G$7:$G2234,$G2234,$H$7:$H2234,"&lt;&gt;Mahsup"))</f>
        <v/>
      </c>
    </row>
    <row r="2235" spans="1:21" ht="18" customHeight="1" x14ac:dyDescent="0.3">
      <c r="A2235" s="2"/>
      <c r="B2235" s="65" t="str">
        <f t="shared" si="170"/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 t="shared" si="171"/>
        <v/>
      </c>
      <c r="M2235" s="65" t="str">
        <f t="shared" ca="1" si="172"/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173"/>
        <v/>
      </c>
      <c r="S2235" s="1" t="str">
        <f t="shared" si="174"/>
        <v/>
      </c>
      <c r="T2235" s="1">
        <f>IF($E2235="",0,SUMPRODUCT((AY_SONU!$O$7:$O$42="Evet")*(AY_SONU!$B$7:$B$42=DATE(YEAR($E2235),MONTH($E2235),1))))</f>
        <v>0</v>
      </c>
      <c r="U2235" s="1" t="str">
        <f>IF(OR($G2235="",$H2235="Mahsup"),"",$G2235&amp;"|"&amp;COUNTIFS($G$7:$G2235,$G2235,$H$7:$H2235,"&lt;&gt;Mahsup"))</f>
        <v/>
      </c>
    </row>
    <row r="2236" spans="1:21" ht="18" customHeight="1" x14ac:dyDescent="0.3">
      <c r="A2236" s="2"/>
      <c r="B2236" s="65" t="str">
        <f t="shared" si="170"/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 t="shared" si="171"/>
        <v/>
      </c>
      <c r="M2236" s="65" t="str">
        <f t="shared" ca="1" si="172"/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173"/>
        <v/>
      </c>
      <c r="S2236" s="1" t="str">
        <f t="shared" si="174"/>
        <v/>
      </c>
      <c r="T2236" s="1">
        <f>IF($E2236="",0,SUMPRODUCT((AY_SONU!$O$7:$O$42="Evet")*(AY_SONU!$B$7:$B$42=DATE(YEAR($E2236),MONTH($E2236),1))))</f>
        <v>0</v>
      </c>
      <c r="U2236" s="1" t="str">
        <f>IF(OR($G2236="",$H2236="Mahsup"),"",$G2236&amp;"|"&amp;COUNTIFS($G$7:$G2236,$G2236,$H$7:$H2236,"&lt;&gt;Mahsup"))</f>
        <v/>
      </c>
    </row>
    <row r="2237" spans="1:21" ht="18" customHeight="1" x14ac:dyDescent="0.3">
      <c r="A2237" s="2"/>
      <c r="B2237" s="65" t="str">
        <f t="shared" si="170"/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 t="shared" si="171"/>
        <v/>
      </c>
      <c r="M2237" s="65" t="str">
        <f t="shared" ca="1" si="172"/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173"/>
        <v/>
      </c>
      <c r="S2237" s="1" t="str">
        <f t="shared" si="174"/>
        <v/>
      </c>
      <c r="T2237" s="1">
        <f>IF($E2237="",0,SUMPRODUCT((AY_SONU!$O$7:$O$42="Evet")*(AY_SONU!$B$7:$B$42=DATE(YEAR($E2237),MONTH($E2237),1))))</f>
        <v>0</v>
      </c>
      <c r="U2237" s="1" t="str">
        <f>IF(OR($G2237="",$H2237="Mahsup"),"",$G2237&amp;"|"&amp;COUNTIFS($G$7:$G2237,$G2237,$H$7:$H2237,"&lt;&gt;Mahsup"))</f>
        <v/>
      </c>
    </row>
    <row r="2238" spans="1:21" ht="18" customHeight="1" x14ac:dyDescent="0.3">
      <c r="A2238" s="2"/>
      <c r="B2238" s="65" t="str">
        <f t="shared" si="170"/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 t="shared" si="171"/>
        <v/>
      </c>
      <c r="M2238" s="65" t="str">
        <f t="shared" ca="1" si="172"/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173"/>
        <v/>
      </c>
      <c r="S2238" s="1" t="str">
        <f t="shared" si="174"/>
        <v/>
      </c>
      <c r="T2238" s="1">
        <f>IF($E2238="",0,SUMPRODUCT((AY_SONU!$O$7:$O$42="Evet")*(AY_SONU!$B$7:$B$42=DATE(YEAR($E2238),MONTH($E2238),1))))</f>
        <v>0</v>
      </c>
      <c r="U2238" s="1" t="str">
        <f>IF(OR($G2238="",$H2238="Mahsup"),"",$G2238&amp;"|"&amp;COUNTIFS($G$7:$G2238,$G2238,$H$7:$H2238,"&lt;&gt;Mahsup"))</f>
        <v/>
      </c>
    </row>
    <row r="2239" spans="1:21" ht="18" customHeight="1" x14ac:dyDescent="0.3">
      <c r="A2239" s="2"/>
      <c r="B2239" s="65" t="str">
        <f t="shared" si="170"/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 t="shared" si="171"/>
        <v/>
      </c>
      <c r="M2239" s="65" t="str">
        <f t="shared" ca="1" si="172"/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173"/>
        <v/>
      </c>
      <c r="S2239" s="1" t="str">
        <f t="shared" si="174"/>
        <v/>
      </c>
      <c r="T2239" s="1">
        <f>IF($E2239="",0,SUMPRODUCT((AY_SONU!$O$7:$O$42="Evet")*(AY_SONU!$B$7:$B$42=DATE(YEAR($E2239),MONTH($E2239),1))))</f>
        <v>0</v>
      </c>
      <c r="U2239" s="1" t="str">
        <f>IF(OR($G2239="",$H2239="Mahsup"),"",$G2239&amp;"|"&amp;COUNTIFS($G$7:$G2239,$G2239,$H$7:$H2239,"&lt;&gt;Mahsup"))</f>
        <v/>
      </c>
    </row>
    <row r="2240" spans="1:21" ht="18" customHeight="1" x14ac:dyDescent="0.3">
      <c r="A2240" s="2"/>
      <c r="B2240" s="65" t="str">
        <f t="shared" si="170"/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 t="shared" si="171"/>
        <v/>
      </c>
      <c r="M2240" s="65" t="str">
        <f t="shared" ca="1" si="172"/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173"/>
        <v/>
      </c>
      <c r="S2240" s="1" t="str">
        <f t="shared" si="174"/>
        <v/>
      </c>
      <c r="T2240" s="1">
        <f>IF($E2240="",0,SUMPRODUCT((AY_SONU!$O$7:$O$42="Evet")*(AY_SONU!$B$7:$B$42=DATE(YEAR($E2240),MONTH($E2240),1))))</f>
        <v>0</v>
      </c>
      <c r="U2240" s="1" t="str">
        <f>IF(OR($G2240="",$H2240="Mahsup"),"",$G2240&amp;"|"&amp;COUNTIFS($G$7:$G2240,$G2240,$H$7:$H2240,"&lt;&gt;Mahsup"))</f>
        <v/>
      </c>
    </row>
    <row r="2241" spans="1:21" ht="18" customHeight="1" x14ac:dyDescent="0.3">
      <c r="A2241" s="2"/>
      <c r="B2241" s="65" t="str">
        <f t="shared" si="170"/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 t="shared" si="171"/>
        <v/>
      </c>
      <c r="M2241" s="65" t="str">
        <f t="shared" ca="1" si="172"/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173"/>
        <v/>
      </c>
      <c r="S2241" s="1" t="str">
        <f t="shared" si="174"/>
        <v/>
      </c>
      <c r="T2241" s="1">
        <f>IF($E2241="",0,SUMPRODUCT((AY_SONU!$O$7:$O$42="Evet")*(AY_SONU!$B$7:$B$42=DATE(YEAR($E2241),MONTH($E2241),1))))</f>
        <v>0</v>
      </c>
      <c r="U2241" s="1" t="str">
        <f>IF(OR($G2241="",$H2241="Mahsup"),"",$G2241&amp;"|"&amp;COUNTIFS($G$7:$G2241,$G2241,$H$7:$H2241,"&lt;&gt;Mahsup"))</f>
        <v/>
      </c>
    </row>
    <row r="2242" spans="1:21" ht="18" customHeight="1" x14ac:dyDescent="0.3">
      <c r="A2242" s="2"/>
      <c r="B2242" s="65" t="str">
        <f t="shared" si="170"/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 t="shared" si="171"/>
        <v/>
      </c>
      <c r="M2242" s="65" t="str">
        <f t="shared" ca="1" si="172"/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173"/>
        <v/>
      </c>
      <c r="S2242" s="1" t="str">
        <f t="shared" si="174"/>
        <v/>
      </c>
      <c r="T2242" s="1">
        <f>IF($E2242="",0,SUMPRODUCT((AY_SONU!$O$7:$O$42="Evet")*(AY_SONU!$B$7:$B$42=DATE(YEAR($E2242),MONTH($E2242),1))))</f>
        <v>0</v>
      </c>
      <c r="U2242" s="1" t="str">
        <f>IF(OR($G2242="",$H2242="Mahsup"),"",$G2242&amp;"|"&amp;COUNTIFS($G$7:$G2242,$G2242,$H$7:$H2242,"&lt;&gt;Mahsup"))</f>
        <v/>
      </c>
    </row>
    <row r="2243" spans="1:21" ht="18" customHeight="1" x14ac:dyDescent="0.3">
      <c r="A2243" s="2"/>
      <c r="B2243" s="65" t="str">
        <f t="shared" si="170"/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 t="shared" si="171"/>
        <v/>
      </c>
      <c r="M2243" s="65" t="str">
        <f t="shared" ca="1" si="172"/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173"/>
        <v/>
      </c>
      <c r="S2243" s="1" t="str">
        <f t="shared" si="174"/>
        <v/>
      </c>
      <c r="T2243" s="1">
        <f>IF($E2243="",0,SUMPRODUCT((AY_SONU!$O$7:$O$42="Evet")*(AY_SONU!$B$7:$B$42=DATE(YEAR($E2243),MONTH($E2243),1))))</f>
        <v>0</v>
      </c>
      <c r="U2243" s="1" t="str">
        <f>IF(OR($G2243="",$H2243="Mahsup"),"",$G2243&amp;"|"&amp;COUNTIFS($G$7:$G2243,$G2243,$H$7:$H2243,"&lt;&gt;Mahsup"))</f>
        <v/>
      </c>
    </row>
    <row r="2244" spans="1:21" ht="18" customHeight="1" x14ac:dyDescent="0.3">
      <c r="A2244" s="2"/>
      <c r="B2244" s="65" t="str">
        <f t="shared" si="170"/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 t="shared" si="171"/>
        <v/>
      </c>
      <c r="M2244" s="65" t="str">
        <f t="shared" ca="1" si="172"/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173"/>
        <v/>
      </c>
      <c r="S2244" s="1" t="str">
        <f t="shared" si="174"/>
        <v/>
      </c>
      <c r="T2244" s="1">
        <f>IF($E2244="",0,SUMPRODUCT((AY_SONU!$O$7:$O$42="Evet")*(AY_SONU!$B$7:$B$42=DATE(YEAR($E2244),MONTH($E2244),1))))</f>
        <v>0</v>
      </c>
      <c r="U2244" s="1" t="str">
        <f>IF(OR($G2244="",$H2244="Mahsup"),"",$G2244&amp;"|"&amp;COUNTIFS($G$7:$G2244,$G2244,$H$7:$H2244,"&lt;&gt;Mahsup"))</f>
        <v/>
      </c>
    </row>
    <row r="2245" spans="1:21" ht="18" customHeight="1" x14ac:dyDescent="0.3">
      <c r="A2245" s="2"/>
      <c r="B2245" s="65" t="str">
        <f t="shared" si="170"/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 t="shared" si="171"/>
        <v/>
      </c>
      <c r="M2245" s="65" t="str">
        <f t="shared" ca="1" si="172"/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173"/>
        <v/>
      </c>
      <c r="S2245" s="1" t="str">
        <f t="shared" si="174"/>
        <v/>
      </c>
      <c r="T2245" s="1">
        <f>IF($E2245="",0,SUMPRODUCT((AY_SONU!$O$7:$O$42="Evet")*(AY_SONU!$B$7:$B$42=DATE(YEAR($E2245),MONTH($E2245),1))))</f>
        <v>0</v>
      </c>
      <c r="U2245" s="1" t="str">
        <f>IF(OR($G2245="",$H2245="Mahsup"),"",$G2245&amp;"|"&amp;COUNTIFS($G$7:$G2245,$G2245,$H$7:$H2245,"&lt;&gt;Mahsup"))</f>
        <v/>
      </c>
    </row>
    <row r="2246" spans="1:21" ht="18" customHeight="1" x14ac:dyDescent="0.3">
      <c r="A2246" s="2"/>
      <c r="B2246" s="65" t="str">
        <f t="shared" si="170"/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 t="shared" si="171"/>
        <v/>
      </c>
      <c r="M2246" s="65" t="str">
        <f t="shared" ca="1" si="172"/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173"/>
        <v/>
      </c>
      <c r="S2246" s="1" t="str">
        <f t="shared" si="174"/>
        <v/>
      </c>
      <c r="T2246" s="1">
        <f>IF($E2246="",0,SUMPRODUCT((AY_SONU!$O$7:$O$42="Evet")*(AY_SONU!$B$7:$B$42=DATE(YEAR($E2246),MONTH($E2246),1))))</f>
        <v>0</v>
      </c>
      <c r="U2246" s="1" t="str">
        <f>IF(OR($G2246="",$H2246="Mahsup"),"",$G2246&amp;"|"&amp;COUNTIFS($G$7:$G2246,$G2246,$H$7:$H2246,"&lt;&gt;Mahsup"))</f>
        <v/>
      </c>
    </row>
    <row r="2247" spans="1:21" ht="18" customHeight="1" x14ac:dyDescent="0.3">
      <c r="A2247" s="2"/>
      <c r="B2247" s="65" t="str">
        <f t="shared" ref="B2247:B2310" si="175"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 t="shared" ref="L2247:L2310" si="176">IF($E2247="","",DATE(YEAR($E2247),MONTH($E2247),1))</f>
        <v/>
      </c>
      <c r="M2247" s="65" t="str">
        <f t="shared" ref="M2247:M2310" ca="1" si="177"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178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179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  <c r="U2247" s="1" t="str">
        <f>IF(OR($G2247="",$H2247="Mahsup"),"",$G2247&amp;"|"&amp;COUNTIFS($G$7:$G2247,$G2247,$H$7:$H2247,"&lt;&gt;Mahsup"))</f>
        <v/>
      </c>
    </row>
    <row r="2248" spans="1:21" ht="18" customHeight="1" x14ac:dyDescent="0.3">
      <c r="A2248" s="2"/>
      <c r="B2248" s="65" t="str">
        <f t="shared" si="175"/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 t="shared" si="176"/>
        <v/>
      </c>
      <c r="M2248" s="65" t="str">
        <f t="shared" ca="1" si="177"/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178"/>
        <v/>
      </c>
      <c r="S2248" s="1" t="str">
        <f t="shared" si="179"/>
        <v/>
      </c>
      <c r="T2248" s="1">
        <f>IF($E2248="",0,SUMPRODUCT((AY_SONU!$O$7:$O$42="Evet")*(AY_SONU!$B$7:$B$42=DATE(YEAR($E2248),MONTH($E2248),1))))</f>
        <v>0</v>
      </c>
      <c r="U2248" s="1" t="str">
        <f>IF(OR($G2248="",$H2248="Mahsup"),"",$G2248&amp;"|"&amp;COUNTIFS($G$7:$G2248,$G2248,$H$7:$H2248,"&lt;&gt;Mahsup"))</f>
        <v/>
      </c>
    </row>
    <row r="2249" spans="1:21" ht="18" customHeight="1" x14ac:dyDescent="0.3">
      <c r="A2249" s="2"/>
      <c r="B2249" s="65" t="str">
        <f t="shared" si="175"/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 t="shared" si="176"/>
        <v/>
      </c>
      <c r="M2249" s="65" t="str">
        <f t="shared" ca="1" si="177"/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178"/>
        <v/>
      </c>
      <c r="S2249" s="1" t="str">
        <f t="shared" si="179"/>
        <v/>
      </c>
      <c r="T2249" s="1">
        <f>IF($E2249="",0,SUMPRODUCT((AY_SONU!$O$7:$O$42="Evet")*(AY_SONU!$B$7:$B$42=DATE(YEAR($E2249),MONTH($E2249),1))))</f>
        <v>0</v>
      </c>
      <c r="U2249" s="1" t="str">
        <f>IF(OR($G2249="",$H2249="Mahsup"),"",$G2249&amp;"|"&amp;COUNTIFS($G$7:$G2249,$G2249,$H$7:$H2249,"&lt;&gt;Mahsup"))</f>
        <v/>
      </c>
    </row>
    <row r="2250" spans="1:21" ht="18" customHeight="1" x14ac:dyDescent="0.3">
      <c r="A2250" s="2"/>
      <c r="B2250" s="65" t="str">
        <f t="shared" si="175"/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 t="shared" si="176"/>
        <v/>
      </c>
      <c r="M2250" s="65" t="str">
        <f t="shared" ca="1" si="177"/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178"/>
        <v/>
      </c>
      <c r="S2250" s="1" t="str">
        <f t="shared" si="179"/>
        <v/>
      </c>
      <c r="T2250" s="1">
        <f>IF($E2250="",0,SUMPRODUCT((AY_SONU!$O$7:$O$42="Evet")*(AY_SONU!$B$7:$B$42=DATE(YEAR($E2250),MONTH($E2250),1))))</f>
        <v>0</v>
      </c>
      <c r="U2250" s="1" t="str">
        <f>IF(OR($G2250="",$H2250="Mahsup"),"",$G2250&amp;"|"&amp;COUNTIFS($G$7:$G2250,$G2250,$H$7:$H2250,"&lt;&gt;Mahsup"))</f>
        <v/>
      </c>
    </row>
    <row r="2251" spans="1:21" ht="18" customHeight="1" x14ac:dyDescent="0.3">
      <c r="A2251" s="2"/>
      <c r="B2251" s="65" t="str">
        <f t="shared" si="175"/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 t="shared" si="176"/>
        <v/>
      </c>
      <c r="M2251" s="65" t="str">
        <f t="shared" ca="1" si="177"/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178"/>
        <v/>
      </c>
      <c r="S2251" s="1" t="str">
        <f t="shared" si="179"/>
        <v/>
      </c>
      <c r="T2251" s="1">
        <f>IF($E2251="",0,SUMPRODUCT((AY_SONU!$O$7:$O$42="Evet")*(AY_SONU!$B$7:$B$42=DATE(YEAR($E2251),MONTH($E2251),1))))</f>
        <v>0</v>
      </c>
      <c r="U2251" s="1" t="str">
        <f>IF(OR($G2251="",$H2251="Mahsup"),"",$G2251&amp;"|"&amp;COUNTIFS($G$7:$G2251,$G2251,$H$7:$H2251,"&lt;&gt;Mahsup"))</f>
        <v/>
      </c>
    </row>
    <row r="2252" spans="1:21" ht="18" customHeight="1" x14ac:dyDescent="0.3">
      <c r="A2252" s="2"/>
      <c r="B2252" s="65" t="str">
        <f t="shared" si="175"/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 t="shared" si="176"/>
        <v/>
      </c>
      <c r="M2252" s="65" t="str">
        <f t="shared" ca="1" si="177"/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178"/>
        <v/>
      </c>
      <c r="S2252" s="1" t="str">
        <f t="shared" si="179"/>
        <v/>
      </c>
      <c r="T2252" s="1">
        <f>IF($E2252="",0,SUMPRODUCT((AY_SONU!$O$7:$O$42="Evet")*(AY_SONU!$B$7:$B$42=DATE(YEAR($E2252),MONTH($E2252),1))))</f>
        <v>0</v>
      </c>
      <c r="U2252" s="1" t="str">
        <f>IF(OR($G2252="",$H2252="Mahsup"),"",$G2252&amp;"|"&amp;COUNTIFS($G$7:$G2252,$G2252,$H$7:$H2252,"&lt;&gt;Mahsup"))</f>
        <v/>
      </c>
    </row>
    <row r="2253" spans="1:21" ht="18" customHeight="1" x14ac:dyDescent="0.3">
      <c r="A2253" s="2"/>
      <c r="B2253" s="65" t="str">
        <f t="shared" si="175"/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 t="shared" si="176"/>
        <v/>
      </c>
      <c r="M2253" s="65" t="str">
        <f t="shared" ca="1" si="177"/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178"/>
        <v/>
      </c>
      <c r="S2253" s="1" t="str">
        <f t="shared" si="179"/>
        <v/>
      </c>
      <c r="T2253" s="1">
        <f>IF($E2253="",0,SUMPRODUCT((AY_SONU!$O$7:$O$42="Evet")*(AY_SONU!$B$7:$B$42=DATE(YEAR($E2253),MONTH($E2253),1))))</f>
        <v>0</v>
      </c>
      <c r="U2253" s="1" t="str">
        <f>IF(OR($G2253="",$H2253="Mahsup"),"",$G2253&amp;"|"&amp;COUNTIFS($G$7:$G2253,$G2253,$H$7:$H2253,"&lt;&gt;Mahsup"))</f>
        <v/>
      </c>
    </row>
    <row r="2254" spans="1:21" ht="18" customHeight="1" x14ac:dyDescent="0.3">
      <c r="A2254" s="2"/>
      <c r="B2254" s="65" t="str">
        <f t="shared" si="175"/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 t="shared" si="176"/>
        <v/>
      </c>
      <c r="M2254" s="65" t="str">
        <f t="shared" ca="1" si="177"/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178"/>
        <v/>
      </c>
      <c r="S2254" s="1" t="str">
        <f t="shared" si="179"/>
        <v/>
      </c>
      <c r="T2254" s="1">
        <f>IF($E2254="",0,SUMPRODUCT((AY_SONU!$O$7:$O$42="Evet")*(AY_SONU!$B$7:$B$42=DATE(YEAR($E2254),MONTH($E2254),1))))</f>
        <v>0</v>
      </c>
      <c r="U2254" s="1" t="str">
        <f>IF(OR($G2254="",$H2254="Mahsup"),"",$G2254&amp;"|"&amp;COUNTIFS($G$7:$G2254,$G2254,$H$7:$H2254,"&lt;&gt;Mahsup"))</f>
        <v/>
      </c>
    </row>
    <row r="2255" spans="1:21" ht="18" customHeight="1" x14ac:dyDescent="0.3">
      <c r="A2255" s="2"/>
      <c r="B2255" s="65" t="str">
        <f t="shared" si="175"/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 t="shared" si="176"/>
        <v/>
      </c>
      <c r="M2255" s="65" t="str">
        <f t="shared" ca="1" si="177"/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178"/>
        <v/>
      </c>
      <c r="S2255" s="1" t="str">
        <f t="shared" si="179"/>
        <v/>
      </c>
      <c r="T2255" s="1">
        <f>IF($E2255="",0,SUMPRODUCT((AY_SONU!$O$7:$O$42="Evet")*(AY_SONU!$B$7:$B$42=DATE(YEAR($E2255),MONTH($E2255),1))))</f>
        <v>0</v>
      </c>
      <c r="U2255" s="1" t="str">
        <f>IF(OR($G2255="",$H2255="Mahsup"),"",$G2255&amp;"|"&amp;COUNTIFS($G$7:$G2255,$G2255,$H$7:$H2255,"&lt;&gt;Mahsup"))</f>
        <v/>
      </c>
    </row>
    <row r="2256" spans="1:21" ht="18" customHeight="1" x14ac:dyDescent="0.3">
      <c r="A2256" s="2"/>
      <c r="B2256" s="65" t="str">
        <f t="shared" si="175"/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 t="shared" si="176"/>
        <v/>
      </c>
      <c r="M2256" s="65" t="str">
        <f t="shared" ca="1" si="177"/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178"/>
        <v/>
      </c>
      <c r="S2256" s="1" t="str">
        <f t="shared" si="179"/>
        <v/>
      </c>
      <c r="T2256" s="1">
        <f>IF($E2256="",0,SUMPRODUCT((AY_SONU!$O$7:$O$42="Evet")*(AY_SONU!$B$7:$B$42=DATE(YEAR($E2256),MONTH($E2256),1))))</f>
        <v>0</v>
      </c>
      <c r="U2256" s="1" t="str">
        <f>IF(OR($G2256="",$H2256="Mahsup"),"",$G2256&amp;"|"&amp;COUNTIFS($G$7:$G2256,$G2256,$H$7:$H2256,"&lt;&gt;Mahsup"))</f>
        <v/>
      </c>
    </row>
    <row r="2257" spans="1:21" ht="18" customHeight="1" x14ac:dyDescent="0.3">
      <c r="A2257" s="2"/>
      <c r="B2257" s="65" t="str">
        <f t="shared" si="175"/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 t="shared" si="176"/>
        <v/>
      </c>
      <c r="M2257" s="65" t="str">
        <f t="shared" ca="1" si="177"/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178"/>
        <v/>
      </c>
      <c r="S2257" s="1" t="str">
        <f t="shared" si="179"/>
        <v/>
      </c>
      <c r="T2257" s="1">
        <f>IF($E2257="",0,SUMPRODUCT((AY_SONU!$O$7:$O$42="Evet")*(AY_SONU!$B$7:$B$42=DATE(YEAR($E2257),MONTH($E2257),1))))</f>
        <v>0</v>
      </c>
      <c r="U2257" s="1" t="str">
        <f>IF(OR($G2257="",$H2257="Mahsup"),"",$G2257&amp;"|"&amp;COUNTIFS($G$7:$G2257,$G2257,$H$7:$H2257,"&lt;&gt;Mahsup"))</f>
        <v/>
      </c>
    </row>
    <row r="2258" spans="1:21" ht="18" customHeight="1" x14ac:dyDescent="0.3">
      <c r="A2258" s="2"/>
      <c r="B2258" s="65" t="str">
        <f t="shared" si="175"/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 t="shared" si="176"/>
        <v/>
      </c>
      <c r="M2258" s="65" t="str">
        <f t="shared" ca="1" si="177"/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178"/>
        <v/>
      </c>
      <c r="S2258" s="1" t="str">
        <f t="shared" si="179"/>
        <v/>
      </c>
      <c r="T2258" s="1">
        <f>IF($E2258="",0,SUMPRODUCT((AY_SONU!$O$7:$O$42="Evet")*(AY_SONU!$B$7:$B$42=DATE(YEAR($E2258),MONTH($E2258),1))))</f>
        <v>0</v>
      </c>
      <c r="U2258" s="1" t="str">
        <f>IF(OR($G2258="",$H2258="Mahsup"),"",$G2258&amp;"|"&amp;COUNTIFS($G$7:$G2258,$G2258,$H$7:$H2258,"&lt;&gt;Mahsup"))</f>
        <v/>
      </c>
    </row>
    <row r="2259" spans="1:21" ht="18" customHeight="1" x14ac:dyDescent="0.3">
      <c r="A2259" s="2"/>
      <c r="B2259" s="65" t="str">
        <f t="shared" si="175"/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 t="shared" si="176"/>
        <v/>
      </c>
      <c r="M2259" s="65" t="str">
        <f t="shared" ca="1" si="177"/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178"/>
        <v/>
      </c>
      <c r="S2259" s="1" t="str">
        <f t="shared" si="179"/>
        <v/>
      </c>
      <c r="T2259" s="1">
        <f>IF($E2259="",0,SUMPRODUCT((AY_SONU!$O$7:$O$42="Evet")*(AY_SONU!$B$7:$B$42=DATE(YEAR($E2259),MONTH($E2259),1))))</f>
        <v>0</v>
      </c>
      <c r="U2259" s="1" t="str">
        <f>IF(OR($G2259="",$H2259="Mahsup"),"",$G2259&amp;"|"&amp;COUNTIFS($G$7:$G2259,$G2259,$H$7:$H2259,"&lt;&gt;Mahsup"))</f>
        <v/>
      </c>
    </row>
    <row r="2260" spans="1:21" ht="18" customHeight="1" x14ac:dyDescent="0.3">
      <c r="A2260" s="2"/>
      <c r="B2260" s="65" t="str">
        <f t="shared" si="175"/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 t="shared" si="176"/>
        <v/>
      </c>
      <c r="M2260" s="65" t="str">
        <f t="shared" ca="1" si="177"/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178"/>
        <v/>
      </c>
      <c r="S2260" s="1" t="str">
        <f t="shared" si="179"/>
        <v/>
      </c>
      <c r="T2260" s="1">
        <f>IF($E2260="",0,SUMPRODUCT((AY_SONU!$O$7:$O$42="Evet")*(AY_SONU!$B$7:$B$42=DATE(YEAR($E2260),MONTH($E2260),1))))</f>
        <v>0</v>
      </c>
      <c r="U2260" s="1" t="str">
        <f>IF(OR($G2260="",$H2260="Mahsup"),"",$G2260&amp;"|"&amp;COUNTIFS($G$7:$G2260,$G2260,$H$7:$H2260,"&lt;&gt;Mahsup"))</f>
        <v/>
      </c>
    </row>
    <row r="2261" spans="1:21" ht="18" customHeight="1" x14ac:dyDescent="0.3">
      <c r="A2261" s="2"/>
      <c r="B2261" s="65" t="str">
        <f t="shared" si="175"/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 t="shared" si="176"/>
        <v/>
      </c>
      <c r="M2261" s="65" t="str">
        <f t="shared" ca="1" si="177"/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178"/>
        <v/>
      </c>
      <c r="S2261" s="1" t="str">
        <f t="shared" si="179"/>
        <v/>
      </c>
      <c r="T2261" s="1">
        <f>IF($E2261="",0,SUMPRODUCT((AY_SONU!$O$7:$O$42="Evet")*(AY_SONU!$B$7:$B$42=DATE(YEAR($E2261),MONTH($E2261),1))))</f>
        <v>0</v>
      </c>
      <c r="U2261" s="1" t="str">
        <f>IF(OR($G2261="",$H2261="Mahsup"),"",$G2261&amp;"|"&amp;COUNTIFS($G$7:$G2261,$G2261,$H$7:$H2261,"&lt;&gt;Mahsup"))</f>
        <v/>
      </c>
    </row>
    <row r="2262" spans="1:21" ht="18" customHeight="1" x14ac:dyDescent="0.3">
      <c r="A2262" s="2"/>
      <c r="B2262" s="65" t="str">
        <f t="shared" si="175"/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 t="shared" si="176"/>
        <v/>
      </c>
      <c r="M2262" s="65" t="str">
        <f t="shared" ca="1" si="177"/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178"/>
        <v/>
      </c>
      <c r="S2262" s="1" t="str">
        <f t="shared" si="179"/>
        <v/>
      </c>
      <c r="T2262" s="1">
        <f>IF($E2262="",0,SUMPRODUCT((AY_SONU!$O$7:$O$42="Evet")*(AY_SONU!$B$7:$B$42=DATE(YEAR($E2262),MONTH($E2262),1))))</f>
        <v>0</v>
      </c>
      <c r="U2262" s="1" t="str">
        <f>IF(OR($G2262="",$H2262="Mahsup"),"",$G2262&amp;"|"&amp;COUNTIFS($G$7:$G2262,$G2262,$H$7:$H2262,"&lt;&gt;Mahsup"))</f>
        <v/>
      </c>
    </row>
    <row r="2263" spans="1:21" ht="18" customHeight="1" x14ac:dyDescent="0.3">
      <c r="A2263" s="2"/>
      <c r="B2263" s="65" t="str">
        <f t="shared" si="175"/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 t="shared" si="176"/>
        <v/>
      </c>
      <c r="M2263" s="65" t="str">
        <f t="shared" ca="1" si="177"/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178"/>
        <v/>
      </c>
      <c r="S2263" s="1" t="str">
        <f t="shared" si="179"/>
        <v/>
      </c>
      <c r="T2263" s="1">
        <f>IF($E2263="",0,SUMPRODUCT((AY_SONU!$O$7:$O$42="Evet")*(AY_SONU!$B$7:$B$42=DATE(YEAR($E2263),MONTH($E2263),1))))</f>
        <v>0</v>
      </c>
      <c r="U2263" s="1" t="str">
        <f>IF(OR($G2263="",$H2263="Mahsup"),"",$G2263&amp;"|"&amp;COUNTIFS($G$7:$G2263,$G2263,$H$7:$H2263,"&lt;&gt;Mahsup"))</f>
        <v/>
      </c>
    </row>
    <row r="2264" spans="1:21" ht="18" customHeight="1" x14ac:dyDescent="0.3">
      <c r="A2264" s="2"/>
      <c r="B2264" s="65" t="str">
        <f t="shared" si="175"/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 t="shared" si="176"/>
        <v/>
      </c>
      <c r="M2264" s="65" t="str">
        <f t="shared" ca="1" si="177"/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178"/>
        <v/>
      </c>
      <c r="S2264" s="1" t="str">
        <f t="shared" si="179"/>
        <v/>
      </c>
      <c r="T2264" s="1">
        <f>IF($E2264="",0,SUMPRODUCT((AY_SONU!$O$7:$O$42="Evet")*(AY_SONU!$B$7:$B$42=DATE(YEAR($E2264),MONTH($E2264),1))))</f>
        <v>0</v>
      </c>
      <c r="U2264" s="1" t="str">
        <f>IF(OR($G2264="",$H2264="Mahsup"),"",$G2264&amp;"|"&amp;COUNTIFS($G$7:$G2264,$G2264,$H$7:$H2264,"&lt;&gt;Mahsup"))</f>
        <v/>
      </c>
    </row>
    <row r="2265" spans="1:21" ht="18" customHeight="1" x14ac:dyDescent="0.3">
      <c r="A2265" s="2"/>
      <c r="B2265" s="65" t="str">
        <f t="shared" si="175"/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 t="shared" si="176"/>
        <v/>
      </c>
      <c r="M2265" s="65" t="str">
        <f t="shared" ca="1" si="177"/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178"/>
        <v/>
      </c>
      <c r="S2265" s="1" t="str">
        <f t="shared" si="179"/>
        <v/>
      </c>
      <c r="T2265" s="1">
        <f>IF($E2265="",0,SUMPRODUCT((AY_SONU!$O$7:$O$42="Evet")*(AY_SONU!$B$7:$B$42=DATE(YEAR($E2265),MONTH($E2265),1))))</f>
        <v>0</v>
      </c>
      <c r="U2265" s="1" t="str">
        <f>IF(OR($G2265="",$H2265="Mahsup"),"",$G2265&amp;"|"&amp;COUNTIFS($G$7:$G2265,$G2265,$H$7:$H2265,"&lt;&gt;Mahsup"))</f>
        <v/>
      </c>
    </row>
    <row r="2266" spans="1:21" ht="18" customHeight="1" x14ac:dyDescent="0.3">
      <c r="A2266" s="2"/>
      <c r="B2266" s="65" t="str">
        <f t="shared" si="175"/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 t="shared" si="176"/>
        <v/>
      </c>
      <c r="M2266" s="65" t="str">
        <f t="shared" ca="1" si="177"/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178"/>
        <v/>
      </c>
      <c r="S2266" s="1" t="str">
        <f t="shared" si="179"/>
        <v/>
      </c>
      <c r="T2266" s="1">
        <f>IF($E2266="",0,SUMPRODUCT((AY_SONU!$O$7:$O$42="Evet")*(AY_SONU!$B$7:$B$42=DATE(YEAR($E2266),MONTH($E2266),1))))</f>
        <v>0</v>
      </c>
      <c r="U2266" s="1" t="str">
        <f>IF(OR($G2266="",$H2266="Mahsup"),"",$G2266&amp;"|"&amp;COUNTIFS($G$7:$G2266,$G2266,$H$7:$H2266,"&lt;&gt;Mahsup"))</f>
        <v/>
      </c>
    </row>
    <row r="2267" spans="1:21" ht="18" customHeight="1" x14ac:dyDescent="0.3">
      <c r="A2267" s="2"/>
      <c r="B2267" s="65" t="str">
        <f t="shared" si="175"/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 t="shared" si="176"/>
        <v/>
      </c>
      <c r="M2267" s="65" t="str">
        <f t="shared" ca="1" si="177"/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178"/>
        <v/>
      </c>
      <c r="S2267" s="1" t="str">
        <f t="shared" si="179"/>
        <v/>
      </c>
      <c r="T2267" s="1">
        <f>IF($E2267="",0,SUMPRODUCT((AY_SONU!$O$7:$O$42="Evet")*(AY_SONU!$B$7:$B$42=DATE(YEAR($E2267),MONTH($E2267),1))))</f>
        <v>0</v>
      </c>
      <c r="U2267" s="1" t="str">
        <f>IF(OR($G2267="",$H2267="Mahsup"),"",$G2267&amp;"|"&amp;COUNTIFS($G$7:$G2267,$G2267,$H$7:$H2267,"&lt;&gt;Mahsup"))</f>
        <v/>
      </c>
    </row>
    <row r="2268" spans="1:21" ht="18" customHeight="1" x14ac:dyDescent="0.3">
      <c r="A2268" s="2"/>
      <c r="B2268" s="65" t="str">
        <f t="shared" si="175"/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 t="shared" si="176"/>
        <v/>
      </c>
      <c r="M2268" s="65" t="str">
        <f t="shared" ca="1" si="177"/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178"/>
        <v/>
      </c>
      <c r="S2268" s="1" t="str">
        <f t="shared" si="179"/>
        <v/>
      </c>
      <c r="T2268" s="1">
        <f>IF($E2268="",0,SUMPRODUCT((AY_SONU!$O$7:$O$42="Evet")*(AY_SONU!$B$7:$B$42=DATE(YEAR($E2268),MONTH($E2268),1))))</f>
        <v>0</v>
      </c>
      <c r="U2268" s="1" t="str">
        <f>IF(OR($G2268="",$H2268="Mahsup"),"",$G2268&amp;"|"&amp;COUNTIFS($G$7:$G2268,$G2268,$H$7:$H2268,"&lt;&gt;Mahsup"))</f>
        <v/>
      </c>
    </row>
    <row r="2269" spans="1:21" ht="18" customHeight="1" x14ac:dyDescent="0.3">
      <c r="A2269" s="2"/>
      <c r="B2269" s="65" t="str">
        <f t="shared" si="175"/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 t="shared" si="176"/>
        <v/>
      </c>
      <c r="M2269" s="65" t="str">
        <f t="shared" ca="1" si="177"/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178"/>
        <v/>
      </c>
      <c r="S2269" s="1" t="str">
        <f t="shared" si="179"/>
        <v/>
      </c>
      <c r="T2269" s="1">
        <f>IF($E2269="",0,SUMPRODUCT((AY_SONU!$O$7:$O$42="Evet")*(AY_SONU!$B$7:$B$42=DATE(YEAR($E2269),MONTH($E2269),1))))</f>
        <v>0</v>
      </c>
      <c r="U2269" s="1" t="str">
        <f>IF(OR($G2269="",$H2269="Mahsup"),"",$G2269&amp;"|"&amp;COUNTIFS($G$7:$G2269,$G2269,$H$7:$H2269,"&lt;&gt;Mahsup"))</f>
        <v/>
      </c>
    </row>
    <row r="2270" spans="1:21" ht="18" customHeight="1" x14ac:dyDescent="0.3">
      <c r="A2270" s="2"/>
      <c r="B2270" s="65" t="str">
        <f t="shared" si="175"/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 t="shared" si="176"/>
        <v/>
      </c>
      <c r="M2270" s="65" t="str">
        <f t="shared" ca="1" si="177"/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178"/>
        <v/>
      </c>
      <c r="S2270" s="1" t="str">
        <f t="shared" si="179"/>
        <v/>
      </c>
      <c r="T2270" s="1">
        <f>IF($E2270="",0,SUMPRODUCT((AY_SONU!$O$7:$O$42="Evet")*(AY_SONU!$B$7:$B$42=DATE(YEAR($E2270),MONTH($E2270),1))))</f>
        <v>0</v>
      </c>
      <c r="U2270" s="1" t="str">
        <f>IF(OR($G2270="",$H2270="Mahsup"),"",$G2270&amp;"|"&amp;COUNTIFS($G$7:$G2270,$G2270,$H$7:$H2270,"&lt;&gt;Mahsup"))</f>
        <v/>
      </c>
    </row>
    <row r="2271" spans="1:21" ht="18" customHeight="1" x14ac:dyDescent="0.3">
      <c r="A2271" s="2"/>
      <c r="B2271" s="65" t="str">
        <f t="shared" si="175"/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 t="shared" si="176"/>
        <v/>
      </c>
      <c r="M2271" s="65" t="str">
        <f t="shared" ca="1" si="177"/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178"/>
        <v/>
      </c>
      <c r="S2271" s="1" t="str">
        <f t="shared" si="179"/>
        <v/>
      </c>
      <c r="T2271" s="1">
        <f>IF($E2271="",0,SUMPRODUCT((AY_SONU!$O$7:$O$42="Evet")*(AY_SONU!$B$7:$B$42=DATE(YEAR($E2271),MONTH($E2271),1))))</f>
        <v>0</v>
      </c>
      <c r="U2271" s="1" t="str">
        <f>IF(OR($G2271="",$H2271="Mahsup"),"",$G2271&amp;"|"&amp;COUNTIFS($G$7:$G2271,$G2271,$H$7:$H2271,"&lt;&gt;Mahsup"))</f>
        <v/>
      </c>
    </row>
    <row r="2272" spans="1:21" ht="18" customHeight="1" x14ac:dyDescent="0.3">
      <c r="A2272" s="2"/>
      <c r="B2272" s="65" t="str">
        <f t="shared" si="175"/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 t="shared" si="176"/>
        <v/>
      </c>
      <c r="M2272" s="65" t="str">
        <f t="shared" ca="1" si="177"/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178"/>
        <v/>
      </c>
      <c r="S2272" s="1" t="str">
        <f t="shared" si="179"/>
        <v/>
      </c>
      <c r="T2272" s="1">
        <f>IF($E2272="",0,SUMPRODUCT((AY_SONU!$O$7:$O$42="Evet")*(AY_SONU!$B$7:$B$42=DATE(YEAR($E2272),MONTH($E2272),1))))</f>
        <v>0</v>
      </c>
      <c r="U2272" s="1" t="str">
        <f>IF(OR($G2272="",$H2272="Mahsup"),"",$G2272&amp;"|"&amp;COUNTIFS($G$7:$G2272,$G2272,$H$7:$H2272,"&lt;&gt;Mahsup"))</f>
        <v/>
      </c>
    </row>
    <row r="2273" spans="1:21" ht="18" customHeight="1" x14ac:dyDescent="0.3">
      <c r="A2273" s="2"/>
      <c r="B2273" s="65" t="str">
        <f t="shared" si="175"/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 t="shared" si="176"/>
        <v/>
      </c>
      <c r="M2273" s="65" t="str">
        <f t="shared" ca="1" si="177"/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178"/>
        <v/>
      </c>
      <c r="S2273" s="1" t="str">
        <f t="shared" si="179"/>
        <v/>
      </c>
      <c r="T2273" s="1">
        <f>IF($E2273="",0,SUMPRODUCT((AY_SONU!$O$7:$O$42="Evet")*(AY_SONU!$B$7:$B$42=DATE(YEAR($E2273),MONTH($E2273),1))))</f>
        <v>0</v>
      </c>
      <c r="U2273" s="1" t="str">
        <f>IF(OR($G2273="",$H2273="Mahsup"),"",$G2273&amp;"|"&amp;COUNTIFS($G$7:$G2273,$G2273,$H$7:$H2273,"&lt;&gt;Mahsup"))</f>
        <v/>
      </c>
    </row>
    <row r="2274" spans="1:21" ht="18" customHeight="1" x14ac:dyDescent="0.3">
      <c r="A2274" s="2"/>
      <c r="B2274" s="65" t="str">
        <f t="shared" si="175"/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 t="shared" si="176"/>
        <v/>
      </c>
      <c r="M2274" s="65" t="str">
        <f t="shared" ca="1" si="177"/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178"/>
        <v/>
      </c>
      <c r="S2274" s="1" t="str">
        <f t="shared" si="179"/>
        <v/>
      </c>
      <c r="T2274" s="1">
        <f>IF($E2274="",0,SUMPRODUCT((AY_SONU!$O$7:$O$42="Evet")*(AY_SONU!$B$7:$B$42=DATE(YEAR($E2274),MONTH($E2274),1))))</f>
        <v>0</v>
      </c>
      <c r="U2274" s="1" t="str">
        <f>IF(OR($G2274="",$H2274="Mahsup"),"",$G2274&amp;"|"&amp;COUNTIFS($G$7:$G2274,$G2274,$H$7:$H2274,"&lt;&gt;Mahsup"))</f>
        <v/>
      </c>
    </row>
    <row r="2275" spans="1:21" ht="18" customHeight="1" x14ac:dyDescent="0.3">
      <c r="A2275" s="2"/>
      <c r="B2275" s="65" t="str">
        <f t="shared" si="175"/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 t="shared" si="176"/>
        <v/>
      </c>
      <c r="M2275" s="65" t="str">
        <f t="shared" ca="1" si="177"/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178"/>
        <v/>
      </c>
      <c r="S2275" s="1" t="str">
        <f t="shared" si="179"/>
        <v/>
      </c>
      <c r="T2275" s="1">
        <f>IF($E2275="",0,SUMPRODUCT((AY_SONU!$O$7:$O$42="Evet")*(AY_SONU!$B$7:$B$42=DATE(YEAR($E2275),MONTH($E2275),1))))</f>
        <v>0</v>
      </c>
      <c r="U2275" s="1" t="str">
        <f>IF(OR($G2275="",$H2275="Mahsup"),"",$G2275&amp;"|"&amp;COUNTIFS($G$7:$G2275,$G2275,$H$7:$H2275,"&lt;&gt;Mahsup"))</f>
        <v/>
      </c>
    </row>
    <row r="2276" spans="1:21" ht="18" customHeight="1" x14ac:dyDescent="0.3">
      <c r="A2276" s="2"/>
      <c r="B2276" s="65" t="str">
        <f t="shared" si="175"/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 t="shared" si="176"/>
        <v/>
      </c>
      <c r="M2276" s="65" t="str">
        <f t="shared" ca="1" si="177"/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178"/>
        <v/>
      </c>
      <c r="S2276" s="1" t="str">
        <f t="shared" si="179"/>
        <v/>
      </c>
      <c r="T2276" s="1">
        <f>IF($E2276="",0,SUMPRODUCT((AY_SONU!$O$7:$O$42="Evet")*(AY_SONU!$B$7:$B$42=DATE(YEAR($E2276),MONTH($E2276),1))))</f>
        <v>0</v>
      </c>
      <c r="U2276" s="1" t="str">
        <f>IF(OR($G2276="",$H2276="Mahsup"),"",$G2276&amp;"|"&amp;COUNTIFS($G$7:$G2276,$G2276,$H$7:$H2276,"&lt;&gt;Mahsup"))</f>
        <v/>
      </c>
    </row>
    <row r="2277" spans="1:21" ht="18" customHeight="1" x14ac:dyDescent="0.3">
      <c r="A2277" s="2"/>
      <c r="B2277" s="65" t="str">
        <f t="shared" si="175"/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 t="shared" si="176"/>
        <v/>
      </c>
      <c r="M2277" s="65" t="str">
        <f t="shared" ca="1" si="177"/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178"/>
        <v/>
      </c>
      <c r="S2277" s="1" t="str">
        <f t="shared" si="179"/>
        <v/>
      </c>
      <c r="T2277" s="1">
        <f>IF($E2277="",0,SUMPRODUCT((AY_SONU!$O$7:$O$42="Evet")*(AY_SONU!$B$7:$B$42=DATE(YEAR($E2277),MONTH($E2277),1))))</f>
        <v>0</v>
      </c>
      <c r="U2277" s="1" t="str">
        <f>IF(OR($G2277="",$H2277="Mahsup"),"",$G2277&amp;"|"&amp;COUNTIFS($G$7:$G2277,$G2277,$H$7:$H2277,"&lt;&gt;Mahsup"))</f>
        <v/>
      </c>
    </row>
    <row r="2278" spans="1:21" ht="18" customHeight="1" x14ac:dyDescent="0.3">
      <c r="A2278" s="2"/>
      <c r="B2278" s="65" t="str">
        <f t="shared" si="175"/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 t="shared" si="176"/>
        <v/>
      </c>
      <c r="M2278" s="65" t="str">
        <f t="shared" ca="1" si="177"/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178"/>
        <v/>
      </c>
      <c r="S2278" s="1" t="str">
        <f t="shared" si="179"/>
        <v/>
      </c>
      <c r="T2278" s="1">
        <f>IF($E2278="",0,SUMPRODUCT((AY_SONU!$O$7:$O$42="Evet")*(AY_SONU!$B$7:$B$42=DATE(YEAR($E2278),MONTH($E2278),1))))</f>
        <v>0</v>
      </c>
      <c r="U2278" s="1" t="str">
        <f>IF(OR($G2278="",$H2278="Mahsup"),"",$G2278&amp;"|"&amp;COUNTIFS($G$7:$G2278,$G2278,$H$7:$H2278,"&lt;&gt;Mahsup"))</f>
        <v/>
      </c>
    </row>
    <row r="2279" spans="1:21" ht="18" customHeight="1" x14ac:dyDescent="0.3">
      <c r="A2279" s="2"/>
      <c r="B2279" s="65" t="str">
        <f t="shared" si="175"/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 t="shared" si="176"/>
        <v/>
      </c>
      <c r="M2279" s="65" t="str">
        <f t="shared" ca="1" si="177"/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178"/>
        <v/>
      </c>
      <c r="S2279" s="1" t="str">
        <f t="shared" si="179"/>
        <v/>
      </c>
      <c r="T2279" s="1">
        <f>IF($E2279="",0,SUMPRODUCT((AY_SONU!$O$7:$O$42="Evet")*(AY_SONU!$B$7:$B$42=DATE(YEAR($E2279),MONTH($E2279),1))))</f>
        <v>0</v>
      </c>
      <c r="U2279" s="1" t="str">
        <f>IF(OR($G2279="",$H2279="Mahsup"),"",$G2279&amp;"|"&amp;COUNTIFS($G$7:$G2279,$G2279,$H$7:$H2279,"&lt;&gt;Mahsup"))</f>
        <v/>
      </c>
    </row>
    <row r="2280" spans="1:21" ht="18" customHeight="1" x14ac:dyDescent="0.3">
      <c r="A2280" s="2"/>
      <c r="B2280" s="65" t="str">
        <f t="shared" si="175"/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 t="shared" si="176"/>
        <v/>
      </c>
      <c r="M2280" s="65" t="str">
        <f t="shared" ca="1" si="177"/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178"/>
        <v/>
      </c>
      <c r="S2280" s="1" t="str">
        <f t="shared" si="179"/>
        <v/>
      </c>
      <c r="T2280" s="1">
        <f>IF($E2280="",0,SUMPRODUCT((AY_SONU!$O$7:$O$42="Evet")*(AY_SONU!$B$7:$B$42=DATE(YEAR($E2280),MONTH($E2280),1))))</f>
        <v>0</v>
      </c>
      <c r="U2280" s="1" t="str">
        <f>IF(OR($G2280="",$H2280="Mahsup"),"",$G2280&amp;"|"&amp;COUNTIFS($G$7:$G2280,$G2280,$H$7:$H2280,"&lt;&gt;Mahsup"))</f>
        <v/>
      </c>
    </row>
    <row r="2281" spans="1:21" ht="18" customHeight="1" x14ac:dyDescent="0.3">
      <c r="A2281" s="2"/>
      <c r="B2281" s="65" t="str">
        <f t="shared" si="175"/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 t="shared" si="176"/>
        <v/>
      </c>
      <c r="M2281" s="65" t="str">
        <f t="shared" ca="1" si="177"/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178"/>
        <v/>
      </c>
      <c r="S2281" s="1" t="str">
        <f t="shared" si="179"/>
        <v/>
      </c>
      <c r="T2281" s="1">
        <f>IF($E2281="",0,SUMPRODUCT((AY_SONU!$O$7:$O$42="Evet")*(AY_SONU!$B$7:$B$42=DATE(YEAR($E2281),MONTH($E2281),1))))</f>
        <v>0</v>
      </c>
      <c r="U2281" s="1" t="str">
        <f>IF(OR($G2281="",$H2281="Mahsup"),"",$G2281&amp;"|"&amp;COUNTIFS($G$7:$G2281,$G2281,$H$7:$H2281,"&lt;&gt;Mahsup"))</f>
        <v/>
      </c>
    </row>
    <row r="2282" spans="1:21" ht="18" customHeight="1" x14ac:dyDescent="0.3">
      <c r="A2282" s="2"/>
      <c r="B2282" s="65" t="str">
        <f t="shared" si="175"/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 t="shared" si="176"/>
        <v/>
      </c>
      <c r="M2282" s="65" t="str">
        <f t="shared" ca="1" si="177"/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178"/>
        <v/>
      </c>
      <c r="S2282" s="1" t="str">
        <f t="shared" si="179"/>
        <v/>
      </c>
      <c r="T2282" s="1">
        <f>IF($E2282="",0,SUMPRODUCT((AY_SONU!$O$7:$O$42="Evet")*(AY_SONU!$B$7:$B$42=DATE(YEAR($E2282),MONTH($E2282),1))))</f>
        <v>0</v>
      </c>
      <c r="U2282" s="1" t="str">
        <f>IF(OR($G2282="",$H2282="Mahsup"),"",$G2282&amp;"|"&amp;COUNTIFS($G$7:$G2282,$G2282,$H$7:$H2282,"&lt;&gt;Mahsup"))</f>
        <v/>
      </c>
    </row>
    <row r="2283" spans="1:21" ht="18" customHeight="1" x14ac:dyDescent="0.3">
      <c r="A2283" s="2"/>
      <c r="B2283" s="65" t="str">
        <f t="shared" si="175"/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 t="shared" si="176"/>
        <v/>
      </c>
      <c r="M2283" s="65" t="str">
        <f t="shared" ca="1" si="177"/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178"/>
        <v/>
      </c>
      <c r="S2283" s="1" t="str">
        <f t="shared" si="179"/>
        <v/>
      </c>
      <c r="T2283" s="1">
        <f>IF($E2283="",0,SUMPRODUCT((AY_SONU!$O$7:$O$42="Evet")*(AY_SONU!$B$7:$B$42=DATE(YEAR($E2283),MONTH($E2283),1))))</f>
        <v>0</v>
      </c>
      <c r="U2283" s="1" t="str">
        <f>IF(OR($G2283="",$H2283="Mahsup"),"",$G2283&amp;"|"&amp;COUNTIFS($G$7:$G2283,$G2283,$H$7:$H2283,"&lt;&gt;Mahsup"))</f>
        <v/>
      </c>
    </row>
    <row r="2284" spans="1:21" ht="18" customHeight="1" x14ac:dyDescent="0.3">
      <c r="A2284" s="2"/>
      <c r="B2284" s="65" t="str">
        <f t="shared" si="175"/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 t="shared" si="176"/>
        <v/>
      </c>
      <c r="M2284" s="65" t="str">
        <f t="shared" ca="1" si="177"/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178"/>
        <v/>
      </c>
      <c r="S2284" s="1" t="str">
        <f t="shared" si="179"/>
        <v/>
      </c>
      <c r="T2284" s="1">
        <f>IF($E2284="",0,SUMPRODUCT((AY_SONU!$O$7:$O$42="Evet")*(AY_SONU!$B$7:$B$42=DATE(YEAR($E2284),MONTH($E2284),1))))</f>
        <v>0</v>
      </c>
      <c r="U2284" s="1" t="str">
        <f>IF(OR($G2284="",$H2284="Mahsup"),"",$G2284&amp;"|"&amp;COUNTIFS($G$7:$G2284,$G2284,$H$7:$H2284,"&lt;&gt;Mahsup"))</f>
        <v/>
      </c>
    </row>
    <row r="2285" spans="1:21" ht="18" customHeight="1" x14ac:dyDescent="0.3">
      <c r="A2285" s="2"/>
      <c r="B2285" s="65" t="str">
        <f t="shared" si="175"/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 t="shared" si="176"/>
        <v/>
      </c>
      <c r="M2285" s="65" t="str">
        <f t="shared" ca="1" si="177"/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178"/>
        <v/>
      </c>
      <c r="S2285" s="1" t="str">
        <f t="shared" si="179"/>
        <v/>
      </c>
      <c r="T2285" s="1">
        <f>IF($E2285="",0,SUMPRODUCT((AY_SONU!$O$7:$O$42="Evet")*(AY_SONU!$B$7:$B$42=DATE(YEAR($E2285),MONTH($E2285),1))))</f>
        <v>0</v>
      </c>
      <c r="U2285" s="1" t="str">
        <f>IF(OR($G2285="",$H2285="Mahsup"),"",$G2285&amp;"|"&amp;COUNTIFS($G$7:$G2285,$G2285,$H$7:$H2285,"&lt;&gt;Mahsup"))</f>
        <v/>
      </c>
    </row>
    <row r="2286" spans="1:21" ht="18" customHeight="1" x14ac:dyDescent="0.3">
      <c r="A2286" s="2"/>
      <c r="B2286" s="65" t="str">
        <f t="shared" si="175"/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 t="shared" si="176"/>
        <v/>
      </c>
      <c r="M2286" s="65" t="str">
        <f t="shared" ca="1" si="177"/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178"/>
        <v/>
      </c>
      <c r="S2286" s="1" t="str">
        <f t="shared" si="179"/>
        <v/>
      </c>
      <c r="T2286" s="1">
        <f>IF($E2286="",0,SUMPRODUCT((AY_SONU!$O$7:$O$42="Evet")*(AY_SONU!$B$7:$B$42=DATE(YEAR($E2286),MONTH($E2286),1))))</f>
        <v>0</v>
      </c>
      <c r="U2286" s="1" t="str">
        <f>IF(OR($G2286="",$H2286="Mahsup"),"",$G2286&amp;"|"&amp;COUNTIFS($G$7:$G2286,$G2286,$H$7:$H2286,"&lt;&gt;Mahsup"))</f>
        <v/>
      </c>
    </row>
    <row r="2287" spans="1:21" ht="18" customHeight="1" x14ac:dyDescent="0.3">
      <c r="A2287" s="2"/>
      <c r="B2287" s="65" t="str">
        <f t="shared" si="175"/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 t="shared" si="176"/>
        <v/>
      </c>
      <c r="M2287" s="65" t="str">
        <f t="shared" ca="1" si="177"/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178"/>
        <v/>
      </c>
      <c r="S2287" s="1" t="str">
        <f t="shared" si="179"/>
        <v/>
      </c>
      <c r="T2287" s="1">
        <f>IF($E2287="",0,SUMPRODUCT((AY_SONU!$O$7:$O$42="Evet")*(AY_SONU!$B$7:$B$42=DATE(YEAR($E2287),MONTH($E2287),1))))</f>
        <v>0</v>
      </c>
      <c r="U2287" s="1" t="str">
        <f>IF(OR($G2287="",$H2287="Mahsup"),"",$G2287&amp;"|"&amp;COUNTIFS($G$7:$G2287,$G2287,$H$7:$H2287,"&lt;&gt;Mahsup"))</f>
        <v/>
      </c>
    </row>
    <row r="2288" spans="1:21" ht="18" customHeight="1" x14ac:dyDescent="0.3">
      <c r="A2288" s="2"/>
      <c r="B2288" s="65" t="str">
        <f t="shared" si="175"/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 t="shared" si="176"/>
        <v/>
      </c>
      <c r="M2288" s="65" t="str">
        <f t="shared" ca="1" si="177"/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178"/>
        <v/>
      </c>
      <c r="S2288" s="1" t="str">
        <f t="shared" si="179"/>
        <v/>
      </c>
      <c r="T2288" s="1">
        <f>IF($E2288="",0,SUMPRODUCT((AY_SONU!$O$7:$O$42="Evet")*(AY_SONU!$B$7:$B$42=DATE(YEAR($E2288),MONTH($E2288),1))))</f>
        <v>0</v>
      </c>
      <c r="U2288" s="1" t="str">
        <f>IF(OR($G2288="",$H2288="Mahsup"),"",$G2288&amp;"|"&amp;COUNTIFS($G$7:$G2288,$G2288,$H$7:$H2288,"&lt;&gt;Mahsup"))</f>
        <v/>
      </c>
    </row>
    <row r="2289" spans="1:21" ht="18" customHeight="1" x14ac:dyDescent="0.3">
      <c r="A2289" s="2"/>
      <c r="B2289" s="65" t="str">
        <f t="shared" si="175"/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 t="shared" si="176"/>
        <v/>
      </c>
      <c r="M2289" s="65" t="str">
        <f t="shared" ca="1" si="177"/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178"/>
        <v/>
      </c>
      <c r="S2289" s="1" t="str">
        <f t="shared" si="179"/>
        <v/>
      </c>
      <c r="T2289" s="1">
        <f>IF($E2289="",0,SUMPRODUCT((AY_SONU!$O$7:$O$42="Evet")*(AY_SONU!$B$7:$B$42=DATE(YEAR($E2289),MONTH($E2289),1))))</f>
        <v>0</v>
      </c>
      <c r="U2289" s="1" t="str">
        <f>IF(OR($G2289="",$H2289="Mahsup"),"",$G2289&amp;"|"&amp;COUNTIFS($G$7:$G2289,$G2289,$H$7:$H2289,"&lt;&gt;Mahsup"))</f>
        <v/>
      </c>
    </row>
    <row r="2290" spans="1:21" ht="18" customHeight="1" x14ac:dyDescent="0.3">
      <c r="A2290" s="2"/>
      <c r="B2290" s="65" t="str">
        <f t="shared" si="175"/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 t="shared" si="176"/>
        <v/>
      </c>
      <c r="M2290" s="65" t="str">
        <f t="shared" ca="1" si="177"/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178"/>
        <v/>
      </c>
      <c r="S2290" s="1" t="str">
        <f t="shared" si="179"/>
        <v/>
      </c>
      <c r="T2290" s="1">
        <f>IF($E2290="",0,SUMPRODUCT((AY_SONU!$O$7:$O$42="Evet")*(AY_SONU!$B$7:$B$42=DATE(YEAR($E2290),MONTH($E2290),1))))</f>
        <v>0</v>
      </c>
      <c r="U2290" s="1" t="str">
        <f>IF(OR($G2290="",$H2290="Mahsup"),"",$G2290&amp;"|"&amp;COUNTIFS($G$7:$G2290,$G2290,$H$7:$H2290,"&lt;&gt;Mahsup"))</f>
        <v/>
      </c>
    </row>
    <row r="2291" spans="1:21" ht="18" customHeight="1" x14ac:dyDescent="0.3">
      <c r="A2291" s="2"/>
      <c r="B2291" s="65" t="str">
        <f t="shared" si="175"/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 t="shared" si="176"/>
        <v/>
      </c>
      <c r="M2291" s="65" t="str">
        <f t="shared" ca="1" si="177"/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178"/>
        <v/>
      </c>
      <c r="S2291" s="1" t="str">
        <f t="shared" si="179"/>
        <v/>
      </c>
      <c r="T2291" s="1">
        <f>IF($E2291="",0,SUMPRODUCT((AY_SONU!$O$7:$O$42="Evet")*(AY_SONU!$B$7:$B$42=DATE(YEAR($E2291),MONTH($E2291),1))))</f>
        <v>0</v>
      </c>
      <c r="U2291" s="1" t="str">
        <f>IF(OR($G2291="",$H2291="Mahsup"),"",$G2291&amp;"|"&amp;COUNTIFS($G$7:$G2291,$G2291,$H$7:$H2291,"&lt;&gt;Mahsup"))</f>
        <v/>
      </c>
    </row>
    <row r="2292" spans="1:21" ht="18" customHeight="1" x14ac:dyDescent="0.3">
      <c r="A2292" s="2"/>
      <c r="B2292" s="65" t="str">
        <f t="shared" si="175"/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 t="shared" si="176"/>
        <v/>
      </c>
      <c r="M2292" s="65" t="str">
        <f t="shared" ca="1" si="177"/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178"/>
        <v/>
      </c>
      <c r="S2292" s="1" t="str">
        <f t="shared" si="179"/>
        <v/>
      </c>
      <c r="T2292" s="1">
        <f>IF($E2292="",0,SUMPRODUCT((AY_SONU!$O$7:$O$42="Evet")*(AY_SONU!$B$7:$B$42=DATE(YEAR($E2292),MONTH($E2292),1))))</f>
        <v>0</v>
      </c>
      <c r="U2292" s="1" t="str">
        <f>IF(OR($G2292="",$H2292="Mahsup"),"",$G2292&amp;"|"&amp;COUNTIFS($G$7:$G2292,$G2292,$H$7:$H2292,"&lt;&gt;Mahsup"))</f>
        <v/>
      </c>
    </row>
    <row r="2293" spans="1:21" ht="18" customHeight="1" x14ac:dyDescent="0.3">
      <c r="A2293" s="2"/>
      <c r="B2293" s="65" t="str">
        <f t="shared" si="175"/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 t="shared" si="176"/>
        <v/>
      </c>
      <c r="M2293" s="65" t="str">
        <f t="shared" ca="1" si="177"/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178"/>
        <v/>
      </c>
      <c r="S2293" s="1" t="str">
        <f t="shared" si="179"/>
        <v/>
      </c>
      <c r="T2293" s="1">
        <f>IF($E2293="",0,SUMPRODUCT((AY_SONU!$O$7:$O$42="Evet")*(AY_SONU!$B$7:$B$42=DATE(YEAR($E2293),MONTH($E2293),1))))</f>
        <v>0</v>
      </c>
      <c r="U2293" s="1" t="str">
        <f>IF(OR($G2293="",$H2293="Mahsup"),"",$G2293&amp;"|"&amp;COUNTIFS($G$7:$G2293,$G2293,$H$7:$H2293,"&lt;&gt;Mahsup"))</f>
        <v/>
      </c>
    </row>
    <row r="2294" spans="1:21" ht="18" customHeight="1" x14ac:dyDescent="0.3">
      <c r="A2294" s="2"/>
      <c r="B2294" s="65" t="str">
        <f t="shared" si="175"/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 t="shared" si="176"/>
        <v/>
      </c>
      <c r="M2294" s="65" t="str">
        <f t="shared" ca="1" si="177"/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178"/>
        <v/>
      </c>
      <c r="S2294" s="1" t="str">
        <f t="shared" si="179"/>
        <v/>
      </c>
      <c r="T2294" s="1">
        <f>IF($E2294="",0,SUMPRODUCT((AY_SONU!$O$7:$O$42="Evet")*(AY_SONU!$B$7:$B$42=DATE(YEAR($E2294),MONTH($E2294),1))))</f>
        <v>0</v>
      </c>
      <c r="U2294" s="1" t="str">
        <f>IF(OR($G2294="",$H2294="Mahsup"),"",$G2294&amp;"|"&amp;COUNTIFS($G$7:$G2294,$G2294,$H$7:$H2294,"&lt;&gt;Mahsup"))</f>
        <v/>
      </c>
    </row>
    <row r="2295" spans="1:21" ht="18" customHeight="1" x14ac:dyDescent="0.3">
      <c r="A2295" s="2"/>
      <c r="B2295" s="65" t="str">
        <f t="shared" si="175"/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 t="shared" si="176"/>
        <v/>
      </c>
      <c r="M2295" s="65" t="str">
        <f t="shared" ca="1" si="177"/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178"/>
        <v/>
      </c>
      <c r="S2295" s="1" t="str">
        <f t="shared" si="179"/>
        <v/>
      </c>
      <c r="T2295" s="1">
        <f>IF($E2295="",0,SUMPRODUCT((AY_SONU!$O$7:$O$42="Evet")*(AY_SONU!$B$7:$B$42=DATE(YEAR($E2295),MONTH($E2295),1))))</f>
        <v>0</v>
      </c>
      <c r="U2295" s="1" t="str">
        <f>IF(OR($G2295="",$H2295="Mahsup"),"",$G2295&amp;"|"&amp;COUNTIFS($G$7:$G2295,$G2295,$H$7:$H2295,"&lt;&gt;Mahsup"))</f>
        <v/>
      </c>
    </row>
    <row r="2296" spans="1:21" ht="18" customHeight="1" x14ac:dyDescent="0.3">
      <c r="A2296" s="2"/>
      <c r="B2296" s="65" t="str">
        <f t="shared" si="175"/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 t="shared" si="176"/>
        <v/>
      </c>
      <c r="M2296" s="65" t="str">
        <f t="shared" ca="1" si="177"/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178"/>
        <v/>
      </c>
      <c r="S2296" s="1" t="str">
        <f t="shared" si="179"/>
        <v/>
      </c>
      <c r="T2296" s="1">
        <f>IF($E2296="",0,SUMPRODUCT((AY_SONU!$O$7:$O$42="Evet")*(AY_SONU!$B$7:$B$42=DATE(YEAR($E2296),MONTH($E2296),1))))</f>
        <v>0</v>
      </c>
      <c r="U2296" s="1" t="str">
        <f>IF(OR($G2296="",$H2296="Mahsup"),"",$G2296&amp;"|"&amp;COUNTIFS($G$7:$G2296,$G2296,$H$7:$H2296,"&lt;&gt;Mahsup"))</f>
        <v/>
      </c>
    </row>
    <row r="2297" spans="1:21" ht="18" customHeight="1" x14ac:dyDescent="0.3">
      <c r="A2297" s="2"/>
      <c r="B2297" s="65" t="str">
        <f t="shared" si="175"/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 t="shared" si="176"/>
        <v/>
      </c>
      <c r="M2297" s="65" t="str">
        <f t="shared" ca="1" si="177"/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178"/>
        <v/>
      </c>
      <c r="S2297" s="1" t="str">
        <f t="shared" si="179"/>
        <v/>
      </c>
      <c r="T2297" s="1">
        <f>IF($E2297="",0,SUMPRODUCT((AY_SONU!$O$7:$O$42="Evet")*(AY_SONU!$B$7:$B$42=DATE(YEAR($E2297),MONTH($E2297),1))))</f>
        <v>0</v>
      </c>
      <c r="U2297" s="1" t="str">
        <f>IF(OR($G2297="",$H2297="Mahsup"),"",$G2297&amp;"|"&amp;COUNTIFS($G$7:$G2297,$G2297,$H$7:$H2297,"&lt;&gt;Mahsup"))</f>
        <v/>
      </c>
    </row>
    <row r="2298" spans="1:21" ht="18" customHeight="1" x14ac:dyDescent="0.3">
      <c r="A2298" s="2"/>
      <c r="B2298" s="65" t="str">
        <f t="shared" si="175"/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 t="shared" si="176"/>
        <v/>
      </c>
      <c r="M2298" s="65" t="str">
        <f t="shared" ca="1" si="177"/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178"/>
        <v/>
      </c>
      <c r="S2298" s="1" t="str">
        <f t="shared" si="179"/>
        <v/>
      </c>
      <c r="T2298" s="1">
        <f>IF($E2298="",0,SUMPRODUCT((AY_SONU!$O$7:$O$42="Evet")*(AY_SONU!$B$7:$B$42=DATE(YEAR($E2298),MONTH($E2298),1))))</f>
        <v>0</v>
      </c>
      <c r="U2298" s="1" t="str">
        <f>IF(OR($G2298="",$H2298="Mahsup"),"",$G2298&amp;"|"&amp;COUNTIFS($G$7:$G2298,$G2298,$H$7:$H2298,"&lt;&gt;Mahsup"))</f>
        <v/>
      </c>
    </row>
    <row r="2299" spans="1:21" ht="18" customHeight="1" x14ac:dyDescent="0.3">
      <c r="A2299" s="2"/>
      <c r="B2299" s="65" t="str">
        <f t="shared" si="175"/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 t="shared" si="176"/>
        <v/>
      </c>
      <c r="M2299" s="65" t="str">
        <f t="shared" ca="1" si="177"/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178"/>
        <v/>
      </c>
      <c r="S2299" s="1" t="str">
        <f t="shared" si="179"/>
        <v/>
      </c>
      <c r="T2299" s="1">
        <f>IF($E2299="",0,SUMPRODUCT((AY_SONU!$O$7:$O$42="Evet")*(AY_SONU!$B$7:$B$42=DATE(YEAR($E2299),MONTH($E2299),1))))</f>
        <v>0</v>
      </c>
      <c r="U2299" s="1" t="str">
        <f>IF(OR($G2299="",$H2299="Mahsup"),"",$G2299&amp;"|"&amp;COUNTIFS($G$7:$G2299,$G2299,$H$7:$H2299,"&lt;&gt;Mahsup"))</f>
        <v/>
      </c>
    </row>
    <row r="2300" spans="1:21" ht="18" customHeight="1" x14ac:dyDescent="0.3">
      <c r="A2300" s="2"/>
      <c r="B2300" s="65" t="str">
        <f t="shared" si="175"/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 t="shared" si="176"/>
        <v/>
      </c>
      <c r="M2300" s="65" t="str">
        <f t="shared" ca="1" si="177"/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178"/>
        <v/>
      </c>
      <c r="S2300" s="1" t="str">
        <f t="shared" si="179"/>
        <v/>
      </c>
      <c r="T2300" s="1">
        <f>IF($E2300="",0,SUMPRODUCT((AY_SONU!$O$7:$O$42="Evet")*(AY_SONU!$B$7:$B$42=DATE(YEAR($E2300),MONTH($E2300),1))))</f>
        <v>0</v>
      </c>
      <c r="U2300" s="1" t="str">
        <f>IF(OR($G2300="",$H2300="Mahsup"),"",$G2300&amp;"|"&amp;COUNTIFS($G$7:$G2300,$G2300,$H$7:$H2300,"&lt;&gt;Mahsup"))</f>
        <v/>
      </c>
    </row>
    <row r="2301" spans="1:21" ht="18" customHeight="1" x14ac:dyDescent="0.3">
      <c r="A2301" s="2"/>
      <c r="B2301" s="65" t="str">
        <f t="shared" si="175"/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 t="shared" si="176"/>
        <v/>
      </c>
      <c r="M2301" s="65" t="str">
        <f t="shared" ca="1" si="177"/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178"/>
        <v/>
      </c>
      <c r="S2301" s="1" t="str">
        <f t="shared" si="179"/>
        <v/>
      </c>
      <c r="T2301" s="1">
        <f>IF($E2301="",0,SUMPRODUCT((AY_SONU!$O$7:$O$42="Evet")*(AY_SONU!$B$7:$B$42=DATE(YEAR($E2301),MONTH($E2301),1))))</f>
        <v>0</v>
      </c>
      <c r="U2301" s="1" t="str">
        <f>IF(OR($G2301="",$H2301="Mahsup"),"",$G2301&amp;"|"&amp;COUNTIFS($G$7:$G2301,$G2301,$H$7:$H2301,"&lt;&gt;Mahsup"))</f>
        <v/>
      </c>
    </row>
    <row r="2302" spans="1:21" ht="18" customHeight="1" x14ac:dyDescent="0.3">
      <c r="A2302" s="2"/>
      <c r="B2302" s="65" t="str">
        <f t="shared" si="175"/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 t="shared" si="176"/>
        <v/>
      </c>
      <c r="M2302" s="65" t="str">
        <f t="shared" ca="1" si="177"/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178"/>
        <v/>
      </c>
      <c r="S2302" s="1" t="str">
        <f t="shared" si="179"/>
        <v/>
      </c>
      <c r="T2302" s="1">
        <f>IF($E2302="",0,SUMPRODUCT((AY_SONU!$O$7:$O$42="Evet")*(AY_SONU!$B$7:$B$42=DATE(YEAR($E2302),MONTH($E2302),1))))</f>
        <v>0</v>
      </c>
      <c r="U2302" s="1" t="str">
        <f>IF(OR($G2302="",$H2302="Mahsup"),"",$G2302&amp;"|"&amp;COUNTIFS($G$7:$G2302,$G2302,$H$7:$H2302,"&lt;&gt;Mahsup"))</f>
        <v/>
      </c>
    </row>
    <row r="2303" spans="1:21" ht="18" customHeight="1" x14ac:dyDescent="0.3">
      <c r="A2303" s="2"/>
      <c r="B2303" s="65" t="str">
        <f t="shared" si="175"/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 t="shared" si="176"/>
        <v/>
      </c>
      <c r="M2303" s="65" t="str">
        <f t="shared" ca="1" si="177"/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178"/>
        <v/>
      </c>
      <c r="S2303" s="1" t="str">
        <f t="shared" si="179"/>
        <v/>
      </c>
      <c r="T2303" s="1">
        <f>IF($E2303="",0,SUMPRODUCT((AY_SONU!$O$7:$O$42="Evet")*(AY_SONU!$B$7:$B$42=DATE(YEAR($E2303),MONTH($E2303),1))))</f>
        <v>0</v>
      </c>
      <c r="U2303" s="1" t="str">
        <f>IF(OR($G2303="",$H2303="Mahsup"),"",$G2303&amp;"|"&amp;COUNTIFS($G$7:$G2303,$G2303,$H$7:$H2303,"&lt;&gt;Mahsup"))</f>
        <v/>
      </c>
    </row>
    <row r="2304" spans="1:21" ht="18" customHeight="1" x14ac:dyDescent="0.3">
      <c r="A2304" s="2"/>
      <c r="B2304" s="65" t="str">
        <f t="shared" si="175"/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 t="shared" si="176"/>
        <v/>
      </c>
      <c r="M2304" s="65" t="str">
        <f t="shared" ca="1" si="177"/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178"/>
        <v/>
      </c>
      <c r="S2304" s="1" t="str">
        <f t="shared" si="179"/>
        <v/>
      </c>
      <c r="T2304" s="1">
        <f>IF($E2304="",0,SUMPRODUCT((AY_SONU!$O$7:$O$42="Evet")*(AY_SONU!$B$7:$B$42=DATE(YEAR($E2304),MONTH($E2304),1))))</f>
        <v>0</v>
      </c>
      <c r="U2304" s="1" t="str">
        <f>IF(OR($G2304="",$H2304="Mahsup"),"",$G2304&amp;"|"&amp;COUNTIFS($G$7:$G2304,$G2304,$H$7:$H2304,"&lt;&gt;Mahsup"))</f>
        <v/>
      </c>
    </row>
    <row r="2305" spans="1:21" ht="18" customHeight="1" x14ac:dyDescent="0.3">
      <c r="A2305" s="2"/>
      <c r="B2305" s="65" t="str">
        <f t="shared" si="175"/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 t="shared" si="176"/>
        <v/>
      </c>
      <c r="M2305" s="65" t="str">
        <f t="shared" ca="1" si="177"/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178"/>
        <v/>
      </c>
      <c r="S2305" s="1" t="str">
        <f t="shared" si="179"/>
        <v/>
      </c>
      <c r="T2305" s="1">
        <f>IF($E2305="",0,SUMPRODUCT((AY_SONU!$O$7:$O$42="Evet")*(AY_SONU!$B$7:$B$42=DATE(YEAR($E2305),MONTH($E2305),1))))</f>
        <v>0</v>
      </c>
      <c r="U2305" s="1" t="str">
        <f>IF(OR($G2305="",$H2305="Mahsup"),"",$G2305&amp;"|"&amp;COUNTIFS($G$7:$G2305,$G2305,$H$7:$H2305,"&lt;&gt;Mahsup"))</f>
        <v/>
      </c>
    </row>
    <row r="2306" spans="1:21" ht="18" customHeight="1" x14ac:dyDescent="0.3">
      <c r="A2306" s="2"/>
      <c r="B2306" s="65" t="str">
        <f t="shared" si="175"/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 t="shared" si="176"/>
        <v/>
      </c>
      <c r="M2306" s="65" t="str">
        <f t="shared" ca="1" si="177"/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178"/>
        <v/>
      </c>
      <c r="S2306" s="1" t="str">
        <f t="shared" si="179"/>
        <v/>
      </c>
      <c r="T2306" s="1">
        <f>IF($E2306="",0,SUMPRODUCT((AY_SONU!$O$7:$O$42="Evet")*(AY_SONU!$B$7:$B$42=DATE(YEAR($E2306),MONTH($E2306),1))))</f>
        <v>0</v>
      </c>
      <c r="U2306" s="1" t="str">
        <f>IF(OR($G2306="",$H2306="Mahsup"),"",$G2306&amp;"|"&amp;COUNTIFS($G$7:$G2306,$G2306,$H$7:$H2306,"&lt;&gt;Mahsup"))</f>
        <v/>
      </c>
    </row>
    <row r="2307" spans="1:21" ht="18" customHeight="1" x14ac:dyDescent="0.3">
      <c r="A2307" s="2"/>
      <c r="B2307" s="65" t="str">
        <f t="shared" si="175"/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 t="shared" si="176"/>
        <v/>
      </c>
      <c r="M2307" s="65" t="str">
        <f t="shared" ca="1" si="177"/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178"/>
        <v/>
      </c>
      <c r="S2307" s="1" t="str">
        <f t="shared" si="179"/>
        <v/>
      </c>
      <c r="T2307" s="1">
        <f>IF($E2307="",0,SUMPRODUCT((AY_SONU!$O$7:$O$42="Evet")*(AY_SONU!$B$7:$B$42=DATE(YEAR($E2307),MONTH($E2307),1))))</f>
        <v>0</v>
      </c>
      <c r="U2307" s="1" t="str">
        <f>IF(OR($G2307="",$H2307="Mahsup"),"",$G2307&amp;"|"&amp;COUNTIFS($G$7:$G2307,$G2307,$H$7:$H2307,"&lt;&gt;Mahsup"))</f>
        <v/>
      </c>
    </row>
    <row r="2308" spans="1:21" ht="18" customHeight="1" x14ac:dyDescent="0.3">
      <c r="A2308" s="2"/>
      <c r="B2308" s="65" t="str">
        <f t="shared" si="175"/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 t="shared" si="176"/>
        <v/>
      </c>
      <c r="M2308" s="65" t="str">
        <f t="shared" ca="1" si="177"/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178"/>
        <v/>
      </c>
      <c r="S2308" s="1" t="str">
        <f t="shared" si="179"/>
        <v/>
      </c>
      <c r="T2308" s="1">
        <f>IF($E2308="",0,SUMPRODUCT((AY_SONU!$O$7:$O$42="Evet")*(AY_SONU!$B$7:$B$42=DATE(YEAR($E2308),MONTH($E2308),1))))</f>
        <v>0</v>
      </c>
      <c r="U2308" s="1" t="str">
        <f>IF(OR($G2308="",$H2308="Mahsup"),"",$G2308&amp;"|"&amp;COUNTIFS($G$7:$G2308,$G2308,$H$7:$H2308,"&lt;&gt;Mahsup"))</f>
        <v/>
      </c>
    </row>
    <row r="2309" spans="1:21" ht="18" customHeight="1" x14ac:dyDescent="0.3">
      <c r="A2309" s="2"/>
      <c r="B2309" s="65" t="str">
        <f t="shared" si="175"/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 t="shared" si="176"/>
        <v/>
      </c>
      <c r="M2309" s="65" t="str">
        <f t="shared" ca="1" si="177"/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178"/>
        <v/>
      </c>
      <c r="S2309" s="1" t="str">
        <f t="shared" si="179"/>
        <v/>
      </c>
      <c r="T2309" s="1">
        <f>IF($E2309="",0,SUMPRODUCT((AY_SONU!$O$7:$O$42="Evet")*(AY_SONU!$B$7:$B$42=DATE(YEAR($E2309),MONTH($E2309),1))))</f>
        <v>0</v>
      </c>
      <c r="U2309" s="1" t="str">
        <f>IF(OR($G2309="",$H2309="Mahsup"),"",$G2309&amp;"|"&amp;COUNTIFS($G$7:$G2309,$G2309,$H$7:$H2309,"&lt;&gt;Mahsup"))</f>
        <v/>
      </c>
    </row>
    <row r="2310" spans="1:21" ht="18" customHeight="1" x14ac:dyDescent="0.3">
      <c r="A2310" s="2"/>
      <c r="B2310" s="65" t="str">
        <f t="shared" si="175"/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 t="shared" si="176"/>
        <v/>
      </c>
      <c r="M2310" s="65" t="str">
        <f t="shared" ca="1" si="177"/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178"/>
        <v/>
      </c>
      <c r="S2310" s="1" t="str">
        <f t="shared" si="179"/>
        <v/>
      </c>
      <c r="T2310" s="1">
        <f>IF($E2310="",0,SUMPRODUCT((AY_SONU!$O$7:$O$42="Evet")*(AY_SONU!$B$7:$B$42=DATE(YEAR($E2310),MONTH($E2310),1))))</f>
        <v>0</v>
      </c>
      <c r="U2310" s="1" t="str">
        <f>IF(OR($G2310="",$H2310="Mahsup"),"",$G2310&amp;"|"&amp;COUNTIFS($G$7:$G2310,$G2310,$H$7:$H2310,"&lt;&gt;Mahsup"))</f>
        <v/>
      </c>
    </row>
    <row r="2311" spans="1:21" ht="18" customHeight="1" x14ac:dyDescent="0.3">
      <c r="A2311" s="2"/>
      <c r="B2311" s="65" t="str">
        <f t="shared" ref="B2311:B2374" si="180"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 t="shared" ref="L2311:L2374" si="181">IF($E2311="","",DATE(YEAR($E2311),MONTH($E2311),1))</f>
        <v/>
      </c>
      <c r="M2311" s="65" t="str">
        <f t="shared" ref="M2311:M2374" ca="1" si="182"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183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184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  <c r="U2311" s="1" t="str">
        <f>IF(OR($G2311="",$H2311="Mahsup"),"",$G2311&amp;"|"&amp;COUNTIFS($G$7:$G2311,$G2311,$H$7:$H2311,"&lt;&gt;Mahsup"))</f>
        <v/>
      </c>
    </row>
    <row r="2312" spans="1:21" ht="18" customHeight="1" x14ac:dyDescent="0.3">
      <c r="A2312" s="2"/>
      <c r="B2312" s="65" t="str">
        <f t="shared" si="180"/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 t="shared" si="181"/>
        <v/>
      </c>
      <c r="M2312" s="65" t="str">
        <f t="shared" ca="1" si="182"/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183"/>
        <v/>
      </c>
      <c r="S2312" s="1" t="str">
        <f t="shared" si="184"/>
        <v/>
      </c>
      <c r="T2312" s="1">
        <f>IF($E2312="",0,SUMPRODUCT((AY_SONU!$O$7:$O$42="Evet")*(AY_SONU!$B$7:$B$42=DATE(YEAR($E2312),MONTH($E2312),1))))</f>
        <v>0</v>
      </c>
      <c r="U2312" s="1" t="str">
        <f>IF(OR($G2312="",$H2312="Mahsup"),"",$G2312&amp;"|"&amp;COUNTIFS($G$7:$G2312,$G2312,$H$7:$H2312,"&lt;&gt;Mahsup"))</f>
        <v/>
      </c>
    </row>
    <row r="2313" spans="1:21" ht="18" customHeight="1" x14ac:dyDescent="0.3">
      <c r="A2313" s="2"/>
      <c r="B2313" s="65" t="str">
        <f t="shared" si="180"/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 t="shared" si="181"/>
        <v/>
      </c>
      <c r="M2313" s="65" t="str">
        <f t="shared" ca="1" si="182"/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183"/>
        <v/>
      </c>
      <c r="S2313" s="1" t="str">
        <f t="shared" si="184"/>
        <v/>
      </c>
      <c r="T2313" s="1">
        <f>IF($E2313="",0,SUMPRODUCT((AY_SONU!$O$7:$O$42="Evet")*(AY_SONU!$B$7:$B$42=DATE(YEAR($E2313),MONTH($E2313),1))))</f>
        <v>0</v>
      </c>
      <c r="U2313" s="1" t="str">
        <f>IF(OR($G2313="",$H2313="Mahsup"),"",$G2313&amp;"|"&amp;COUNTIFS($G$7:$G2313,$G2313,$H$7:$H2313,"&lt;&gt;Mahsup"))</f>
        <v/>
      </c>
    </row>
    <row r="2314" spans="1:21" ht="18" customHeight="1" x14ac:dyDescent="0.3">
      <c r="A2314" s="2"/>
      <c r="B2314" s="65" t="str">
        <f t="shared" si="180"/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 t="shared" si="181"/>
        <v/>
      </c>
      <c r="M2314" s="65" t="str">
        <f t="shared" ca="1" si="182"/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183"/>
        <v/>
      </c>
      <c r="S2314" s="1" t="str">
        <f t="shared" si="184"/>
        <v/>
      </c>
      <c r="T2314" s="1">
        <f>IF($E2314="",0,SUMPRODUCT((AY_SONU!$O$7:$O$42="Evet")*(AY_SONU!$B$7:$B$42=DATE(YEAR($E2314),MONTH($E2314),1))))</f>
        <v>0</v>
      </c>
      <c r="U2314" s="1" t="str">
        <f>IF(OR($G2314="",$H2314="Mahsup"),"",$G2314&amp;"|"&amp;COUNTIFS($G$7:$G2314,$G2314,$H$7:$H2314,"&lt;&gt;Mahsup"))</f>
        <v/>
      </c>
    </row>
    <row r="2315" spans="1:21" ht="18" customHeight="1" x14ac:dyDescent="0.3">
      <c r="A2315" s="2"/>
      <c r="B2315" s="65" t="str">
        <f t="shared" si="180"/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 t="shared" si="181"/>
        <v/>
      </c>
      <c r="M2315" s="65" t="str">
        <f t="shared" ca="1" si="182"/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183"/>
        <v/>
      </c>
      <c r="S2315" s="1" t="str">
        <f t="shared" si="184"/>
        <v/>
      </c>
      <c r="T2315" s="1">
        <f>IF($E2315="",0,SUMPRODUCT((AY_SONU!$O$7:$O$42="Evet")*(AY_SONU!$B$7:$B$42=DATE(YEAR($E2315),MONTH($E2315),1))))</f>
        <v>0</v>
      </c>
      <c r="U2315" s="1" t="str">
        <f>IF(OR($G2315="",$H2315="Mahsup"),"",$G2315&amp;"|"&amp;COUNTIFS($G$7:$G2315,$G2315,$H$7:$H2315,"&lt;&gt;Mahsup"))</f>
        <v/>
      </c>
    </row>
    <row r="2316" spans="1:21" ht="18" customHeight="1" x14ac:dyDescent="0.3">
      <c r="A2316" s="2"/>
      <c r="B2316" s="65" t="str">
        <f t="shared" si="180"/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 t="shared" si="181"/>
        <v/>
      </c>
      <c r="M2316" s="65" t="str">
        <f t="shared" ca="1" si="182"/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183"/>
        <v/>
      </c>
      <c r="S2316" s="1" t="str">
        <f t="shared" si="184"/>
        <v/>
      </c>
      <c r="T2316" s="1">
        <f>IF($E2316="",0,SUMPRODUCT((AY_SONU!$O$7:$O$42="Evet")*(AY_SONU!$B$7:$B$42=DATE(YEAR($E2316),MONTH($E2316),1))))</f>
        <v>0</v>
      </c>
      <c r="U2316" s="1" t="str">
        <f>IF(OR($G2316="",$H2316="Mahsup"),"",$G2316&amp;"|"&amp;COUNTIFS($G$7:$G2316,$G2316,$H$7:$H2316,"&lt;&gt;Mahsup"))</f>
        <v/>
      </c>
    </row>
    <row r="2317" spans="1:21" ht="18" customHeight="1" x14ac:dyDescent="0.3">
      <c r="A2317" s="2"/>
      <c r="B2317" s="65" t="str">
        <f t="shared" si="180"/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 t="shared" si="181"/>
        <v/>
      </c>
      <c r="M2317" s="65" t="str">
        <f t="shared" ca="1" si="182"/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183"/>
        <v/>
      </c>
      <c r="S2317" s="1" t="str">
        <f t="shared" si="184"/>
        <v/>
      </c>
      <c r="T2317" s="1">
        <f>IF($E2317="",0,SUMPRODUCT((AY_SONU!$O$7:$O$42="Evet")*(AY_SONU!$B$7:$B$42=DATE(YEAR($E2317),MONTH($E2317),1))))</f>
        <v>0</v>
      </c>
      <c r="U2317" s="1" t="str">
        <f>IF(OR($G2317="",$H2317="Mahsup"),"",$G2317&amp;"|"&amp;COUNTIFS($G$7:$G2317,$G2317,$H$7:$H2317,"&lt;&gt;Mahsup"))</f>
        <v/>
      </c>
    </row>
    <row r="2318" spans="1:21" ht="18" customHeight="1" x14ac:dyDescent="0.3">
      <c r="A2318" s="2"/>
      <c r="B2318" s="65" t="str">
        <f t="shared" si="180"/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 t="shared" si="181"/>
        <v/>
      </c>
      <c r="M2318" s="65" t="str">
        <f t="shared" ca="1" si="182"/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183"/>
        <v/>
      </c>
      <c r="S2318" s="1" t="str">
        <f t="shared" si="184"/>
        <v/>
      </c>
      <c r="T2318" s="1">
        <f>IF($E2318="",0,SUMPRODUCT((AY_SONU!$O$7:$O$42="Evet")*(AY_SONU!$B$7:$B$42=DATE(YEAR($E2318),MONTH($E2318),1))))</f>
        <v>0</v>
      </c>
      <c r="U2318" s="1" t="str">
        <f>IF(OR($G2318="",$H2318="Mahsup"),"",$G2318&amp;"|"&amp;COUNTIFS($G$7:$G2318,$G2318,$H$7:$H2318,"&lt;&gt;Mahsup"))</f>
        <v/>
      </c>
    </row>
    <row r="2319" spans="1:21" ht="18" customHeight="1" x14ac:dyDescent="0.3">
      <c r="A2319" s="2"/>
      <c r="B2319" s="65" t="str">
        <f t="shared" si="180"/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 t="shared" si="181"/>
        <v/>
      </c>
      <c r="M2319" s="65" t="str">
        <f t="shared" ca="1" si="182"/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183"/>
        <v/>
      </c>
      <c r="S2319" s="1" t="str">
        <f t="shared" si="184"/>
        <v/>
      </c>
      <c r="T2319" s="1">
        <f>IF($E2319="",0,SUMPRODUCT((AY_SONU!$O$7:$O$42="Evet")*(AY_SONU!$B$7:$B$42=DATE(YEAR($E2319),MONTH($E2319),1))))</f>
        <v>0</v>
      </c>
      <c r="U2319" s="1" t="str">
        <f>IF(OR($G2319="",$H2319="Mahsup"),"",$G2319&amp;"|"&amp;COUNTIFS($G$7:$G2319,$G2319,$H$7:$H2319,"&lt;&gt;Mahsup"))</f>
        <v/>
      </c>
    </row>
    <row r="2320" spans="1:21" ht="18" customHeight="1" x14ac:dyDescent="0.3">
      <c r="A2320" s="2"/>
      <c r="B2320" s="65" t="str">
        <f t="shared" si="180"/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 t="shared" si="181"/>
        <v/>
      </c>
      <c r="M2320" s="65" t="str">
        <f t="shared" ca="1" si="182"/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183"/>
        <v/>
      </c>
      <c r="S2320" s="1" t="str">
        <f t="shared" si="184"/>
        <v/>
      </c>
      <c r="T2320" s="1">
        <f>IF($E2320="",0,SUMPRODUCT((AY_SONU!$O$7:$O$42="Evet")*(AY_SONU!$B$7:$B$42=DATE(YEAR($E2320),MONTH($E2320),1))))</f>
        <v>0</v>
      </c>
      <c r="U2320" s="1" t="str">
        <f>IF(OR($G2320="",$H2320="Mahsup"),"",$G2320&amp;"|"&amp;COUNTIFS($G$7:$G2320,$G2320,$H$7:$H2320,"&lt;&gt;Mahsup"))</f>
        <v/>
      </c>
    </row>
    <row r="2321" spans="1:21" ht="18" customHeight="1" x14ac:dyDescent="0.3">
      <c r="A2321" s="2"/>
      <c r="B2321" s="65" t="str">
        <f t="shared" si="180"/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 t="shared" si="181"/>
        <v/>
      </c>
      <c r="M2321" s="65" t="str">
        <f t="shared" ca="1" si="182"/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183"/>
        <v/>
      </c>
      <c r="S2321" s="1" t="str">
        <f t="shared" si="184"/>
        <v/>
      </c>
      <c r="T2321" s="1">
        <f>IF($E2321="",0,SUMPRODUCT((AY_SONU!$O$7:$O$42="Evet")*(AY_SONU!$B$7:$B$42=DATE(YEAR($E2321),MONTH($E2321),1))))</f>
        <v>0</v>
      </c>
      <c r="U2321" s="1" t="str">
        <f>IF(OR($G2321="",$H2321="Mahsup"),"",$G2321&amp;"|"&amp;COUNTIFS($G$7:$G2321,$G2321,$H$7:$H2321,"&lt;&gt;Mahsup"))</f>
        <v/>
      </c>
    </row>
    <row r="2322" spans="1:21" ht="18" customHeight="1" x14ac:dyDescent="0.3">
      <c r="A2322" s="2"/>
      <c r="B2322" s="65" t="str">
        <f t="shared" si="180"/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 t="shared" si="181"/>
        <v/>
      </c>
      <c r="M2322" s="65" t="str">
        <f t="shared" ca="1" si="182"/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183"/>
        <v/>
      </c>
      <c r="S2322" s="1" t="str">
        <f t="shared" si="184"/>
        <v/>
      </c>
      <c r="T2322" s="1">
        <f>IF($E2322="",0,SUMPRODUCT((AY_SONU!$O$7:$O$42="Evet")*(AY_SONU!$B$7:$B$42=DATE(YEAR($E2322),MONTH($E2322),1))))</f>
        <v>0</v>
      </c>
      <c r="U2322" s="1" t="str">
        <f>IF(OR($G2322="",$H2322="Mahsup"),"",$G2322&amp;"|"&amp;COUNTIFS($G$7:$G2322,$G2322,$H$7:$H2322,"&lt;&gt;Mahsup"))</f>
        <v/>
      </c>
    </row>
    <row r="2323" spans="1:21" ht="18" customHeight="1" x14ac:dyDescent="0.3">
      <c r="A2323" s="2"/>
      <c r="B2323" s="65" t="str">
        <f t="shared" si="180"/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 t="shared" si="181"/>
        <v/>
      </c>
      <c r="M2323" s="65" t="str">
        <f t="shared" ca="1" si="182"/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183"/>
        <v/>
      </c>
      <c r="S2323" s="1" t="str">
        <f t="shared" si="184"/>
        <v/>
      </c>
      <c r="T2323" s="1">
        <f>IF($E2323="",0,SUMPRODUCT((AY_SONU!$O$7:$O$42="Evet")*(AY_SONU!$B$7:$B$42=DATE(YEAR($E2323),MONTH($E2323),1))))</f>
        <v>0</v>
      </c>
      <c r="U2323" s="1" t="str">
        <f>IF(OR($G2323="",$H2323="Mahsup"),"",$G2323&amp;"|"&amp;COUNTIFS($G$7:$G2323,$G2323,$H$7:$H2323,"&lt;&gt;Mahsup"))</f>
        <v/>
      </c>
    </row>
    <row r="2324" spans="1:21" ht="18" customHeight="1" x14ac:dyDescent="0.3">
      <c r="A2324" s="2"/>
      <c r="B2324" s="65" t="str">
        <f t="shared" si="180"/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 t="shared" si="181"/>
        <v/>
      </c>
      <c r="M2324" s="65" t="str">
        <f t="shared" ca="1" si="182"/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183"/>
        <v/>
      </c>
      <c r="S2324" s="1" t="str">
        <f t="shared" si="184"/>
        <v/>
      </c>
      <c r="T2324" s="1">
        <f>IF($E2324="",0,SUMPRODUCT((AY_SONU!$O$7:$O$42="Evet")*(AY_SONU!$B$7:$B$42=DATE(YEAR($E2324),MONTH($E2324),1))))</f>
        <v>0</v>
      </c>
      <c r="U2324" s="1" t="str">
        <f>IF(OR($G2324="",$H2324="Mahsup"),"",$G2324&amp;"|"&amp;COUNTIFS($G$7:$G2324,$G2324,$H$7:$H2324,"&lt;&gt;Mahsup"))</f>
        <v/>
      </c>
    </row>
    <row r="2325" spans="1:21" ht="18" customHeight="1" x14ac:dyDescent="0.3">
      <c r="A2325" s="2"/>
      <c r="B2325" s="65" t="str">
        <f t="shared" si="180"/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 t="shared" si="181"/>
        <v/>
      </c>
      <c r="M2325" s="65" t="str">
        <f t="shared" ca="1" si="182"/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183"/>
        <v/>
      </c>
      <c r="S2325" s="1" t="str">
        <f t="shared" si="184"/>
        <v/>
      </c>
      <c r="T2325" s="1">
        <f>IF($E2325="",0,SUMPRODUCT((AY_SONU!$O$7:$O$42="Evet")*(AY_SONU!$B$7:$B$42=DATE(YEAR($E2325),MONTH($E2325),1))))</f>
        <v>0</v>
      </c>
      <c r="U2325" s="1" t="str">
        <f>IF(OR($G2325="",$H2325="Mahsup"),"",$G2325&amp;"|"&amp;COUNTIFS($G$7:$G2325,$G2325,$H$7:$H2325,"&lt;&gt;Mahsup"))</f>
        <v/>
      </c>
    </row>
    <row r="2326" spans="1:21" ht="18" customHeight="1" x14ac:dyDescent="0.3">
      <c r="A2326" s="2"/>
      <c r="B2326" s="65" t="str">
        <f t="shared" si="180"/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 t="shared" si="181"/>
        <v/>
      </c>
      <c r="M2326" s="65" t="str">
        <f t="shared" ca="1" si="182"/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183"/>
        <v/>
      </c>
      <c r="S2326" s="1" t="str">
        <f t="shared" si="184"/>
        <v/>
      </c>
      <c r="T2326" s="1">
        <f>IF($E2326="",0,SUMPRODUCT((AY_SONU!$O$7:$O$42="Evet")*(AY_SONU!$B$7:$B$42=DATE(YEAR($E2326),MONTH($E2326),1))))</f>
        <v>0</v>
      </c>
      <c r="U2326" s="1" t="str">
        <f>IF(OR($G2326="",$H2326="Mahsup"),"",$G2326&amp;"|"&amp;COUNTIFS($G$7:$G2326,$G2326,$H$7:$H2326,"&lt;&gt;Mahsup"))</f>
        <v/>
      </c>
    </row>
    <row r="2327" spans="1:21" ht="18" customHeight="1" x14ac:dyDescent="0.3">
      <c r="A2327" s="2"/>
      <c r="B2327" s="65" t="str">
        <f t="shared" si="180"/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 t="shared" si="181"/>
        <v/>
      </c>
      <c r="M2327" s="65" t="str">
        <f t="shared" ca="1" si="182"/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183"/>
        <v/>
      </c>
      <c r="S2327" s="1" t="str">
        <f t="shared" si="184"/>
        <v/>
      </c>
      <c r="T2327" s="1">
        <f>IF($E2327="",0,SUMPRODUCT((AY_SONU!$O$7:$O$42="Evet")*(AY_SONU!$B$7:$B$42=DATE(YEAR($E2327),MONTH($E2327),1))))</f>
        <v>0</v>
      </c>
      <c r="U2327" s="1" t="str">
        <f>IF(OR($G2327="",$H2327="Mahsup"),"",$G2327&amp;"|"&amp;COUNTIFS($G$7:$G2327,$G2327,$H$7:$H2327,"&lt;&gt;Mahsup"))</f>
        <v/>
      </c>
    </row>
    <row r="2328" spans="1:21" ht="18" customHeight="1" x14ac:dyDescent="0.3">
      <c r="A2328" s="2"/>
      <c r="B2328" s="65" t="str">
        <f t="shared" si="180"/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 t="shared" si="181"/>
        <v/>
      </c>
      <c r="M2328" s="65" t="str">
        <f t="shared" ca="1" si="182"/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183"/>
        <v/>
      </c>
      <c r="S2328" s="1" t="str">
        <f t="shared" si="184"/>
        <v/>
      </c>
      <c r="T2328" s="1">
        <f>IF($E2328="",0,SUMPRODUCT((AY_SONU!$O$7:$O$42="Evet")*(AY_SONU!$B$7:$B$42=DATE(YEAR($E2328),MONTH($E2328),1))))</f>
        <v>0</v>
      </c>
      <c r="U2328" s="1" t="str">
        <f>IF(OR($G2328="",$H2328="Mahsup"),"",$G2328&amp;"|"&amp;COUNTIFS($G$7:$G2328,$G2328,$H$7:$H2328,"&lt;&gt;Mahsup"))</f>
        <v/>
      </c>
    </row>
    <row r="2329" spans="1:21" ht="18" customHeight="1" x14ac:dyDescent="0.3">
      <c r="A2329" s="2"/>
      <c r="B2329" s="65" t="str">
        <f t="shared" si="180"/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 t="shared" si="181"/>
        <v/>
      </c>
      <c r="M2329" s="65" t="str">
        <f t="shared" ca="1" si="182"/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183"/>
        <v/>
      </c>
      <c r="S2329" s="1" t="str">
        <f t="shared" si="184"/>
        <v/>
      </c>
      <c r="T2329" s="1">
        <f>IF($E2329="",0,SUMPRODUCT((AY_SONU!$O$7:$O$42="Evet")*(AY_SONU!$B$7:$B$42=DATE(YEAR($E2329),MONTH($E2329),1))))</f>
        <v>0</v>
      </c>
      <c r="U2329" s="1" t="str">
        <f>IF(OR($G2329="",$H2329="Mahsup"),"",$G2329&amp;"|"&amp;COUNTIFS($G$7:$G2329,$G2329,$H$7:$H2329,"&lt;&gt;Mahsup"))</f>
        <v/>
      </c>
    </row>
    <row r="2330" spans="1:21" ht="18" customHeight="1" x14ac:dyDescent="0.3">
      <c r="A2330" s="2"/>
      <c r="B2330" s="65" t="str">
        <f t="shared" si="180"/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 t="shared" si="181"/>
        <v/>
      </c>
      <c r="M2330" s="65" t="str">
        <f t="shared" ca="1" si="182"/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183"/>
        <v/>
      </c>
      <c r="S2330" s="1" t="str">
        <f t="shared" si="184"/>
        <v/>
      </c>
      <c r="T2330" s="1">
        <f>IF($E2330="",0,SUMPRODUCT((AY_SONU!$O$7:$O$42="Evet")*(AY_SONU!$B$7:$B$42=DATE(YEAR($E2330),MONTH($E2330),1))))</f>
        <v>0</v>
      </c>
      <c r="U2330" s="1" t="str">
        <f>IF(OR($G2330="",$H2330="Mahsup"),"",$G2330&amp;"|"&amp;COUNTIFS($G$7:$G2330,$G2330,$H$7:$H2330,"&lt;&gt;Mahsup"))</f>
        <v/>
      </c>
    </row>
    <row r="2331" spans="1:21" ht="18" customHeight="1" x14ac:dyDescent="0.3">
      <c r="A2331" s="2"/>
      <c r="B2331" s="65" t="str">
        <f t="shared" si="180"/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 t="shared" si="181"/>
        <v/>
      </c>
      <c r="M2331" s="65" t="str">
        <f t="shared" ca="1" si="182"/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183"/>
        <v/>
      </c>
      <c r="S2331" s="1" t="str">
        <f t="shared" si="184"/>
        <v/>
      </c>
      <c r="T2331" s="1">
        <f>IF($E2331="",0,SUMPRODUCT((AY_SONU!$O$7:$O$42="Evet")*(AY_SONU!$B$7:$B$42=DATE(YEAR($E2331),MONTH($E2331),1))))</f>
        <v>0</v>
      </c>
      <c r="U2331" s="1" t="str">
        <f>IF(OR($G2331="",$H2331="Mahsup"),"",$G2331&amp;"|"&amp;COUNTIFS($G$7:$G2331,$G2331,$H$7:$H2331,"&lt;&gt;Mahsup"))</f>
        <v/>
      </c>
    </row>
    <row r="2332" spans="1:21" ht="18" customHeight="1" x14ac:dyDescent="0.3">
      <c r="A2332" s="2"/>
      <c r="B2332" s="65" t="str">
        <f t="shared" si="180"/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 t="shared" si="181"/>
        <v/>
      </c>
      <c r="M2332" s="65" t="str">
        <f t="shared" ca="1" si="182"/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183"/>
        <v/>
      </c>
      <c r="S2332" s="1" t="str">
        <f t="shared" si="184"/>
        <v/>
      </c>
      <c r="T2332" s="1">
        <f>IF($E2332="",0,SUMPRODUCT((AY_SONU!$O$7:$O$42="Evet")*(AY_SONU!$B$7:$B$42=DATE(YEAR($E2332),MONTH($E2332),1))))</f>
        <v>0</v>
      </c>
      <c r="U2332" s="1" t="str">
        <f>IF(OR($G2332="",$H2332="Mahsup"),"",$G2332&amp;"|"&amp;COUNTIFS($G$7:$G2332,$G2332,$H$7:$H2332,"&lt;&gt;Mahsup"))</f>
        <v/>
      </c>
    </row>
    <row r="2333" spans="1:21" ht="18" customHeight="1" x14ac:dyDescent="0.3">
      <c r="A2333" s="2"/>
      <c r="B2333" s="65" t="str">
        <f t="shared" si="180"/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 t="shared" si="181"/>
        <v/>
      </c>
      <c r="M2333" s="65" t="str">
        <f t="shared" ca="1" si="182"/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183"/>
        <v/>
      </c>
      <c r="S2333" s="1" t="str">
        <f t="shared" si="184"/>
        <v/>
      </c>
      <c r="T2333" s="1">
        <f>IF($E2333="",0,SUMPRODUCT((AY_SONU!$O$7:$O$42="Evet")*(AY_SONU!$B$7:$B$42=DATE(YEAR($E2333),MONTH($E2333),1))))</f>
        <v>0</v>
      </c>
      <c r="U2333" s="1" t="str">
        <f>IF(OR($G2333="",$H2333="Mahsup"),"",$G2333&amp;"|"&amp;COUNTIFS($G$7:$G2333,$G2333,$H$7:$H2333,"&lt;&gt;Mahsup"))</f>
        <v/>
      </c>
    </row>
    <row r="2334" spans="1:21" ht="18" customHeight="1" x14ac:dyDescent="0.3">
      <c r="A2334" s="2"/>
      <c r="B2334" s="65" t="str">
        <f t="shared" si="180"/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 t="shared" si="181"/>
        <v/>
      </c>
      <c r="M2334" s="65" t="str">
        <f t="shared" ca="1" si="182"/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183"/>
        <v/>
      </c>
      <c r="S2334" s="1" t="str">
        <f t="shared" si="184"/>
        <v/>
      </c>
      <c r="T2334" s="1">
        <f>IF($E2334="",0,SUMPRODUCT((AY_SONU!$O$7:$O$42="Evet")*(AY_SONU!$B$7:$B$42=DATE(YEAR($E2334),MONTH($E2334),1))))</f>
        <v>0</v>
      </c>
      <c r="U2334" s="1" t="str">
        <f>IF(OR($G2334="",$H2334="Mahsup"),"",$G2334&amp;"|"&amp;COUNTIFS($G$7:$G2334,$G2334,$H$7:$H2334,"&lt;&gt;Mahsup"))</f>
        <v/>
      </c>
    </row>
    <row r="2335" spans="1:21" ht="18" customHeight="1" x14ac:dyDescent="0.3">
      <c r="A2335" s="2"/>
      <c r="B2335" s="65" t="str">
        <f t="shared" si="180"/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 t="shared" si="181"/>
        <v/>
      </c>
      <c r="M2335" s="65" t="str">
        <f t="shared" ca="1" si="182"/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183"/>
        <v/>
      </c>
      <c r="S2335" s="1" t="str">
        <f t="shared" si="184"/>
        <v/>
      </c>
      <c r="T2335" s="1">
        <f>IF($E2335="",0,SUMPRODUCT((AY_SONU!$O$7:$O$42="Evet")*(AY_SONU!$B$7:$B$42=DATE(YEAR($E2335),MONTH($E2335),1))))</f>
        <v>0</v>
      </c>
      <c r="U2335" s="1" t="str">
        <f>IF(OR($G2335="",$H2335="Mahsup"),"",$G2335&amp;"|"&amp;COUNTIFS($G$7:$G2335,$G2335,$H$7:$H2335,"&lt;&gt;Mahsup"))</f>
        <v/>
      </c>
    </row>
    <row r="2336" spans="1:21" ht="18" customHeight="1" x14ac:dyDescent="0.3">
      <c r="A2336" s="2"/>
      <c r="B2336" s="65" t="str">
        <f t="shared" si="180"/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 t="shared" si="181"/>
        <v/>
      </c>
      <c r="M2336" s="65" t="str">
        <f t="shared" ca="1" si="182"/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183"/>
        <v/>
      </c>
      <c r="S2336" s="1" t="str">
        <f t="shared" si="184"/>
        <v/>
      </c>
      <c r="T2336" s="1">
        <f>IF($E2336="",0,SUMPRODUCT((AY_SONU!$O$7:$O$42="Evet")*(AY_SONU!$B$7:$B$42=DATE(YEAR($E2336),MONTH($E2336),1))))</f>
        <v>0</v>
      </c>
      <c r="U2336" s="1" t="str">
        <f>IF(OR($G2336="",$H2336="Mahsup"),"",$G2336&amp;"|"&amp;COUNTIFS($G$7:$G2336,$G2336,$H$7:$H2336,"&lt;&gt;Mahsup"))</f>
        <v/>
      </c>
    </row>
    <row r="2337" spans="1:21" ht="18" customHeight="1" x14ac:dyDescent="0.3">
      <c r="A2337" s="2"/>
      <c r="B2337" s="65" t="str">
        <f t="shared" si="180"/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 t="shared" si="181"/>
        <v/>
      </c>
      <c r="M2337" s="65" t="str">
        <f t="shared" ca="1" si="182"/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183"/>
        <v/>
      </c>
      <c r="S2337" s="1" t="str">
        <f t="shared" si="184"/>
        <v/>
      </c>
      <c r="T2337" s="1">
        <f>IF($E2337="",0,SUMPRODUCT((AY_SONU!$O$7:$O$42="Evet")*(AY_SONU!$B$7:$B$42=DATE(YEAR($E2337),MONTH($E2337),1))))</f>
        <v>0</v>
      </c>
      <c r="U2337" s="1" t="str">
        <f>IF(OR($G2337="",$H2337="Mahsup"),"",$G2337&amp;"|"&amp;COUNTIFS($G$7:$G2337,$G2337,$H$7:$H2337,"&lt;&gt;Mahsup"))</f>
        <v/>
      </c>
    </row>
    <row r="2338" spans="1:21" ht="18" customHeight="1" x14ac:dyDescent="0.3">
      <c r="A2338" s="2"/>
      <c r="B2338" s="65" t="str">
        <f t="shared" si="180"/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 t="shared" si="181"/>
        <v/>
      </c>
      <c r="M2338" s="65" t="str">
        <f t="shared" ca="1" si="182"/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183"/>
        <v/>
      </c>
      <c r="S2338" s="1" t="str">
        <f t="shared" si="184"/>
        <v/>
      </c>
      <c r="T2338" s="1">
        <f>IF($E2338="",0,SUMPRODUCT((AY_SONU!$O$7:$O$42="Evet")*(AY_SONU!$B$7:$B$42=DATE(YEAR($E2338),MONTH($E2338),1))))</f>
        <v>0</v>
      </c>
      <c r="U2338" s="1" t="str">
        <f>IF(OR($G2338="",$H2338="Mahsup"),"",$G2338&amp;"|"&amp;COUNTIFS($G$7:$G2338,$G2338,$H$7:$H2338,"&lt;&gt;Mahsup"))</f>
        <v/>
      </c>
    </row>
    <row r="2339" spans="1:21" ht="18" customHeight="1" x14ac:dyDescent="0.3">
      <c r="A2339" s="2"/>
      <c r="B2339" s="65" t="str">
        <f t="shared" si="180"/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 t="shared" si="181"/>
        <v/>
      </c>
      <c r="M2339" s="65" t="str">
        <f t="shared" ca="1" si="182"/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183"/>
        <v/>
      </c>
      <c r="S2339" s="1" t="str">
        <f t="shared" si="184"/>
        <v/>
      </c>
      <c r="T2339" s="1">
        <f>IF($E2339="",0,SUMPRODUCT((AY_SONU!$O$7:$O$42="Evet")*(AY_SONU!$B$7:$B$42=DATE(YEAR($E2339),MONTH($E2339),1))))</f>
        <v>0</v>
      </c>
      <c r="U2339" s="1" t="str">
        <f>IF(OR($G2339="",$H2339="Mahsup"),"",$G2339&amp;"|"&amp;COUNTIFS($G$7:$G2339,$G2339,$H$7:$H2339,"&lt;&gt;Mahsup"))</f>
        <v/>
      </c>
    </row>
    <row r="2340" spans="1:21" ht="18" customHeight="1" x14ac:dyDescent="0.3">
      <c r="A2340" s="2"/>
      <c r="B2340" s="65" t="str">
        <f t="shared" si="180"/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 t="shared" si="181"/>
        <v/>
      </c>
      <c r="M2340" s="65" t="str">
        <f t="shared" ca="1" si="182"/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183"/>
        <v/>
      </c>
      <c r="S2340" s="1" t="str">
        <f t="shared" si="184"/>
        <v/>
      </c>
      <c r="T2340" s="1">
        <f>IF($E2340="",0,SUMPRODUCT((AY_SONU!$O$7:$O$42="Evet")*(AY_SONU!$B$7:$B$42=DATE(YEAR($E2340),MONTH($E2340),1))))</f>
        <v>0</v>
      </c>
      <c r="U2340" s="1" t="str">
        <f>IF(OR($G2340="",$H2340="Mahsup"),"",$G2340&amp;"|"&amp;COUNTIFS($G$7:$G2340,$G2340,$H$7:$H2340,"&lt;&gt;Mahsup"))</f>
        <v/>
      </c>
    </row>
    <row r="2341" spans="1:21" ht="18" customHeight="1" x14ac:dyDescent="0.3">
      <c r="A2341" s="2"/>
      <c r="B2341" s="65" t="str">
        <f t="shared" si="180"/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 t="shared" si="181"/>
        <v/>
      </c>
      <c r="M2341" s="65" t="str">
        <f t="shared" ca="1" si="182"/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183"/>
        <v/>
      </c>
      <c r="S2341" s="1" t="str">
        <f t="shared" si="184"/>
        <v/>
      </c>
      <c r="T2341" s="1">
        <f>IF($E2341="",0,SUMPRODUCT((AY_SONU!$O$7:$O$42="Evet")*(AY_SONU!$B$7:$B$42=DATE(YEAR($E2341),MONTH($E2341),1))))</f>
        <v>0</v>
      </c>
      <c r="U2341" s="1" t="str">
        <f>IF(OR($G2341="",$H2341="Mahsup"),"",$G2341&amp;"|"&amp;COUNTIFS($G$7:$G2341,$G2341,$H$7:$H2341,"&lt;&gt;Mahsup"))</f>
        <v/>
      </c>
    </row>
    <row r="2342" spans="1:21" ht="18" customHeight="1" x14ac:dyDescent="0.3">
      <c r="A2342" s="2"/>
      <c r="B2342" s="65" t="str">
        <f t="shared" si="180"/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 t="shared" si="181"/>
        <v/>
      </c>
      <c r="M2342" s="65" t="str">
        <f t="shared" ca="1" si="182"/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183"/>
        <v/>
      </c>
      <c r="S2342" s="1" t="str">
        <f t="shared" si="184"/>
        <v/>
      </c>
      <c r="T2342" s="1">
        <f>IF($E2342="",0,SUMPRODUCT((AY_SONU!$O$7:$O$42="Evet")*(AY_SONU!$B$7:$B$42=DATE(YEAR($E2342),MONTH($E2342),1))))</f>
        <v>0</v>
      </c>
      <c r="U2342" s="1" t="str">
        <f>IF(OR($G2342="",$H2342="Mahsup"),"",$G2342&amp;"|"&amp;COUNTIFS($G$7:$G2342,$G2342,$H$7:$H2342,"&lt;&gt;Mahsup"))</f>
        <v/>
      </c>
    </row>
    <row r="2343" spans="1:21" ht="18" customHeight="1" x14ac:dyDescent="0.3">
      <c r="A2343" s="2"/>
      <c r="B2343" s="65" t="str">
        <f t="shared" si="180"/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 t="shared" si="181"/>
        <v/>
      </c>
      <c r="M2343" s="65" t="str">
        <f t="shared" ca="1" si="182"/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183"/>
        <v/>
      </c>
      <c r="S2343" s="1" t="str">
        <f t="shared" si="184"/>
        <v/>
      </c>
      <c r="T2343" s="1">
        <f>IF($E2343="",0,SUMPRODUCT((AY_SONU!$O$7:$O$42="Evet")*(AY_SONU!$B$7:$B$42=DATE(YEAR($E2343),MONTH($E2343),1))))</f>
        <v>0</v>
      </c>
      <c r="U2343" s="1" t="str">
        <f>IF(OR($G2343="",$H2343="Mahsup"),"",$G2343&amp;"|"&amp;COUNTIFS($G$7:$G2343,$G2343,$H$7:$H2343,"&lt;&gt;Mahsup"))</f>
        <v/>
      </c>
    </row>
    <row r="2344" spans="1:21" ht="18" customHeight="1" x14ac:dyDescent="0.3">
      <c r="A2344" s="2"/>
      <c r="B2344" s="65" t="str">
        <f t="shared" si="180"/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 t="shared" si="181"/>
        <v/>
      </c>
      <c r="M2344" s="65" t="str">
        <f t="shared" ca="1" si="182"/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183"/>
        <v/>
      </c>
      <c r="S2344" s="1" t="str">
        <f t="shared" si="184"/>
        <v/>
      </c>
      <c r="T2344" s="1">
        <f>IF($E2344="",0,SUMPRODUCT((AY_SONU!$O$7:$O$42="Evet")*(AY_SONU!$B$7:$B$42=DATE(YEAR($E2344),MONTH($E2344),1))))</f>
        <v>0</v>
      </c>
      <c r="U2344" s="1" t="str">
        <f>IF(OR($G2344="",$H2344="Mahsup"),"",$G2344&amp;"|"&amp;COUNTIFS($G$7:$G2344,$G2344,$H$7:$H2344,"&lt;&gt;Mahsup"))</f>
        <v/>
      </c>
    </row>
    <row r="2345" spans="1:21" ht="18" customHeight="1" x14ac:dyDescent="0.3">
      <c r="A2345" s="2"/>
      <c r="B2345" s="65" t="str">
        <f t="shared" si="180"/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 t="shared" si="181"/>
        <v/>
      </c>
      <c r="M2345" s="65" t="str">
        <f t="shared" ca="1" si="182"/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183"/>
        <v/>
      </c>
      <c r="S2345" s="1" t="str">
        <f t="shared" si="184"/>
        <v/>
      </c>
      <c r="T2345" s="1">
        <f>IF($E2345="",0,SUMPRODUCT((AY_SONU!$O$7:$O$42="Evet")*(AY_SONU!$B$7:$B$42=DATE(YEAR($E2345),MONTH($E2345),1))))</f>
        <v>0</v>
      </c>
      <c r="U2345" s="1" t="str">
        <f>IF(OR($G2345="",$H2345="Mahsup"),"",$G2345&amp;"|"&amp;COUNTIFS($G$7:$G2345,$G2345,$H$7:$H2345,"&lt;&gt;Mahsup"))</f>
        <v/>
      </c>
    </row>
    <row r="2346" spans="1:21" ht="18" customHeight="1" x14ac:dyDescent="0.3">
      <c r="A2346" s="2"/>
      <c r="B2346" s="65" t="str">
        <f t="shared" si="180"/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 t="shared" si="181"/>
        <v/>
      </c>
      <c r="M2346" s="65" t="str">
        <f t="shared" ca="1" si="182"/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183"/>
        <v/>
      </c>
      <c r="S2346" s="1" t="str">
        <f t="shared" si="184"/>
        <v/>
      </c>
      <c r="T2346" s="1">
        <f>IF($E2346="",0,SUMPRODUCT((AY_SONU!$O$7:$O$42="Evet")*(AY_SONU!$B$7:$B$42=DATE(YEAR($E2346),MONTH($E2346),1))))</f>
        <v>0</v>
      </c>
      <c r="U2346" s="1" t="str">
        <f>IF(OR($G2346="",$H2346="Mahsup"),"",$G2346&amp;"|"&amp;COUNTIFS($G$7:$G2346,$G2346,$H$7:$H2346,"&lt;&gt;Mahsup"))</f>
        <v/>
      </c>
    </row>
    <row r="2347" spans="1:21" ht="18" customHeight="1" x14ac:dyDescent="0.3">
      <c r="A2347" s="2"/>
      <c r="B2347" s="65" t="str">
        <f t="shared" si="180"/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 t="shared" si="181"/>
        <v/>
      </c>
      <c r="M2347" s="65" t="str">
        <f t="shared" ca="1" si="182"/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183"/>
        <v/>
      </c>
      <c r="S2347" s="1" t="str">
        <f t="shared" si="184"/>
        <v/>
      </c>
      <c r="T2347" s="1">
        <f>IF($E2347="",0,SUMPRODUCT((AY_SONU!$O$7:$O$42="Evet")*(AY_SONU!$B$7:$B$42=DATE(YEAR($E2347),MONTH($E2347),1))))</f>
        <v>0</v>
      </c>
      <c r="U2347" s="1" t="str">
        <f>IF(OR($G2347="",$H2347="Mahsup"),"",$G2347&amp;"|"&amp;COUNTIFS($G$7:$G2347,$G2347,$H$7:$H2347,"&lt;&gt;Mahsup"))</f>
        <v/>
      </c>
    </row>
    <row r="2348" spans="1:21" ht="18" customHeight="1" x14ac:dyDescent="0.3">
      <c r="A2348" s="2"/>
      <c r="B2348" s="65" t="str">
        <f t="shared" si="180"/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 t="shared" si="181"/>
        <v/>
      </c>
      <c r="M2348" s="65" t="str">
        <f t="shared" ca="1" si="182"/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183"/>
        <v/>
      </c>
      <c r="S2348" s="1" t="str">
        <f t="shared" si="184"/>
        <v/>
      </c>
      <c r="T2348" s="1">
        <f>IF($E2348="",0,SUMPRODUCT((AY_SONU!$O$7:$O$42="Evet")*(AY_SONU!$B$7:$B$42=DATE(YEAR($E2348),MONTH($E2348),1))))</f>
        <v>0</v>
      </c>
      <c r="U2348" s="1" t="str">
        <f>IF(OR($G2348="",$H2348="Mahsup"),"",$G2348&amp;"|"&amp;COUNTIFS($G$7:$G2348,$G2348,$H$7:$H2348,"&lt;&gt;Mahsup"))</f>
        <v/>
      </c>
    </row>
    <row r="2349" spans="1:21" ht="18" customHeight="1" x14ac:dyDescent="0.3">
      <c r="A2349" s="2"/>
      <c r="B2349" s="65" t="str">
        <f t="shared" si="180"/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 t="shared" si="181"/>
        <v/>
      </c>
      <c r="M2349" s="65" t="str">
        <f t="shared" ca="1" si="182"/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183"/>
        <v/>
      </c>
      <c r="S2349" s="1" t="str">
        <f t="shared" si="184"/>
        <v/>
      </c>
      <c r="T2349" s="1">
        <f>IF($E2349="",0,SUMPRODUCT((AY_SONU!$O$7:$O$42="Evet")*(AY_SONU!$B$7:$B$42=DATE(YEAR($E2349),MONTH($E2349),1))))</f>
        <v>0</v>
      </c>
      <c r="U2349" s="1" t="str">
        <f>IF(OR($G2349="",$H2349="Mahsup"),"",$G2349&amp;"|"&amp;COUNTIFS($G$7:$G2349,$G2349,$H$7:$H2349,"&lt;&gt;Mahsup"))</f>
        <v/>
      </c>
    </row>
    <row r="2350" spans="1:21" ht="18" customHeight="1" x14ac:dyDescent="0.3">
      <c r="A2350" s="2"/>
      <c r="B2350" s="65" t="str">
        <f t="shared" si="180"/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 t="shared" si="181"/>
        <v/>
      </c>
      <c r="M2350" s="65" t="str">
        <f t="shared" ca="1" si="182"/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183"/>
        <v/>
      </c>
      <c r="S2350" s="1" t="str">
        <f t="shared" si="184"/>
        <v/>
      </c>
      <c r="T2350" s="1">
        <f>IF($E2350="",0,SUMPRODUCT((AY_SONU!$O$7:$O$42="Evet")*(AY_SONU!$B$7:$B$42=DATE(YEAR($E2350),MONTH($E2350),1))))</f>
        <v>0</v>
      </c>
      <c r="U2350" s="1" t="str">
        <f>IF(OR($G2350="",$H2350="Mahsup"),"",$G2350&amp;"|"&amp;COUNTIFS($G$7:$G2350,$G2350,$H$7:$H2350,"&lt;&gt;Mahsup"))</f>
        <v/>
      </c>
    </row>
    <row r="2351" spans="1:21" ht="18" customHeight="1" x14ac:dyDescent="0.3">
      <c r="A2351" s="2"/>
      <c r="B2351" s="65" t="str">
        <f t="shared" si="180"/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 t="shared" si="181"/>
        <v/>
      </c>
      <c r="M2351" s="65" t="str">
        <f t="shared" ca="1" si="182"/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183"/>
        <v/>
      </c>
      <c r="S2351" s="1" t="str">
        <f t="shared" si="184"/>
        <v/>
      </c>
      <c r="T2351" s="1">
        <f>IF($E2351="",0,SUMPRODUCT((AY_SONU!$O$7:$O$42="Evet")*(AY_SONU!$B$7:$B$42=DATE(YEAR($E2351),MONTH($E2351),1))))</f>
        <v>0</v>
      </c>
      <c r="U2351" s="1" t="str">
        <f>IF(OR($G2351="",$H2351="Mahsup"),"",$G2351&amp;"|"&amp;COUNTIFS($G$7:$G2351,$G2351,$H$7:$H2351,"&lt;&gt;Mahsup"))</f>
        <v/>
      </c>
    </row>
    <row r="2352" spans="1:21" ht="18" customHeight="1" x14ac:dyDescent="0.3">
      <c r="A2352" s="2"/>
      <c r="B2352" s="65" t="str">
        <f t="shared" si="180"/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 t="shared" si="181"/>
        <v/>
      </c>
      <c r="M2352" s="65" t="str">
        <f t="shared" ca="1" si="182"/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183"/>
        <v/>
      </c>
      <c r="S2352" s="1" t="str">
        <f t="shared" si="184"/>
        <v/>
      </c>
      <c r="T2352" s="1">
        <f>IF($E2352="",0,SUMPRODUCT((AY_SONU!$O$7:$O$42="Evet")*(AY_SONU!$B$7:$B$42=DATE(YEAR($E2352),MONTH($E2352),1))))</f>
        <v>0</v>
      </c>
      <c r="U2352" s="1" t="str">
        <f>IF(OR($G2352="",$H2352="Mahsup"),"",$G2352&amp;"|"&amp;COUNTIFS($G$7:$G2352,$G2352,$H$7:$H2352,"&lt;&gt;Mahsup"))</f>
        <v/>
      </c>
    </row>
    <row r="2353" spans="1:21" ht="18" customHeight="1" x14ac:dyDescent="0.3">
      <c r="A2353" s="2"/>
      <c r="B2353" s="65" t="str">
        <f t="shared" si="180"/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 t="shared" si="181"/>
        <v/>
      </c>
      <c r="M2353" s="65" t="str">
        <f t="shared" ca="1" si="182"/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183"/>
        <v/>
      </c>
      <c r="S2353" s="1" t="str">
        <f t="shared" si="184"/>
        <v/>
      </c>
      <c r="T2353" s="1">
        <f>IF($E2353="",0,SUMPRODUCT((AY_SONU!$O$7:$O$42="Evet")*(AY_SONU!$B$7:$B$42=DATE(YEAR($E2353),MONTH($E2353),1))))</f>
        <v>0</v>
      </c>
      <c r="U2353" s="1" t="str">
        <f>IF(OR($G2353="",$H2353="Mahsup"),"",$G2353&amp;"|"&amp;COUNTIFS($G$7:$G2353,$G2353,$H$7:$H2353,"&lt;&gt;Mahsup"))</f>
        <v/>
      </c>
    </row>
    <row r="2354" spans="1:21" ht="18" customHeight="1" x14ac:dyDescent="0.3">
      <c r="A2354" s="2"/>
      <c r="B2354" s="65" t="str">
        <f t="shared" si="180"/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 t="shared" si="181"/>
        <v/>
      </c>
      <c r="M2354" s="65" t="str">
        <f t="shared" ca="1" si="182"/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183"/>
        <v/>
      </c>
      <c r="S2354" s="1" t="str">
        <f t="shared" si="184"/>
        <v/>
      </c>
      <c r="T2354" s="1">
        <f>IF($E2354="",0,SUMPRODUCT((AY_SONU!$O$7:$O$42="Evet")*(AY_SONU!$B$7:$B$42=DATE(YEAR($E2354),MONTH($E2354),1))))</f>
        <v>0</v>
      </c>
      <c r="U2354" s="1" t="str">
        <f>IF(OR($G2354="",$H2354="Mahsup"),"",$G2354&amp;"|"&amp;COUNTIFS($G$7:$G2354,$G2354,$H$7:$H2354,"&lt;&gt;Mahsup"))</f>
        <v/>
      </c>
    </row>
    <row r="2355" spans="1:21" ht="18" customHeight="1" x14ac:dyDescent="0.3">
      <c r="A2355" s="2"/>
      <c r="B2355" s="65" t="str">
        <f t="shared" si="180"/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 t="shared" si="181"/>
        <v/>
      </c>
      <c r="M2355" s="65" t="str">
        <f t="shared" ca="1" si="182"/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183"/>
        <v/>
      </c>
      <c r="S2355" s="1" t="str">
        <f t="shared" si="184"/>
        <v/>
      </c>
      <c r="T2355" s="1">
        <f>IF($E2355="",0,SUMPRODUCT((AY_SONU!$O$7:$O$42="Evet")*(AY_SONU!$B$7:$B$42=DATE(YEAR($E2355),MONTH($E2355),1))))</f>
        <v>0</v>
      </c>
      <c r="U2355" s="1" t="str">
        <f>IF(OR($G2355="",$H2355="Mahsup"),"",$G2355&amp;"|"&amp;COUNTIFS($G$7:$G2355,$G2355,$H$7:$H2355,"&lt;&gt;Mahsup"))</f>
        <v/>
      </c>
    </row>
    <row r="2356" spans="1:21" ht="18" customHeight="1" x14ac:dyDescent="0.3">
      <c r="A2356" s="2"/>
      <c r="B2356" s="65" t="str">
        <f t="shared" si="180"/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 t="shared" si="181"/>
        <v/>
      </c>
      <c r="M2356" s="65" t="str">
        <f t="shared" ca="1" si="182"/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183"/>
        <v/>
      </c>
      <c r="S2356" s="1" t="str">
        <f t="shared" si="184"/>
        <v/>
      </c>
      <c r="T2356" s="1">
        <f>IF($E2356="",0,SUMPRODUCT((AY_SONU!$O$7:$O$42="Evet")*(AY_SONU!$B$7:$B$42=DATE(YEAR($E2356),MONTH($E2356),1))))</f>
        <v>0</v>
      </c>
      <c r="U2356" s="1" t="str">
        <f>IF(OR($G2356="",$H2356="Mahsup"),"",$G2356&amp;"|"&amp;COUNTIFS($G$7:$G2356,$G2356,$H$7:$H2356,"&lt;&gt;Mahsup"))</f>
        <v/>
      </c>
    </row>
    <row r="2357" spans="1:21" ht="18" customHeight="1" x14ac:dyDescent="0.3">
      <c r="A2357" s="2"/>
      <c r="B2357" s="65" t="str">
        <f t="shared" si="180"/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 t="shared" si="181"/>
        <v/>
      </c>
      <c r="M2357" s="65" t="str">
        <f t="shared" ca="1" si="182"/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183"/>
        <v/>
      </c>
      <c r="S2357" s="1" t="str">
        <f t="shared" si="184"/>
        <v/>
      </c>
      <c r="T2357" s="1">
        <f>IF($E2357="",0,SUMPRODUCT((AY_SONU!$O$7:$O$42="Evet")*(AY_SONU!$B$7:$B$42=DATE(YEAR($E2357),MONTH($E2357),1))))</f>
        <v>0</v>
      </c>
      <c r="U2357" s="1" t="str">
        <f>IF(OR($G2357="",$H2357="Mahsup"),"",$G2357&amp;"|"&amp;COUNTIFS($G$7:$G2357,$G2357,$H$7:$H2357,"&lt;&gt;Mahsup"))</f>
        <v/>
      </c>
    </row>
    <row r="2358" spans="1:21" ht="18" customHeight="1" x14ac:dyDescent="0.3">
      <c r="A2358" s="2"/>
      <c r="B2358" s="65" t="str">
        <f t="shared" si="180"/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 t="shared" si="181"/>
        <v/>
      </c>
      <c r="M2358" s="65" t="str">
        <f t="shared" ca="1" si="182"/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183"/>
        <v/>
      </c>
      <c r="S2358" s="1" t="str">
        <f t="shared" si="184"/>
        <v/>
      </c>
      <c r="T2358" s="1">
        <f>IF($E2358="",0,SUMPRODUCT((AY_SONU!$O$7:$O$42="Evet")*(AY_SONU!$B$7:$B$42=DATE(YEAR($E2358),MONTH($E2358),1))))</f>
        <v>0</v>
      </c>
      <c r="U2358" s="1" t="str">
        <f>IF(OR($G2358="",$H2358="Mahsup"),"",$G2358&amp;"|"&amp;COUNTIFS($G$7:$G2358,$G2358,$H$7:$H2358,"&lt;&gt;Mahsup"))</f>
        <v/>
      </c>
    </row>
    <row r="2359" spans="1:21" ht="18" customHeight="1" x14ac:dyDescent="0.3">
      <c r="A2359" s="2"/>
      <c r="B2359" s="65" t="str">
        <f t="shared" si="180"/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 t="shared" si="181"/>
        <v/>
      </c>
      <c r="M2359" s="65" t="str">
        <f t="shared" ca="1" si="182"/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183"/>
        <v/>
      </c>
      <c r="S2359" s="1" t="str">
        <f t="shared" si="184"/>
        <v/>
      </c>
      <c r="T2359" s="1">
        <f>IF($E2359="",0,SUMPRODUCT((AY_SONU!$O$7:$O$42="Evet")*(AY_SONU!$B$7:$B$42=DATE(YEAR($E2359),MONTH($E2359),1))))</f>
        <v>0</v>
      </c>
      <c r="U2359" s="1" t="str">
        <f>IF(OR($G2359="",$H2359="Mahsup"),"",$G2359&amp;"|"&amp;COUNTIFS($G$7:$G2359,$G2359,$H$7:$H2359,"&lt;&gt;Mahsup"))</f>
        <v/>
      </c>
    </row>
    <row r="2360" spans="1:21" ht="18" customHeight="1" x14ac:dyDescent="0.3">
      <c r="A2360" s="2"/>
      <c r="B2360" s="65" t="str">
        <f t="shared" si="180"/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 t="shared" si="181"/>
        <v/>
      </c>
      <c r="M2360" s="65" t="str">
        <f t="shared" ca="1" si="182"/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183"/>
        <v/>
      </c>
      <c r="S2360" s="1" t="str">
        <f t="shared" si="184"/>
        <v/>
      </c>
      <c r="T2360" s="1">
        <f>IF($E2360="",0,SUMPRODUCT((AY_SONU!$O$7:$O$42="Evet")*(AY_SONU!$B$7:$B$42=DATE(YEAR($E2360),MONTH($E2360),1))))</f>
        <v>0</v>
      </c>
      <c r="U2360" s="1" t="str">
        <f>IF(OR($G2360="",$H2360="Mahsup"),"",$G2360&amp;"|"&amp;COUNTIFS($G$7:$G2360,$G2360,$H$7:$H2360,"&lt;&gt;Mahsup"))</f>
        <v/>
      </c>
    </row>
    <row r="2361" spans="1:21" ht="18" customHeight="1" x14ac:dyDescent="0.3">
      <c r="A2361" s="2"/>
      <c r="B2361" s="65" t="str">
        <f t="shared" si="180"/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 t="shared" si="181"/>
        <v/>
      </c>
      <c r="M2361" s="65" t="str">
        <f t="shared" ca="1" si="182"/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183"/>
        <v/>
      </c>
      <c r="S2361" s="1" t="str">
        <f t="shared" si="184"/>
        <v/>
      </c>
      <c r="T2361" s="1">
        <f>IF($E2361="",0,SUMPRODUCT((AY_SONU!$O$7:$O$42="Evet")*(AY_SONU!$B$7:$B$42=DATE(YEAR($E2361),MONTH($E2361),1))))</f>
        <v>0</v>
      </c>
      <c r="U2361" s="1" t="str">
        <f>IF(OR($G2361="",$H2361="Mahsup"),"",$G2361&amp;"|"&amp;COUNTIFS($G$7:$G2361,$G2361,$H$7:$H2361,"&lt;&gt;Mahsup"))</f>
        <v/>
      </c>
    </row>
    <row r="2362" spans="1:21" ht="18" customHeight="1" x14ac:dyDescent="0.3">
      <c r="A2362" s="2"/>
      <c r="B2362" s="65" t="str">
        <f t="shared" si="180"/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 t="shared" si="181"/>
        <v/>
      </c>
      <c r="M2362" s="65" t="str">
        <f t="shared" ca="1" si="182"/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183"/>
        <v/>
      </c>
      <c r="S2362" s="1" t="str">
        <f t="shared" si="184"/>
        <v/>
      </c>
      <c r="T2362" s="1">
        <f>IF($E2362="",0,SUMPRODUCT((AY_SONU!$O$7:$O$42="Evet")*(AY_SONU!$B$7:$B$42=DATE(YEAR($E2362),MONTH($E2362),1))))</f>
        <v>0</v>
      </c>
      <c r="U2362" s="1" t="str">
        <f>IF(OR($G2362="",$H2362="Mahsup"),"",$G2362&amp;"|"&amp;COUNTIFS($G$7:$G2362,$G2362,$H$7:$H2362,"&lt;&gt;Mahsup"))</f>
        <v/>
      </c>
    </row>
    <row r="2363" spans="1:21" ht="18" customHeight="1" x14ac:dyDescent="0.3">
      <c r="A2363" s="2"/>
      <c r="B2363" s="65" t="str">
        <f t="shared" si="180"/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 t="shared" si="181"/>
        <v/>
      </c>
      <c r="M2363" s="65" t="str">
        <f t="shared" ca="1" si="182"/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183"/>
        <v/>
      </c>
      <c r="S2363" s="1" t="str">
        <f t="shared" si="184"/>
        <v/>
      </c>
      <c r="T2363" s="1">
        <f>IF($E2363="",0,SUMPRODUCT((AY_SONU!$O$7:$O$42="Evet")*(AY_SONU!$B$7:$B$42=DATE(YEAR($E2363),MONTH($E2363),1))))</f>
        <v>0</v>
      </c>
      <c r="U2363" s="1" t="str">
        <f>IF(OR($G2363="",$H2363="Mahsup"),"",$G2363&amp;"|"&amp;COUNTIFS($G$7:$G2363,$G2363,$H$7:$H2363,"&lt;&gt;Mahsup"))</f>
        <v/>
      </c>
    </row>
    <row r="2364" spans="1:21" ht="18" customHeight="1" x14ac:dyDescent="0.3">
      <c r="A2364" s="2"/>
      <c r="B2364" s="65" t="str">
        <f t="shared" si="180"/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 t="shared" si="181"/>
        <v/>
      </c>
      <c r="M2364" s="65" t="str">
        <f t="shared" ca="1" si="182"/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183"/>
        <v/>
      </c>
      <c r="S2364" s="1" t="str">
        <f t="shared" si="184"/>
        <v/>
      </c>
      <c r="T2364" s="1">
        <f>IF($E2364="",0,SUMPRODUCT((AY_SONU!$O$7:$O$42="Evet")*(AY_SONU!$B$7:$B$42=DATE(YEAR($E2364),MONTH($E2364),1))))</f>
        <v>0</v>
      </c>
      <c r="U2364" s="1" t="str">
        <f>IF(OR($G2364="",$H2364="Mahsup"),"",$G2364&amp;"|"&amp;COUNTIFS($G$7:$G2364,$G2364,$H$7:$H2364,"&lt;&gt;Mahsup"))</f>
        <v/>
      </c>
    </row>
    <row r="2365" spans="1:21" ht="18" customHeight="1" x14ac:dyDescent="0.3">
      <c r="A2365" s="2"/>
      <c r="B2365" s="65" t="str">
        <f t="shared" si="180"/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 t="shared" si="181"/>
        <v/>
      </c>
      <c r="M2365" s="65" t="str">
        <f t="shared" ca="1" si="182"/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183"/>
        <v/>
      </c>
      <c r="S2365" s="1" t="str">
        <f t="shared" si="184"/>
        <v/>
      </c>
      <c r="T2365" s="1">
        <f>IF($E2365="",0,SUMPRODUCT((AY_SONU!$O$7:$O$42="Evet")*(AY_SONU!$B$7:$B$42=DATE(YEAR($E2365),MONTH($E2365),1))))</f>
        <v>0</v>
      </c>
      <c r="U2365" s="1" t="str">
        <f>IF(OR($G2365="",$H2365="Mahsup"),"",$G2365&amp;"|"&amp;COUNTIFS($G$7:$G2365,$G2365,$H$7:$H2365,"&lt;&gt;Mahsup"))</f>
        <v/>
      </c>
    </row>
    <row r="2366" spans="1:21" ht="18" customHeight="1" x14ac:dyDescent="0.3">
      <c r="A2366" s="2"/>
      <c r="B2366" s="65" t="str">
        <f t="shared" si="180"/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 t="shared" si="181"/>
        <v/>
      </c>
      <c r="M2366" s="65" t="str">
        <f t="shared" ca="1" si="182"/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183"/>
        <v/>
      </c>
      <c r="S2366" s="1" t="str">
        <f t="shared" si="184"/>
        <v/>
      </c>
      <c r="T2366" s="1">
        <f>IF($E2366="",0,SUMPRODUCT((AY_SONU!$O$7:$O$42="Evet")*(AY_SONU!$B$7:$B$42=DATE(YEAR($E2366),MONTH($E2366),1))))</f>
        <v>0</v>
      </c>
      <c r="U2366" s="1" t="str">
        <f>IF(OR($G2366="",$H2366="Mahsup"),"",$G2366&amp;"|"&amp;COUNTIFS($G$7:$G2366,$G2366,$H$7:$H2366,"&lt;&gt;Mahsup"))</f>
        <v/>
      </c>
    </row>
    <row r="2367" spans="1:21" ht="18" customHeight="1" x14ac:dyDescent="0.3">
      <c r="A2367" s="2"/>
      <c r="B2367" s="65" t="str">
        <f t="shared" si="180"/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 t="shared" si="181"/>
        <v/>
      </c>
      <c r="M2367" s="65" t="str">
        <f t="shared" ca="1" si="182"/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183"/>
        <v/>
      </c>
      <c r="S2367" s="1" t="str">
        <f t="shared" si="184"/>
        <v/>
      </c>
      <c r="T2367" s="1">
        <f>IF($E2367="",0,SUMPRODUCT((AY_SONU!$O$7:$O$42="Evet")*(AY_SONU!$B$7:$B$42=DATE(YEAR($E2367),MONTH($E2367),1))))</f>
        <v>0</v>
      </c>
      <c r="U2367" s="1" t="str">
        <f>IF(OR($G2367="",$H2367="Mahsup"),"",$G2367&amp;"|"&amp;COUNTIFS($G$7:$G2367,$G2367,$H$7:$H2367,"&lt;&gt;Mahsup"))</f>
        <v/>
      </c>
    </row>
    <row r="2368" spans="1:21" ht="18" customHeight="1" x14ac:dyDescent="0.3">
      <c r="A2368" s="2"/>
      <c r="B2368" s="65" t="str">
        <f t="shared" si="180"/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 t="shared" si="181"/>
        <v/>
      </c>
      <c r="M2368" s="65" t="str">
        <f t="shared" ca="1" si="182"/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183"/>
        <v/>
      </c>
      <c r="S2368" s="1" t="str">
        <f t="shared" si="184"/>
        <v/>
      </c>
      <c r="T2368" s="1">
        <f>IF($E2368="",0,SUMPRODUCT((AY_SONU!$O$7:$O$42="Evet")*(AY_SONU!$B$7:$B$42=DATE(YEAR($E2368),MONTH($E2368),1))))</f>
        <v>0</v>
      </c>
      <c r="U2368" s="1" t="str">
        <f>IF(OR($G2368="",$H2368="Mahsup"),"",$G2368&amp;"|"&amp;COUNTIFS($G$7:$G2368,$G2368,$H$7:$H2368,"&lt;&gt;Mahsup"))</f>
        <v/>
      </c>
    </row>
    <row r="2369" spans="1:21" ht="18" customHeight="1" x14ac:dyDescent="0.3">
      <c r="A2369" s="2"/>
      <c r="B2369" s="65" t="str">
        <f t="shared" si="180"/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 t="shared" si="181"/>
        <v/>
      </c>
      <c r="M2369" s="65" t="str">
        <f t="shared" ca="1" si="182"/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183"/>
        <v/>
      </c>
      <c r="S2369" s="1" t="str">
        <f t="shared" si="184"/>
        <v/>
      </c>
      <c r="T2369" s="1">
        <f>IF($E2369="",0,SUMPRODUCT((AY_SONU!$O$7:$O$42="Evet")*(AY_SONU!$B$7:$B$42=DATE(YEAR($E2369),MONTH($E2369),1))))</f>
        <v>0</v>
      </c>
      <c r="U2369" s="1" t="str">
        <f>IF(OR($G2369="",$H2369="Mahsup"),"",$G2369&amp;"|"&amp;COUNTIFS($G$7:$G2369,$G2369,$H$7:$H2369,"&lt;&gt;Mahsup"))</f>
        <v/>
      </c>
    </row>
    <row r="2370" spans="1:21" ht="18" customHeight="1" x14ac:dyDescent="0.3">
      <c r="A2370" s="2"/>
      <c r="B2370" s="65" t="str">
        <f t="shared" si="180"/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 t="shared" si="181"/>
        <v/>
      </c>
      <c r="M2370" s="65" t="str">
        <f t="shared" ca="1" si="182"/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183"/>
        <v/>
      </c>
      <c r="S2370" s="1" t="str">
        <f t="shared" si="184"/>
        <v/>
      </c>
      <c r="T2370" s="1">
        <f>IF($E2370="",0,SUMPRODUCT((AY_SONU!$O$7:$O$42="Evet")*(AY_SONU!$B$7:$B$42=DATE(YEAR($E2370),MONTH($E2370),1))))</f>
        <v>0</v>
      </c>
      <c r="U2370" s="1" t="str">
        <f>IF(OR($G2370="",$H2370="Mahsup"),"",$G2370&amp;"|"&amp;COUNTIFS($G$7:$G2370,$G2370,$H$7:$H2370,"&lt;&gt;Mahsup"))</f>
        <v/>
      </c>
    </row>
    <row r="2371" spans="1:21" ht="18" customHeight="1" x14ac:dyDescent="0.3">
      <c r="A2371" s="2"/>
      <c r="B2371" s="65" t="str">
        <f t="shared" si="180"/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 t="shared" si="181"/>
        <v/>
      </c>
      <c r="M2371" s="65" t="str">
        <f t="shared" ca="1" si="182"/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183"/>
        <v/>
      </c>
      <c r="S2371" s="1" t="str">
        <f t="shared" si="184"/>
        <v/>
      </c>
      <c r="T2371" s="1">
        <f>IF($E2371="",0,SUMPRODUCT((AY_SONU!$O$7:$O$42="Evet")*(AY_SONU!$B$7:$B$42=DATE(YEAR($E2371),MONTH($E2371),1))))</f>
        <v>0</v>
      </c>
      <c r="U2371" s="1" t="str">
        <f>IF(OR($G2371="",$H2371="Mahsup"),"",$G2371&amp;"|"&amp;COUNTIFS($G$7:$G2371,$G2371,$H$7:$H2371,"&lt;&gt;Mahsup"))</f>
        <v/>
      </c>
    </row>
    <row r="2372" spans="1:21" ht="18" customHeight="1" x14ac:dyDescent="0.3">
      <c r="A2372" s="2"/>
      <c r="B2372" s="65" t="str">
        <f t="shared" si="180"/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 t="shared" si="181"/>
        <v/>
      </c>
      <c r="M2372" s="65" t="str">
        <f t="shared" ca="1" si="182"/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183"/>
        <v/>
      </c>
      <c r="S2372" s="1" t="str">
        <f t="shared" si="184"/>
        <v/>
      </c>
      <c r="T2372" s="1">
        <f>IF($E2372="",0,SUMPRODUCT((AY_SONU!$O$7:$O$42="Evet")*(AY_SONU!$B$7:$B$42=DATE(YEAR($E2372),MONTH($E2372),1))))</f>
        <v>0</v>
      </c>
      <c r="U2372" s="1" t="str">
        <f>IF(OR($G2372="",$H2372="Mahsup"),"",$G2372&amp;"|"&amp;COUNTIFS($G$7:$G2372,$G2372,$H$7:$H2372,"&lt;&gt;Mahsup"))</f>
        <v/>
      </c>
    </row>
    <row r="2373" spans="1:21" ht="18" customHeight="1" x14ac:dyDescent="0.3">
      <c r="A2373" s="2"/>
      <c r="B2373" s="65" t="str">
        <f t="shared" si="180"/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 t="shared" si="181"/>
        <v/>
      </c>
      <c r="M2373" s="65" t="str">
        <f t="shared" ca="1" si="182"/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183"/>
        <v/>
      </c>
      <c r="S2373" s="1" t="str">
        <f t="shared" si="184"/>
        <v/>
      </c>
      <c r="T2373" s="1">
        <f>IF($E2373="",0,SUMPRODUCT((AY_SONU!$O$7:$O$42="Evet")*(AY_SONU!$B$7:$B$42=DATE(YEAR($E2373),MONTH($E2373),1))))</f>
        <v>0</v>
      </c>
      <c r="U2373" s="1" t="str">
        <f>IF(OR($G2373="",$H2373="Mahsup"),"",$G2373&amp;"|"&amp;COUNTIFS($G$7:$G2373,$G2373,$H$7:$H2373,"&lt;&gt;Mahsup"))</f>
        <v/>
      </c>
    </row>
    <row r="2374" spans="1:21" ht="18" customHeight="1" x14ac:dyDescent="0.3">
      <c r="A2374" s="2"/>
      <c r="B2374" s="65" t="str">
        <f t="shared" si="180"/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 t="shared" si="181"/>
        <v/>
      </c>
      <c r="M2374" s="65" t="str">
        <f t="shared" ca="1" si="182"/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183"/>
        <v/>
      </c>
      <c r="S2374" s="1" t="str">
        <f t="shared" si="184"/>
        <v/>
      </c>
      <c r="T2374" s="1">
        <f>IF($E2374="",0,SUMPRODUCT((AY_SONU!$O$7:$O$42="Evet")*(AY_SONU!$B$7:$B$42=DATE(YEAR($E2374),MONTH($E2374),1))))</f>
        <v>0</v>
      </c>
      <c r="U2374" s="1" t="str">
        <f>IF(OR($G2374="",$H2374="Mahsup"),"",$G2374&amp;"|"&amp;COUNTIFS($G$7:$G2374,$G2374,$H$7:$H2374,"&lt;&gt;Mahsup"))</f>
        <v/>
      </c>
    </row>
    <row r="2375" spans="1:21" ht="18" customHeight="1" x14ac:dyDescent="0.3">
      <c r="A2375" s="2"/>
      <c r="B2375" s="65" t="str">
        <f t="shared" ref="B2375:B2438" si="185"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 t="shared" ref="L2375:L2438" si="186">IF($E2375="","",DATE(YEAR($E2375),MONTH($E2375),1))</f>
        <v/>
      </c>
      <c r="M2375" s="65" t="str">
        <f t="shared" ref="M2375:M2438" ca="1" si="187"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188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189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  <c r="U2375" s="1" t="str">
        <f>IF(OR($G2375="",$H2375="Mahsup"),"",$G2375&amp;"|"&amp;COUNTIFS($G$7:$G2375,$G2375,$H$7:$H2375,"&lt;&gt;Mahsup"))</f>
        <v/>
      </c>
    </row>
    <row r="2376" spans="1:21" ht="18" customHeight="1" x14ac:dyDescent="0.3">
      <c r="A2376" s="2"/>
      <c r="B2376" s="65" t="str">
        <f t="shared" si="185"/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 t="shared" si="186"/>
        <v/>
      </c>
      <c r="M2376" s="65" t="str">
        <f t="shared" ca="1" si="187"/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188"/>
        <v/>
      </c>
      <c r="S2376" s="1" t="str">
        <f t="shared" si="189"/>
        <v/>
      </c>
      <c r="T2376" s="1">
        <f>IF($E2376="",0,SUMPRODUCT((AY_SONU!$O$7:$O$42="Evet")*(AY_SONU!$B$7:$B$42=DATE(YEAR($E2376),MONTH($E2376),1))))</f>
        <v>0</v>
      </c>
      <c r="U2376" s="1" t="str">
        <f>IF(OR($G2376="",$H2376="Mahsup"),"",$G2376&amp;"|"&amp;COUNTIFS($G$7:$G2376,$G2376,$H$7:$H2376,"&lt;&gt;Mahsup"))</f>
        <v/>
      </c>
    </row>
    <row r="2377" spans="1:21" ht="18" customHeight="1" x14ac:dyDescent="0.3">
      <c r="A2377" s="2"/>
      <c r="B2377" s="65" t="str">
        <f t="shared" si="185"/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 t="shared" si="186"/>
        <v/>
      </c>
      <c r="M2377" s="65" t="str">
        <f t="shared" ca="1" si="187"/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188"/>
        <v/>
      </c>
      <c r="S2377" s="1" t="str">
        <f t="shared" si="189"/>
        <v/>
      </c>
      <c r="T2377" s="1">
        <f>IF($E2377="",0,SUMPRODUCT((AY_SONU!$O$7:$O$42="Evet")*(AY_SONU!$B$7:$B$42=DATE(YEAR($E2377),MONTH($E2377),1))))</f>
        <v>0</v>
      </c>
      <c r="U2377" s="1" t="str">
        <f>IF(OR($G2377="",$H2377="Mahsup"),"",$G2377&amp;"|"&amp;COUNTIFS($G$7:$G2377,$G2377,$H$7:$H2377,"&lt;&gt;Mahsup"))</f>
        <v/>
      </c>
    </row>
    <row r="2378" spans="1:21" ht="18" customHeight="1" x14ac:dyDescent="0.3">
      <c r="A2378" s="2"/>
      <c r="B2378" s="65" t="str">
        <f t="shared" si="185"/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 t="shared" si="186"/>
        <v/>
      </c>
      <c r="M2378" s="65" t="str">
        <f t="shared" ca="1" si="187"/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188"/>
        <v/>
      </c>
      <c r="S2378" s="1" t="str">
        <f t="shared" si="189"/>
        <v/>
      </c>
      <c r="T2378" s="1">
        <f>IF($E2378="",0,SUMPRODUCT((AY_SONU!$O$7:$O$42="Evet")*(AY_SONU!$B$7:$B$42=DATE(YEAR($E2378),MONTH($E2378),1))))</f>
        <v>0</v>
      </c>
      <c r="U2378" s="1" t="str">
        <f>IF(OR($G2378="",$H2378="Mahsup"),"",$G2378&amp;"|"&amp;COUNTIFS($G$7:$G2378,$G2378,$H$7:$H2378,"&lt;&gt;Mahsup"))</f>
        <v/>
      </c>
    </row>
    <row r="2379" spans="1:21" ht="18" customHeight="1" x14ac:dyDescent="0.3">
      <c r="A2379" s="2"/>
      <c r="B2379" s="65" t="str">
        <f t="shared" si="185"/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 t="shared" si="186"/>
        <v/>
      </c>
      <c r="M2379" s="65" t="str">
        <f t="shared" ca="1" si="187"/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188"/>
        <v/>
      </c>
      <c r="S2379" s="1" t="str">
        <f t="shared" si="189"/>
        <v/>
      </c>
      <c r="T2379" s="1">
        <f>IF($E2379="",0,SUMPRODUCT((AY_SONU!$O$7:$O$42="Evet")*(AY_SONU!$B$7:$B$42=DATE(YEAR($E2379),MONTH($E2379),1))))</f>
        <v>0</v>
      </c>
      <c r="U2379" s="1" t="str">
        <f>IF(OR($G2379="",$H2379="Mahsup"),"",$G2379&amp;"|"&amp;COUNTIFS($G$7:$G2379,$G2379,$H$7:$H2379,"&lt;&gt;Mahsup"))</f>
        <v/>
      </c>
    </row>
    <row r="2380" spans="1:21" ht="18" customHeight="1" x14ac:dyDescent="0.3">
      <c r="A2380" s="2"/>
      <c r="B2380" s="65" t="str">
        <f t="shared" si="185"/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 t="shared" si="186"/>
        <v/>
      </c>
      <c r="M2380" s="65" t="str">
        <f t="shared" ca="1" si="187"/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188"/>
        <v/>
      </c>
      <c r="S2380" s="1" t="str">
        <f t="shared" si="189"/>
        <v/>
      </c>
      <c r="T2380" s="1">
        <f>IF($E2380="",0,SUMPRODUCT((AY_SONU!$O$7:$O$42="Evet")*(AY_SONU!$B$7:$B$42=DATE(YEAR($E2380),MONTH($E2380),1))))</f>
        <v>0</v>
      </c>
      <c r="U2380" s="1" t="str">
        <f>IF(OR($G2380="",$H2380="Mahsup"),"",$G2380&amp;"|"&amp;COUNTIFS($G$7:$G2380,$G2380,$H$7:$H2380,"&lt;&gt;Mahsup"))</f>
        <v/>
      </c>
    </row>
    <row r="2381" spans="1:21" ht="18" customHeight="1" x14ac:dyDescent="0.3">
      <c r="A2381" s="2"/>
      <c r="B2381" s="65" t="str">
        <f t="shared" si="185"/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 t="shared" si="186"/>
        <v/>
      </c>
      <c r="M2381" s="65" t="str">
        <f t="shared" ca="1" si="187"/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188"/>
        <v/>
      </c>
      <c r="S2381" s="1" t="str">
        <f t="shared" si="189"/>
        <v/>
      </c>
      <c r="T2381" s="1">
        <f>IF($E2381="",0,SUMPRODUCT((AY_SONU!$O$7:$O$42="Evet")*(AY_SONU!$B$7:$B$42=DATE(YEAR($E2381),MONTH($E2381),1))))</f>
        <v>0</v>
      </c>
      <c r="U2381" s="1" t="str">
        <f>IF(OR($G2381="",$H2381="Mahsup"),"",$G2381&amp;"|"&amp;COUNTIFS($G$7:$G2381,$G2381,$H$7:$H2381,"&lt;&gt;Mahsup"))</f>
        <v/>
      </c>
    </row>
    <row r="2382" spans="1:21" ht="18" customHeight="1" x14ac:dyDescent="0.3">
      <c r="A2382" s="2"/>
      <c r="B2382" s="65" t="str">
        <f t="shared" si="185"/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 t="shared" si="186"/>
        <v/>
      </c>
      <c r="M2382" s="65" t="str">
        <f t="shared" ca="1" si="187"/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188"/>
        <v/>
      </c>
      <c r="S2382" s="1" t="str">
        <f t="shared" si="189"/>
        <v/>
      </c>
      <c r="T2382" s="1">
        <f>IF($E2382="",0,SUMPRODUCT((AY_SONU!$O$7:$O$42="Evet")*(AY_SONU!$B$7:$B$42=DATE(YEAR($E2382),MONTH($E2382),1))))</f>
        <v>0</v>
      </c>
      <c r="U2382" s="1" t="str">
        <f>IF(OR($G2382="",$H2382="Mahsup"),"",$G2382&amp;"|"&amp;COUNTIFS($G$7:$G2382,$G2382,$H$7:$H2382,"&lt;&gt;Mahsup"))</f>
        <v/>
      </c>
    </row>
    <row r="2383" spans="1:21" ht="18" customHeight="1" x14ac:dyDescent="0.3">
      <c r="A2383" s="2"/>
      <c r="B2383" s="65" t="str">
        <f t="shared" si="185"/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 t="shared" si="186"/>
        <v/>
      </c>
      <c r="M2383" s="65" t="str">
        <f t="shared" ca="1" si="187"/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188"/>
        <v/>
      </c>
      <c r="S2383" s="1" t="str">
        <f t="shared" si="189"/>
        <v/>
      </c>
      <c r="T2383" s="1">
        <f>IF($E2383="",0,SUMPRODUCT((AY_SONU!$O$7:$O$42="Evet")*(AY_SONU!$B$7:$B$42=DATE(YEAR($E2383),MONTH($E2383),1))))</f>
        <v>0</v>
      </c>
      <c r="U2383" s="1" t="str">
        <f>IF(OR($G2383="",$H2383="Mahsup"),"",$G2383&amp;"|"&amp;COUNTIFS($G$7:$G2383,$G2383,$H$7:$H2383,"&lt;&gt;Mahsup"))</f>
        <v/>
      </c>
    </row>
    <row r="2384" spans="1:21" ht="18" customHeight="1" x14ac:dyDescent="0.3">
      <c r="A2384" s="2"/>
      <c r="B2384" s="65" t="str">
        <f t="shared" si="185"/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 t="shared" si="186"/>
        <v/>
      </c>
      <c r="M2384" s="65" t="str">
        <f t="shared" ca="1" si="187"/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188"/>
        <v/>
      </c>
      <c r="S2384" s="1" t="str">
        <f t="shared" si="189"/>
        <v/>
      </c>
      <c r="T2384" s="1">
        <f>IF($E2384="",0,SUMPRODUCT((AY_SONU!$O$7:$O$42="Evet")*(AY_SONU!$B$7:$B$42=DATE(YEAR($E2384),MONTH($E2384),1))))</f>
        <v>0</v>
      </c>
      <c r="U2384" s="1" t="str">
        <f>IF(OR($G2384="",$H2384="Mahsup"),"",$G2384&amp;"|"&amp;COUNTIFS($G$7:$G2384,$G2384,$H$7:$H2384,"&lt;&gt;Mahsup"))</f>
        <v/>
      </c>
    </row>
    <row r="2385" spans="1:21" ht="18" customHeight="1" x14ac:dyDescent="0.3">
      <c r="A2385" s="2"/>
      <c r="B2385" s="65" t="str">
        <f t="shared" si="185"/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 t="shared" si="186"/>
        <v/>
      </c>
      <c r="M2385" s="65" t="str">
        <f t="shared" ca="1" si="187"/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188"/>
        <v/>
      </c>
      <c r="S2385" s="1" t="str">
        <f t="shared" si="189"/>
        <v/>
      </c>
      <c r="T2385" s="1">
        <f>IF($E2385="",0,SUMPRODUCT((AY_SONU!$O$7:$O$42="Evet")*(AY_SONU!$B$7:$B$42=DATE(YEAR($E2385),MONTH($E2385),1))))</f>
        <v>0</v>
      </c>
      <c r="U2385" s="1" t="str">
        <f>IF(OR($G2385="",$H2385="Mahsup"),"",$G2385&amp;"|"&amp;COUNTIFS($G$7:$G2385,$G2385,$H$7:$H2385,"&lt;&gt;Mahsup"))</f>
        <v/>
      </c>
    </row>
    <row r="2386" spans="1:21" ht="18" customHeight="1" x14ac:dyDescent="0.3">
      <c r="A2386" s="2"/>
      <c r="B2386" s="65" t="str">
        <f t="shared" si="185"/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 t="shared" si="186"/>
        <v/>
      </c>
      <c r="M2386" s="65" t="str">
        <f t="shared" ca="1" si="187"/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188"/>
        <v/>
      </c>
      <c r="S2386" s="1" t="str">
        <f t="shared" si="189"/>
        <v/>
      </c>
      <c r="T2386" s="1">
        <f>IF($E2386="",0,SUMPRODUCT((AY_SONU!$O$7:$O$42="Evet")*(AY_SONU!$B$7:$B$42=DATE(YEAR($E2386),MONTH($E2386),1))))</f>
        <v>0</v>
      </c>
      <c r="U2386" s="1" t="str">
        <f>IF(OR($G2386="",$H2386="Mahsup"),"",$G2386&amp;"|"&amp;COUNTIFS($G$7:$G2386,$G2386,$H$7:$H2386,"&lt;&gt;Mahsup"))</f>
        <v/>
      </c>
    </row>
    <row r="2387" spans="1:21" ht="18" customHeight="1" x14ac:dyDescent="0.3">
      <c r="A2387" s="2"/>
      <c r="B2387" s="65" t="str">
        <f t="shared" si="185"/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 t="shared" si="186"/>
        <v/>
      </c>
      <c r="M2387" s="65" t="str">
        <f t="shared" ca="1" si="187"/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188"/>
        <v/>
      </c>
      <c r="S2387" s="1" t="str">
        <f t="shared" si="189"/>
        <v/>
      </c>
      <c r="T2387" s="1">
        <f>IF($E2387="",0,SUMPRODUCT((AY_SONU!$O$7:$O$42="Evet")*(AY_SONU!$B$7:$B$42=DATE(YEAR($E2387),MONTH($E2387),1))))</f>
        <v>0</v>
      </c>
      <c r="U2387" s="1" t="str">
        <f>IF(OR($G2387="",$H2387="Mahsup"),"",$G2387&amp;"|"&amp;COUNTIFS($G$7:$G2387,$G2387,$H$7:$H2387,"&lt;&gt;Mahsup"))</f>
        <v/>
      </c>
    </row>
    <row r="2388" spans="1:21" ht="18" customHeight="1" x14ac:dyDescent="0.3">
      <c r="A2388" s="2"/>
      <c r="B2388" s="65" t="str">
        <f t="shared" si="185"/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 t="shared" si="186"/>
        <v/>
      </c>
      <c r="M2388" s="65" t="str">
        <f t="shared" ca="1" si="187"/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188"/>
        <v/>
      </c>
      <c r="S2388" s="1" t="str">
        <f t="shared" si="189"/>
        <v/>
      </c>
      <c r="T2388" s="1">
        <f>IF($E2388="",0,SUMPRODUCT((AY_SONU!$O$7:$O$42="Evet")*(AY_SONU!$B$7:$B$42=DATE(YEAR($E2388),MONTH($E2388),1))))</f>
        <v>0</v>
      </c>
      <c r="U2388" s="1" t="str">
        <f>IF(OR($G2388="",$H2388="Mahsup"),"",$G2388&amp;"|"&amp;COUNTIFS($G$7:$G2388,$G2388,$H$7:$H2388,"&lt;&gt;Mahsup"))</f>
        <v/>
      </c>
    </row>
    <row r="2389" spans="1:21" ht="18" customHeight="1" x14ac:dyDescent="0.3">
      <c r="A2389" s="2"/>
      <c r="B2389" s="65" t="str">
        <f t="shared" si="185"/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 t="shared" si="186"/>
        <v/>
      </c>
      <c r="M2389" s="65" t="str">
        <f t="shared" ca="1" si="187"/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188"/>
        <v/>
      </c>
      <c r="S2389" s="1" t="str">
        <f t="shared" si="189"/>
        <v/>
      </c>
      <c r="T2389" s="1">
        <f>IF($E2389="",0,SUMPRODUCT((AY_SONU!$O$7:$O$42="Evet")*(AY_SONU!$B$7:$B$42=DATE(YEAR($E2389),MONTH($E2389),1))))</f>
        <v>0</v>
      </c>
      <c r="U2389" s="1" t="str">
        <f>IF(OR($G2389="",$H2389="Mahsup"),"",$G2389&amp;"|"&amp;COUNTIFS($G$7:$G2389,$G2389,$H$7:$H2389,"&lt;&gt;Mahsup"))</f>
        <v/>
      </c>
    </row>
    <row r="2390" spans="1:21" ht="18" customHeight="1" x14ac:dyDescent="0.3">
      <c r="A2390" s="2"/>
      <c r="B2390" s="65" t="str">
        <f t="shared" si="185"/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 t="shared" si="186"/>
        <v/>
      </c>
      <c r="M2390" s="65" t="str">
        <f t="shared" ca="1" si="187"/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188"/>
        <v/>
      </c>
      <c r="S2390" s="1" t="str">
        <f t="shared" si="189"/>
        <v/>
      </c>
      <c r="T2390" s="1">
        <f>IF($E2390="",0,SUMPRODUCT((AY_SONU!$O$7:$O$42="Evet")*(AY_SONU!$B$7:$B$42=DATE(YEAR($E2390),MONTH($E2390),1))))</f>
        <v>0</v>
      </c>
      <c r="U2390" s="1" t="str">
        <f>IF(OR($G2390="",$H2390="Mahsup"),"",$G2390&amp;"|"&amp;COUNTIFS($G$7:$G2390,$G2390,$H$7:$H2390,"&lt;&gt;Mahsup"))</f>
        <v/>
      </c>
    </row>
    <row r="2391" spans="1:21" ht="18" customHeight="1" x14ac:dyDescent="0.3">
      <c r="A2391" s="2"/>
      <c r="B2391" s="65" t="str">
        <f t="shared" si="185"/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 t="shared" si="186"/>
        <v/>
      </c>
      <c r="M2391" s="65" t="str">
        <f t="shared" ca="1" si="187"/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188"/>
        <v/>
      </c>
      <c r="S2391" s="1" t="str">
        <f t="shared" si="189"/>
        <v/>
      </c>
      <c r="T2391" s="1">
        <f>IF($E2391="",0,SUMPRODUCT((AY_SONU!$O$7:$O$42="Evet")*(AY_SONU!$B$7:$B$42=DATE(YEAR($E2391),MONTH($E2391),1))))</f>
        <v>0</v>
      </c>
      <c r="U2391" s="1" t="str">
        <f>IF(OR($G2391="",$H2391="Mahsup"),"",$G2391&amp;"|"&amp;COUNTIFS($G$7:$G2391,$G2391,$H$7:$H2391,"&lt;&gt;Mahsup"))</f>
        <v/>
      </c>
    </row>
    <row r="2392" spans="1:21" ht="18" customHeight="1" x14ac:dyDescent="0.3">
      <c r="A2392" s="2"/>
      <c r="B2392" s="65" t="str">
        <f t="shared" si="185"/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 t="shared" si="186"/>
        <v/>
      </c>
      <c r="M2392" s="65" t="str">
        <f t="shared" ca="1" si="187"/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188"/>
        <v/>
      </c>
      <c r="S2392" s="1" t="str">
        <f t="shared" si="189"/>
        <v/>
      </c>
      <c r="T2392" s="1">
        <f>IF($E2392="",0,SUMPRODUCT((AY_SONU!$O$7:$O$42="Evet")*(AY_SONU!$B$7:$B$42=DATE(YEAR($E2392),MONTH($E2392),1))))</f>
        <v>0</v>
      </c>
      <c r="U2392" s="1" t="str">
        <f>IF(OR($G2392="",$H2392="Mahsup"),"",$G2392&amp;"|"&amp;COUNTIFS($G$7:$G2392,$G2392,$H$7:$H2392,"&lt;&gt;Mahsup"))</f>
        <v/>
      </c>
    </row>
    <row r="2393" spans="1:21" ht="18" customHeight="1" x14ac:dyDescent="0.3">
      <c r="A2393" s="2"/>
      <c r="B2393" s="65" t="str">
        <f t="shared" si="185"/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 t="shared" si="186"/>
        <v/>
      </c>
      <c r="M2393" s="65" t="str">
        <f t="shared" ca="1" si="187"/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188"/>
        <v/>
      </c>
      <c r="S2393" s="1" t="str">
        <f t="shared" si="189"/>
        <v/>
      </c>
      <c r="T2393" s="1">
        <f>IF($E2393="",0,SUMPRODUCT((AY_SONU!$O$7:$O$42="Evet")*(AY_SONU!$B$7:$B$42=DATE(YEAR($E2393),MONTH($E2393),1))))</f>
        <v>0</v>
      </c>
      <c r="U2393" s="1" t="str">
        <f>IF(OR($G2393="",$H2393="Mahsup"),"",$G2393&amp;"|"&amp;COUNTIFS($G$7:$G2393,$G2393,$H$7:$H2393,"&lt;&gt;Mahsup"))</f>
        <v/>
      </c>
    </row>
    <row r="2394" spans="1:21" ht="18" customHeight="1" x14ac:dyDescent="0.3">
      <c r="A2394" s="2"/>
      <c r="B2394" s="65" t="str">
        <f t="shared" si="185"/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 t="shared" si="186"/>
        <v/>
      </c>
      <c r="M2394" s="65" t="str">
        <f t="shared" ca="1" si="187"/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188"/>
        <v/>
      </c>
      <c r="S2394" s="1" t="str">
        <f t="shared" si="189"/>
        <v/>
      </c>
      <c r="T2394" s="1">
        <f>IF($E2394="",0,SUMPRODUCT((AY_SONU!$O$7:$O$42="Evet")*(AY_SONU!$B$7:$B$42=DATE(YEAR($E2394),MONTH($E2394),1))))</f>
        <v>0</v>
      </c>
      <c r="U2394" s="1" t="str">
        <f>IF(OR($G2394="",$H2394="Mahsup"),"",$G2394&amp;"|"&amp;COUNTIFS($G$7:$G2394,$G2394,$H$7:$H2394,"&lt;&gt;Mahsup"))</f>
        <v/>
      </c>
    </row>
    <row r="2395" spans="1:21" ht="18" customHeight="1" x14ac:dyDescent="0.3">
      <c r="A2395" s="2"/>
      <c r="B2395" s="65" t="str">
        <f t="shared" si="185"/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 t="shared" si="186"/>
        <v/>
      </c>
      <c r="M2395" s="65" t="str">
        <f t="shared" ca="1" si="187"/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188"/>
        <v/>
      </c>
      <c r="S2395" s="1" t="str">
        <f t="shared" si="189"/>
        <v/>
      </c>
      <c r="T2395" s="1">
        <f>IF($E2395="",0,SUMPRODUCT((AY_SONU!$O$7:$O$42="Evet")*(AY_SONU!$B$7:$B$42=DATE(YEAR($E2395),MONTH($E2395),1))))</f>
        <v>0</v>
      </c>
      <c r="U2395" s="1" t="str">
        <f>IF(OR($G2395="",$H2395="Mahsup"),"",$G2395&amp;"|"&amp;COUNTIFS($G$7:$G2395,$G2395,$H$7:$H2395,"&lt;&gt;Mahsup"))</f>
        <v/>
      </c>
    </row>
    <row r="2396" spans="1:21" ht="18" customHeight="1" x14ac:dyDescent="0.3">
      <c r="A2396" s="2"/>
      <c r="B2396" s="65" t="str">
        <f t="shared" si="185"/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 t="shared" si="186"/>
        <v/>
      </c>
      <c r="M2396" s="65" t="str">
        <f t="shared" ca="1" si="187"/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188"/>
        <v/>
      </c>
      <c r="S2396" s="1" t="str">
        <f t="shared" si="189"/>
        <v/>
      </c>
      <c r="T2396" s="1">
        <f>IF($E2396="",0,SUMPRODUCT((AY_SONU!$O$7:$O$42="Evet")*(AY_SONU!$B$7:$B$42=DATE(YEAR($E2396),MONTH($E2396),1))))</f>
        <v>0</v>
      </c>
      <c r="U2396" s="1" t="str">
        <f>IF(OR($G2396="",$H2396="Mahsup"),"",$G2396&amp;"|"&amp;COUNTIFS($G$7:$G2396,$G2396,$H$7:$H2396,"&lt;&gt;Mahsup"))</f>
        <v/>
      </c>
    </row>
    <row r="2397" spans="1:21" ht="18" customHeight="1" x14ac:dyDescent="0.3">
      <c r="A2397" s="2"/>
      <c r="B2397" s="65" t="str">
        <f t="shared" si="185"/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 t="shared" si="186"/>
        <v/>
      </c>
      <c r="M2397" s="65" t="str">
        <f t="shared" ca="1" si="187"/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188"/>
        <v/>
      </c>
      <c r="S2397" s="1" t="str">
        <f t="shared" si="189"/>
        <v/>
      </c>
      <c r="T2397" s="1">
        <f>IF($E2397="",0,SUMPRODUCT((AY_SONU!$O$7:$O$42="Evet")*(AY_SONU!$B$7:$B$42=DATE(YEAR($E2397),MONTH($E2397),1))))</f>
        <v>0</v>
      </c>
      <c r="U2397" s="1" t="str">
        <f>IF(OR($G2397="",$H2397="Mahsup"),"",$G2397&amp;"|"&amp;COUNTIFS($G$7:$G2397,$G2397,$H$7:$H2397,"&lt;&gt;Mahsup"))</f>
        <v/>
      </c>
    </row>
    <row r="2398" spans="1:21" ht="18" customHeight="1" x14ac:dyDescent="0.3">
      <c r="A2398" s="2"/>
      <c r="B2398" s="65" t="str">
        <f t="shared" si="185"/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 t="shared" si="186"/>
        <v/>
      </c>
      <c r="M2398" s="65" t="str">
        <f t="shared" ca="1" si="187"/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188"/>
        <v/>
      </c>
      <c r="S2398" s="1" t="str">
        <f t="shared" si="189"/>
        <v/>
      </c>
      <c r="T2398" s="1">
        <f>IF($E2398="",0,SUMPRODUCT((AY_SONU!$O$7:$O$42="Evet")*(AY_SONU!$B$7:$B$42=DATE(YEAR($E2398),MONTH($E2398),1))))</f>
        <v>0</v>
      </c>
      <c r="U2398" s="1" t="str">
        <f>IF(OR($G2398="",$H2398="Mahsup"),"",$G2398&amp;"|"&amp;COUNTIFS($G$7:$G2398,$G2398,$H$7:$H2398,"&lt;&gt;Mahsup"))</f>
        <v/>
      </c>
    </row>
    <row r="2399" spans="1:21" ht="18" customHeight="1" x14ac:dyDescent="0.3">
      <c r="A2399" s="2"/>
      <c r="B2399" s="65" t="str">
        <f t="shared" si="185"/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 t="shared" si="186"/>
        <v/>
      </c>
      <c r="M2399" s="65" t="str">
        <f t="shared" ca="1" si="187"/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188"/>
        <v/>
      </c>
      <c r="S2399" s="1" t="str">
        <f t="shared" si="189"/>
        <v/>
      </c>
      <c r="T2399" s="1">
        <f>IF($E2399="",0,SUMPRODUCT((AY_SONU!$O$7:$O$42="Evet")*(AY_SONU!$B$7:$B$42=DATE(YEAR($E2399),MONTH($E2399),1))))</f>
        <v>0</v>
      </c>
      <c r="U2399" s="1" t="str">
        <f>IF(OR($G2399="",$H2399="Mahsup"),"",$G2399&amp;"|"&amp;COUNTIFS($G$7:$G2399,$G2399,$H$7:$H2399,"&lt;&gt;Mahsup"))</f>
        <v/>
      </c>
    </row>
    <row r="2400" spans="1:21" ht="18" customHeight="1" x14ac:dyDescent="0.3">
      <c r="A2400" s="2"/>
      <c r="B2400" s="65" t="str">
        <f t="shared" si="185"/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 t="shared" si="186"/>
        <v/>
      </c>
      <c r="M2400" s="65" t="str">
        <f t="shared" ca="1" si="187"/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188"/>
        <v/>
      </c>
      <c r="S2400" s="1" t="str">
        <f t="shared" si="189"/>
        <v/>
      </c>
      <c r="T2400" s="1">
        <f>IF($E2400="",0,SUMPRODUCT((AY_SONU!$O$7:$O$42="Evet")*(AY_SONU!$B$7:$B$42=DATE(YEAR($E2400),MONTH($E2400),1))))</f>
        <v>0</v>
      </c>
      <c r="U2400" s="1" t="str">
        <f>IF(OR($G2400="",$H2400="Mahsup"),"",$G2400&amp;"|"&amp;COUNTIFS($G$7:$G2400,$G2400,$H$7:$H2400,"&lt;&gt;Mahsup"))</f>
        <v/>
      </c>
    </row>
    <row r="2401" spans="1:21" ht="18" customHeight="1" x14ac:dyDescent="0.3">
      <c r="A2401" s="2"/>
      <c r="B2401" s="65" t="str">
        <f t="shared" si="185"/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 t="shared" si="186"/>
        <v/>
      </c>
      <c r="M2401" s="65" t="str">
        <f t="shared" ca="1" si="187"/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188"/>
        <v/>
      </c>
      <c r="S2401" s="1" t="str">
        <f t="shared" si="189"/>
        <v/>
      </c>
      <c r="T2401" s="1">
        <f>IF($E2401="",0,SUMPRODUCT((AY_SONU!$O$7:$O$42="Evet")*(AY_SONU!$B$7:$B$42=DATE(YEAR($E2401),MONTH($E2401),1))))</f>
        <v>0</v>
      </c>
      <c r="U2401" s="1" t="str">
        <f>IF(OR($G2401="",$H2401="Mahsup"),"",$G2401&amp;"|"&amp;COUNTIFS($G$7:$G2401,$G2401,$H$7:$H2401,"&lt;&gt;Mahsup"))</f>
        <v/>
      </c>
    </row>
    <row r="2402" spans="1:21" ht="18" customHeight="1" x14ac:dyDescent="0.3">
      <c r="A2402" s="2"/>
      <c r="B2402" s="65" t="str">
        <f t="shared" si="185"/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 t="shared" si="186"/>
        <v/>
      </c>
      <c r="M2402" s="65" t="str">
        <f t="shared" ca="1" si="187"/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188"/>
        <v/>
      </c>
      <c r="S2402" s="1" t="str">
        <f t="shared" si="189"/>
        <v/>
      </c>
      <c r="T2402" s="1">
        <f>IF($E2402="",0,SUMPRODUCT((AY_SONU!$O$7:$O$42="Evet")*(AY_SONU!$B$7:$B$42=DATE(YEAR($E2402),MONTH($E2402),1))))</f>
        <v>0</v>
      </c>
      <c r="U2402" s="1" t="str">
        <f>IF(OR($G2402="",$H2402="Mahsup"),"",$G2402&amp;"|"&amp;COUNTIFS($G$7:$G2402,$G2402,$H$7:$H2402,"&lt;&gt;Mahsup"))</f>
        <v/>
      </c>
    </row>
    <row r="2403" spans="1:21" ht="18" customHeight="1" x14ac:dyDescent="0.3">
      <c r="A2403" s="2"/>
      <c r="B2403" s="65" t="str">
        <f t="shared" si="185"/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 t="shared" si="186"/>
        <v/>
      </c>
      <c r="M2403" s="65" t="str">
        <f t="shared" ca="1" si="187"/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188"/>
        <v/>
      </c>
      <c r="S2403" s="1" t="str">
        <f t="shared" si="189"/>
        <v/>
      </c>
      <c r="T2403" s="1">
        <f>IF($E2403="",0,SUMPRODUCT((AY_SONU!$O$7:$O$42="Evet")*(AY_SONU!$B$7:$B$42=DATE(YEAR($E2403),MONTH($E2403),1))))</f>
        <v>0</v>
      </c>
      <c r="U2403" s="1" t="str">
        <f>IF(OR($G2403="",$H2403="Mahsup"),"",$G2403&amp;"|"&amp;COUNTIFS($G$7:$G2403,$G2403,$H$7:$H2403,"&lt;&gt;Mahsup"))</f>
        <v/>
      </c>
    </row>
    <row r="2404" spans="1:21" ht="18" customHeight="1" x14ac:dyDescent="0.3">
      <c r="A2404" s="2"/>
      <c r="B2404" s="65" t="str">
        <f t="shared" si="185"/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 t="shared" si="186"/>
        <v/>
      </c>
      <c r="M2404" s="65" t="str">
        <f t="shared" ca="1" si="187"/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188"/>
        <v/>
      </c>
      <c r="S2404" s="1" t="str">
        <f t="shared" si="189"/>
        <v/>
      </c>
      <c r="T2404" s="1">
        <f>IF($E2404="",0,SUMPRODUCT((AY_SONU!$O$7:$O$42="Evet")*(AY_SONU!$B$7:$B$42=DATE(YEAR($E2404),MONTH($E2404),1))))</f>
        <v>0</v>
      </c>
      <c r="U2404" s="1" t="str">
        <f>IF(OR($G2404="",$H2404="Mahsup"),"",$G2404&amp;"|"&amp;COUNTIFS($G$7:$G2404,$G2404,$H$7:$H2404,"&lt;&gt;Mahsup"))</f>
        <v/>
      </c>
    </row>
    <row r="2405" spans="1:21" ht="18" customHeight="1" x14ac:dyDescent="0.3">
      <c r="A2405" s="2"/>
      <c r="B2405" s="65" t="str">
        <f t="shared" si="185"/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 t="shared" si="186"/>
        <v/>
      </c>
      <c r="M2405" s="65" t="str">
        <f t="shared" ca="1" si="187"/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188"/>
        <v/>
      </c>
      <c r="S2405" s="1" t="str">
        <f t="shared" si="189"/>
        <v/>
      </c>
      <c r="T2405" s="1">
        <f>IF($E2405="",0,SUMPRODUCT((AY_SONU!$O$7:$O$42="Evet")*(AY_SONU!$B$7:$B$42=DATE(YEAR($E2405),MONTH($E2405),1))))</f>
        <v>0</v>
      </c>
      <c r="U2405" s="1" t="str">
        <f>IF(OR($G2405="",$H2405="Mahsup"),"",$G2405&amp;"|"&amp;COUNTIFS($G$7:$G2405,$G2405,$H$7:$H2405,"&lt;&gt;Mahsup"))</f>
        <v/>
      </c>
    </row>
    <row r="2406" spans="1:21" ht="18" customHeight="1" x14ac:dyDescent="0.3">
      <c r="A2406" s="2"/>
      <c r="B2406" s="65" t="str">
        <f t="shared" si="185"/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 t="shared" si="186"/>
        <v/>
      </c>
      <c r="M2406" s="65" t="str">
        <f t="shared" ca="1" si="187"/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188"/>
        <v/>
      </c>
      <c r="S2406" s="1" t="str">
        <f t="shared" si="189"/>
        <v/>
      </c>
      <c r="T2406" s="1">
        <f>IF($E2406="",0,SUMPRODUCT((AY_SONU!$O$7:$O$42="Evet")*(AY_SONU!$B$7:$B$42=DATE(YEAR($E2406),MONTH($E2406),1))))</f>
        <v>0</v>
      </c>
      <c r="U2406" s="1" t="str">
        <f>IF(OR($G2406="",$H2406="Mahsup"),"",$G2406&amp;"|"&amp;COUNTIFS($G$7:$G2406,$G2406,$H$7:$H2406,"&lt;&gt;Mahsup"))</f>
        <v/>
      </c>
    </row>
    <row r="2407" spans="1:21" ht="18" customHeight="1" x14ac:dyDescent="0.3">
      <c r="A2407" s="2"/>
      <c r="B2407" s="65" t="str">
        <f t="shared" si="185"/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 t="shared" si="186"/>
        <v/>
      </c>
      <c r="M2407" s="65" t="str">
        <f t="shared" ca="1" si="187"/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188"/>
        <v/>
      </c>
      <c r="S2407" s="1" t="str">
        <f t="shared" si="189"/>
        <v/>
      </c>
      <c r="T2407" s="1">
        <f>IF($E2407="",0,SUMPRODUCT((AY_SONU!$O$7:$O$42="Evet")*(AY_SONU!$B$7:$B$42=DATE(YEAR($E2407),MONTH($E2407),1))))</f>
        <v>0</v>
      </c>
      <c r="U2407" s="1" t="str">
        <f>IF(OR($G2407="",$H2407="Mahsup"),"",$G2407&amp;"|"&amp;COUNTIFS($G$7:$G2407,$G2407,$H$7:$H2407,"&lt;&gt;Mahsup"))</f>
        <v/>
      </c>
    </row>
    <row r="2408" spans="1:21" ht="18" customHeight="1" x14ac:dyDescent="0.3">
      <c r="A2408" s="2"/>
      <c r="B2408" s="65" t="str">
        <f t="shared" si="185"/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 t="shared" si="186"/>
        <v/>
      </c>
      <c r="M2408" s="65" t="str">
        <f t="shared" ca="1" si="187"/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188"/>
        <v/>
      </c>
      <c r="S2408" s="1" t="str">
        <f t="shared" si="189"/>
        <v/>
      </c>
      <c r="T2408" s="1">
        <f>IF($E2408="",0,SUMPRODUCT((AY_SONU!$O$7:$O$42="Evet")*(AY_SONU!$B$7:$B$42=DATE(YEAR($E2408),MONTH($E2408),1))))</f>
        <v>0</v>
      </c>
      <c r="U2408" s="1" t="str">
        <f>IF(OR($G2408="",$H2408="Mahsup"),"",$G2408&amp;"|"&amp;COUNTIFS($G$7:$G2408,$G2408,$H$7:$H2408,"&lt;&gt;Mahsup"))</f>
        <v/>
      </c>
    </row>
    <row r="2409" spans="1:21" ht="18" customHeight="1" x14ac:dyDescent="0.3">
      <c r="A2409" s="2"/>
      <c r="B2409" s="65" t="str">
        <f t="shared" si="185"/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 t="shared" si="186"/>
        <v/>
      </c>
      <c r="M2409" s="65" t="str">
        <f t="shared" ca="1" si="187"/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188"/>
        <v/>
      </c>
      <c r="S2409" s="1" t="str">
        <f t="shared" si="189"/>
        <v/>
      </c>
      <c r="T2409" s="1">
        <f>IF($E2409="",0,SUMPRODUCT((AY_SONU!$O$7:$O$42="Evet")*(AY_SONU!$B$7:$B$42=DATE(YEAR($E2409),MONTH($E2409),1))))</f>
        <v>0</v>
      </c>
      <c r="U2409" s="1" t="str">
        <f>IF(OR($G2409="",$H2409="Mahsup"),"",$G2409&amp;"|"&amp;COUNTIFS($G$7:$G2409,$G2409,$H$7:$H2409,"&lt;&gt;Mahsup"))</f>
        <v/>
      </c>
    </row>
    <row r="2410" spans="1:21" ht="18" customHeight="1" x14ac:dyDescent="0.3">
      <c r="A2410" s="2"/>
      <c r="B2410" s="65" t="str">
        <f t="shared" si="185"/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 t="shared" si="186"/>
        <v/>
      </c>
      <c r="M2410" s="65" t="str">
        <f t="shared" ca="1" si="187"/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188"/>
        <v/>
      </c>
      <c r="S2410" s="1" t="str">
        <f t="shared" si="189"/>
        <v/>
      </c>
      <c r="T2410" s="1">
        <f>IF($E2410="",0,SUMPRODUCT((AY_SONU!$O$7:$O$42="Evet")*(AY_SONU!$B$7:$B$42=DATE(YEAR($E2410),MONTH($E2410),1))))</f>
        <v>0</v>
      </c>
      <c r="U2410" s="1" t="str">
        <f>IF(OR($G2410="",$H2410="Mahsup"),"",$G2410&amp;"|"&amp;COUNTIFS($G$7:$G2410,$G2410,$H$7:$H2410,"&lt;&gt;Mahsup"))</f>
        <v/>
      </c>
    </row>
    <row r="2411" spans="1:21" ht="18" customHeight="1" x14ac:dyDescent="0.3">
      <c r="A2411" s="2"/>
      <c r="B2411" s="65" t="str">
        <f t="shared" si="185"/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 t="shared" si="186"/>
        <v/>
      </c>
      <c r="M2411" s="65" t="str">
        <f t="shared" ca="1" si="187"/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188"/>
        <v/>
      </c>
      <c r="S2411" s="1" t="str">
        <f t="shared" si="189"/>
        <v/>
      </c>
      <c r="T2411" s="1">
        <f>IF($E2411="",0,SUMPRODUCT((AY_SONU!$O$7:$O$42="Evet")*(AY_SONU!$B$7:$B$42=DATE(YEAR($E2411),MONTH($E2411),1))))</f>
        <v>0</v>
      </c>
      <c r="U2411" s="1" t="str">
        <f>IF(OR($G2411="",$H2411="Mahsup"),"",$G2411&amp;"|"&amp;COUNTIFS($G$7:$G2411,$G2411,$H$7:$H2411,"&lt;&gt;Mahsup"))</f>
        <v/>
      </c>
    </row>
    <row r="2412" spans="1:21" ht="18" customHeight="1" x14ac:dyDescent="0.3">
      <c r="A2412" s="2"/>
      <c r="B2412" s="65" t="str">
        <f t="shared" si="185"/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 t="shared" si="186"/>
        <v/>
      </c>
      <c r="M2412" s="65" t="str">
        <f t="shared" ca="1" si="187"/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188"/>
        <v/>
      </c>
      <c r="S2412" s="1" t="str">
        <f t="shared" si="189"/>
        <v/>
      </c>
      <c r="T2412" s="1">
        <f>IF($E2412="",0,SUMPRODUCT((AY_SONU!$O$7:$O$42="Evet")*(AY_SONU!$B$7:$B$42=DATE(YEAR($E2412),MONTH($E2412),1))))</f>
        <v>0</v>
      </c>
      <c r="U2412" s="1" t="str">
        <f>IF(OR($G2412="",$H2412="Mahsup"),"",$G2412&amp;"|"&amp;COUNTIFS($G$7:$G2412,$G2412,$H$7:$H2412,"&lt;&gt;Mahsup"))</f>
        <v/>
      </c>
    </row>
    <row r="2413" spans="1:21" ht="18" customHeight="1" x14ac:dyDescent="0.3">
      <c r="A2413" s="2"/>
      <c r="B2413" s="65" t="str">
        <f t="shared" si="185"/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 t="shared" si="186"/>
        <v/>
      </c>
      <c r="M2413" s="65" t="str">
        <f t="shared" ca="1" si="187"/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188"/>
        <v/>
      </c>
      <c r="S2413" s="1" t="str">
        <f t="shared" si="189"/>
        <v/>
      </c>
      <c r="T2413" s="1">
        <f>IF($E2413="",0,SUMPRODUCT((AY_SONU!$O$7:$O$42="Evet")*(AY_SONU!$B$7:$B$42=DATE(YEAR($E2413),MONTH($E2413),1))))</f>
        <v>0</v>
      </c>
      <c r="U2413" s="1" t="str">
        <f>IF(OR($G2413="",$H2413="Mahsup"),"",$G2413&amp;"|"&amp;COUNTIFS($G$7:$G2413,$G2413,$H$7:$H2413,"&lt;&gt;Mahsup"))</f>
        <v/>
      </c>
    </row>
    <row r="2414" spans="1:21" ht="18" customHeight="1" x14ac:dyDescent="0.3">
      <c r="A2414" s="2"/>
      <c r="B2414" s="65" t="str">
        <f t="shared" si="185"/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 t="shared" si="186"/>
        <v/>
      </c>
      <c r="M2414" s="65" t="str">
        <f t="shared" ca="1" si="187"/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188"/>
        <v/>
      </c>
      <c r="S2414" s="1" t="str">
        <f t="shared" si="189"/>
        <v/>
      </c>
      <c r="T2414" s="1">
        <f>IF($E2414="",0,SUMPRODUCT((AY_SONU!$O$7:$O$42="Evet")*(AY_SONU!$B$7:$B$42=DATE(YEAR($E2414),MONTH($E2414),1))))</f>
        <v>0</v>
      </c>
      <c r="U2414" s="1" t="str">
        <f>IF(OR($G2414="",$H2414="Mahsup"),"",$G2414&amp;"|"&amp;COUNTIFS($G$7:$G2414,$G2414,$H$7:$H2414,"&lt;&gt;Mahsup"))</f>
        <v/>
      </c>
    </row>
    <row r="2415" spans="1:21" ht="18" customHeight="1" x14ac:dyDescent="0.3">
      <c r="A2415" s="2"/>
      <c r="B2415" s="65" t="str">
        <f t="shared" si="185"/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 t="shared" si="186"/>
        <v/>
      </c>
      <c r="M2415" s="65" t="str">
        <f t="shared" ca="1" si="187"/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188"/>
        <v/>
      </c>
      <c r="S2415" s="1" t="str">
        <f t="shared" si="189"/>
        <v/>
      </c>
      <c r="T2415" s="1">
        <f>IF($E2415="",0,SUMPRODUCT((AY_SONU!$O$7:$O$42="Evet")*(AY_SONU!$B$7:$B$42=DATE(YEAR($E2415),MONTH($E2415),1))))</f>
        <v>0</v>
      </c>
      <c r="U2415" s="1" t="str">
        <f>IF(OR($G2415="",$H2415="Mahsup"),"",$G2415&amp;"|"&amp;COUNTIFS($G$7:$G2415,$G2415,$H$7:$H2415,"&lt;&gt;Mahsup"))</f>
        <v/>
      </c>
    </row>
    <row r="2416" spans="1:21" ht="18" customHeight="1" x14ac:dyDescent="0.3">
      <c r="A2416" s="2"/>
      <c r="B2416" s="65" t="str">
        <f t="shared" si="185"/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 t="shared" si="186"/>
        <v/>
      </c>
      <c r="M2416" s="65" t="str">
        <f t="shared" ca="1" si="187"/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188"/>
        <v/>
      </c>
      <c r="S2416" s="1" t="str">
        <f t="shared" si="189"/>
        <v/>
      </c>
      <c r="T2416" s="1">
        <f>IF($E2416="",0,SUMPRODUCT((AY_SONU!$O$7:$O$42="Evet")*(AY_SONU!$B$7:$B$42=DATE(YEAR($E2416),MONTH($E2416),1))))</f>
        <v>0</v>
      </c>
      <c r="U2416" s="1" t="str">
        <f>IF(OR($G2416="",$H2416="Mahsup"),"",$G2416&amp;"|"&amp;COUNTIFS($G$7:$G2416,$G2416,$H$7:$H2416,"&lt;&gt;Mahsup"))</f>
        <v/>
      </c>
    </row>
    <row r="2417" spans="1:21" ht="18" customHeight="1" x14ac:dyDescent="0.3">
      <c r="A2417" s="2"/>
      <c r="B2417" s="65" t="str">
        <f t="shared" si="185"/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 t="shared" si="186"/>
        <v/>
      </c>
      <c r="M2417" s="65" t="str">
        <f t="shared" ca="1" si="187"/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188"/>
        <v/>
      </c>
      <c r="S2417" s="1" t="str">
        <f t="shared" si="189"/>
        <v/>
      </c>
      <c r="T2417" s="1">
        <f>IF($E2417="",0,SUMPRODUCT((AY_SONU!$O$7:$O$42="Evet")*(AY_SONU!$B$7:$B$42=DATE(YEAR($E2417),MONTH($E2417),1))))</f>
        <v>0</v>
      </c>
      <c r="U2417" s="1" t="str">
        <f>IF(OR($G2417="",$H2417="Mahsup"),"",$G2417&amp;"|"&amp;COUNTIFS($G$7:$G2417,$G2417,$H$7:$H2417,"&lt;&gt;Mahsup"))</f>
        <v/>
      </c>
    </row>
    <row r="2418" spans="1:21" ht="18" customHeight="1" x14ac:dyDescent="0.3">
      <c r="A2418" s="2"/>
      <c r="B2418" s="65" t="str">
        <f t="shared" si="185"/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 t="shared" si="186"/>
        <v/>
      </c>
      <c r="M2418" s="65" t="str">
        <f t="shared" ca="1" si="187"/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188"/>
        <v/>
      </c>
      <c r="S2418" s="1" t="str">
        <f t="shared" si="189"/>
        <v/>
      </c>
      <c r="T2418" s="1">
        <f>IF($E2418="",0,SUMPRODUCT((AY_SONU!$O$7:$O$42="Evet")*(AY_SONU!$B$7:$B$42=DATE(YEAR($E2418),MONTH($E2418),1))))</f>
        <v>0</v>
      </c>
      <c r="U2418" s="1" t="str">
        <f>IF(OR($G2418="",$H2418="Mahsup"),"",$G2418&amp;"|"&amp;COUNTIFS($G$7:$G2418,$G2418,$H$7:$H2418,"&lt;&gt;Mahsup"))</f>
        <v/>
      </c>
    </row>
    <row r="2419" spans="1:21" ht="18" customHeight="1" x14ac:dyDescent="0.3">
      <c r="A2419" s="2"/>
      <c r="B2419" s="65" t="str">
        <f t="shared" si="185"/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 t="shared" si="186"/>
        <v/>
      </c>
      <c r="M2419" s="65" t="str">
        <f t="shared" ca="1" si="187"/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188"/>
        <v/>
      </c>
      <c r="S2419" s="1" t="str">
        <f t="shared" si="189"/>
        <v/>
      </c>
      <c r="T2419" s="1">
        <f>IF($E2419="",0,SUMPRODUCT((AY_SONU!$O$7:$O$42="Evet")*(AY_SONU!$B$7:$B$42=DATE(YEAR($E2419),MONTH($E2419),1))))</f>
        <v>0</v>
      </c>
      <c r="U2419" s="1" t="str">
        <f>IF(OR($G2419="",$H2419="Mahsup"),"",$G2419&amp;"|"&amp;COUNTIFS($G$7:$G2419,$G2419,$H$7:$H2419,"&lt;&gt;Mahsup"))</f>
        <v/>
      </c>
    </row>
    <row r="2420" spans="1:21" ht="18" customHeight="1" x14ac:dyDescent="0.3">
      <c r="A2420" s="2"/>
      <c r="B2420" s="65" t="str">
        <f t="shared" si="185"/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 t="shared" si="186"/>
        <v/>
      </c>
      <c r="M2420" s="65" t="str">
        <f t="shared" ca="1" si="187"/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188"/>
        <v/>
      </c>
      <c r="S2420" s="1" t="str">
        <f t="shared" si="189"/>
        <v/>
      </c>
      <c r="T2420" s="1">
        <f>IF($E2420="",0,SUMPRODUCT((AY_SONU!$O$7:$O$42="Evet")*(AY_SONU!$B$7:$B$42=DATE(YEAR($E2420),MONTH($E2420),1))))</f>
        <v>0</v>
      </c>
      <c r="U2420" s="1" t="str">
        <f>IF(OR($G2420="",$H2420="Mahsup"),"",$G2420&amp;"|"&amp;COUNTIFS($G$7:$G2420,$G2420,$H$7:$H2420,"&lt;&gt;Mahsup"))</f>
        <v/>
      </c>
    </row>
    <row r="2421" spans="1:21" ht="18" customHeight="1" x14ac:dyDescent="0.3">
      <c r="A2421" s="2"/>
      <c r="B2421" s="65" t="str">
        <f t="shared" si="185"/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 t="shared" si="186"/>
        <v/>
      </c>
      <c r="M2421" s="65" t="str">
        <f t="shared" ca="1" si="187"/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188"/>
        <v/>
      </c>
      <c r="S2421" s="1" t="str">
        <f t="shared" si="189"/>
        <v/>
      </c>
      <c r="T2421" s="1">
        <f>IF($E2421="",0,SUMPRODUCT((AY_SONU!$O$7:$O$42="Evet")*(AY_SONU!$B$7:$B$42=DATE(YEAR($E2421),MONTH($E2421),1))))</f>
        <v>0</v>
      </c>
      <c r="U2421" s="1" t="str">
        <f>IF(OR($G2421="",$H2421="Mahsup"),"",$G2421&amp;"|"&amp;COUNTIFS($G$7:$G2421,$G2421,$H$7:$H2421,"&lt;&gt;Mahsup"))</f>
        <v/>
      </c>
    </row>
    <row r="2422" spans="1:21" ht="18" customHeight="1" x14ac:dyDescent="0.3">
      <c r="A2422" s="2"/>
      <c r="B2422" s="65" t="str">
        <f t="shared" si="185"/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 t="shared" si="186"/>
        <v/>
      </c>
      <c r="M2422" s="65" t="str">
        <f t="shared" ca="1" si="187"/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188"/>
        <v/>
      </c>
      <c r="S2422" s="1" t="str">
        <f t="shared" si="189"/>
        <v/>
      </c>
      <c r="T2422" s="1">
        <f>IF($E2422="",0,SUMPRODUCT((AY_SONU!$O$7:$O$42="Evet")*(AY_SONU!$B$7:$B$42=DATE(YEAR($E2422),MONTH($E2422),1))))</f>
        <v>0</v>
      </c>
      <c r="U2422" s="1" t="str">
        <f>IF(OR($G2422="",$H2422="Mahsup"),"",$G2422&amp;"|"&amp;COUNTIFS($G$7:$G2422,$G2422,$H$7:$H2422,"&lt;&gt;Mahsup"))</f>
        <v/>
      </c>
    </row>
    <row r="2423" spans="1:21" ht="18" customHeight="1" x14ac:dyDescent="0.3">
      <c r="A2423" s="2"/>
      <c r="B2423" s="65" t="str">
        <f t="shared" si="185"/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 t="shared" si="186"/>
        <v/>
      </c>
      <c r="M2423" s="65" t="str">
        <f t="shared" ca="1" si="187"/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188"/>
        <v/>
      </c>
      <c r="S2423" s="1" t="str">
        <f t="shared" si="189"/>
        <v/>
      </c>
      <c r="T2423" s="1">
        <f>IF($E2423="",0,SUMPRODUCT((AY_SONU!$O$7:$O$42="Evet")*(AY_SONU!$B$7:$B$42=DATE(YEAR($E2423),MONTH($E2423),1))))</f>
        <v>0</v>
      </c>
      <c r="U2423" s="1" t="str">
        <f>IF(OR($G2423="",$H2423="Mahsup"),"",$G2423&amp;"|"&amp;COUNTIFS($G$7:$G2423,$G2423,$H$7:$H2423,"&lt;&gt;Mahsup"))</f>
        <v/>
      </c>
    </row>
    <row r="2424" spans="1:21" ht="18" customHeight="1" x14ac:dyDescent="0.3">
      <c r="A2424" s="2"/>
      <c r="B2424" s="65" t="str">
        <f t="shared" si="185"/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 t="shared" si="186"/>
        <v/>
      </c>
      <c r="M2424" s="65" t="str">
        <f t="shared" ca="1" si="187"/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188"/>
        <v/>
      </c>
      <c r="S2424" s="1" t="str">
        <f t="shared" si="189"/>
        <v/>
      </c>
      <c r="T2424" s="1">
        <f>IF($E2424="",0,SUMPRODUCT((AY_SONU!$O$7:$O$42="Evet")*(AY_SONU!$B$7:$B$42=DATE(YEAR($E2424),MONTH($E2424),1))))</f>
        <v>0</v>
      </c>
      <c r="U2424" s="1" t="str">
        <f>IF(OR($G2424="",$H2424="Mahsup"),"",$G2424&amp;"|"&amp;COUNTIFS($G$7:$G2424,$G2424,$H$7:$H2424,"&lt;&gt;Mahsup"))</f>
        <v/>
      </c>
    </row>
    <row r="2425" spans="1:21" ht="18" customHeight="1" x14ac:dyDescent="0.3">
      <c r="A2425" s="2"/>
      <c r="B2425" s="65" t="str">
        <f t="shared" si="185"/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 t="shared" si="186"/>
        <v/>
      </c>
      <c r="M2425" s="65" t="str">
        <f t="shared" ca="1" si="187"/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188"/>
        <v/>
      </c>
      <c r="S2425" s="1" t="str">
        <f t="shared" si="189"/>
        <v/>
      </c>
      <c r="T2425" s="1">
        <f>IF($E2425="",0,SUMPRODUCT((AY_SONU!$O$7:$O$42="Evet")*(AY_SONU!$B$7:$B$42=DATE(YEAR($E2425),MONTH($E2425),1))))</f>
        <v>0</v>
      </c>
      <c r="U2425" s="1" t="str">
        <f>IF(OR($G2425="",$H2425="Mahsup"),"",$G2425&amp;"|"&amp;COUNTIFS($G$7:$G2425,$G2425,$H$7:$H2425,"&lt;&gt;Mahsup"))</f>
        <v/>
      </c>
    </row>
    <row r="2426" spans="1:21" ht="18" customHeight="1" x14ac:dyDescent="0.3">
      <c r="A2426" s="2"/>
      <c r="B2426" s="65" t="str">
        <f t="shared" si="185"/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 t="shared" si="186"/>
        <v/>
      </c>
      <c r="M2426" s="65" t="str">
        <f t="shared" ca="1" si="187"/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188"/>
        <v/>
      </c>
      <c r="S2426" s="1" t="str">
        <f t="shared" si="189"/>
        <v/>
      </c>
      <c r="T2426" s="1">
        <f>IF($E2426="",0,SUMPRODUCT((AY_SONU!$O$7:$O$42="Evet")*(AY_SONU!$B$7:$B$42=DATE(YEAR($E2426),MONTH($E2426),1))))</f>
        <v>0</v>
      </c>
      <c r="U2426" s="1" t="str">
        <f>IF(OR($G2426="",$H2426="Mahsup"),"",$G2426&amp;"|"&amp;COUNTIFS($G$7:$G2426,$G2426,$H$7:$H2426,"&lt;&gt;Mahsup"))</f>
        <v/>
      </c>
    </row>
    <row r="2427" spans="1:21" ht="18" customHeight="1" x14ac:dyDescent="0.3">
      <c r="A2427" s="2"/>
      <c r="B2427" s="65" t="str">
        <f t="shared" si="185"/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 t="shared" si="186"/>
        <v/>
      </c>
      <c r="M2427" s="65" t="str">
        <f t="shared" ca="1" si="187"/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188"/>
        <v/>
      </c>
      <c r="S2427" s="1" t="str">
        <f t="shared" si="189"/>
        <v/>
      </c>
      <c r="T2427" s="1">
        <f>IF($E2427="",0,SUMPRODUCT((AY_SONU!$O$7:$O$42="Evet")*(AY_SONU!$B$7:$B$42=DATE(YEAR($E2427),MONTH($E2427),1))))</f>
        <v>0</v>
      </c>
      <c r="U2427" s="1" t="str">
        <f>IF(OR($G2427="",$H2427="Mahsup"),"",$G2427&amp;"|"&amp;COUNTIFS($G$7:$G2427,$G2427,$H$7:$H2427,"&lt;&gt;Mahsup"))</f>
        <v/>
      </c>
    </row>
    <row r="2428" spans="1:21" ht="18" customHeight="1" x14ac:dyDescent="0.3">
      <c r="A2428" s="2"/>
      <c r="B2428" s="65" t="str">
        <f t="shared" si="185"/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 t="shared" si="186"/>
        <v/>
      </c>
      <c r="M2428" s="65" t="str">
        <f t="shared" ca="1" si="187"/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188"/>
        <v/>
      </c>
      <c r="S2428" s="1" t="str">
        <f t="shared" si="189"/>
        <v/>
      </c>
      <c r="T2428" s="1">
        <f>IF($E2428="",0,SUMPRODUCT((AY_SONU!$O$7:$O$42="Evet")*(AY_SONU!$B$7:$B$42=DATE(YEAR($E2428),MONTH($E2428),1))))</f>
        <v>0</v>
      </c>
      <c r="U2428" s="1" t="str">
        <f>IF(OR($G2428="",$H2428="Mahsup"),"",$G2428&amp;"|"&amp;COUNTIFS($G$7:$G2428,$G2428,$H$7:$H2428,"&lt;&gt;Mahsup"))</f>
        <v/>
      </c>
    </row>
    <row r="2429" spans="1:21" ht="18" customHeight="1" x14ac:dyDescent="0.3">
      <c r="A2429" s="2"/>
      <c r="B2429" s="65" t="str">
        <f t="shared" si="185"/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 t="shared" si="186"/>
        <v/>
      </c>
      <c r="M2429" s="65" t="str">
        <f t="shared" ca="1" si="187"/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188"/>
        <v/>
      </c>
      <c r="S2429" s="1" t="str">
        <f t="shared" si="189"/>
        <v/>
      </c>
      <c r="T2429" s="1">
        <f>IF($E2429="",0,SUMPRODUCT((AY_SONU!$O$7:$O$42="Evet")*(AY_SONU!$B$7:$B$42=DATE(YEAR($E2429),MONTH($E2429),1))))</f>
        <v>0</v>
      </c>
      <c r="U2429" s="1" t="str">
        <f>IF(OR($G2429="",$H2429="Mahsup"),"",$G2429&amp;"|"&amp;COUNTIFS($G$7:$G2429,$G2429,$H$7:$H2429,"&lt;&gt;Mahsup"))</f>
        <v/>
      </c>
    </row>
    <row r="2430" spans="1:21" ht="18" customHeight="1" x14ac:dyDescent="0.3">
      <c r="A2430" s="2"/>
      <c r="B2430" s="65" t="str">
        <f t="shared" si="185"/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 t="shared" si="186"/>
        <v/>
      </c>
      <c r="M2430" s="65" t="str">
        <f t="shared" ca="1" si="187"/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188"/>
        <v/>
      </c>
      <c r="S2430" s="1" t="str">
        <f t="shared" si="189"/>
        <v/>
      </c>
      <c r="T2430" s="1">
        <f>IF($E2430="",0,SUMPRODUCT((AY_SONU!$O$7:$O$42="Evet")*(AY_SONU!$B$7:$B$42=DATE(YEAR($E2430),MONTH($E2430),1))))</f>
        <v>0</v>
      </c>
      <c r="U2430" s="1" t="str">
        <f>IF(OR($G2430="",$H2430="Mahsup"),"",$G2430&amp;"|"&amp;COUNTIFS($G$7:$G2430,$G2430,$H$7:$H2430,"&lt;&gt;Mahsup"))</f>
        <v/>
      </c>
    </row>
    <row r="2431" spans="1:21" ht="18" customHeight="1" x14ac:dyDescent="0.3">
      <c r="A2431" s="2"/>
      <c r="B2431" s="65" t="str">
        <f t="shared" si="185"/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 t="shared" si="186"/>
        <v/>
      </c>
      <c r="M2431" s="65" t="str">
        <f t="shared" ca="1" si="187"/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188"/>
        <v/>
      </c>
      <c r="S2431" s="1" t="str">
        <f t="shared" si="189"/>
        <v/>
      </c>
      <c r="T2431" s="1">
        <f>IF($E2431="",0,SUMPRODUCT((AY_SONU!$O$7:$O$42="Evet")*(AY_SONU!$B$7:$B$42=DATE(YEAR($E2431),MONTH($E2431),1))))</f>
        <v>0</v>
      </c>
      <c r="U2431" s="1" t="str">
        <f>IF(OR($G2431="",$H2431="Mahsup"),"",$G2431&amp;"|"&amp;COUNTIFS($G$7:$G2431,$G2431,$H$7:$H2431,"&lt;&gt;Mahsup"))</f>
        <v/>
      </c>
    </row>
    <row r="2432" spans="1:21" ht="18" customHeight="1" x14ac:dyDescent="0.3">
      <c r="A2432" s="2"/>
      <c r="B2432" s="65" t="str">
        <f t="shared" si="185"/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 t="shared" si="186"/>
        <v/>
      </c>
      <c r="M2432" s="65" t="str">
        <f t="shared" ca="1" si="187"/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188"/>
        <v/>
      </c>
      <c r="S2432" s="1" t="str">
        <f t="shared" si="189"/>
        <v/>
      </c>
      <c r="T2432" s="1">
        <f>IF($E2432="",0,SUMPRODUCT((AY_SONU!$O$7:$O$42="Evet")*(AY_SONU!$B$7:$B$42=DATE(YEAR($E2432),MONTH($E2432),1))))</f>
        <v>0</v>
      </c>
      <c r="U2432" s="1" t="str">
        <f>IF(OR($G2432="",$H2432="Mahsup"),"",$G2432&amp;"|"&amp;COUNTIFS($G$7:$G2432,$G2432,$H$7:$H2432,"&lt;&gt;Mahsup"))</f>
        <v/>
      </c>
    </row>
    <row r="2433" spans="1:21" ht="18" customHeight="1" x14ac:dyDescent="0.3">
      <c r="A2433" s="2"/>
      <c r="B2433" s="65" t="str">
        <f t="shared" si="185"/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 t="shared" si="186"/>
        <v/>
      </c>
      <c r="M2433" s="65" t="str">
        <f t="shared" ca="1" si="187"/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188"/>
        <v/>
      </c>
      <c r="S2433" s="1" t="str">
        <f t="shared" si="189"/>
        <v/>
      </c>
      <c r="T2433" s="1">
        <f>IF($E2433="",0,SUMPRODUCT((AY_SONU!$O$7:$O$42="Evet")*(AY_SONU!$B$7:$B$42=DATE(YEAR($E2433),MONTH($E2433),1))))</f>
        <v>0</v>
      </c>
      <c r="U2433" s="1" t="str">
        <f>IF(OR($G2433="",$H2433="Mahsup"),"",$G2433&amp;"|"&amp;COUNTIFS($G$7:$G2433,$G2433,$H$7:$H2433,"&lt;&gt;Mahsup"))</f>
        <v/>
      </c>
    </row>
    <row r="2434" spans="1:21" ht="18" customHeight="1" x14ac:dyDescent="0.3">
      <c r="A2434" s="2"/>
      <c r="B2434" s="65" t="str">
        <f t="shared" si="185"/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 t="shared" si="186"/>
        <v/>
      </c>
      <c r="M2434" s="65" t="str">
        <f t="shared" ca="1" si="187"/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188"/>
        <v/>
      </c>
      <c r="S2434" s="1" t="str">
        <f t="shared" si="189"/>
        <v/>
      </c>
      <c r="T2434" s="1">
        <f>IF($E2434="",0,SUMPRODUCT((AY_SONU!$O$7:$O$42="Evet")*(AY_SONU!$B$7:$B$42=DATE(YEAR($E2434),MONTH($E2434),1))))</f>
        <v>0</v>
      </c>
      <c r="U2434" s="1" t="str">
        <f>IF(OR($G2434="",$H2434="Mahsup"),"",$G2434&amp;"|"&amp;COUNTIFS($G$7:$G2434,$G2434,$H$7:$H2434,"&lt;&gt;Mahsup"))</f>
        <v/>
      </c>
    </row>
    <row r="2435" spans="1:21" ht="18" customHeight="1" x14ac:dyDescent="0.3">
      <c r="A2435" s="2"/>
      <c r="B2435" s="65" t="str">
        <f t="shared" si="185"/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 t="shared" si="186"/>
        <v/>
      </c>
      <c r="M2435" s="65" t="str">
        <f t="shared" ca="1" si="187"/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188"/>
        <v/>
      </c>
      <c r="S2435" s="1" t="str">
        <f t="shared" si="189"/>
        <v/>
      </c>
      <c r="T2435" s="1">
        <f>IF($E2435="",0,SUMPRODUCT((AY_SONU!$O$7:$O$42="Evet")*(AY_SONU!$B$7:$B$42=DATE(YEAR($E2435),MONTH($E2435),1))))</f>
        <v>0</v>
      </c>
      <c r="U2435" s="1" t="str">
        <f>IF(OR($G2435="",$H2435="Mahsup"),"",$G2435&amp;"|"&amp;COUNTIFS($G$7:$G2435,$G2435,$H$7:$H2435,"&lt;&gt;Mahsup"))</f>
        <v/>
      </c>
    </row>
    <row r="2436" spans="1:21" ht="18" customHeight="1" x14ac:dyDescent="0.3">
      <c r="A2436" s="2"/>
      <c r="B2436" s="65" t="str">
        <f t="shared" si="185"/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 t="shared" si="186"/>
        <v/>
      </c>
      <c r="M2436" s="65" t="str">
        <f t="shared" ca="1" si="187"/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188"/>
        <v/>
      </c>
      <c r="S2436" s="1" t="str">
        <f t="shared" si="189"/>
        <v/>
      </c>
      <c r="T2436" s="1">
        <f>IF($E2436="",0,SUMPRODUCT((AY_SONU!$O$7:$O$42="Evet")*(AY_SONU!$B$7:$B$42=DATE(YEAR($E2436),MONTH($E2436),1))))</f>
        <v>0</v>
      </c>
      <c r="U2436" s="1" t="str">
        <f>IF(OR($G2436="",$H2436="Mahsup"),"",$G2436&amp;"|"&amp;COUNTIFS($G$7:$G2436,$G2436,$H$7:$H2436,"&lt;&gt;Mahsup"))</f>
        <v/>
      </c>
    </row>
    <row r="2437" spans="1:21" ht="18" customHeight="1" x14ac:dyDescent="0.3">
      <c r="A2437" s="2"/>
      <c r="B2437" s="65" t="str">
        <f t="shared" si="185"/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 t="shared" si="186"/>
        <v/>
      </c>
      <c r="M2437" s="65" t="str">
        <f t="shared" ca="1" si="187"/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188"/>
        <v/>
      </c>
      <c r="S2437" s="1" t="str">
        <f t="shared" si="189"/>
        <v/>
      </c>
      <c r="T2437" s="1">
        <f>IF($E2437="",0,SUMPRODUCT((AY_SONU!$O$7:$O$42="Evet")*(AY_SONU!$B$7:$B$42=DATE(YEAR($E2437),MONTH($E2437),1))))</f>
        <v>0</v>
      </c>
      <c r="U2437" s="1" t="str">
        <f>IF(OR($G2437="",$H2437="Mahsup"),"",$G2437&amp;"|"&amp;COUNTIFS($G$7:$G2437,$G2437,$H$7:$H2437,"&lt;&gt;Mahsup"))</f>
        <v/>
      </c>
    </row>
    <row r="2438" spans="1:21" ht="18" customHeight="1" x14ac:dyDescent="0.3">
      <c r="A2438" s="2"/>
      <c r="B2438" s="65" t="str">
        <f t="shared" si="185"/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 t="shared" si="186"/>
        <v/>
      </c>
      <c r="M2438" s="65" t="str">
        <f t="shared" ca="1" si="187"/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188"/>
        <v/>
      </c>
      <c r="S2438" s="1" t="str">
        <f t="shared" si="189"/>
        <v/>
      </c>
      <c r="T2438" s="1">
        <f>IF($E2438="",0,SUMPRODUCT((AY_SONU!$O$7:$O$42="Evet")*(AY_SONU!$B$7:$B$42=DATE(YEAR($E2438),MONTH($E2438),1))))</f>
        <v>0</v>
      </c>
      <c r="U2438" s="1" t="str">
        <f>IF(OR($G2438="",$H2438="Mahsup"),"",$G2438&amp;"|"&amp;COUNTIFS($G$7:$G2438,$G2438,$H$7:$H2438,"&lt;&gt;Mahsup"))</f>
        <v/>
      </c>
    </row>
    <row r="2439" spans="1:21" ht="18" customHeight="1" x14ac:dyDescent="0.3">
      <c r="A2439" s="2"/>
      <c r="B2439" s="65" t="str">
        <f t="shared" ref="B2439:B2503" si="190"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 t="shared" ref="L2439:L2503" si="191">IF($E2439="","",DATE(YEAR($E2439),MONTH($E2439),1))</f>
        <v/>
      </c>
      <c r="M2439" s="65" t="str">
        <f t="shared" ref="M2439:M2503" ca="1" si="192"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3" si="193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3" si="194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  <c r="U2439" s="1" t="str">
        <f>IF(OR($G2439="",$H2439="Mahsup"),"",$G2439&amp;"|"&amp;COUNTIFS($G$7:$G2439,$G2439,$H$7:$H2439,"&lt;&gt;Mahsup"))</f>
        <v/>
      </c>
    </row>
    <row r="2440" spans="1:21" ht="18" customHeight="1" x14ac:dyDescent="0.3">
      <c r="A2440" s="2"/>
      <c r="B2440" s="65" t="str">
        <f t="shared" si="190"/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 t="shared" si="191"/>
        <v/>
      </c>
      <c r="M2440" s="65" t="str">
        <f t="shared" ca="1" si="192"/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193"/>
        <v/>
      </c>
      <c r="S2440" s="1" t="str">
        <f t="shared" si="194"/>
        <v/>
      </c>
      <c r="T2440" s="1">
        <f>IF($E2440="",0,SUMPRODUCT((AY_SONU!$O$7:$O$42="Evet")*(AY_SONU!$B$7:$B$42=DATE(YEAR($E2440),MONTH($E2440),1))))</f>
        <v>0</v>
      </c>
      <c r="U2440" s="1" t="str">
        <f>IF(OR($G2440="",$H2440="Mahsup"),"",$G2440&amp;"|"&amp;COUNTIFS($G$7:$G2440,$G2440,$H$7:$H2440,"&lt;&gt;Mahsup"))</f>
        <v/>
      </c>
    </row>
    <row r="2441" spans="1:21" ht="18" customHeight="1" x14ac:dyDescent="0.3">
      <c r="A2441" s="2"/>
      <c r="B2441" s="65" t="str">
        <f t="shared" si="190"/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 t="shared" si="191"/>
        <v/>
      </c>
      <c r="M2441" s="65" t="str">
        <f t="shared" ca="1" si="192"/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193"/>
        <v/>
      </c>
      <c r="S2441" s="1" t="str">
        <f t="shared" si="194"/>
        <v/>
      </c>
      <c r="T2441" s="1">
        <f>IF($E2441="",0,SUMPRODUCT((AY_SONU!$O$7:$O$42="Evet")*(AY_SONU!$B$7:$B$42=DATE(YEAR($E2441),MONTH($E2441),1))))</f>
        <v>0</v>
      </c>
      <c r="U2441" s="1" t="str">
        <f>IF(OR($G2441="",$H2441="Mahsup"),"",$G2441&amp;"|"&amp;COUNTIFS($G$7:$G2441,$G2441,$H$7:$H2441,"&lt;&gt;Mahsup"))</f>
        <v/>
      </c>
    </row>
    <row r="2442" spans="1:21" ht="18" customHeight="1" x14ac:dyDescent="0.3">
      <c r="A2442" s="2"/>
      <c r="B2442" s="65" t="str">
        <f t="shared" si="190"/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 t="shared" si="191"/>
        <v/>
      </c>
      <c r="M2442" s="65" t="str">
        <f t="shared" ca="1" si="192"/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193"/>
        <v/>
      </c>
      <c r="S2442" s="1" t="str">
        <f t="shared" si="194"/>
        <v/>
      </c>
      <c r="T2442" s="1">
        <f>IF($E2442="",0,SUMPRODUCT((AY_SONU!$O$7:$O$42="Evet")*(AY_SONU!$B$7:$B$42=DATE(YEAR($E2442),MONTH($E2442),1))))</f>
        <v>0</v>
      </c>
      <c r="U2442" s="1" t="str">
        <f>IF(OR($G2442="",$H2442="Mahsup"),"",$G2442&amp;"|"&amp;COUNTIFS($G$7:$G2442,$G2442,$H$7:$H2442,"&lt;&gt;Mahsup"))</f>
        <v/>
      </c>
    </row>
    <row r="2443" spans="1:21" ht="18" customHeight="1" x14ac:dyDescent="0.3">
      <c r="A2443" s="2"/>
      <c r="B2443" s="65" t="str">
        <f t="shared" si="190"/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 t="shared" si="191"/>
        <v/>
      </c>
      <c r="M2443" s="65" t="str">
        <f t="shared" ca="1" si="192"/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193"/>
        <v/>
      </c>
      <c r="S2443" s="1" t="str">
        <f t="shared" si="194"/>
        <v/>
      </c>
      <c r="T2443" s="1">
        <f>IF($E2443="",0,SUMPRODUCT((AY_SONU!$O$7:$O$42="Evet")*(AY_SONU!$B$7:$B$42=DATE(YEAR($E2443),MONTH($E2443),1))))</f>
        <v>0</v>
      </c>
      <c r="U2443" s="1" t="str">
        <f>IF(OR($G2443="",$H2443="Mahsup"),"",$G2443&amp;"|"&amp;COUNTIFS($G$7:$G2443,$G2443,$H$7:$H2443,"&lt;&gt;Mahsup"))</f>
        <v/>
      </c>
    </row>
    <row r="2444" spans="1:21" ht="18" customHeight="1" x14ac:dyDescent="0.3">
      <c r="A2444" s="2"/>
      <c r="B2444" s="65" t="str">
        <f t="shared" si="190"/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 t="shared" si="191"/>
        <v/>
      </c>
      <c r="M2444" s="65" t="str">
        <f t="shared" ca="1" si="192"/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193"/>
        <v/>
      </c>
      <c r="S2444" s="1" t="str">
        <f t="shared" si="194"/>
        <v/>
      </c>
      <c r="T2444" s="1">
        <f>IF($E2444="",0,SUMPRODUCT((AY_SONU!$O$7:$O$42="Evet")*(AY_SONU!$B$7:$B$42=DATE(YEAR($E2444),MONTH($E2444),1))))</f>
        <v>0</v>
      </c>
      <c r="U2444" s="1" t="str">
        <f>IF(OR($G2444="",$H2444="Mahsup"),"",$G2444&amp;"|"&amp;COUNTIFS($G$7:$G2444,$G2444,$H$7:$H2444,"&lt;&gt;Mahsup"))</f>
        <v/>
      </c>
    </row>
    <row r="2445" spans="1:21" ht="18" customHeight="1" x14ac:dyDescent="0.3">
      <c r="A2445" s="2"/>
      <c r="B2445" s="65" t="str">
        <f t="shared" si="190"/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 t="shared" si="191"/>
        <v/>
      </c>
      <c r="M2445" s="65" t="str">
        <f t="shared" ca="1" si="192"/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193"/>
        <v/>
      </c>
      <c r="S2445" s="1" t="str">
        <f t="shared" si="194"/>
        <v/>
      </c>
      <c r="T2445" s="1">
        <f>IF($E2445="",0,SUMPRODUCT((AY_SONU!$O$7:$O$42="Evet")*(AY_SONU!$B$7:$B$42=DATE(YEAR($E2445),MONTH($E2445),1))))</f>
        <v>0</v>
      </c>
      <c r="U2445" s="1" t="str">
        <f>IF(OR($G2445="",$H2445="Mahsup"),"",$G2445&amp;"|"&amp;COUNTIFS($G$7:$G2445,$G2445,$H$7:$H2445,"&lt;&gt;Mahsup"))</f>
        <v/>
      </c>
    </row>
    <row r="2446" spans="1:21" ht="18" customHeight="1" x14ac:dyDescent="0.3">
      <c r="A2446" s="2"/>
      <c r="B2446" s="65" t="str">
        <f t="shared" si="190"/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 t="shared" si="191"/>
        <v/>
      </c>
      <c r="M2446" s="65" t="str">
        <f t="shared" ca="1" si="192"/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193"/>
        <v/>
      </c>
      <c r="S2446" s="1" t="str">
        <f t="shared" si="194"/>
        <v/>
      </c>
      <c r="T2446" s="1">
        <f>IF($E2446="",0,SUMPRODUCT((AY_SONU!$O$7:$O$42="Evet")*(AY_SONU!$B$7:$B$42=DATE(YEAR($E2446),MONTH($E2446),1))))</f>
        <v>0</v>
      </c>
      <c r="U2446" s="1" t="str">
        <f>IF(OR($G2446="",$H2446="Mahsup"),"",$G2446&amp;"|"&amp;COUNTIFS($G$7:$G2446,$G2446,$H$7:$H2446,"&lt;&gt;Mahsup"))</f>
        <v/>
      </c>
    </row>
    <row r="2447" spans="1:21" ht="18" customHeight="1" x14ac:dyDescent="0.3">
      <c r="A2447" s="2"/>
      <c r="B2447" s="65" t="str">
        <f t="shared" si="190"/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 t="shared" si="191"/>
        <v/>
      </c>
      <c r="M2447" s="65" t="str">
        <f t="shared" ca="1" si="192"/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193"/>
        <v/>
      </c>
      <c r="S2447" s="1" t="str">
        <f t="shared" si="194"/>
        <v/>
      </c>
      <c r="T2447" s="1">
        <f>IF($E2447="",0,SUMPRODUCT((AY_SONU!$O$7:$O$42="Evet")*(AY_SONU!$B$7:$B$42=DATE(YEAR($E2447),MONTH($E2447),1))))</f>
        <v>0</v>
      </c>
      <c r="U2447" s="1" t="str">
        <f>IF(OR($G2447="",$H2447="Mahsup"),"",$G2447&amp;"|"&amp;COUNTIFS($G$7:$G2447,$G2447,$H$7:$H2447,"&lt;&gt;Mahsup"))</f>
        <v/>
      </c>
    </row>
    <row r="2448" spans="1:21" ht="18" customHeight="1" x14ac:dyDescent="0.3">
      <c r="A2448" s="2"/>
      <c r="B2448" s="65" t="str">
        <f t="shared" si="190"/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 t="shared" si="191"/>
        <v/>
      </c>
      <c r="M2448" s="65" t="str">
        <f t="shared" ca="1" si="192"/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193"/>
        <v/>
      </c>
      <c r="S2448" s="1" t="str">
        <f t="shared" si="194"/>
        <v/>
      </c>
      <c r="T2448" s="1">
        <f>IF($E2448="",0,SUMPRODUCT((AY_SONU!$O$7:$O$42="Evet")*(AY_SONU!$B$7:$B$42=DATE(YEAR($E2448),MONTH($E2448),1))))</f>
        <v>0</v>
      </c>
      <c r="U2448" s="1" t="str">
        <f>IF(OR($G2448="",$H2448="Mahsup"),"",$G2448&amp;"|"&amp;COUNTIFS($G$7:$G2448,$G2448,$H$7:$H2448,"&lt;&gt;Mahsup"))</f>
        <v/>
      </c>
    </row>
    <row r="2449" spans="1:21" ht="18" customHeight="1" x14ac:dyDescent="0.3">
      <c r="A2449" s="2"/>
      <c r="B2449" s="65" t="str">
        <f t="shared" si="190"/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 t="shared" si="191"/>
        <v/>
      </c>
      <c r="M2449" s="65" t="str">
        <f t="shared" ca="1" si="192"/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193"/>
        <v/>
      </c>
      <c r="S2449" s="1" t="str">
        <f t="shared" si="194"/>
        <v/>
      </c>
      <c r="T2449" s="1">
        <f>IF($E2449="",0,SUMPRODUCT((AY_SONU!$O$7:$O$42="Evet")*(AY_SONU!$B$7:$B$42=DATE(YEAR($E2449),MONTH($E2449),1))))</f>
        <v>0</v>
      </c>
      <c r="U2449" s="1" t="str">
        <f>IF(OR($G2449="",$H2449="Mahsup"),"",$G2449&amp;"|"&amp;COUNTIFS($G$7:$G2449,$G2449,$H$7:$H2449,"&lt;&gt;Mahsup"))</f>
        <v/>
      </c>
    </row>
    <row r="2450" spans="1:21" ht="18" customHeight="1" x14ac:dyDescent="0.3">
      <c r="A2450" s="2"/>
      <c r="B2450" s="65" t="str">
        <f t="shared" si="190"/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 t="shared" si="191"/>
        <v/>
      </c>
      <c r="M2450" s="65" t="str">
        <f t="shared" ca="1" si="192"/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193"/>
        <v/>
      </c>
      <c r="S2450" s="1" t="str">
        <f t="shared" si="194"/>
        <v/>
      </c>
      <c r="T2450" s="1">
        <f>IF($E2450="",0,SUMPRODUCT((AY_SONU!$O$7:$O$42="Evet")*(AY_SONU!$B$7:$B$42=DATE(YEAR($E2450),MONTH($E2450),1))))</f>
        <v>0</v>
      </c>
      <c r="U2450" s="1" t="str">
        <f>IF(OR($G2450="",$H2450="Mahsup"),"",$G2450&amp;"|"&amp;COUNTIFS($G$7:$G2450,$G2450,$H$7:$H2450,"&lt;&gt;Mahsup"))</f>
        <v/>
      </c>
    </row>
    <row r="2451" spans="1:21" ht="18" customHeight="1" x14ac:dyDescent="0.3">
      <c r="A2451" s="2"/>
      <c r="B2451" s="65" t="str">
        <f t="shared" si="190"/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 t="shared" si="191"/>
        <v/>
      </c>
      <c r="M2451" s="65" t="str">
        <f t="shared" ca="1" si="192"/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193"/>
        <v/>
      </c>
      <c r="S2451" s="1" t="str">
        <f t="shared" si="194"/>
        <v/>
      </c>
      <c r="T2451" s="1">
        <f>IF($E2451="",0,SUMPRODUCT((AY_SONU!$O$7:$O$42="Evet")*(AY_SONU!$B$7:$B$42=DATE(YEAR($E2451),MONTH($E2451),1))))</f>
        <v>0</v>
      </c>
      <c r="U2451" s="1" t="str">
        <f>IF(OR($G2451="",$H2451="Mahsup"),"",$G2451&amp;"|"&amp;COUNTIFS($G$7:$G2451,$G2451,$H$7:$H2451,"&lt;&gt;Mahsup"))</f>
        <v/>
      </c>
    </row>
    <row r="2452" spans="1:21" ht="18" customHeight="1" x14ac:dyDescent="0.3">
      <c r="A2452" s="2"/>
      <c r="B2452" s="65" t="str">
        <f t="shared" si="190"/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 t="shared" si="191"/>
        <v/>
      </c>
      <c r="M2452" s="65" t="str">
        <f t="shared" ca="1" si="192"/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193"/>
        <v/>
      </c>
      <c r="S2452" s="1" t="str">
        <f t="shared" si="194"/>
        <v/>
      </c>
      <c r="T2452" s="1">
        <f>IF($E2452="",0,SUMPRODUCT((AY_SONU!$O$7:$O$42="Evet")*(AY_SONU!$B$7:$B$42=DATE(YEAR($E2452),MONTH($E2452),1))))</f>
        <v>0</v>
      </c>
      <c r="U2452" s="1" t="str">
        <f>IF(OR($G2452="",$H2452="Mahsup"),"",$G2452&amp;"|"&amp;COUNTIFS($G$7:$G2452,$G2452,$H$7:$H2452,"&lt;&gt;Mahsup"))</f>
        <v/>
      </c>
    </row>
    <row r="2453" spans="1:21" ht="18" customHeight="1" x14ac:dyDescent="0.3">
      <c r="A2453" s="2"/>
      <c r="B2453" s="65" t="str">
        <f t="shared" si="190"/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 t="shared" si="191"/>
        <v/>
      </c>
      <c r="M2453" s="65" t="str">
        <f t="shared" ca="1" si="192"/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193"/>
        <v/>
      </c>
      <c r="S2453" s="1" t="str">
        <f t="shared" si="194"/>
        <v/>
      </c>
      <c r="T2453" s="1">
        <f>IF($E2453="",0,SUMPRODUCT((AY_SONU!$O$7:$O$42="Evet")*(AY_SONU!$B$7:$B$42=DATE(YEAR($E2453),MONTH($E2453),1))))</f>
        <v>0</v>
      </c>
      <c r="U2453" s="1" t="str">
        <f>IF(OR($G2453="",$H2453="Mahsup"),"",$G2453&amp;"|"&amp;COUNTIFS($G$7:$G2453,$G2453,$H$7:$H2453,"&lt;&gt;Mahsup"))</f>
        <v/>
      </c>
    </row>
    <row r="2454" spans="1:21" ht="18" customHeight="1" x14ac:dyDescent="0.3">
      <c r="A2454" s="2"/>
      <c r="B2454" s="65" t="str">
        <f t="shared" si="190"/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 t="shared" si="191"/>
        <v/>
      </c>
      <c r="M2454" s="65" t="str">
        <f t="shared" ca="1" si="192"/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193"/>
        <v/>
      </c>
      <c r="S2454" s="1" t="str">
        <f t="shared" si="194"/>
        <v/>
      </c>
      <c r="T2454" s="1">
        <f>IF($E2454="",0,SUMPRODUCT((AY_SONU!$O$7:$O$42="Evet")*(AY_SONU!$B$7:$B$42=DATE(YEAR($E2454),MONTH($E2454),1))))</f>
        <v>0</v>
      </c>
      <c r="U2454" s="1" t="str">
        <f>IF(OR($G2454="",$H2454="Mahsup"),"",$G2454&amp;"|"&amp;COUNTIFS($G$7:$G2454,$G2454,$H$7:$H2454,"&lt;&gt;Mahsup"))</f>
        <v/>
      </c>
    </row>
    <row r="2455" spans="1:21" ht="18" customHeight="1" x14ac:dyDescent="0.3">
      <c r="A2455" s="2"/>
      <c r="B2455" s="65" t="str">
        <f t="shared" si="190"/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 t="shared" si="191"/>
        <v/>
      </c>
      <c r="M2455" s="65" t="str">
        <f t="shared" ca="1" si="192"/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193"/>
        <v/>
      </c>
      <c r="S2455" s="1" t="str">
        <f t="shared" si="194"/>
        <v/>
      </c>
      <c r="T2455" s="1">
        <f>IF($E2455="",0,SUMPRODUCT((AY_SONU!$O$7:$O$42="Evet")*(AY_SONU!$B$7:$B$42=DATE(YEAR($E2455),MONTH($E2455),1))))</f>
        <v>0</v>
      </c>
      <c r="U2455" s="1" t="str">
        <f>IF(OR($G2455="",$H2455="Mahsup"),"",$G2455&amp;"|"&amp;COUNTIFS($G$7:$G2455,$G2455,$H$7:$H2455,"&lt;&gt;Mahsup"))</f>
        <v/>
      </c>
    </row>
    <row r="2456" spans="1:21" ht="18" customHeight="1" x14ac:dyDescent="0.3">
      <c r="A2456" s="2"/>
      <c r="B2456" s="65" t="str">
        <f t="shared" si="190"/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 t="shared" si="191"/>
        <v/>
      </c>
      <c r="M2456" s="65" t="str">
        <f t="shared" ca="1" si="192"/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193"/>
        <v/>
      </c>
      <c r="S2456" s="1" t="str">
        <f t="shared" si="194"/>
        <v/>
      </c>
      <c r="T2456" s="1">
        <f>IF($E2456="",0,SUMPRODUCT((AY_SONU!$O$7:$O$42="Evet")*(AY_SONU!$B$7:$B$42=DATE(YEAR($E2456),MONTH($E2456),1))))</f>
        <v>0</v>
      </c>
      <c r="U2456" s="1" t="str">
        <f>IF(OR($G2456="",$H2456="Mahsup"),"",$G2456&amp;"|"&amp;COUNTIFS($G$7:$G2456,$G2456,$H$7:$H2456,"&lt;&gt;Mahsup"))</f>
        <v/>
      </c>
    </row>
    <row r="2457" spans="1:21" ht="18" customHeight="1" x14ac:dyDescent="0.3">
      <c r="A2457" s="2"/>
      <c r="B2457" s="65" t="str">
        <f t="shared" si="190"/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 t="shared" si="191"/>
        <v/>
      </c>
      <c r="M2457" s="65" t="str">
        <f t="shared" ca="1" si="192"/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193"/>
        <v/>
      </c>
      <c r="S2457" s="1" t="str">
        <f t="shared" si="194"/>
        <v/>
      </c>
      <c r="T2457" s="1">
        <f>IF($E2457="",0,SUMPRODUCT((AY_SONU!$O$7:$O$42="Evet")*(AY_SONU!$B$7:$B$42=DATE(YEAR($E2457),MONTH($E2457),1))))</f>
        <v>0</v>
      </c>
      <c r="U2457" s="1" t="str">
        <f>IF(OR($G2457="",$H2457="Mahsup"),"",$G2457&amp;"|"&amp;COUNTIFS($G$7:$G2457,$G2457,$H$7:$H2457,"&lt;&gt;Mahsup"))</f>
        <v/>
      </c>
    </row>
    <row r="2458" spans="1:21" ht="18" customHeight="1" x14ac:dyDescent="0.3">
      <c r="A2458" s="2"/>
      <c r="B2458" s="65" t="str">
        <f t="shared" si="190"/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 t="shared" si="191"/>
        <v/>
      </c>
      <c r="M2458" s="65" t="str">
        <f t="shared" ca="1" si="192"/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193"/>
        <v/>
      </c>
      <c r="S2458" s="1" t="str">
        <f t="shared" si="194"/>
        <v/>
      </c>
      <c r="T2458" s="1">
        <f>IF($E2458="",0,SUMPRODUCT((AY_SONU!$O$7:$O$42="Evet")*(AY_SONU!$B$7:$B$42=DATE(YEAR($E2458),MONTH($E2458),1))))</f>
        <v>0</v>
      </c>
      <c r="U2458" s="1" t="str">
        <f>IF(OR($G2458="",$H2458="Mahsup"),"",$G2458&amp;"|"&amp;COUNTIFS($G$7:$G2458,$G2458,$H$7:$H2458,"&lt;&gt;Mahsup"))</f>
        <v/>
      </c>
    </row>
    <row r="2459" spans="1:21" ht="18" customHeight="1" x14ac:dyDescent="0.3">
      <c r="A2459" s="2"/>
      <c r="B2459" s="65" t="str">
        <f t="shared" si="190"/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 t="shared" si="191"/>
        <v/>
      </c>
      <c r="M2459" s="65" t="str">
        <f t="shared" ca="1" si="192"/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193"/>
        <v/>
      </c>
      <c r="S2459" s="1" t="str">
        <f t="shared" si="194"/>
        <v/>
      </c>
      <c r="T2459" s="1">
        <f>IF($E2459="",0,SUMPRODUCT((AY_SONU!$O$7:$O$42="Evet")*(AY_SONU!$B$7:$B$42=DATE(YEAR($E2459),MONTH($E2459),1))))</f>
        <v>0</v>
      </c>
      <c r="U2459" s="1" t="str">
        <f>IF(OR($G2459="",$H2459="Mahsup"),"",$G2459&amp;"|"&amp;COUNTIFS($G$7:$G2459,$G2459,$H$7:$H2459,"&lt;&gt;Mahsup"))</f>
        <v/>
      </c>
    </row>
    <row r="2460" spans="1:21" ht="18" customHeight="1" x14ac:dyDescent="0.3">
      <c r="A2460" s="2"/>
      <c r="B2460" s="65" t="str">
        <f t="shared" si="190"/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 t="shared" si="191"/>
        <v/>
      </c>
      <c r="M2460" s="65" t="str">
        <f t="shared" ca="1" si="192"/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193"/>
        <v/>
      </c>
      <c r="S2460" s="1" t="str">
        <f t="shared" si="194"/>
        <v/>
      </c>
      <c r="T2460" s="1">
        <f>IF($E2460="",0,SUMPRODUCT((AY_SONU!$O$7:$O$42="Evet")*(AY_SONU!$B$7:$B$42=DATE(YEAR($E2460),MONTH($E2460),1))))</f>
        <v>0</v>
      </c>
      <c r="U2460" s="1" t="str">
        <f>IF(OR($G2460="",$H2460="Mahsup"),"",$G2460&amp;"|"&amp;COUNTIFS($G$7:$G2460,$G2460,$H$7:$H2460,"&lt;&gt;Mahsup"))</f>
        <v/>
      </c>
    </row>
    <row r="2461" spans="1:21" ht="18" customHeight="1" x14ac:dyDescent="0.3">
      <c r="A2461" s="2"/>
      <c r="B2461" s="65" t="str">
        <f t="shared" si="190"/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 t="shared" si="191"/>
        <v/>
      </c>
      <c r="M2461" s="65" t="str">
        <f t="shared" ca="1" si="192"/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193"/>
        <v/>
      </c>
      <c r="S2461" s="1" t="str">
        <f t="shared" si="194"/>
        <v/>
      </c>
      <c r="T2461" s="1">
        <f>IF($E2461="",0,SUMPRODUCT((AY_SONU!$O$7:$O$42="Evet")*(AY_SONU!$B$7:$B$42=DATE(YEAR($E2461),MONTH($E2461),1))))</f>
        <v>0</v>
      </c>
      <c r="U2461" s="1" t="str">
        <f>IF(OR($G2461="",$H2461="Mahsup"),"",$G2461&amp;"|"&amp;COUNTIFS($G$7:$G2461,$G2461,$H$7:$H2461,"&lt;&gt;Mahsup"))</f>
        <v/>
      </c>
    </row>
    <row r="2462" spans="1:21" ht="18" customHeight="1" x14ac:dyDescent="0.3">
      <c r="A2462" s="2"/>
      <c r="B2462" s="65" t="str">
        <f t="shared" si="190"/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 t="shared" si="191"/>
        <v/>
      </c>
      <c r="M2462" s="65" t="str">
        <f t="shared" ca="1" si="192"/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193"/>
        <v/>
      </c>
      <c r="S2462" s="1" t="str">
        <f t="shared" si="194"/>
        <v/>
      </c>
      <c r="T2462" s="1">
        <f>IF($E2462="",0,SUMPRODUCT((AY_SONU!$O$7:$O$42="Evet")*(AY_SONU!$B$7:$B$42=DATE(YEAR($E2462),MONTH($E2462),1))))</f>
        <v>0</v>
      </c>
      <c r="U2462" s="1" t="str">
        <f>IF(OR($G2462="",$H2462="Mahsup"),"",$G2462&amp;"|"&amp;COUNTIFS($G$7:$G2462,$G2462,$H$7:$H2462,"&lt;&gt;Mahsup"))</f>
        <v/>
      </c>
    </row>
    <row r="2463" spans="1:21" ht="18" customHeight="1" x14ac:dyDescent="0.3">
      <c r="A2463" s="2"/>
      <c r="B2463" s="65" t="str">
        <f t="shared" si="190"/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 t="shared" si="191"/>
        <v/>
      </c>
      <c r="M2463" s="65" t="str">
        <f t="shared" ca="1" si="192"/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193"/>
        <v/>
      </c>
      <c r="S2463" s="1" t="str">
        <f t="shared" si="194"/>
        <v/>
      </c>
      <c r="T2463" s="1">
        <f>IF($E2463="",0,SUMPRODUCT((AY_SONU!$O$7:$O$42="Evet")*(AY_SONU!$B$7:$B$42=DATE(YEAR($E2463),MONTH($E2463),1))))</f>
        <v>0</v>
      </c>
      <c r="U2463" s="1" t="str">
        <f>IF(OR($G2463="",$H2463="Mahsup"),"",$G2463&amp;"|"&amp;COUNTIFS($G$7:$G2463,$G2463,$H$7:$H2463,"&lt;&gt;Mahsup"))</f>
        <v/>
      </c>
    </row>
    <row r="2464" spans="1:21" ht="18" customHeight="1" x14ac:dyDescent="0.3">
      <c r="A2464" s="2"/>
      <c r="B2464" s="65" t="str">
        <f t="shared" si="190"/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 t="shared" si="191"/>
        <v/>
      </c>
      <c r="M2464" s="65" t="str">
        <f t="shared" ca="1" si="192"/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193"/>
        <v/>
      </c>
      <c r="S2464" s="1" t="str">
        <f t="shared" si="194"/>
        <v/>
      </c>
      <c r="T2464" s="1">
        <f>IF($E2464="",0,SUMPRODUCT((AY_SONU!$O$7:$O$42="Evet")*(AY_SONU!$B$7:$B$42=DATE(YEAR($E2464),MONTH($E2464),1))))</f>
        <v>0</v>
      </c>
      <c r="U2464" s="1" t="str">
        <f>IF(OR($G2464="",$H2464="Mahsup"),"",$G2464&amp;"|"&amp;COUNTIFS($G$7:$G2464,$G2464,$H$7:$H2464,"&lt;&gt;Mahsup"))</f>
        <v/>
      </c>
    </row>
    <row r="2465" spans="1:21" ht="18" customHeight="1" x14ac:dyDescent="0.3">
      <c r="A2465" s="2"/>
      <c r="B2465" s="65" t="str">
        <f t="shared" si="190"/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 t="shared" si="191"/>
        <v/>
      </c>
      <c r="M2465" s="65" t="str">
        <f t="shared" ca="1" si="192"/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193"/>
        <v/>
      </c>
      <c r="S2465" s="1" t="str">
        <f t="shared" si="194"/>
        <v/>
      </c>
      <c r="T2465" s="1">
        <f>IF($E2465="",0,SUMPRODUCT((AY_SONU!$O$7:$O$42="Evet")*(AY_SONU!$B$7:$B$42=DATE(YEAR($E2465),MONTH($E2465),1))))</f>
        <v>0</v>
      </c>
      <c r="U2465" s="1" t="str">
        <f>IF(OR($G2465="",$H2465="Mahsup"),"",$G2465&amp;"|"&amp;COUNTIFS($G$7:$G2465,$G2465,$H$7:$H2465,"&lt;&gt;Mahsup"))</f>
        <v/>
      </c>
    </row>
    <row r="2466" spans="1:21" ht="18" customHeight="1" x14ac:dyDescent="0.3">
      <c r="A2466" s="2"/>
      <c r="B2466" s="65" t="str">
        <f t="shared" si="190"/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 t="shared" si="191"/>
        <v/>
      </c>
      <c r="M2466" s="65" t="str">
        <f t="shared" ca="1" si="192"/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193"/>
        <v/>
      </c>
      <c r="S2466" s="1" t="str">
        <f t="shared" si="194"/>
        <v/>
      </c>
      <c r="T2466" s="1">
        <f>IF($E2466="",0,SUMPRODUCT((AY_SONU!$O$7:$O$42="Evet")*(AY_SONU!$B$7:$B$42=DATE(YEAR($E2466),MONTH($E2466),1))))</f>
        <v>0</v>
      </c>
      <c r="U2466" s="1" t="str">
        <f>IF(OR($G2466="",$H2466="Mahsup"),"",$G2466&amp;"|"&amp;COUNTIFS($G$7:$G2466,$G2466,$H$7:$H2466,"&lt;&gt;Mahsup"))</f>
        <v/>
      </c>
    </row>
    <row r="2467" spans="1:21" ht="18" customHeight="1" x14ac:dyDescent="0.3">
      <c r="A2467" s="2"/>
      <c r="B2467" s="65" t="str">
        <f t="shared" si="190"/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 t="shared" si="191"/>
        <v/>
      </c>
      <c r="M2467" s="65" t="str">
        <f t="shared" ca="1" si="192"/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193"/>
        <v/>
      </c>
      <c r="S2467" s="1" t="str">
        <f t="shared" si="194"/>
        <v/>
      </c>
      <c r="T2467" s="1">
        <f>IF($E2467="",0,SUMPRODUCT((AY_SONU!$O$7:$O$42="Evet")*(AY_SONU!$B$7:$B$42=DATE(YEAR($E2467),MONTH($E2467),1))))</f>
        <v>0</v>
      </c>
      <c r="U2467" s="1" t="str">
        <f>IF(OR($G2467="",$H2467="Mahsup"),"",$G2467&amp;"|"&amp;COUNTIFS($G$7:$G2467,$G2467,$H$7:$H2467,"&lt;&gt;Mahsup"))</f>
        <v/>
      </c>
    </row>
    <row r="2468" spans="1:21" ht="18" customHeight="1" x14ac:dyDescent="0.3">
      <c r="A2468" s="2"/>
      <c r="B2468" s="65" t="str">
        <f t="shared" si="190"/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 t="shared" si="191"/>
        <v/>
      </c>
      <c r="M2468" s="65" t="str">
        <f t="shared" ca="1" si="192"/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193"/>
        <v/>
      </c>
      <c r="S2468" s="1" t="str">
        <f t="shared" si="194"/>
        <v/>
      </c>
      <c r="T2468" s="1">
        <f>IF($E2468="",0,SUMPRODUCT((AY_SONU!$O$7:$O$42="Evet")*(AY_SONU!$B$7:$B$42=DATE(YEAR($E2468),MONTH($E2468),1))))</f>
        <v>0</v>
      </c>
      <c r="U2468" s="1" t="str">
        <f>IF(OR($G2468="",$H2468="Mahsup"),"",$G2468&amp;"|"&amp;COUNTIFS($G$7:$G2468,$G2468,$H$7:$H2468,"&lt;&gt;Mahsup"))</f>
        <v/>
      </c>
    </row>
    <row r="2469" spans="1:21" ht="18" customHeight="1" x14ac:dyDescent="0.3">
      <c r="A2469" s="2"/>
      <c r="B2469" s="65" t="str">
        <f t="shared" si="190"/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 t="shared" si="191"/>
        <v/>
      </c>
      <c r="M2469" s="65" t="str">
        <f t="shared" ca="1" si="192"/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193"/>
        <v/>
      </c>
      <c r="S2469" s="1" t="str">
        <f t="shared" si="194"/>
        <v/>
      </c>
      <c r="T2469" s="1">
        <f>IF($E2469="",0,SUMPRODUCT((AY_SONU!$O$7:$O$42="Evet")*(AY_SONU!$B$7:$B$42=DATE(YEAR($E2469),MONTH($E2469),1))))</f>
        <v>0</v>
      </c>
      <c r="U2469" s="1" t="str">
        <f>IF(OR($G2469="",$H2469="Mahsup"),"",$G2469&amp;"|"&amp;COUNTIFS($G$7:$G2469,$G2469,$H$7:$H2469,"&lt;&gt;Mahsup"))</f>
        <v/>
      </c>
    </row>
    <row r="2470" spans="1:21" ht="18" customHeight="1" x14ac:dyDescent="0.3">
      <c r="A2470" s="2"/>
      <c r="B2470" s="65" t="str">
        <f t="shared" si="190"/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 t="shared" si="191"/>
        <v/>
      </c>
      <c r="M2470" s="65" t="str">
        <f t="shared" ca="1" si="192"/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193"/>
        <v/>
      </c>
      <c r="S2470" s="1" t="str">
        <f t="shared" si="194"/>
        <v/>
      </c>
      <c r="T2470" s="1">
        <f>IF($E2470="",0,SUMPRODUCT((AY_SONU!$O$7:$O$42="Evet")*(AY_SONU!$B$7:$B$42=DATE(YEAR($E2470),MONTH($E2470),1))))</f>
        <v>0</v>
      </c>
      <c r="U2470" s="1" t="str">
        <f>IF(OR($G2470="",$H2470="Mahsup"),"",$G2470&amp;"|"&amp;COUNTIFS($G$7:$G2470,$G2470,$H$7:$H2470,"&lt;&gt;Mahsup"))</f>
        <v/>
      </c>
    </row>
    <row r="2471" spans="1:21" ht="18" customHeight="1" x14ac:dyDescent="0.3">
      <c r="A2471" s="2"/>
      <c r="B2471" s="65" t="str">
        <f t="shared" si="190"/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 t="shared" si="191"/>
        <v/>
      </c>
      <c r="M2471" s="65" t="str">
        <f t="shared" ca="1" si="192"/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193"/>
        <v/>
      </c>
      <c r="S2471" s="1" t="str">
        <f t="shared" si="194"/>
        <v/>
      </c>
      <c r="T2471" s="1">
        <f>IF($E2471="",0,SUMPRODUCT((AY_SONU!$O$7:$O$42="Evet")*(AY_SONU!$B$7:$B$42=DATE(YEAR($E2471),MONTH($E2471),1))))</f>
        <v>0</v>
      </c>
      <c r="U2471" s="1" t="str">
        <f>IF(OR($G2471="",$H2471="Mahsup"),"",$G2471&amp;"|"&amp;COUNTIFS($G$7:$G2471,$G2471,$H$7:$H2471,"&lt;&gt;Mahsup"))</f>
        <v/>
      </c>
    </row>
    <row r="2472" spans="1:21" ht="18" customHeight="1" x14ac:dyDescent="0.3">
      <c r="A2472" s="2"/>
      <c r="B2472" s="65" t="str">
        <f t="shared" si="190"/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 t="shared" si="191"/>
        <v/>
      </c>
      <c r="M2472" s="65" t="str">
        <f t="shared" ca="1" si="192"/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193"/>
        <v/>
      </c>
      <c r="S2472" s="1" t="str">
        <f t="shared" si="194"/>
        <v/>
      </c>
      <c r="T2472" s="1">
        <f>IF($E2472="",0,SUMPRODUCT((AY_SONU!$O$7:$O$42="Evet")*(AY_SONU!$B$7:$B$42=DATE(YEAR($E2472),MONTH($E2472),1))))</f>
        <v>0</v>
      </c>
      <c r="U2472" s="1" t="str">
        <f>IF(OR($G2472="",$H2472="Mahsup"),"",$G2472&amp;"|"&amp;COUNTIFS($G$7:$G2472,$G2472,$H$7:$H2472,"&lt;&gt;Mahsup"))</f>
        <v/>
      </c>
    </row>
    <row r="2473" spans="1:21" ht="18" customHeight="1" x14ac:dyDescent="0.3">
      <c r="A2473" s="2"/>
      <c r="B2473" s="65" t="str">
        <f t="shared" si="190"/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 t="shared" si="191"/>
        <v/>
      </c>
      <c r="M2473" s="65" t="str">
        <f t="shared" ca="1" si="192"/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193"/>
        <v/>
      </c>
      <c r="S2473" s="1" t="str">
        <f t="shared" si="194"/>
        <v/>
      </c>
      <c r="T2473" s="1">
        <f>IF($E2473="",0,SUMPRODUCT((AY_SONU!$O$7:$O$42="Evet")*(AY_SONU!$B$7:$B$42=DATE(YEAR($E2473),MONTH($E2473),1))))</f>
        <v>0</v>
      </c>
      <c r="U2473" s="1" t="str">
        <f>IF(OR($G2473="",$H2473="Mahsup"),"",$G2473&amp;"|"&amp;COUNTIFS($G$7:$G2473,$G2473,$H$7:$H2473,"&lt;&gt;Mahsup"))</f>
        <v/>
      </c>
    </row>
    <row r="2474" spans="1:21" ht="18" customHeight="1" x14ac:dyDescent="0.3">
      <c r="A2474" s="2"/>
      <c r="B2474" s="65" t="str">
        <f t="shared" si="190"/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 t="shared" si="191"/>
        <v/>
      </c>
      <c r="M2474" s="65" t="str">
        <f t="shared" ca="1" si="192"/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193"/>
        <v/>
      </c>
      <c r="S2474" s="1" t="str">
        <f t="shared" si="194"/>
        <v/>
      </c>
      <c r="T2474" s="1">
        <f>IF($E2474="",0,SUMPRODUCT((AY_SONU!$O$7:$O$42="Evet")*(AY_SONU!$B$7:$B$42=DATE(YEAR($E2474),MONTH($E2474),1))))</f>
        <v>0</v>
      </c>
      <c r="U2474" s="1" t="str">
        <f>IF(OR($G2474="",$H2474="Mahsup"),"",$G2474&amp;"|"&amp;COUNTIFS($G$7:$G2474,$G2474,$H$7:$H2474,"&lt;&gt;Mahsup"))</f>
        <v/>
      </c>
    </row>
    <row r="2475" spans="1:21" ht="18" customHeight="1" x14ac:dyDescent="0.3">
      <c r="A2475" s="2"/>
      <c r="B2475" s="65" t="str">
        <f t="shared" si="190"/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 t="shared" si="191"/>
        <v/>
      </c>
      <c r="M2475" s="65" t="str">
        <f t="shared" ca="1" si="192"/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193"/>
        <v/>
      </c>
      <c r="S2475" s="1" t="str">
        <f t="shared" si="194"/>
        <v/>
      </c>
      <c r="T2475" s="1">
        <f>IF($E2475="",0,SUMPRODUCT((AY_SONU!$O$7:$O$42="Evet")*(AY_SONU!$B$7:$B$42=DATE(YEAR($E2475),MONTH($E2475),1))))</f>
        <v>0</v>
      </c>
      <c r="U2475" s="1" t="str">
        <f>IF(OR($G2475="",$H2475="Mahsup"),"",$G2475&amp;"|"&amp;COUNTIFS($G$7:$G2475,$G2475,$H$7:$H2475,"&lt;&gt;Mahsup"))</f>
        <v/>
      </c>
    </row>
    <row r="2476" spans="1:21" ht="18" customHeight="1" x14ac:dyDescent="0.3">
      <c r="A2476" s="2"/>
      <c r="B2476" s="65" t="str">
        <f t="shared" si="190"/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 t="shared" si="191"/>
        <v/>
      </c>
      <c r="M2476" s="65" t="str">
        <f t="shared" ca="1" si="192"/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193"/>
        <v/>
      </c>
      <c r="S2476" s="1" t="str">
        <f t="shared" si="194"/>
        <v/>
      </c>
      <c r="T2476" s="1">
        <f>IF($E2476="",0,SUMPRODUCT((AY_SONU!$O$7:$O$42="Evet")*(AY_SONU!$B$7:$B$42=DATE(YEAR($E2476),MONTH($E2476),1))))</f>
        <v>0</v>
      </c>
      <c r="U2476" s="1" t="str">
        <f>IF(OR($G2476="",$H2476="Mahsup"),"",$G2476&amp;"|"&amp;COUNTIFS($G$7:$G2476,$G2476,$H$7:$H2476,"&lt;&gt;Mahsup"))</f>
        <v/>
      </c>
    </row>
    <row r="2477" spans="1:21" ht="18" customHeight="1" x14ac:dyDescent="0.3">
      <c r="A2477" s="2"/>
      <c r="B2477" s="65" t="str">
        <f t="shared" si="190"/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 t="shared" si="191"/>
        <v/>
      </c>
      <c r="M2477" s="65" t="str">
        <f t="shared" ca="1" si="192"/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193"/>
        <v/>
      </c>
      <c r="S2477" s="1" t="str">
        <f t="shared" si="194"/>
        <v/>
      </c>
      <c r="T2477" s="1">
        <f>IF($E2477="",0,SUMPRODUCT((AY_SONU!$O$7:$O$42="Evet")*(AY_SONU!$B$7:$B$42=DATE(YEAR($E2477),MONTH($E2477),1))))</f>
        <v>0</v>
      </c>
      <c r="U2477" s="1" t="str">
        <f>IF(OR($G2477="",$H2477="Mahsup"),"",$G2477&amp;"|"&amp;COUNTIFS($G$7:$G2477,$G2477,$H$7:$H2477,"&lt;&gt;Mahsup"))</f>
        <v/>
      </c>
    </row>
    <row r="2478" spans="1:21" ht="18" customHeight="1" x14ac:dyDescent="0.3">
      <c r="A2478" s="2"/>
      <c r="B2478" s="65" t="str">
        <f t="shared" si="190"/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 t="shared" si="191"/>
        <v/>
      </c>
      <c r="M2478" s="65" t="str">
        <f t="shared" ca="1" si="192"/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193"/>
        <v/>
      </c>
      <c r="S2478" s="1" t="str">
        <f t="shared" si="194"/>
        <v/>
      </c>
      <c r="T2478" s="1">
        <f>IF($E2478="",0,SUMPRODUCT((AY_SONU!$O$7:$O$42="Evet")*(AY_SONU!$B$7:$B$42=DATE(YEAR($E2478),MONTH($E2478),1))))</f>
        <v>0</v>
      </c>
      <c r="U2478" s="1" t="str">
        <f>IF(OR($G2478="",$H2478="Mahsup"),"",$G2478&amp;"|"&amp;COUNTIFS($G$7:$G2478,$G2478,$H$7:$H2478,"&lt;&gt;Mahsup"))</f>
        <v/>
      </c>
    </row>
    <row r="2479" spans="1:21" ht="18" customHeight="1" x14ac:dyDescent="0.3">
      <c r="A2479" s="2"/>
      <c r="B2479" s="65" t="str">
        <f t="shared" si="190"/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 t="shared" si="191"/>
        <v/>
      </c>
      <c r="M2479" s="65" t="str">
        <f t="shared" ca="1" si="192"/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193"/>
        <v/>
      </c>
      <c r="S2479" s="1" t="str">
        <f t="shared" si="194"/>
        <v/>
      </c>
      <c r="T2479" s="1">
        <f>IF($E2479="",0,SUMPRODUCT((AY_SONU!$O$7:$O$42="Evet")*(AY_SONU!$B$7:$B$42=DATE(YEAR($E2479),MONTH($E2479),1))))</f>
        <v>0</v>
      </c>
      <c r="U2479" s="1" t="str">
        <f>IF(OR($G2479="",$H2479="Mahsup"),"",$G2479&amp;"|"&amp;COUNTIFS($G$7:$G2479,$G2479,$H$7:$H2479,"&lt;&gt;Mahsup"))</f>
        <v/>
      </c>
    </row>
    <row r="2480" spans="1:21" ht="18" customHeight="1" x14ac:dyDescent="0.3">
      <c r="A2480" s="2"/>
      <c r="B2480" s="65" t="str">
        <f t="shared" si="190"/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 t="shared" si="191"/>
        <v/>
      </c>
      <c r="M2480" s="65" t="str">
        <f t="shared" ca="1" si="192"/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193"/>
        <v/>
      </c>
      <c r="S2480" s="1" t="str">
        <f t="shared" si="194"/>
        <v/>
      </c>
      <c r="T2480" s="1">
        <f>IF($E2480="",0,SUMPRODUCT((AY_SONU!$O$7:$O$42="Evet")*(AY_SONU!$B$7:$B$42=DATE(YEAR($E2480),MONTH($E2480),1))))</f>
        <v>0</v>
      </c>
      <c r="U2480" s="1" t="str">
        <f>IF(OR($G2480="",$H2480="Mahsup"),"",$G2480&amp;"|"&amp;COUNTIFS($G$7:$G2480,$G2480,$H$7:$H2480,"&lt;&gt;Mahsup"))</f>
        <v/>
      </c>
    </row>
    <row r="2481" spans="1:21" ht="18" customHeight="1" x14ac:dyDescent="0.3">
      <c r="A2481" s="2"/>
      <c r="B2481" s="65" t="str">
        <f t="shared" si="190"/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 t="shared" si="191"/>
        <v/>
      </c>
      <c r="M2481" s="65" t="str">
        <f t="shared" ca="1" si="192"/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193"/>
        <v/>
      </c>
      <c r="S2481" s="1" t="str">
        <f t="shared" si="194"/>
        <v/>
      </c>
      <c r="T2481" s="1">
        <f>IF($E2481="",0,SUMPRODUCT((AY_SONU!$O$7:$O$42="Evet")*(AY_SONU!$B$7:$B$42=DATE(YEAR($E2481),MONTH($E2481),1))))</f>
        <v>0</v>
      </c>
      <c r="U2481" s="1" t="str">
        <f>IF(OR($G2481="",$H2481="Mahsup"),"",$G2481&amp;"|"&amp;COUNTIFS($G$7:$G2481,$G2481,$H$7:$H2481,"&lt;&gt;Mahsup"))</f>
        <v/>
      </c>
    </row>
    <row r="2482" spans="1:21" ht="18" customHeight="1" x14ac:dyDescent="0.3">
      <c r="A2482" s="2"/>
      <c r="B2482" s="65" t="str">
        <f t="shared" si="190"/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 t="shared" si="191"/>
        <v/>
      </c>
      <c r="M2482" s="65" t="str">
        <f t="shared" ca="1" si="192"/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193"/>
        <v/>
      </c>
      <c r="S2482" s="1" t="str">
        <f t="shared" si="194"/>
        <v/>
      </c>
      <c r="T2482" s="1">
        <f>IF($E2482="",0,SUMPRODUCT((AY_SONU!$O$7:$O$42="Evet")*(AY_SONU!$B$7:$B$42=DATE(YEAR($E2482),MONTH($E2482),1))))</f>
        <v>0</v>
      </c>
      <c r="U2482" s="1" t="str">
        <f>IF(OR($G2482="",$H2482="Mahsup"),"",$G2482&amp;"|"&amp;COUNTIFS($G$7:$G2482,$G2482,$H$7:$H2482,"&lt;&gt;Mahsup"))</f>
        <v/>
      </c>
    </row>
    <row r="2483" spans="1:21" ht="18" customHeight="1" x14ac:dyDescent="0.3">
      <c r="A2483" s="2"/>
      <c r="B2483" s="65" t="str">
        <f t="shared" si="190"/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 t="shared" si="191"/>
        <v/>
      </c>
      <c r="M2483" s="65" t="str">
        <f t="shared" ca="1" si="192"/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193"/>
        <v/>
      </c>
      <c r="S2483" s="1" t="str">
        <f t="shared" si="194"/>
        <v/>
      </c>
      <c r="T2483" s="1">
        <f>IF($E2483="",0,SUMPRODUCT((AY_SONU!$O$7:$O$42="Evet")*(AY_SONU!$B$7:$B$42=DATE(YEAR($E2483),MONTH($E2483),1))))</f>
        <v>0</v>
      </c>
      <c r="U2483" s="1" t="str">
        <f>IF(OR($G2483="",$H2483="Mahsup"),"",$G2483&amp;"|"&amp;COUNTIFS($G$7:$G2483,$G2483,$H$7:$H2483,"&lt;&gt;Mahsup"))</f>
        <v/>
      </c>
    </row>
    <row r="2484" spans="1:21" ht="18" customHeight="1" x14ac:dyDescent="0.3">
      <c r="A2484" s="2"/>
      <c r="B2484" s="65" t="str">
        <f t="shared" si="190"/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 t="shared" si="191"/>
        <v/>
      </c>
      <c r="M2484" s="65" t="str">
        <f t="shared" ca="1" si="192"/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193"/>
        <v/>
      </c>
      <c r="S2484" s="1" t="str">
        <f t="shared" si="194"/>
        <v/>
      </c>
      <c r="T2484" s="1">
        <f>IF($E2484="",0,SUMPRODUCT((AY_SONU!$O$7:$O$42="Evet")*(AY_SONU!$B$7:$B$42=DATE(YEAR($E2484),MONTH($E2484),1))))</f>
        <v>0</v>
      </c>
      <c r="U2484" s="1" t="str">
        <f>IF(OR($G2484="",$H2484="Mahsup"),"",$G2484&amp;"|"&amp;COUNTIFS($G$7:$G2484,$G2484,$H$7:$H2484,"&lt;&gt;Mahsup"))</f>
        <v/>
      </c>
    </row>
    <row r="2485" spans="1:21" ht="18" customHeight="1" x14ac:dyDescent="0.3">
      <c r="A2485" s="2"/>
      <c r="B2485" s="65" t="str">
        <f t="shared" si="190"/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 t="shared" si="191"/>
        <v/>
      </c>
      <c r="M2485" s="65" t="str">
        <f t="shared" ca="1" si="192"/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193"/>
        <v/>
      </c>
      <c r="S2485" s="1" t="str">
        <f t="shared" si="194"/>
        <v/>
      </c>
      <c r="T2485" s="1">
        <f>IF($E2485="",0,SUMPRODUCT((AY_SONU!$O$7:$O$42="Evet")*(AY_SONU!$B$7:$B$42=DATE(YEAR($E2485),MONTH($E2485),1))))</f>
        <v>0</v>
      </c>
      <c r="U2485" s="1" t="str">
        <f>IF(OR($G2485="",$H2485="Mahsup"),"",$G2485&amp;"|"&amp;COUNTIFS($G$7:$G2485,$G2485,$H$7:$H2485,"&lt;&gt;Mahsup"))</f>
        <v/>
      </c>
    </row>
    <row r="2486" spans="1:21" ht="18" customHeight="1" x14ac:dyDescent="0.3">
      <c r="A2486" s="2"/>
      <c r="B2486" s="65" t="str">
        <f t="shared" si="190"/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 t="shared" si="191"/>
        <v/>
      </c>
      <c r="M2486" s="65" t="str">
        <f t="shared" ca="1" si="192"/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193"/>
        <v/>
      </c>
      <c r="S2486" s="1" t="str">
        <f t="shared" si="194"/>
        <v/>
      </c>
      <c r="T2486" s="1">
        <f>IF($E2486="",0,SUMPRODUCT((AY_SONU!$O$7:$O$42="Evet")*(AY_SONU!$B$7:$B$42=DATE(YEAR($E2486),MONTH($E2486),1))))</f>
        <v>0</v>
      </c>
      <c r="U2486" s="1" t="str">
        <f>IF(OR($G2486="",$H2486="Mahsup"),"",$G2486&amp;"|"&amp;COUNTIFS($G$7:$G2486,$G2486,$H$7:$H2486,"&lt;&gt;Mahsup"))</f>
        <v/>
      </c>
    </row>
    <row r="2487" spans="1:21" ht="18" customHeight="1" x14ac:dyDescent="0.3">
      <c r="A2487" s="2"/>
      <c r="B2487" s="65" t="str">
        <f t="shared" si="190"/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 t="shared" si="191"/>
        <v/>
      </c>
      <c r="M2487" s="65" t="str">
        <f t="shared" ca="1" si="192"/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193"/>
        <v/>
      </c>
      <c r="S2487" s="1" t="str">
        <f t="shared" si="194"/>
        <v/>
      </c>
      <c r="T2487" s="1">
        <f>IF($E2487="",0,SUMPRODUCT((AY_SONU!$O$7:$O$42="Evet")*(AY_SONU!$B$7:$B$42=DATE(YEAR($E2487),MONTH($E2487),1))))</f>
        <v>0</v>
      </c>
      <c r="U2487" s="1" t="str">
        <f>IF(OR($G2487="",$H2487="Mahsup"),"",$G2487&amp;"|"&amp;COUNTIFS($G$7:$G2487,$G2487,$H$7:$H2487,"&lt;&gt;Mahsup"))</f>
        <v/>
      </c>
    </row>
    <row r="2488" spans="1:21" ht="18" customHeight="1" x14ac:dyDescent="0.3">
      <c r="A2488" s="2"/>
      <c r="B2488" s="65" t="str">
        <f t="shared" si="190"/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 t="shared" si="191"/>
        <v/>
      </c>
      <c r="M2488" s="65" t="str">
        <f t="shared" ca="1" si="192"/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193"/>
        <v/>
      </c>
      <c r="S2488" s="1" t="str">
        <f t="shared" si="194"/>
        <v/>
      </c>
      <c r="T2488" s="1">
        <f>IF($E2488="",0,SUMPRODUCT((AY_SONU!$O$7:$O$42="Evet")*(AY_SONU!$B$7:$B$42=DATE(YEAR($E2488),MONTH($E2488),1))))</f>
        <v>0</v>
      </c>
      <c r="U2488" s="1" t="str">
        <f>IF(OR($G2488="",$H2488="Mahsup"),"",$G2488&amp;"|"&amp;COUNTIFS($G$7:$G2488,$G2488,$H$7:$H2488,"&lt;&gt;Mahsup"))</f>
        <v/>
      </c>
    </row>
    <row r="2489" spans="1:21" ht="18" customHeight="1" x14ac:dyDescent="0.3">
      <c r="A2489" s="2"/>
      <c r="B2489" s="65" t="str">
        <f t="shared" si="190"/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 t="shared" si="191"/>
        <v/>
      </c>
      <c r="M2489" s="65" t="str">
        <f t="shared" ca="1" si="192"/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193"/>
        <v/>
      </c>
      <c r="S2489" s="1" t="str">
        <f t="shared" si="194"/>
        <v/>
      </c>
      <c r="T2489" s="1">
        <f>IF($E2489="",0,SUMPRODUCT((AY_SONU!$O$7:$O$42="Evet")*(AY_SONU!$B$7:$B$42=DATE(YEAR($E2489),MONTH($E2489),1))))</f>
        <v>0</v>
      </c>
      <c r="U2489" s="1" t="str">
        <f>IF(OR($G2489="",$H2489="Mahsup"),"",$G2489&amp;"|"&amp;COUNTIFS($G$7:$G2489,$G2489,$H$7:$H2489,"&lt;&gt;Mahsup"))</f>
        <v/>
      </c>
    </row>
    <row r="2490" spans="1:21" ht="18" customHeight="1" x14ac:dyDescent="0.3">
      <c r="A2490" s="2"/>
      <c r="B2490" s="65" t="str">
        <f t="shared" si="190"/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 t="shared" si="191"/>
        <v/>
      </c>
      <c r="M2490" s="65" t="str">
        <f t="shared" ca="1" si="192"/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193"/>
        <v/>
      </c>
      <c r="S2490" s="1" t="str">
        <f t="shared" si="194"/>
        <v/>
      </c>
      <c r="T2490" s="1">
        <f>IF($E2490="",0,SUMPRODUCT((AY_SONU!$O$7:$O$42="Evet")*(AY_SONU!$B$7:$B$42=DATE(YEAR($E2490),MONTH($E2490),1))))</f>
        <v>0</v>
      </c>
      <c r="U2490" s="1" t="str">
        <f>IF(OR($G2490="",$H2490="Mahsup"),"",$G2490&amp;"|"&amp;COUNTIFS($G$7:$G2490,$G2490,$H$7:$H2490,"&lt;&gt;Mahsup"))</f>
        <v/>
      </c>
    </row>
    <row r="2491" spans="1:21" ht="18" customHeight="1" x14ac:dyDescent="0.3">
      <c r="A2491" s="2"/>
      <c r="B2491" s="65" t="str">
        <f t="shared" si="190"/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 t="shared" si="191"/>
        <v/>
      </c>
      <c r="M2491" s="65" t="str">
        <f t="shared" ca="1" si="192"/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193"/>
        <v/>
      </c>
      <c r="S2491" s="1" t="str">
        <f t="shared" si="194"/>
        <v/>
      </c>
      <c r="T2491" s="1">
        <f>IF($E2491="",0,SUMPRODUCT((AY_SONU!$O$7:$O$42="Evet")*(AY_SONU!$B$7:$B$42=DATE(YEAR($E2491),MONTH($E2491),1))))</f>
        <v>0</v>
      </c>
      <c r="U2491" s="1" t="str">
        <f>IF(OR($G2491="",$H2491="Mahsup"),"",$G2491&amp;"|"&amp;COUNTIFS($G$7:$G2491,$G2491,$H$7:$H2491,"&lt;&gt;Mahsup"))</f>
        <v/>
      </c>
    </row>
    <row r="2492" spans="1:21" ht="18" customHeight="1" x14ac:dyDescent="0.3">
      <c r="A2492" s="2"/>
      <c r="B2492" s="65" t="str">
        <f t="shared" si="190"/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 t="shared" si="191"/>
        <v/>
      </c>
      <c r="M2492" s="65" t="str">
        <f t="shared" ca="1" si="192"/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193"/>
        <v/>
      </c>
      <c r="S2492" s="1" t="str">
        <f t="shared" si="194"/>
        <v/>
      </c>
      <c r="T2492" s="1">
        <f>IF($E2492="",0,SUMPRODUCT((AY_SONU!$O$7:$O$42="Evet")*(AY_SONU!$B$7:$B$42=DATE(YEAR($E2492),MONTH($E2492),1))))</f>
        <v>0</v>
      </c>
      <c r="U2492" s="1" t="str">
        <f>IF(OR($G2492="",$H2492="Mahsup"),"",$G2492&amp;"|"&amp;COUNTIFS($G$7:$G2492,$G2492,$H$7:$H2492,"&lt;&gt;Mahsup"))</f>
        <v/>
      </c>
    </row>
    <row r="2493" spans="1:21" ht="18" customHeight="1" x14ac:dyDescent="0.3">
      <c r="A2493" s="2"/>
      <c r="B2493" s="65" t="str">
        <f t="shared" si="190"/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 t="shared" si="191"/>
        <v/>
      </c>
      <c r="M2493" s="65" t="str">
        <f t="shared" ca="1" si="192"/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193"/>
        <v/>
      </c>
      <c r="S2493" s="1" t="str">
        <f t="shared" si="194"/>
        <v/>
      </c>
      <c r="T2493" s="1">
        <f>IF($E2493="",0,SUMPRODUCT((AY_SONU!$O$7:$O$42="Evet")*(AY_SONU!$B$7:$B$42=DATE(YEAR($E2493),MONTH($E2493),1))))</f>
        <v>0</v>
      </c>
      <c r="U2493" s="1" t="str">
        <f>IF(OR($G2493="",$H2493="Mahsup"),"",$G2493&amp;"|"&amp;COUNTIFS($G$7:$G2493,$G2493,$H$7:$H2493,"&lt;&gt;Mahsup"))</f>
        <v/>
      </c>
    </row>
    <row r="2494" spans="1:21" ht="18" customHeight="1" x14ac:dyDescent="0.3">
      <c r="A2494" s="2"/>
      <c r="B2494" s="65" t="str">
        <f t="shared" si="190"/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 t="shared" si="191"/>
        <v/>
      </c>
      <c r="M2494" s="65" t="str">
        <f t="shared" ca="1" si="192"/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193"/>
        <v/>
      </c>
      <c r="S2494" s="1" t="str">
        <f t="shared" si="194"/>
        <v/>
      </c>
      <c r="T2494" s="1">
        <f>IF($E2494="",0,SUMPRODUCT((AY_SONU!$O$7:$O$42="Evet")*(AY_SONU!$B$7:$B$42=DATE(YEAR($E2494),MONTH($E2494),1))))</f>
        <v>0</v>
      </c>
      <c r="U2494" s="1" t="str">
        <f>IF(OR($G2494="",$H2494="Mahsup"),"",$G2494&amp;"|"&amp;COUNTIFS($G$7:$G2494,$G2494,$H$7:$H2494,"&lt;&gt;Mahsup"))</f>
        <v/>
      </c>
    </row>
    <row r="2495" spans="1:21" ht="18" customHeight="1" x14ac:dyDescent="0.3">
      <c r="A2495" s="2"/>
      <c r="B2495" s="65" t="str">
        <f t="shared" si="190"/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 t="shared" si="191"/>
        <v/>
      </c>
      <c r="M2495" s="65" t="str">
        <f t="shared" ca="1" si="192"/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193"/>
        <v/>
      </c>
      <c r="S2495" s="1" t="str">
        <f t="shared" si="194"/>
        <v/>
      </c>
      <c r="T2495" s="1">
        <f>IF($E2495="",0,SUMPRODUCT((AY_SONU!$O$7:$O$42="Evet")*(AY_SONU!$B$7:$B$42=DATE(YEAR($E2495),MONTH($E2495),1))))</f>
        <v>0</v>
      </c>
      <c r="U2495" s="1" t="str">
        <f>IF(OR($G2495="",$H2495="Mahsup"),"",$G2495&amp;"|"&amp;COUNTIFS($G$7:$G2495,$G2495,$H$7:$H2495,"&lt;&gt;Mahsup"))</f>
        <v/>
      </c>
    </row>
    <row r="2496" spans="1:21" ht="18" customHeight="1" x14ac:dyDescent="0.3">
      <c r="A2496" s="2"/>
      <c r="B2496" s="65" t="str">
        <f t="shared" si="190"/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 t="shared" si="191"/>
        <v/>
      </c>
      <c r="M2496" s="65" t="str">
        <f t="shared" ca="1" si="192"/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193"/>
        <v/>
      </c>
      <c r="S2496" s="1" t="str">
        <f t="shared" si="194"/>
        <v/>
      </c>
      <c r="T2496" s="1">
        <f>IF($E2496="",0,SUMPRODUCT((AY_SONU!$O$7:$O$42="Evet")*(AY_SONU!$B$7:$B$42=DATE(YEAR($E2496),MONTH($E2496),1))))</f>
        <v>0</v>
      </c>
      <c r="U2496" s="1" t="str">
        <f>IF(OR($G2496="",$H2496="Mahsup"),"",$G2496&amp;"|"&amp;COUNTIFS($G$7:$G2496,$G2496,$H$7:$H2496,"&lt;&gt;Mahsup"))</f>
        <v/>
      </c>
    </row>
    <row r="2497" spans="1:21" ht="18" customHeight="1" x14ac:dyDescent="0.3">
      <c r="A2497" s="2"/>
      <c r="B2497" s="65" t="str">
        <f t="shared" si="190"/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 t="shared" si="191"/>
        <v/>
      </c>
      <c r="M2497" s="65" t="str">
        <f t="shared" ca="1" si="192"/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193"/>
        <v/>
      </c>
      <c r="S2497" s="1" t="str">
        <f t="shared" si="194"/>
        <v/>
      </c>
      <c r="T2497" s="1">
        <f>IF($E2497="",0,SUMPRODUCT((AY_SONU!$O$7:$O$42="Evet")*(AY_SONU!$B$7:$B$42=DATE(YEAR($E2497),MONTH($E2497),1))))</f>
        <v>0</v>
      </c>
      <c r="U2497" s="1" t="str">
        <f>IF(OR($G2497="",$H2497="Mahsup"),"",$G2497&amp;"|"&amp;COUNTIFS($G$7:$G2497,$G2497,$H$7:$H2497,"&lt;&gt;Mahsup"))</f>
        <v/>
      </c>
    </row>
    <row r="2498" spans="1:21" ht="18" customHeight="1" x14ac:dyDescent="0.3">
      <c r="A2498" s="2"/>
      <c r="B2498" s="65" t="str">
        <f t="shared" si="190"/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 t="shared" si="191"/>
        <v/>
      </c>
      <c r="M2498" s="65" t="str">
        <f t="shared" ca="1" si="192"/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193"/>
        <v/>
      </c>
      <c r="S2498" s="1" t="str">
        <f t="shared" si="194"/>
        <v/>
      </c>
      <c r="T2498" s="1">
        <f>IF($E2498="",0,SUMPRODUCT((AY_SONU!$O$7:$O$42="Evet")*(AY_SONU!$B$7:$B$42=DATE(YEAR($E2498),MONTH($E2498),1))))</f>
        <v>0</v>
      </c>
      <c r="U2498" s="1" t="str">
        <f>IF(OR($G2498="",$H2498="Mahsup"),"",$G2498&amp;"|"&amp;COUNTIFS($G$7:$G2498,$G2498,$H$7:$H2498,"&lt;&gt;Mahsup"))</f>
        <v/>
      </c>
    </row>
    <row r="2499" spans="1:21" ht="18" customHeight="1" x14ac:dyDescent="0.3">
      <c r="A2499" s="2"/>
      <c r="B2499" s="65" t="str">
        <f t="shared" si="190"/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 t="shared" si="191"/>
        <v/>
      </c>
      <c r="M2499" s="65" t="str">
        <f t="shared" ca="1" si="192"/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193"/>
        <v/>
      </c>
      <c r="S2499" s="1" t="str">
        <f t="shared" si="194"/>
        <v/>
      </c>
      <c r="T2499" s="1">
        <f>IF($E2499="",0,SUMPRODUCT((AY_SONU!$O$7:$O$42="Evet")*(AY_SONU!$B$7:$B$42=DATE(YEAR($E2499),MONTH($E2499),1))))</f>
        <v>0</v>
      </c>
      <c r="U2499" s="1" t="str">
        <f>IF(OR($G2499="",$H2499="Mahsup"),"",$G2499&amp;"|"&amp;COUNTIFS($G$7:$G2499,$G2499,$H$7:$H2499,"&lt;&gt;Mahsup"))</f>
        <v/>
      </c>
    </row>
    <row r="2500" spans="1:21" ht="18" customHeight="1" x14ac:dyDescent="0.3">
      <c r="A2500" s="2"/>
      <c r="B2500" s="65" t="str">
        <f t="shared" si="190"/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 t="shared" si="191"/>
        <v/>
      </c>
      <c r="M2500" s="65" t="str">
        <f t="shared" ca="1" si="192"/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193"/>
        <v/>
      </c>
      <c r="S2500" s="1" t="str">
        <f t="shared" si="194"/>
        <v/>
      </c>
      <c r="T2500" s="1">
        <f>IF($E2500="",0,SUMPRODUCT((AY_SONU!$O$7:$O$42="Evet")*(AY_SONU!$B$7:$B$42=DATE(YEAR($E2500),MONTH($E2500),1))))</f>
        <v>0</v>
      </c>
      <c r="U2500" s="1" t="str">
        <f>IF(OR($G2500="",$H2500="Mahsup"),"",$G2500&amp;"|"&amp;COUNTIFS($G$7:$G2500,$G2500,$H$7:$H2500,"&lt;&gt;Mahsup"))</f>
        <v/>
      </c>
    </row>
    <row r="2501" spans="1:21" ht="18" customHeight="1" x14ac:dyDescent="0.3">
      <c r="A2501" s="2"/>
      <c r="B2501" s="65" t="str">
        <f t="shared" si="190"/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 t="shared" si="191"/>
        <v/>
      </c>
      <c r="M2501" s="65" t="str">
        <f t="shared" ca="1" si="192"/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193"/>
        <v/>
      </c>
      <c r="S2501" s="1" t="str">
        <f t="shared" si="194"/>
        <v/>
      </c>
      <c r="T2501" s="1">
        <f>IF($E2501="",0,SUMPRODUCT((AY_SONU!$O$7:$O$42="Evet")*(AY_SONU!$B$7:$B$42=DATE(YEAR($E2501),MONTH($E2501),1))))</f>
        <v>0</v>
      </c>
      <c r="U2501" s="1" t="str">
        <f>IF(OR($G2501="",$H2501="Mahsup"),"",$G2501&amp;"|"&amp;COUNTIFS($G$7:$G2501,$G2501,$H$7:$H2501,"&lt;&gt;Mahsup"))</f>
        <v/>
      </c>
    </row>
    <row r="2502" spans="1:21" ht="18" customHeight="1" x14ac:dyDescent="0.3">
      <c r="A2502" s="2"/>
      <c r="B2502" s="65" t="str">
        <f t="shared" si="190"/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 t="shared" si="191"/>
        <v/>
      </c>
      <c r="M2502" s="65" t="str">
        <f t="shared" ca="1" si="192"/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193"/>
        <v/>
      </c>
      <c r="S2502" s="1" t="str">
        <f t="shared" si="194"/>
        <v/>
      </c>
      <c r="T2502" s="1">
        <f>IF($E2502="",0,SUMPRODUCT((AY_SONU!$O$7:$O$42="Evet")*(AY_SONU!$B$7:$B$42=DATE(YEAR($E2502),MONTH($E2502),1))))</f>
        <v>0</v>
      </c>
      <c r="U2502" s="1" t="str">
        <f>IF(OR($G2502="",$H2502="Mahsup"),"",$G2502&amp;"|"&amp;COUNTIFS($G$7:$G2502,$G2502,$H$7:$H2502,"&lt;&gt;Mahsup"))</f>
        <v/>
      </c>
    </row>
    <row r="2503" spans="1:21" ht="18" customHeight="1" x14ac:dyDescent="0.3">
      <c r="A2503" s="2"/>
      <c r="B2503" s="65" t="str">
        <f t="shared" si="190"/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 t="shared" si="191"/>
        <v/>
      </c>
      <c r="M2503" s="65" t="str">
        <f t="shared" ca="1" si="192"/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193"/>
        <v/>
      </c>
      <c r="S2503" s="1" t="str">
        <f t="shared" si="194"/>
        <v/>
      </c>
      <c r="T2503" s="1">
        <f>IF($E2503="",0,SUMPRODUCT((AY_SONU!$O$7:$O$42="Evet")*(AY_SONU!$B$7:$B$42=DATE(YEAR($E2503),MONTH($E2503),1))))</f>
        <v>0</v>
      </c>
      <c r="U2503" s="1" t="str">
        <f>IF(OR($G2503="",$H2503="Mahsup"),"",$G2503&amp;"|"&amp;COUNTIFS($G$7:$G2503,$G2503,$H$7:$H2503,"&lt;&gt;Mahsup"))</f>
        <v/>
      </c>
    </row>
    <row r="2504" spans="1:21" ht="18" customHeight="1" x14ac:dyDescent="0.3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1"/>
      <c r="R2504" s="1"/>
      <c r="S2504" s="1"/>
      <c r="T2504" s="1"/>
    </row>
    <row r="2505" spans="1:21" ht="18" customHeight="1" x14ac:dyDescent="0.3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1"/>
      <c r="R2505" s="1"/>
      <c r="S2505" s="1"/>
      <c r="T2505" s="1"/>
    </row>
  </sheetData>
  <sheetProtection formatCells="0" formatColumns="0" formatRows="0" sort="0" autoFilter="0"/>
  <autoFilter ref="B6:N2503" xr:uid="{00000000-0009-0000-0000-000004000000}">
    <sortState xmlns:xlrd2="http://schemas.microsoft.com/office/spreadsheetml/2017/richdata2" ref="B7:N2503">
      <sortCondition ref="E6:E2503"/>
    </sortState>
  </autoFilter>
  <mergeCells count="3">
    <mergeCell ref="A1:E1"/>
    <mergeCell ref="A2:O2"/>
    <mergeCell ref="F1:O1"/>
  </mergeCells>
  <conditionalFormatting sqref="M7:M2503">
    <cfRule type="expression" dxfId="69" priority="2">
      <formula>EXACT($M7,"UYGUN")</formula>
    </cfRule>
    <cfRule type="expression" dxfId="68" priority="3">
      <formula>EXACT($M7,"EKSİK")</formula>
    </cfRule>
    <cfRule type="expression" dxfId="67" priority="4">
      <formula>EXACT($M7,"HATA")</formula>
    </cfRule>
    <cfRule type="expression" dxfId="66" priority="5">
      <formula>EXACT($M7,"İLERİ TARİH")</formula>
    </cfRule>
    <cfRule type="expression" dxfId="65" priority="6">
      <formula>EXACT($M7,"MÜKERRER?")</formula>
    </cfRule>
    <cfRule type="expression" dxfId="64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3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3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3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E07C00"/>
    <pageSetUpPr fitToPage="1"/>
  </sheetPr>
  <dimension ref="A1:AE3003"/>
  <sheetViews>
    <sheetView showGridLines="0" tabSelected="1" zoomScaleNormal="100" workbookViewId="0">
      <pane xSplit="3" ySplit="6" topLeftCell="D166" activePane="bottomRight" state="frozen"/>
      <selection pane="topRight" activeCell="D1" sqref="D1"/>
      <selection pane="bottomLeft" activeCell="A193" sqref="A193"/>
      <selection pane="bottomRight" activeCell="B201" sqref="B201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4" width="11.140625" customWidth="1"/>
    <col min="5" max="5" width="27.85546875" customWidth="1"/>
    <col min="6" max="6" width="51" customWidth="1"/>
    <col min="7" max="7" width="16.140625" customWidth="1"/>
    <col min="8" max="8" width="16.7109375" customWidth="1"/>
    <col min="9" max="9" width="12" customWidth="1"/>
    <col min="10" max="10" width="13" customWidth="1"/>
    <col min="11" max="11" width="13.85546875" customWidth="1"/>
    <col min="12" max="12" width="27.85546875" customWidth="1"/>
    <col min="13" max="14" width="24.140625" customWidth="1"/>
    <col min="15" max="15" width="13" customWidth="1"/>
    <col min="16" max="16" width="15.7109375" customWidth="1"/>
    <col min="17" max="18" width="2.28515625" customWidth="1"/>
    <col min="19" max="23" width="12" hidden="1" customWidth="1"/>
    <col min="24" max="24" width="13.85546875" customWidth="1"/>
    <col min="25" max="25" width="24.140625" customWidth="1"/>
    <col min="26" max="26" width="26" customWidth="1"/>
    <col min="27" max="28" width="14.85546875" customWidth="1"/>
    <col min="29" max="29" width="15.7109375" customWidth="1"/>
    <col min="30" max="31" width="12" hidden="1" customWidth="1"/>
  </cols>
  <sheetData>
    <row r="1" spans="1:31" ht="37.5" customHeight="1" x14ac:dyDescent="0.3">
      <c r="A1" s="209" t="s">
        <v>548</v>
      </c>
      <c r="B1" s="171"/>
      <c r="C1" s="171"/>
      <c r="D1" s="171"/>
      <c r="E1" s="171"/>
      <c r="F1" s="208" t="s">
        <v>752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3">
      <c r="A2" s="210" t="s">
        <v>753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2"/>
      <c r="B3" s="50" t="inlineStr">
        <is>
          <t>⚠  NAKİT YOK TAHAKKUK: Borçlu Taraf seçin, Gerçekleşti = Hayır yapın, Kasa/Bankayı BOŞ bırakın. Ömer borcuna yazılan hizmetleri VIRMAN’a girmeyin.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755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3">
      <c r="A5" s="2"/>
      <c r="B5" s="53"/>
      <c r="C5" s="54" t="s">
        <v>756</v>
      </c>
      <c r="D5" s="53"/>
      <c r="E5" s="53"/>
      <c r="F5" s="53"/>
      <c r="G5" s="56">
        <f>SUMIFS($G$7:$G$3001,$D$7:$D$3001,"Gelir",$I$7:$I$3001,"Evet")-SUMIFS($G$7:$G$3001,$D$7:$D$3001,"Gider",$I$7:$I$3001,"Evet")</f>
        <v>-752437.98</v>
      </c>
      <c r="H5" s="53"/>
      <c r="I5" s="53"/>
      <c r="J5" s="53"/>
      <c r="K5" s="53"/>
      <c r="L5" s="56">
        <f>SUMIFS($G$7:$G$3001,$V$7:$V$3001,1)</f>
        <v>0</v>
      </c>
      <c r="M5" s="53"/>
      <c r="N5" s="56">
        <f>SUMIFS($G$7:$G$3001,$D$7:$D$3001,"Gider",$I$7:$I$3001,"Hayır")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211" t="s">
        <v>757</v>
      </c>
      <c r="Y5" s="139"/>
      <c r="Z5" s="139"/>
      <c r="AA5" s="139"/>
      <c r="AB5" s="139"/>
      <c r="AC5" s="139"/>
      <c r="AD5" s="1"/>
      <c r="AE5" s="1"/>
    </row>
    <row r="6" spans="1:31" ht="39.75" customHeight="1" x14ac:dyDescent="0.3">
      <c r="A6" s="2"/>
      <c r="B6" s="57" t="s">
        <v>758</v>
      </c>
      <c r="C6" s="57" t="s">
        <v>709</v>
      </c>
      <c r="D6" s="57" t="s">
        <v>759</v>
      </c>
      <c r="E6" s="58" t="s">
        <v>760</v>
      </c>
      <c r="F6" s="58" t="s">
        <v>54</v>
      </c>
      <c r="G6" s="59" t="s">
        <v>710</v>
      </c>
      <c r="H6" s="57" t="s">
        <v>711</v>
      </c>
      <c r="I6" s="57" t="s">
        <v>761</v>
      </c>
      <c r="J6" s="58" t="s">
        <v>713</v>
      </c>
      <c r="K6" s="58" t="s">
        <v>762</v>
      </c>
      <c r="L6" s="57" t="inlineStr">
        <is>
          <t>Borçlu Taraf  (müşteri / ortak = nakit yok tahakkuk)</t>
        </is>
      </c>
      <c r="M6" s="58" t="s">
        <v>764</v>
      </c>
      <c r="N6" s="58" t="s">
        <v>765</v>
      </c>
      <c r="O6" s="57" t="s">
        <v>715</v>
      </c>
      <c r="P6" s="57" t="s">
        <v>566</v>
      </c>
      <c r="Q6" s="2"/>
      <c r="R6" s="2"/>
      <c r="S6" s="1"/>
      <c r="T6" s="1"/>
      <c r="U6" s="1"/>
      <c r="V6" s="1"/>
      <c r="W6" s="1"/>
      <c r="X6" s="75" t="s">
        <v>715</v>
      </c>
      <c r="Y6" s="75" t="s">
        <v>764</v>
      </c>
      <c r="Z6" s="75" t="s">
        <v>765</v>
      </c>
      <c r="AA6" s="75" t="s">
        <v>766</v>
      </c>
      <c r="AB6" s="75" t="s">
        <v>767</v>
      </c>
      <c r="AC6" s="75" t="s">
        <v>768</v>
      </c>
      <c r="AD6" s="1"/>
      <c r="AE6" s="1"/>
    </row>
    <row r="7" spans="1:31" ht="18" hidden="1" customHeight="1" x14ac:dyDescent="0.3">
      <c r="A7" s="2"/>
      <c r="B7" s="65" t="str">
        <f t="shared" ref="B7:B70" si="0">IF($C7="","","GG"&amp;TEXT(ROW()-6,"00000"))</f>
        <v>GG00001</v>
      </c>
      <c r="C7" s="66">
        <v>46023</v>
      </c>
      <c r="D7" s="60" t="s">
        <v>769</v>
      </c>
      <c r="E7" s="61" t="s">
        <v>770</v>
      </c>
      <c r="F7" s="61" t="s">
        <v>771</v>
      </c>
      <c r="G7" s="67">
        <v>27000</v>
      </c>
      <c r="H7" s="60" t="s">
        <v>772</v>
      </c>
      <c r="I7" s="60" t="s">
        <v>773</v>
      </c>
      <c r="J7" s="61"/>
      <c r="K7" s="61"/>
      <c r="L7" s="60"/>
      <c r="M7" s="74" t="str">
        <f t="shared" ref="M7:M70" si="1">IF($C7="","",IF($D7="Gider",$E7,IF($L7&lt;&gt;"",$L7,$H7)))</f>
        <v>Diğer Gider</v>
      </c>
      <c r="N7" s="74" t="str">
        <f t="shared" ref="N7:N70" si="2">IF($C7="","",IF($D7="Gider",$H7,$E7))</f>
        <v>Merkez Kasa</v>
      </c>
      <c r="O7" s="73">
        <f t="shared" ref="O7:O70" si="3">IF($C7="","",DATE(YEAR($C7),MONTH($C7),1))</f>
        <v>46023</v>
      </c>
      <c r="P7" s="65" t="str">
        <f t="shared" ref="P7:P70" ca="1" si="4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TARİH",IF(COUNTIF($W$7:$W$3001,$W7)&gt;1,"MÜKERRER?",IF($AD7&gt;0,"KAPALI DÖNEM",IF($I7="Hayır","ÖDENECEK","UYGUN")))),"EKSİK"))))</f>
        <v>UYGUN</v>
      </c>
      <c r="Q7" s="2"/>
      <c r="R7" s="2"/>
      <c r="S7" s="1" t="str">
        <f t="shared" ref="S7:S70" si="5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6">IF($T7="",0,1)</f>
        <v>0</v>
      </c>
      <c r="W7" s="1" t="str">
        <f t="shared" ref="W7:W70" si="7">IF($C7="","",$D7&amp;"|"&amp;$E7&amp;"|"&amp;TEXT($C7,"0")&amp;"|"&amp;TEXT($G7,"0")&amp;"|"&amp;$F7&amp;"|"&amp;$J7)</f>
        <v>Gider|Diğer Gider|46023|27000|Palaoğulları Kapalı Kaldığı Dönem Haftalık Zarar|</v>
      </c>
      <c r="X7" s="73">
        <f>AY_SONU!$B7</f>
        <v>46023</v>
      </c>
      <c r="Y7" s="74" t="str">
        <f t="shared" ref="Y7:Y40" si="8">"Müşteri Carisi  (MÜŞTERİ 360)"</f>
        <v>Müşteri Carisi  (MÜŞTERİ 360)</v>
      </c>
      <c r="Z7" s="74" t="str">
        <f t="shared" ref="Z7:Z40" si="9">"600 Muhasebe Hizmet Geliri  (sözleşme)"</f>
        <v>600 Muhasebe Hizmet Geliri  (sözleşme)</v>
      </c>
      <c r="AA7" s="68">
        <f>AY_SONU!$C7</f>
        <v>447251</v>
      </c>
      <c r="AB7" s="68">
        <f>AY_SONU!$D7</f>
        <v>364900</v>
      </c>
      <c r="AC7" s="68">
        <f>AY_SONU!$C7-AY_SONU!$D7</f>
        <v>82351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hidden="1" customHeight="1" x14ac:dyDescent="0.3">
      <c r="A8" s="2"/>
      <c r="B8" s="65" t="str">
        <f t="shared" si="0"/>
        <v>GG00002</v>
      </c>
      <c r="C8" s="66">
        <v>46023</v>
      </c>
      <c r="D8" s="60" t="s">
        <v>769</v>
      </c>
      <c r="E8" s="61" t="s">
        <v>770</v>
      </c>
      <c r="F8" s="61" t="s">
        <v>774</v>
      </c>
      <c r="G8" s="67">
        <v>5000</v>
      </c>
      <c r="H8" s="60" t="s">
        <v>772</v>
      </c>
      <c r="I8" s="60" t="s">
        <v>773</v>
      </c>
      <c r="J8" s="61"/>
      <c r="K8" s="61"/>
      <c r="L8" s="60"/>
      <c r="M8" s="74" t="str">
        <f t="shared" si="1"/>
        <v>Diğer Gider</v>
      </c>
      <c r="N8" s="74" t="str">
        <f t="shared" si="2"/>
        <v>Merkez Kasa</v>
      </c>
      <c r="O8" s="73">
        <f t="shared" si="3"/>
        <v>46023</v>
      </c>
      <c r="P8" s="65" t="str">
        <f t="shared" ca="1" si="4"/>
        <v>UYGUN</v>
      </c>
      <c r="Q8" s="2"/>
      <c r="R8" s="2"/>
      <c r="S8" s="1" t="str">
        <f t="shared" si="5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6"/>
        <v>0</v>
      </c>
      <c r="W8" s="1" t="str">
        <f t="shared" si="7"/>
        <v>Gider|Diğer Gider|46023|5000|Çayıralan Ltd.Şti. Cari Hesap Bakiye Tashihi|</v>
      </c>
      <c r="X8" s="73">
        <f>AY_SONU!$B9</f>
        <v>46082</v>
      </c>
      <c r="Y8" s="74" t="str">
        <f t="shared" si="8"/>
        <v>Müşteri Carisi  (MÜŞTERİ 360)</v>
      </c>
      <c r="Z8" s="74" t="str">
        <f t="shared" si="9"/>
        <v>600 Muhasebe Hizmet Geliri  (sözleşme)</v>
      </c>
      <c r="AA8" s="68">
        <f>AY_SONU!$C9</f>
        <v>393501</v>
      </c>
      <c r="AB8" s="68">
        <f>AY_SONU!$D9</f>
        <v>263250</v>
      </c>
      <c r="AC8" s="68">
        <f>AY_SONU!$C9-AY_SONU!$D9</f>
        <v>130251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hidden="1" customHeight="1" x14ac:dyDescent="0.3">
      <c r="A9" s="2"/>
      <c r="B9" s="65" t="str">
        <f t="shared" si="0"/>
        <v>GG00003</v>
      </c>
      <c r="C9" s="66">
        <v>46023</v>
      </c>
      <c r="D9" s="60" t="s">
        <v>769</v>
      </c>
      <c r="E9" s="61" t="s">
        <v>770</v>
      </c>
      <c r="F9" s="61" t="s">
        <v>775</v>
      </c>
      <c r="G9" s="67">
        <v>3000</v>
      </c>
      <c r="H9" s="60" t="s">
        <v>772</v>
      </c>
      <c r="I9" s="60" t="s">
        <v>773</v>
      </c>
      <c r="J9" s="61"/>
      <c r="K9" s="61"/>
      <c r="L9" s="60"/>
      <c r="M9" s="74" t="str">
        <f t="shared" si="1"/>
        <v>Diğer Gider</v>
      </c>
      <c r="N9" s="74" t="str">
        <f t="shared" si="2"/>
        <v>Merkez Kasa</v>
      </c>
      <c r="O9" s="73">
        <f t="shared" si="3"/>
        <v>46023</v>
      </c>
      <c r="P9" s="65" t="str">
        <f t="shared" ca="1" si="4"/>
        <v>UYGUN</v>
      </c>
      <c r="Q9" s="2"/>
      <c r="R9" s="2"/>
      <c r="S9" s="1" t="str">
        <f t="shared" si="5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6"/>
        <v>0</v>
      </c>
      <c r="W9" s="1" t="str">
        <f t="shared" si="7"/>
        <v>Gider|Diğer Gider|46023|3000|Asım Açıkgöz Cari Hesap Bakiye Tashihi|</v>
      </c>
      <c r="X9" s="73">
        <f>AY_SONU!$B11</f>
        <v>46143</v>
      </c>
      <c r="Y9" s="74" t="str">
        <f t="shared" si="8"/>
        <v>Müşteri Carisi  (MÜŞTERİ 360)</v>
      </c>
      <c r="Z9" s="74" t="str">
        <f t="shared" si="9"/>
        <v>600 Muhasebe Hizmet Geliri  (sözleşme)</v>
      </c>
      <c r="AA9" s="68">
        <f>AY_SONU!$C11</f>
        <v>494251</v>
      </c>
      <c r="AB9" s="68">
        <f>AY_SONU!$D11</f>
        <v>350150</v>
      </c>
      <c r="AC9" s="68">
        <f>AY_SONU!$C11-AY_SONU!$D11</f>
        <v>144101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Diğer Gider|3</v>
      </c>
    </row>
    <row r="10" spans="1:31" ht="18" hidden="1" customHeight="1" x14ac:dyDescent="0.3">
      <c r="A10" s="2"/>
      <c r="B10" s="65" t="str">
        <f t="shared" si="0"/>
        <v>GG00004</v>
      </c>
      <c r="C10" s="66">
        <v>46023</v>
      </c>
      <c r="D10" s="60" t="s">
        <v>769</v>
      </c>
      <c r="E10" s="61" t="s">
        <v>770</v>
      </c>
      <c r="F10" s="61" t="s">
        <v>776</v>
      </c>
      <c r="G10" s="67">
        <v>10000</v>
      </c>
      <c r="H10" s="60" t="s">
        <v>772</v>
      </c>
      <c r="I10" s="60" t="s">
        <v>773</v>
      </c>
      <c r="J10" s="61"/>
      <c r="K10" s="61"/>
      <c r="L10" s="60"/>
      <c r="M10" s="74" t="str">
        <f t="shared" si="1"/>
        <v>Diğer Gider</v>
      </c>
      <c r="N10" s="74" t="str">
        <f t="shared" si="2"/>
        <v>Merkez Kasa</v>
      </c>
      <c r="O10" s="73">
        <f t="shared" si="3"/>
        <v>46023</v>
      </c>
      <c r="P10" s="65" t="str">
        <f t="shared" ca="1" si="4"/>
        <v>UYGUN</v>
      </c>
      <c r="Q10" s="2"/>
      <c r="R10" s="2"/>
      <c r="S10" s="1" t="str">
        <f t="shared" si="5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6"/>
        <v>0</v>
      </c>
      <c r="W10" s="1" t="str">
        <f t="shared" si="7"/>
        <v>Gider|Diğer Gider|46023|10000|ASM Eğlence Ltd.Şti. Cari Hesap Bakiye Tashihi|</v>
      </c>
      <c r="X10" s="73">
        <f>AY_SONU!$B12</f>
        <v>46174</v>
      </c>
      <c r="Y10" s="74" t="str">
        <f t="shared" si="8"/>
        <v>Müşteri Carisi  (MÜŞTERİ 360)</v>
      </c>
      <c r="Z10" s="74" t="str">
        <f t="shared" si="9"/>
        <v>600 Muhasebe Hizmet Geliri  (sözleşme)</v>
      </c>
      <c r="AA10" s="68">
        <f>AY_SONU!$C12</f>
        <v>428001</v>
      </c>
      <c r="AB10" s="68">
        <f>AY_SONU!$D12</f>
        <v>290850</v>
      </c>
      <c r="AC10" s="68">
        <f>AY_SONU!$C12-AY_SONU!$D12</f>
        <v>137151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Diğer Gider|4</v>
      </c>
    </row>
    <row r="11" spans="1:31" ht="18" hidden="1" customHeight="1" x14ac:dyDescent="0.3">
      <c r="A11" s="2"/>
      <c r="B11" s="65" t="str">
        <f t="shared" si="0"/>
        <v>GG00005</v>
      </c>
      <c r="C11" s="66">
        <v>46023</v>
      </c>
      <c r="D11" s="60" t="s">
        <v>769</v>
      </c>
      <c r="E11" s="61" t="s">
        <v>770</v>
      </c>
      <c r="F11" s="61" t="s">
        <v>777</v>
      </c>
      <c r="G11" s="67">
        <v>4500</v>
      </c>
      <c r="H11" s="60" t="s">
        <v>772</v>
      </c>
      <c r="I11" s="60" t="s">
        <v>773</v>
      </c>
      <c r="J11" s="61"/>
      <c r="K11" s="61"/>
      <c r="L11" s="60"/>
      <c r="M11" s="74" t="str">
        <f t="shared" si="1"/>
        <v>Diğer Gider</v>
      </c>
      <c r="N11" s="74" t="str">
        <f t="shared" si="2"/>
        <v>Merkez Kasa</v>
      </c>
      <c r="O11" s="73">
        <f t="shared" si="3"/>
        <v>46023</v>
      </c>
      <c r="P11" s="65" t="str">
        <f t="shared" ca="1" si="4"/>
        <v>UYGUN</v>
      </c>
      <c r="Q11" s="2"/>
      <c r="R11" s="2"/>
      <c r="S11" s="1" t="str">
        <f t="shared" si="5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6"/>
        <v>0</v>
      </c>
      <c r="W11" s="1" t="str">
        <f t="shared" si="7"/>
        <v>Gider|Diğer Gider|46023|4500|Çınarhan Ltd.Şti. Cari Hesap Bakiye Tashihi|</v>
      </c>
      <c r="X11" s="73">
        <f>AY_SONU!$B13</f>
        <v>46204</v>
      </c>
      <c r="Y11" s="74" t="str">
        <f t="shared" si="8"/>
        <v>Müşteri Carisi  (MÜŞTERİ 360)</v>
      </c>
      <c r="Z11" s="74" t="str">
        <f t="shared" si="9"/>
        <v>600 Muhasebe Hizmet Geliri  (sözleşme)</v>
      </c>
      <c r="AA11" s="68">
        <f>AY_SONU!$C13</f>
        <v>422001</v>
      </c>
      <c r="AB11" s="68">
        <f>AY_SONU!$D13</f>
        <v>206750</v>
      </c>
      <c r="AC11" s="68">
        <f>AY_SONU!$C13-AY_SONU!$D13</f>
        <v>215251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Gider|5</v>
      </c>
    </row>
    <row r="12" spans="1:31" ht="18" hidden="1" customHeight="1" x14ac:dyDescent="0.3">
      <c r="A12" s="2"/>
      <c r="B12" s="65" t="str">
        <f t="shared" si="0"/>
        <v>GG00006</v>
      </c>
      <c r="C12" s="66">
        <v>46023</v>
      </c>
      <c r="D12" s="60" t="s">
        <v>769</v>
      </c>
      <c r="E12" s="61" t="s">
        <v>770</v>
      </c>
      <c r="F12" s="61" t="s">
        <v>778</v>
      </c>
      <c r="G12" s="67">
        <v>15750</v>
      </c>
      <c r="H12" s="60" t="s">
        <v>772</v>
      </c>
      <c r="I12" s="60" t="s">
        <v>773</v>
      </c>
      <c r="J12" s="61"/>
      <c r="K12" s="61"/>
      <c r="L12" s="60"/>
      <c r="M12" s="74" t="str">
        <f t="shared" si="1"/>
        <v>Diğer Gider</v>
      </c>
      <c r="N12" s="74" t="str">
        <f t="shared" si="2"/>
        <v>Merkez Kasa</v>
      </c>
      <c r="O12" s="73">
        <f t="shared" si="3"/>
        <v>46023</v>
      </c>
      <c r="P12" s="65" t="str">
        <f t="shared" ca="1" si="4"/>
        <v>UYGUN</v>
      </c>
      <c r="Q12" s="2"/>
      <c r="R12" s="2"/>
      <c r="S12" s="1" t="str">
        <f t="shared" si="5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6"/>
        <v>0</v>
      </c>
      <c r="W12" s="1" t="str">
        <f t="shared" si="7"/>
        <v>Gider|Diğer Gider|46023|15750|Zümrüt Grup Ltd.Şti. Cari Hesap Bakiye Tashihi|</v>
      </c>
      <c r="X12" s="73">
        <f>AY_SONU!$B14</f>
        <v>46235</v>
      </c>
      <c r="Y12" s="74" t="str">
        <f t="shared" si="8"/>
        <v>Müşteri Carisi  (MÜŞTERİ 360)</v>
      </c>
      <c r="Z12" s="74" t="str">
        <f t="shared" si="9"/>
        <v>600 Muhasebe Hizmet Geliri  (sözleşme)</v>
      </c>
      <c r="AA12" s="68">
        <f>AY_SONU!$C14</f>
        <v>516751</v>
      </c>
      <c r="AB12" s="68">
        <f>AY_SONU!$D14</f>
        <v>334400</v>
      </c>
      <c r="AC12" s="68">
        <f>AY_SONU!$C14-AY_SONU!$D14</f>
        <v>182351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Diğer Gider|6</v>
      </c>
    </row>
    <row r="13" spans="1:31" ht="18" hidden="1" customHeight="1" x14ac:dyDescent="0.3">
      <c r="A13" s="2"/>
      <c r="B13" s="65" t="str">
        <f t="shared" si="0"/>
        <v>GG00007</v>
      </c>
      <c r="C13" s="66">
        <v>46035</v>
      </c>
      <c r="D13" s="60" t="s">
        <v>769</v>
      </c>
      <c r="E13" s="61" t="s">
        <v>779</v>
      </c>
      <c r="F13" s="61" t="s">
        <v>780</v>
      </c>
      <c r="G13" s="67">
        <v>1060</v>
      </c>
      <c r="H13" s="60" t="s">
        <v>772</v>
      </c>
      <c r="I13" s="60" t="s">
        <v>773</v>
      </c>
      <c r="J13" s="61"/>
      <c r="K13" s="61"/>
      <c r="L13" s="60"/>
      <c r="M13" s="74" t="str">
        <f t="shared" si="1"/>
        <v>Kırtasiye</v>
      </c>
      <c r="N13" s="74" t="str">
        <f t="shared" si="2"/>
        <v>Merkez Kasa</v>
      </c>
      <c r="O13" s="73">
        <f t="shared" si="3"/>
        <v>46023</v>
      </c>
      <c r="P13" s="65" t="str">
        <f t="shared" ca="1" si="4"/>
        <v>UYGUN</v>
      </c>
      <c r="Q13" s="2"/>
      <c r="R13" s="2"/>
      <c r="S13" s="1" t="str">
        <f t="shared" si="5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6"/>
        <v>0</v>
      </c>
      <c r="W13" s="1" t="str">
        <f t="shared" si="7"/>
        <v>Gider|Kırtasiye|46035|1060|Merdiven İki Basamaklı |</v>
      </c>
      <c r="X13" s="73">
        <f>AY_SONU!$B15</f>
        <v>46266</v>
      </c>
      <c r="Y13" s="74" t="str">
        <f t="shared" si="8"/>
        <v>Müşteri Carisi  (MÜŞTERİ 360)</v>
      </c>
      <c r="Z13" s="74" t="str">
        <f t="shared" si="9"/>
        <v>600 Muhasebe Hizmet Geliri  (sözleşme)</v>
      </c>
      <c r="AA13" s="68">
        <f>AY_SONU!$C15</f>
        <v>450001</v>
      </c>
      <c r="AB13" s="68">
        <f>AY_SONU!$D15</f>
        <v>0</v>
      </c>
      <c r="AC13" s="68">
        <f>AY_SONU!$C15-AY_SONU!$D15</f>
        <v>450001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Kırtasiye|1</v>
      </c>
    </row>
    <row r="14" spans="1:31" ht="18" hidden="1" customHeight="1" x14ac:dyDescent="0.3">
      <c r="A14" s="2"/>
      <c r="B14" s="65" t="str">
        <f t="shared" si="0"/>
        <v>GG00008</v>
      </c>
      <c r="C14" s="66">
        <v>46036</v>
      </c>
      <c r="D14" s="60" t="s">
        <v>769</v>
      </c>
      <c r="E14" s="61" t="s">
        <v>781</v>
      </c>
      <c r="F14" s="61" t="s">
        <v>782</v>
      </c>
      <c r="G14" s="67">
        <v>800</v>
      </c>
      <c r="H14" s="60" t="s">
        <v>772</v>
      </c>
      <c r="I14" s="60" t="s">
        <v>773</v>
      </c>
      <c r="J14" s="61"/>
      <c r="K14" s="61"/>
      <c r="L14" s="60"/>
      <c r="M14" s="74" t="str">
        <f t="shared" si="1"/>
        <v>Telefon / İnternet</v>
      </c>
      <c r="N14" s="74" t="str">
        <f t="shared" si="2"/>
        <v>Merkez Kasa</v>
      </c>
      <c r="O14" s="73">
        <f t="shared" si="3"/>
        <v>46023</v>
      </c>
      <c r="P14" s="65" t="str">
        <f t="shared" ca="1" si="4"/>
        <v>UYGUN</v>
      </c>
      <c r="Q14" s="2"/>
      <c r="R14" s="2"/>
      <c r="S14" s="1" t="str">
        <f t="shared" si="5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6"/>
        <v>0</v>
      </c>
      <c r="W14" s="1" t="str">
        <f t="shared" si="7"/>
        <v>Gider|Telefon / İnternet|46036|800|Ofis Whatsapp Hattı Ocak |</v>
      </c>
      <c r="X14" s="73">
        <f>AY_SONU!$B16</f>
        <v>46296</v>
      </c>
      <c r="Y14" s="74" t="str">
        <f t="shared" si="8"/>
        <v>Müşteri Carisi  (MÜŞTERİ 360)</v>
      </c>
      <c r="Z14" s="74" t="str">
        <f t="shared" si="9"/>
        <v>600 Muhasebe Hizmet Geliri  (sözleşme)</v>
      </c>
      <c r="AA14" s="68">
        <f>AY_SONU!$C16</f>
        <v>529751</v>
      </c>
      <c r="AB14" s="68">
        <f>AY_SONU!$D16</f>
        <v>0</v>
      </c>
      <c r="AC14" s="68">
        <f>AY_SONU!$C16-AY_SONU!$D16</f>
        <v>529751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Telefon / İnternet|1</v>
      </c>
    </row>
    <row r="15" spans="1:31" ht="18" hidden="1" customHeight="1" x14ac:dyDescent="0.3">
      <c r="A15" s="2"/>
      <c r="B15" s="65" t="str">
        <f t="shared" si="0"/>
        <v>GG00009</v>
      </c>
      <c r="C15" s="66">
        <v>46044</v>
      </c>
      <c r="D15" s="60" t="s">
        <v>769</v>
      </c>
      <c r="E15" s="61" t="s">
        <v>770</v>
      </c>
      <c r="F15" s="61" t="s">
        <v>783</v>
      </c>
      <c r="G15" s="67">
        <v>3000</v>
      </c>
      <c r="H15" s="60" t="s">
        <v>772</v>
      </c>
      <c r="I15" s="60" t="s">
        <v>773</v>
      </c>
      <c r="J15" s="61"/>
      <c r="K15" s="61"/>
      <c r="L15" s="60"/>
      <c r="M15" s="74" t="str">
        <f t="shared" si="1"/>
        <v>Diğer Gider</v>
      </c>
      <c r="N15" s="74" t="str">
        <f t="shared" si="2"/>
        <v>Merkez Kasa</v>
      </c>
      <c r="O15" s="73">
        <f t="shared" si="3"/>
        <v>46023</v>
      </c>
      <c r="P15" s="65" t="str">
        <f t="shared" ca="1" si="4"/>
        <v>UYGUN</v>
      </c>
      <c r="Q15" s="2"/>
      <c r="R15" s="2"/>
      <c r="S15" s="1" t="str">
        <f t="shared" si="5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6"/>
        <v>0</v>
      </c>
      <c r="W15" s="1" t="str">
        <f t="shared" si="7"/>
        <v>Gider|Diğer Gider|46044|3000|Ofis Lavabo Su Tesisatı Tamirat ve Malzeme|</v>
      </c>
      <c r="X15" s="73">
        <f>AY_SONU!$B17</f>
        <v>46327</v>
      </c>
      <c r="Y15" s="74" t="str">
        <f t="shared" si="8"/>
        <v>Müşteri Carisi  (MÜŞTERİ 360)</v>
      </c>
      <c r="Z15" s="74" t="str">
        <f t="shared" si="9"/>
        <v>600 Muhasebe Hizmet Geliri  (sözleşme)</v>
      </c>
      <c r="AA15" s="68">
        <f>AY_SONU!$C17</f>
        <v>450001</v>
      </c>
      <c r="AB15" s="68">
        <f>AY_SONU!$D17</f>
        <v>0</v>
      </c>
      <c r="AC15" s="68">
        <f>AY_SONU!$C17-AY_SONU!$D17</f>
        <v>450001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Diğer Gider|7</v>
      </c>
    </row>
    <row r="16" spans="1:31" ht="18" hidden="1" customHeight="1" x14ac:dyDescent="0.3">
      <c r="A16" s="2"/>
      <c r="B16" s="65" t="str">
        <f t="shared" si="0"/>
        <v>GG00010</v>
      </c>
      <c r="C16" s="66">
        <v>46049</v>
      </c>
      <c r="D16" s="60" t="s">
        <v>769</v>
      </c>
      <c r="E16" s="61" t="s">
        <v>784</v>
      </c>
      <c r="F16" s="61" t="s">
        <v>785</v>
      </c>
      <c r="G16" s="67">
        <v>1035</v>
      </c>
      <c r="H16" s="60" t="s">
        <v>772</v>
      </c>
      <c r="I16" s="60" t="s">
        <v>773</v>
      </c>
      <c r="J16" s="61"/>
      <c r="K16" s="61"/>
      <c r="L16" s="60"/>
      <c r="M16" s="74" t="str">
        <f t="shared" si="1"/>
        <v>Elektrik / Su / Doğalgaz</v>
      </c>
      <c r="N16" s="74" t="str">
        <f t="shared" si="2"/>
        <v>Merkez Kasa</v>
      </c>
      <c r="O16" s="73">
        <f t="shared" si="3"/>
        <v>46023</v>
      </c>
      <c r="P16" s="65" t="str">
        <f t="shared" ca="1" si="4"/>
        <v>UYGUN</v>
      </c>
      <c r="Q16" s="2"/>
      <c r="R16" s="2"/>
      <c r="S16" s="1" t="str">
        <f t="shared" si="5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6"/>
        <v>0</v>
      </c>
      <c r="W16" s="1" t="str">
        <f t="shared" si="7"/>
        <v>Gider|Elektrik / Su / Doğalgaz|46049|1035|Elektrik Ödemesi |</v>
      </c>
      <c r="X16" s="73">
        <f>AY_SONU!$B18</f>
        <v>46357</v>
      </c>
      <c r="Y16" s="74" t="str">
        <f t="shared" si="8"/>
        <v>Müşteri Carisi  (MÜŞTERİ 360)</v>
      </c>
      <c r="Z16" s="74" t="str">
        <f t="shared" si="9"/>
        <v>600 Muhasebe Hizmet Geliri  (sözleşme)</v>
      </c>
      <c r="AA16" s="68">
        <f>AY_SONU!$C18</f>
        <v>450001</v>
      </c>
      <c r="AB16" s="68">
        <f>AY_SONU!$D18</f>
        <v>0</v>
      </c>
      <c r="AC16" s="68">
        <f>AY_SONU!$C18-AY_SONU!$D18</f>
        <v>450001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Doğalgaz|1</v>
      </c>
    </row>
    <row r="17" spans="1:31" ht="18" hidden="1" customHeight="1" x14ac:dyDescent="0.3">
      <c r="A17" s="2"/>
      <c r="B17" s="65" t="str">
        <f t="shared" si="0"/>
        <v>GG00011</v>
      </c>
      <c r="C17" s="66">
        <v>46049</v>
      </c>
      <c r="D17" s="60" t="s">
        <v>769</v>
      </c>
      <c r="E17" s="61" t="s">
        <v>784</v>
      </c>
      <c r="F17" s="61" t="s">
        <v>785</v>
      </c>
      <c r="G17" s="67">
        <v>949.97</v>
      </c>
      <c r="H17" s="60" t="s">
        <v>772</v>
      </c>
      <c r="I17" s="60" t="s">
        <v>773</v>
      </c>
      <c r="J17" s="61"/>
      <c r="K17" s="61"/>
      <c r="L17" s="60"/>
      <c r="M17" s="74" t="str">
        <f t="shared" si="1"/>
        <v>Elektrik / Su / Doğalgaz</v>
      </c>
      <c r="N17" s="74" t="str">
        <f t="shared" si="2"/>
        <v>Merkez Kasa</v>
      </c>
      <c r="O17" s="73">
        <f t="shared" si="3"/>
        <v>46023</v>
      </c>
      <c r="P17" s="65" t="str">
        <f t="shared" ca="1" si="4"/>
        <v>UYGUN</v>
      </c>
      <c r="Q17" s="2"/>
      <c r="R17" s="2"/>
      <c r="S17" s="1" t="str">
        <f t="shared" si="5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6"/>
        <v>0</v>
      </c>
      <c r="W17" s="1" t="str">
        <f t="shared" si="7"/>
        <v>Gider|Elektrik / Su / Doğalgaz|46049|950|Elektrik Ödemesi |</v>
      </c>
      <c r="X17" s="73">
        <f>AY_SONU!$B19</f>
        <v>46388</v>
      </c>
      <c r="Y17" s="74" t="str">
        <f t="shared" si="8"/>
        <v>Müşteri Carisi  (MÜŞTERİ 360)</v>
      </c>
      <c r="Z17" s="74" t="str">
        <f t="shared" si="9"/>
        <v>600 Muhasebe Hizmet Geliri  (sözleşme)</v>
      </c>
      <c r="AA17" s="68">
        <f>AY_SONU!$C19</f>
        <v>529751</v>
      </c>
      <c r="AB17" s="68">
        <f>AY_SONU!$D19</f>
        <v>0</v>
      </c>
      <c r="AC17" s="68">
        <f>AY_SONU!$C19-AY_SONU!$D19</f>
        <v>529751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Elektrik / Su / Doğalgaz|2</v>
      </c>
    </row>
    <row r="18" spans="1:31" ht="18" hidden="1" customHeight="1" x14ac:dyDescent="0.3">
      <c r="A18" s="2"/>
      <c r="B18" s="65" t="str">
        <f t="shared" si="0"/>
        <v>GG00012</v>
      </c>
      <c r="C18" s="66">
        <v>46049</v>
      </c>
      <c r="D18" s="60" t="s">
        <v>769</v>
      </c>
      <c r="E18" s="61" t="s">
        <v>784</v>
      </c>
      <c r="F18" s="61" t="s">
        <v>786</v>
      </c>
      <c r="G18" s="67">
        <v>469.9</v>
      </c>
      <c r="H18" s="60" t="s">
        <v>772</v>
      </c>
      <c r="I18" s="60" t="s">
        <v>773</v>
      </c>
      <c r="J18" s="61"/>
      <c r="K18" s="61"/>
      <c r="L18" s="60"/>
      <c r="M18" s="74" t="str">
        <f t="shared" si="1"/>
        <v>Elektrik / Su / Doğalgaz</v>
      </c>
      <c r="N18" s="74" t="str">
        <f t="shared" si="2"/>
        <v>Merkez Kasa</v>
      </c>
      <c r="O18" s="73">
        <f t="shared" si="3"/>
        <v>46023</v>
      </c>
      <c r="P18" s="65" t="str">
        <f t="shared" ca="1" si="4"/>
        <v>UYGUN</v>
      </c>
      <c r="Q18" s="2"/>
      <c r="R18" s="2"/>
      <c r="S18" s="1" t="str">
        <f t="shared" si="5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6"/>
        <v>0</v>
      </c>
      <c r="W18" s="1" t="str">
        <f t="shared" si="7"/>
        <v>Gider|Elektrik / Su / Doğalgaz|46049|470|Su Ödemesi|</v>
      </c>
      <c r="X18" s="73">
        <f>AY_SONU!$B20</f>
        <v>46419</v>
      </c>
      <c r="Y18" s="74" t="str">
        <f t="shared" si="8"/>
        <v>Müşteri Carisi  (MÜŞTERİ 360)</v>
      </c>
      <c r="Z18" s="74" t="str">
        <f t="shared" si="9"/>
        <v>600 Muhasebe Hizmet Geliri  (sözleşme)</v>
      </c>
      <c r="AA18" s="68">
        <f>AY_SONU!$C20</f>
        <v>450001</v>
      </c>
      <c r="AB18" s="68">
        <f>AY_SONU!$D20</f>
        <v>0</v>
      </c>
      <c r="AC18" s="68">
        <f>AY_SONU!$C20-AY_SONU!$D20</f>
        <v>450001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Elektrik / Su / Doğalgaz|3</v>
      </c>
    </row>
    <row r="19" spans="1:31" ht="18" hidden="1" customHeight="1" x14ac:dyDescent="0.3">
      <c r="A19" s="2"/>
      <c r="B19" s="65" t="str">
        <f t="shared" si="0"/>
        <v>GG00013</v>
      </c>
      <c r="C19" s="66">
        <v>46049</v>
      </c>
      <c r="D19" s="60" t="s">
        <v>769</v>
      </c>
      <c r="E19" s="61" t="s">
        <v>784</v>
      </c>
      <c r="F19" s="61" t="s">
        <v>786</v>
      </c>
      <c r="G19" s="67">
        <v>249.5</v>
      </c>
      <c r="H19" s="60" t="s">
        <v>772</v>
      </c>
      <c r="I19" s="60" t="s">
        <v>773</v>
      </c>
      <c r="J19" s="61"/>
      <c r="K19" s="61"/>
      <c r="L19" s="60"/>
      <c r="M19" s="74" t="str">
        <f t="shared" si="1"/>
        <v>Elektrik / Su / Doğalgaz</v>
      </c>
      <c r="N19" s="74" t="str">
        <f t="shared" si="2"/>
        <v>Merkez Kasa</v>
      </c>
      <c r="O19" s="73">
        <f t="shared" si="3"/>
        <v>46023</v>
      </c>
      <c r="P19" s="65" t="str">
        <f t="shared" ca="1" si="4"/>
        <v>UYGUN</v>
      </c>
      <c r="Q19" s="2"/>
      <c r="R19" s="2"/>
      <c r="S19" s="1" t="str">
        <f t="shared" si="5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6"/>
        <v>0</v>
      </c>
      <c r="W19" s="1" t="str">
        <f t="shared" si="7"/>
        <v>Gider|Elektrik / Su / Doğalgaz|46049|250|Su Ödemesi|</v>
      </c>
      <c r="X19" s="73">
        <f>AY_SONU!$B21</f>
        <v>46447</v>
      </c>
      <c r="Y19" s="74" t="str">
        <f t="shared" si="8"/>
        <v>Müşteri Carisi  (MÜŞTERİ 360)</v>
      </c>
      <c r="Z19" s="74" t="str">
        <f t="shared" si="9"/>
        <v>600 Muhasebe Hizmet Geliri  (sözleşme)</v>
      </c>
      <c r="AA19" s="68">
        <f>AY_SONU!$C21</f>
        <v>450001</v>
      </c>
      <c r="AB19" s="68">
        <f>AY_SONU!$D21</f>
        <v>0</v>
      </c>
      <c r="AC19" s="68">
        <f>AY_SONU!$C21-AY_SONU!$D21</f>
        <v>450001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Elektrik / Su / Doğalgaz|4</v>
      </c>
    </row>
    <row r="20" spans="1:31" ht="18" hidden="1" customHeight="1" x14ac:dyDescent="0.3">
      <c r="A20" s="2"/>
      <c r="B20" s="65" t="str">
        <f t="shared" si="0"/>
        <v>GG00014</v>
      </c>
      <c r="C20" s="66">
        <v>46049</v>
      </c>
      <c r="D20" s="60" t="s">
        <v>769</v>
      </c>
      <c r="E20" s="61" t="s">
        <v>784</v>
      </c>
      <c r="F20" s="61" t="s">
        <v>786</v>
      </c>
      <c r="G20" s="67">
        <v>167.45</v>
      </c>
      <c r="H20" s="60" t="s">
        <v>772</v>
      </c>
      <c r="I20" s="60" t="s">
        <v>773</v>
      </c>
      <c r="J20" s="61"/>
      <c r="K20" s="61"/>
      <c r="L20" s="60"/>
      <c r="M20" s="74" t="str">
        <f t="shared" si="1"/>
        <v>Elektrik / Su / Doğalgaz</v>
      </c>
      <c r="N20" s="74" t="str">
        <f t="shared" si="2"/>
        <v>Merkez Kasa</v>
      </c>
      <c r="O20" s="73">
        <f t="shared" si="3"/>
        <v>46023</v>
      </c>
      <c r="P20" s="65" t="str">
        <f t="shared" ca="1" si="4"/>
        <v>UYGUN</v>
      </c>
      <c r="Q20" s="2"/>
      <c r="R20" s="2"/>
      <c r="S20" s="1" t="str">
        <f t="shared" si="5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6"/>
        <v>0</v>
      </c>
      <c r="W20" s="1" t="str">
        <f t="shared" si="7"/>
        <v>Gider|Elektrik / Su / Doğalgaz|46049|167|Su Ödemesi|</v>
      </c>
      <c r="X20" s="73">
        <f>AY_SONU!$B22</f>
        <v>46478</v>
      </c>
      <c r="Y20" s="74" t="str">
        <f t="shared" si="8"/>
        <v>Müşteri Carisi  (MÜŞTERİ 360)</v>
      </c>
      <c r="Z20" s="74" t="str">
        <f t="shared" si="9"/>
        <v>600 Muhasebe Hizmet Geliri  (sözleşme)</v>
      </c>
      <c r="AA20" s="68">
        <f>AY_SONU!$C22</f>
        <v>450001</v>
      </c>
      <c r="AB20" s="68">
        <f>AY_SONU!$D22</f>
        <v>0</v>
      </c>
      <c r="AC20" s="68">
        <f>AY_SONU!$C22-AY_SONU!$D22</f>
        <v>450001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Elektrik / Su / Doğalgaz|5</v>
      </c>
    </row>
    <row r="21" spans="1:31" ht="18" hidden="1" customHeight="1" x14ac:dyDescent="0.3">
      <c r="A21" s="2"/>
      <c r="B21" s="65" t="str">
        <f t="shared" si="0"/>
        <v>GG00015</v>
      </c>
      <c r="C21" s="66">
        <v>46049</v>
      </c>
      <c r="D21" s="60" t="s">
        <v>769</v>
      </c>
      <c r="E21" s="61" t="s">
        <v>781</v>
      </c>
      <c r="F21" s="61" t="s">
        <v>787</v>
      </c>
      <c r="G21" s="67">
        <v>602</v>
      </c>
      <c r="H21" s="60" t="s">
        <v>772</v>
      </c>
      <c r="I21" s="60" t="s">
        <v>773</v>
      </c>
      <c r="J21" s="61"/>
      <c r="K21" s="61"/>
      <c r="L21" s="60"/>
      <c r="M21" s="74" t="str">
        <f t="shared" si="1"/>
        <v>Telefon / İnternet</v>
      </c>
      <c r="N21" s="74" t="str">
        <f t="shared" si="2"/>
        <v>Merkez Kasa</v>
      </c>
      <c r="O21" s="73">
        <f t="shared" si="3"/>
        <v>46023</v>
      </c>
      <c r="P21" s="65" t="str">
        <f t="shared" ca="1" si="4"/>
        <v>UYGUN</v>
      </c>
      <c r="Q21" s="2"/>
      <c r="R21" s="2"/>
      <c r="S21" s="1" t="str">
        <f t="shared" si="5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6"/>
        <v>0</v>
      </c>
      <c r="W21" s="1" t="str">
        <f t="shared" si="7"/>
        <v>Gider|Telefon / İnternet|46049|602|İnternet Ödemesi|</v>
      </c>
      <c r="X21" s="73">
        <f>AY_SONU!$B23</f>
        <v>46508</v>
      </c>
      <c r="Y21" s="74" t="str">
        <f t="shared" si="8"/>
        <v>Müşteri Carisi  (MÜŞTERİ 360)</v>
      </c>
      <c r="Z21" s="74" t="str">
        <f t="shared" si="9"/>
        <v>600 Muhasebe Hizmet Geliri  (sözleşme)</v>
      </c>
      <c r="AA21" s="68">
        <f>AY_SONU!$C23</f>
        <v>529751</v>
      </c>
      <c r="AB21" s="68">
        <f>AY_SONU!$D23</f>
        <v>0</v>
      </c>
      <c r="AC21" s="68">
        <f>AY_SONU!$C23-AY_SONU!$D23</f>
        <v>529751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Telefon / İnternet|2</v>
      </c>
    </row>
    <row r="22" spans="1:31" ht="18" hidden="1" customHeight="1" x14ac:dyDescent="0.3">
      <c r="A22" s="2"/>
      <c r="B22" s="65" t="str">
        <f t="shared" si="0"/>
        <v>GG00016</v>
      </c>
      <c r="C22" s="66">
        <v>46053</v>
      </c>
      <c r="D22" s="60" t="s">
        <v>769</v>
      </c>
      <c r="E22" s="61" t="s">
        <v>788</v>
      </c>
      <c r="F22" s="61" t="s">
        <v>789</v>
      </c>
      <c r="G22" s="67">
        <v>1750</v>
      </c>
      <c r="H22" s="60" t="s">
        <v>772</v>
      </c>
      <c r="I22" s="60" t="s">
        <v>773</v>
      </c>
      <c r="J22" s="61"/>
      <c r="K22" s="61"/>
      <c r="L22" s="60"/>
      <c r="M22" s="74" t="str">
        <f t="shared" si="1"/>
        <v>Ulaşım</v>
      </c>
      <c r="N22" s="74" t="str">
        <f t="shared" si="2"/>
        <v>Merkez Kasa</v>
      </c>
      <c r="O22" s="73">
        <f t="shared" si="3"/>
        <v>46023</v>
      </c>
      <c r="P22" s="65" t="str">
        <f t="shared" ca="1" si="4"/>
        <v>UYGUN</v>
      </c>
      <c r="Q22" s="2"/>
      <c r="R22" s="2"/>
      <c r="S22" s="1" t="str">
        <f t="shared" si="5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6"/>
        <v>0</v>
      </c>
      <c r="W22" s="1" t="str">
        <f t="shared" si="7"/>
        <v>Gider|Ulaşım|46053|1750|Araç Yakıt Alımı|</v>
      </c>
      <c r="X22" s="73">
        <f>AY_SONU!$B24</f>
        <v>46539</v>
      </c>
      <c r="Y22" s="74" t="str">
        <f t="shared" si="8"/>
        <v>Müşteri Carisi  (MÜŞTERİ 360)</v>
      </c>
      <c r="Z22" s="74" t="str">
        <f t="shared" si="9"/>
        <v>600 Muhasebe Hizmet Geliri  (sözleşme)</v>
      </c>
      <c r="AA22" s="68">
        <f>AY_SONU!$C24</f>
        <v>450001</v>
      </c>
      <c r="AB22" s="68">
        <f>AY_SONU!$D24</f>
        <v>0</v>
      </c>
      <c r="AC22" s="68">
        <f>AY_SONU!$C24-AY_SONU!$D24</f>
        <v>450001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Ulaşım|1</v>
      </c>
    </row>
    <row r="23" spans="1:31" ht="18" hidden="1" customHeight="1" x14ac:dyDescent="0.3">
      <c r="A23" s="2"/>
      <c r="B23" s="65" t="str">
        <f t="shared" si="0"/>
        <v>GG00017</v>
      </c>
      <c r="C23" s="66">
        <v>46053</v>
      </c>
      <c r="D23" s="60" t="s">
        <v>769</v>
      </c>
      <c r="E23" s="61" t="s">
        <v>790</v>
      </c>
      <c r="F23" s="61" t="s">
        <v>791</v>
      </c>
      <c r="G23" s="67">
        <v>2000</v>
      </c>
      <c r="H23" s="60" t="s">
        <v>772</v>
      </c>
      <c r="I23" s="60" t="s">
        <v>773</v>
      </c>
      <c r="J23" s="61"/>
      <c r="K23" s="61"/>
      <c r="L23" s="60"/>
      <c r="M23" s="74" t="str">
        <f t="shared" si="1"/>
        <v>Temsil / Ağırlama</v>
      </c>
      <c r="N23" s="74" t="str">
        <f t="shared" si="2"/>
        <v>Merkez Kasa</v>
      </c>
      <c r="O23" s="73">
        <f t="shared" si="3"/>
        <v>46023</v>
      </c>
      <c r="P23" s="65" t="str">
        <f t="shared" ca="1" si="4"/>
        <v>UYGUN</v>
      </c>
      <c r="Q23" s="2"/>
      <c r="R23" s="2"/>
      <c r="S23" s="1" t="str">
        <f t="shared" si="5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6"/>
        <v>0</v>
      </c>
      <c r="W23" s="1" t="str">
        <f t="shared" si="7"/>
        <v>Gider|Temsil / Ağırlama|46053|2000|Ofis Çay Kahve ve Temizlik Alışverişi|</v>
      </c>
      <c r="X23" s="73">
        <f>AY_SONU!$B25</f>
        <v>46569</v>
      </c>
      <c r="Y23" s="74" t="str">
        <f t="shared" si="8"/>
        <v>Müşteri Carisi  (MÜŞTERİ 360)</v>
      </c>
      <c r="Z23" s="74" t="str">
        <f t="shared" si="9"/>
        <v>600 Muhasebe Hizmet Geliri  (sözleşme)</v>
      </c>
      <c r="AA23" s="68">
        <f>AY_SONU!$C25</f>
        <v>529751</v>
      </c>
      <c r="AB23" s="68">
        <f>AY_SONU!$D25</f>
        <v>0</v>
      </c>
      <c r="AC23" s="68">
        <f>AY_SONU!$C25-AY_SONU!$D25</f>
        <v>529751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Temsil / Ağırlama|1</v>
      </c>
    </row>
    <row r="24" spans="1:31" ht="18" hidden="1" customHeight="1" x14ac:dyDescent="0.3">
      <c r="A24" s="2"/>
      <c r="B24" s="65" t="str">
        <f t="shared" si="0"/>
        <v>GG00018</v>
      </c>
      <c r="C24" s="66">
        <v>46053</v>
      </c>
      <c r="D24" s="60" t="s">
        <v>769</v>
      </c>
      <c r="E24" s="61" t="s">
        <v>770</v>
      </c>
      <c r="F24" s="61" t="s">
        <v>792</v>
      </c>
      <c r="G24" s="67">
        <v>31000</v>
      </c>
      <c r="H24" s="60" t="s">
        <v>772</v>
      </c>
      <c r="I24" s="60" t="s">
        <v>773</v>
      </c>
      <c r="J24" s="61"/>
      <c r="K24" s="61"/>
      <c r="L24" s="60"/>
      <c r="M24" s="74" t="str">
        <f t="shared" si="1"/>
        <v>Diğer Gider</v>
      </c>
      <c r="N24" s="74" t="str">
        <f t="shared" si="2"/>
        <v>Merkez Kasa</v>
      </c>
      <c r="O24" s="73">
        <f t="shared" si="3"/>
        <v>46023</v>
      </c>
      <c r="P24" s="65" t="str">
        <f t="shared" ca="1" si="4"/>
        <v>UYGUN</v>
      </c>
      <c r="Q24" s="2"/>
      <c r="R24" s="2"/>
      <c r="S24" s="1" t="str">
        <f t="shared" si="5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6"/>
        <v>0</v>
      </c>
      <c r="W24" s="1" t="str">
        <f t="shared" si="7"/>
        <v>Gider|Diğer Gider|46053|31000|Pakyıldız Cari Hesap Tashihi|</v>
      </c>
      <c r="X24" s="73">
        <f>AY_SONU!$B26</f>
        <v>46600</v>
      </c>
      <c r="Y24" s="74" t="str">
        <f t="shared" si="8"/>
        <v>Müşteri Carisi  (MÜŞTERİ 360)</v>
      </c>
      <c r="Z24" s="74" t="str">
        <f t="shared" si="9"/>
        <v>600 Muhasebe Hizmet Geliri  (sözleşme)</v>
      </c>
      <c r="AA24" s="68">
        <f>AY_SONU!$C26</f>
        <v>450001</v>
      </c>
      <c r="AB24" s="68">
        <f>AY_SONU!$D26</f>
        <v>0</v>
      </c>
      <c r="AC24" s="68">
        <f>AY_SONU!$C26-AY_SONU!$D26</f>
        <v>450001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Diğer Gider|8</v>
      </c>
    </row>
    <row r="25" spans="1:31" ht="18" hidden="1" customHeight="1" x14ac:dyDescent="0.3">
      <c r="A25" s="2"/>
      <c r="B25" s="65" t="str">
        <f t="shared" si="0"/>
        <v>GG00019</v>
      </c>
      <c r="C25" s="66">
        <v>46053</v>
      </c>
      <c r="D25" s="60" t="s">
        <v>769</v>
      </c>
      <c r="E25" s="61" t="s">
        <v>793</v>
      </c>
      <c r="F25" s="61" t="s">
        <v>794</v>
      </c>
      <c r="G25" s="67">
        <v>1000</v>
      </c>
      <c r="H25" s="60" t="s">
        <v>772</v>
      </c>
      <c r="I25" s="60" t="s">
        <v>773</v>
      </c>
      <c r="J25" s="61"/>
      <c r="K25" s="61"/>
      <c r="L25" s="60"/>
      <c r="M25" s="74" t="str">
        <f t="shared" si="1"/>
        <v>Mehmet Ali Kartal</v>
      </c>
      <c r="N25" s="74" t="str">
        <f t="shared" si="2"/>
        <v>Merkez Kasa</v>
      </c>
      <c r="O25" s="73">
        <f t="shared" si="3"/>
        <v>46023</v>
      </c>
      <c r="P25" s="65" t="str">
        <f t="shared" ca="1" si="4"/>
        <v>UYGUN</v>
      </c>
      <c r="Q25" s="2"/>
      <c r="R25" s="2"/>
      <c r="S25" s="1" t="str">
        <f t="shared" si="5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6"/>
        <v>0</v>
      </c>
      <c r="W25" s="1" t="str">
        <f t="shared" si="7"/>
        <v>Gider|Mehmet Ali Kartal|46053|1000|Volkan Açık Kahve 1 Haftalık Tahsilat|</v>
      </c>
      <c r="X25" s="73">
        <f>AY_SONU!$B27</f>
        <v>46631</v>
      </c>
      <c r="Y25" s="74" t="str">
        <f t="shared" si="8"/>
        <v>Müşteri Carisi  (MÜŞTERİ 360)</v>
      </c>
      <c r="Z25" s="74" t="str">
        <f t="shared" si="9"/>
        <v>600 Muhasebe Hizmet Geliri  (sözleşme)</v>
      </c>
      <c r="AA25" s="68">
        <f>AY_SONU!$C27</f>
        <v>450001</v>
      </c>
      <c r="AB25" s="68">
        <f>AY_SONU!$D27</f>
        <v>0</v>
      </c>
      <c r="AC25" s="68">
        <f>AY_SONU!$C27-AY_SONU!$D27</f>
        <v>450001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Mehmet Ali Kartal|1</v>
      </c>
    </row>
    <row r="26" spans="1:31" ht="18" customHeight="1" x14ac:dyDescent="0.3">
      <c r="A26" s="2"/>
      <c r="B26" s="65" t="str">
        <f t="shared" si="0"/>
        <v>GG00020</v>
      </c>
      <c r="C26" s="66">
        <v>46054</v>
      </c>
      <c r="D26" s="60" t="s">
        <v>795</v>
      </c>
      <c r="E26" s="61" t="s">
        <v>796</v>
      </c>
      <c r="F26" s="61" t="s">
        <v>797</v>
      </c>
      <c r="G26" s="67">
        <v>30000</v>
      </c>
      <c r="H26" s="60" t="s">
        <v>723</v>
      </c>
      <c r="I26" s="60" t="s">
        <v>773</v>
      </c>
      <c r="J26" s="61"/>
      <c r="K26" s="61"/>
      <c r="L26" s="60"/>
      <c r="M26" s="74" t="str">
        <f t="shared" si="1"/>
        <v>ÖMER KARTAL</v>
      </c>
      <c r="N26" s="74" t="str">
        <f t="shared" si="2"/>
        <v>Diğer Gelirler</v>
      </c>
      <c r="O26" s="73">
        <f t="shared" si="3"/>
        <v>46054</v>
      </c>
      <c r="P26" s="65" t="str">
        <f t="shared" ca="1" si="4"/>
        <v>UYGUN</v>
      </c>
      <c r="Q26" s="2"/>
      <c r="R26" s="2"/>
      <c r="S26" s="1" t="str">
        <f t="shared" si="5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6"/>
        <v>0</v>
      </c>
      <c r="W26" s="1" t="str">
        <f t="shared" si="7"/>
        <v>Gelir|Diğer Gelirler|46054|30000|YEDİYİRMİDÖRT LTD.ŞTİ. GEÇMİŞ KAYIT DÜZELTMELERİ|</v>
      </c>
      <c r="X26" s="73">
        <f>AY_SONU!$B28</f>
        <v>46661</v>
      </c>
      <c r="Y26" s="74" t="str">
        <f t="shared" si="8"/>
        <v>Müşteri Carisi  (MÜŞTERİ 360)</v>
      </c>
      <c r="Z26" s="74" t="str">
        <f t="shared" si="9"/>
        <v>600 Muhasebe Hizmet Geliri  (sözleşme)</v>
      </c>
      <c r="AA26" s="68">
        <f>AY_SONU!$C28</f>
        <v>529751</v>
      </c>
      <c r="AB26" s="68">
        <f>AY_SONU!$D28</f>
        <v>0</v>
      </c>
      <c r="AC26" s="68">
        <f>AY_SONU!$C28-AY_SONU!$D28</f>
        <v>529751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Diğer Gelirler|1</v>
      </c>
    </row>
    <row r="27" spans="1:31" ht="18" hidden="1" customHeight="1" x14ac:dyDescent="0.3">
      <c r="A27" s="2"/>
      <c r="B27" s="65" t="str">
        <f t="shared" si="0"/>
        <v>GG00021</v>
      </c>
      <c r="C27" s="66">
        <v>46056</v>
      </c>
      <c r="D27" s="60" t="s">
        <v>769</v>
      </c>
      <c r="E27" s="61" t="s">
        <v>798</v>
      </c>
      <c r="F27" s="61" t="s">
        <v>799</v>
      </c>
      <c r="G27" s="67">
        <v>40000</v>
      </c>
      <c r="H27" s="60" t="s">
        <v>772</v>
      </c>
      <c r="I27" s="60" t="s">
        <v>773</v>
      </c>
      <c r="J27" s="61"/>
      <c r="K27" s="61"/>
      <c r="L27" s="60"/>
      <c r="M27" s="74" t="str">
        <f t="shared" si="1"/>
        <v>Personel</v>
      </c>
      <c r="N27" s="74" t="str">
        <f t="shared" si="2"/>
        <v>Merkez Kasa</v>
      </c>
      <c r="O27" s="73">
        <f t="shared" si="3"/>
        <v>46054</v>
      </c>
      <c r="P27" s="65" t="str">
        <f t="shared" ca="1" si="4"/>
        <v>UYGUN</v>
      </c>
      <c r="Q27" s="2"/>
      <c r="R27" s="2"/>
      <c r="S27" s="1" t="str">
        <f t="shared" si="5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6"/>
        <v>0</v>
      </c>
      <c r="W27" s="1" t="str">
        <f t="shared" si="7"/>
        <v>Gider|Personel|46056|40000|Zeynep Hanım Maaş|</v>
      </c>
      <c r="X27" s="73">
        <f>AY_SONU!$B29</f>
        <v>46692</v>
      </c>
      <c r="Y27" s="74" t="str">
        <f t="shared" si="8"/>
        <v>Müşteri Carisi  (MÜŞTERİ 360)</v>
      </c>
      <c r="Z27" s="74" t="str">
        <f t="shared" si="9"/>
        <v>600 Muhasebe Hizmet Geliri  (sözleşme)</v>
      </c>
      <c r="AA27" s="68">
        <f>AY_SONU!$C29</f>
        <v>450001</v>
      </c>
      <c r="AB27" s="68">
        <f>AY_SONU!$D29</f>
        <v>0</v>
      </c>
      <c r="AC27" s="68">
        <f>AY_SONU!$C29-AY_SONU!$D29</f>
        <v>450001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Personel|1</v>
      </c>
    </row>
    <row r="28" spans="1:31" ht="18" hidden="1" customHeight="1" x14ac:dyDescent="0.3">
      <c r="A28" s="2"/>
      <c r="B28" s="65" t="str">
        <f t="shared" si="0"/>
        <v>GG00022</v>
      </c>
      <c r="C28" s="66">
        <v>46056</v>
      </c>
      <c r="D28" s="60" t="s">
        <v>769</v>
      </c>
      <c r="E28" s="61" t="s">
        <v>798</v>
      </c>
      <c r="F28" s="61" t="s">
        <v>800</v>
      </c>
      <c r="G28" s="67">
        <v>5000</v>
      </c>
      <c r="H28" s="60" t="s">
        <v>772</v>
      </c>
      <c r="I28" s="60" t="s">
        <v>773</v>
      </c>
      <c r="J28" s="61"/>
      <c r="K28" s="61"/>
      <c r="L28" s="60"/>
      <c r="M28" s="74" t="str">
        <f t="shared" si="1"/>
        <v>Personel</v>
      </c>
      <c r="N28" s="74" t="str">
        <f t="shared" si="2"/>
        <v>Merkez Kasa</v>
      </c>
      <c r="O28" s="73">
        <f t="shared" si="3"/>
        <v>46054</v>
      </c>
      <c r="P28" s="65" t="str">
        <f t="shared" ca="1" si="4"/>
        <v>UYGUN</v>
      </c>
      <c r="Q28" s="2"/>
      <c r="R28" s="2"/>
      <c r="S28" s="1" t="str">
        <f t="shared" si="5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6"/>
        <v>0</v>
      </c>
      <c r="W28" s="1" t="str">
        <f t="shared" si="7"/>
        <v>Gider|Personel|46056|5000|Zeynep Hanım Yemek|</v>
      </c>
      <c r="X28" s="73">
        <f>AY_SONU!$B30</f>
        <v>46722</v>
      </c>
      <c r="Y28" s="74" t="str">
        <f t="shared" si="8"/>
        <v>Müşteri Carisi  (MÜŞTERİ 360)</v>
      </c>
      <c r="Z28" s="74" t="str">
        <f t="shared" si="9"/>
        <v>600 Muhasebe Hizmet Geliri  (sözleşme)</v>
      </c>
      <c r="AA28" s="68">
        <f>AY_SONU!$C30</f>
        <v>450001</v>
      </c>
      <c r="AB28" s="68">
        <f>AY_SONU!$D30</f>
        <v>0</v>
      </c>
      <c r="AC28" s="68">
        <f>AY_SONU!$C30-AY_SONU!$D30</f>
        <v>450001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Personel|2</v>
      </c>
    </row>
    <row r="29" spans="1:31" ht="18" hidden="1" customHeight="1" x14ac:dyDescent="0.3">
      <c r="A29" s="2"/>
      <c r="B29" s="65" t="str">
        <f t="shared" si="0"/>
        <v>GG00023</v>
      </c>
      <c r="C29" s="66">
        <v>46056</v>
      </c>
      <c r="D29" s="60" t="s">
        <v>769</v>
      </c>
      <c r="E29" s="61" t="s">
        <v>801</v>
      </c>
      <c r="F29" s="61" t="s">
        <v>802</v>
      </c>
      <c r="G29" s="67">
        <v>9000</v>
      </c>
      <c r="H29" s="60" t="s">
        <v>772</v>
      </c>
      <c r="I29" s="60" t="s">
        <v>773</v>
      </c>
      <c r="J29" s="61"/>
      <c r="K29" s="61"/>
      <c r="L29" s="60"/>
      <c r="M29" s="74" t="str">
        <f t="shared" si="1"/>
        <v>Vergi / Harç</v>
      </c>
      <c r="N29" s="74" t="str">
        <f t="shared" si="2"/>
        <v>Merkez Kasa</v>
      </c>
      <c r="O29" s="73">
        <f t="shared" si="3"/>
        <v>46054</v>
      </c>
      <c r="P29" s="65" t="str">
        <f t="shared" ca="1" si="4"/>
        <v>UYGUN</v>
      </c>
      <c r="Q29" s="2"/>
      <c r="R29" s="2"/>
      <c r="S29" s="1" t="str">
        <f t="shared" si="5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6"/>
        <v>0</v>
      </c>
      <c r="W29" s="1" t="str">
        <f t="shared" si="7"/>
        <v>Gider|Vergi / Harç|46056|9000|Alı Aralık Bağkur|</v>
      </c>
      <c r="X29" s="73">
        <f>AY_SONU!$B31</f>
        <v>46753</v>
      </c>
      <c r="Y29" s="74" t="str">
        <f t="shared" si="8"/>
        <v>Müşteri Carisi  (MÜŞTERİ 360)</v>
      </c>
      <c r="Z29" s="74" t="str">
        <f t="shared" si="9"/>
        <v>600 Muhasebe Hizmet Geliri  (sözleşme)</v>
      </c>
      <c r="AA29" s="68">
        <f>AY_SONU!$C31</f>
        <v>529751</v>
      </c>
      <c r="AB29" s="68">
        <f>AY_SONU!$D31</f>
        <v>0</v>
      </c>
      <c r="AC29" s="68">
        <f>AY_SONU!$C31-AY_SONU!$D31</f>
        <v>529751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Vergi / Harç|1</v>
      </c>
    </row>
    <row r="30" spans="1:31" ht="18" hidden="1" customHeight="1" x14ac:dyDescent="0.3">
      <c r="A30" s="2"/>
      <c r="B30" s="65" t="str">
        <f t="shared" si="0"/>
        <v>GG00024</v>
      </c>
      <c r="C30" s="66">
        <v>46056</v>
      </c>
      <c r="D30" s="60" t="s">
        <v>769</v>
      </c>
      <c r="E30" s="61" t="s">
        <v>801</v>
      </c>
      <c r="F30" s="61" t="s">
        <v>803</v>
      </c>
      <c r="G30" s="67">
        <v>11810</v>
      </c>
      <c r="H30" s="60" t="s">
        <v>772</v>
      </c>
      <c r="I30" s="60" t="s">
        <v>773</v>
      </c>
      <c r="J30" s="61"/>
      <c r="K30" s="61"/>
      <c r="L30" s="60"/>
      <c r="M30" s="74" t="str">
        <f t="shared" si="1"/>
        <v>Vergi / Harç</v>
      </c>
      <c r="N30" s="74" t="str">
        <f t="shared" si="2"/>
        <v>Merkez Kasa</v>
      </c>
      <c r="O30" s="73">
        <f t="shared" si="3"/>
        <v>46054</v>
      </c>
      <c r="P30" s="65" t="str">
        <f t="shared" ca="1" si="4"/>
        <v>UYGUN</v>
      </c>
      <c r="Q30" s="2"/>
      <c r="R30" s="2"/>
      <c r="S30" s="1" t="str">
        <f t="shared" si="5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6"/>
        <v>0</v>
      </c>
      <c r="W30" s="1" t="str">
        <f t="shared" si="7"/>
        <v>Gider|Vergi / Harç|46056|11810|Ali Ocak Bağkur|</v>
      </c>
      <c r="X30" s="73">
        <f>AY_SONU!$B32</f>
        <v>46784</v>
      </c>
      <c r="Y30" s="74" t="str">
        <f t="shared" si="8"/>
        <v>Müşteri Carisi  (MÜŞTERİ 360)</v>
      </c>
      <c r="Z30" s="74" t="str">
        <f t="shared" si="9"/>
        <v>600 Muhasebe Hizmet Geliri  (sözleşme)</v>
      </c>
      <c r="AA30" s="68">
        <f>AY_SONU!$C32</f>
        <v>450001</v>
      </c>
      <c r="AB30" s="68">
        <f>AY_SONU!$D32</f>
        <v>0</v>
      </c>
      <c r="AC30" s="68">
        <f>AY_SONU!$C32-AY_SONU!$D32</f>
        <v>450001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Vergi / Harç|2</v>
      </c>
    </row>
    <row r="31" spans="1:31" ht="18" hidden="1" customHeight="1" x14ac:dyDescent="0.3">
      <c r="A31" s="2"/>
      <c r="B31" s="65" t="str">
        <f t="shared" si="0"/>
        <v>GG00025</v>
      </c>
      <c r="C31" s="66">
        <v>46056</v>
      </c>
      <c r="D31" s="60" t="s">
        <v>769</v>
      </c>
      <c r="E31" s="61" t="s">
        <v>801</v>
      </c>
      <c r="F31" s="61" t="s">
        <v>804</v>
      </c>
      <c r="G31" s="67">
        <v>6011</v>
      </c>
      <c r="H31" s="60" t="s">
        <v>772</v>
      </c>
      <c r="I31" s="60" t="s">
        <v>773</v>
      </c>
      <c r="J31" s="61"/>
      <c r="K31" s="61"/>
      <c r="L31" s="60"/>
      <c r="M31" s="74" t="str">
        <f t="shared" si="1"/>
        <v>Vergi / Harç</v>
      </c>
      <c r="N31" s="74" t="str">
        <f t="shared" si="2"/>
        <v>Merkez Kasa</v>
      </c>
      <c r="O31" s="73">
        <f t="shared" si="3"/>
        <v>46054</v>
      </c>
      <c r="P31" s="65" t="str">
        <f t="shared" ca="1" si="4"/>
        <v>UYGUN</v>
      </c>
      <c r="Q31" s="2"/>
      <c r="R31" s="2"/>
      <c r="S31" s="1" t="str">
        <f t="shared" si="5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6"/>
        <v>0</v>
      </c>
      <c r="W31" s="1" t="str">
        <f t="shared" si="7"/>
        <v>Gider|Vergi / Harç|46056|6011|ASMMO Aidat Ödemesi|</v>
      </c>
      <c r="X31" s="73">
        <f>AY_SONU!$B33</f>
        <v>46813</v>
      </c>
      <c r="Y31" s="74" t="str">
        <f t="shared" si="8"/>
        <v>Müşteri Carisi  (MÜŞTERİ 360)</v>
      </c>
      <c r="Z31" s="74" t="str">
        <f t="shared" si="9"/>
        <v>600 Muhasebe Hizmet Geliri  (sözleşme)</v>
      </c>
      <c r="AA31" s="68">
        <f>AY_SONU!$C33</f>
        <v>450001</v>
      </c>
      <c r="AB31" s="68">
        <f>AY_SONU!$D33</f>
        <v>0</v>
      </c>
      <c r="AC31" s="68">
        <f>AY_SONU!$C33-AY_SONU!$D33</f>
        <v>450001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Vergi / Harç|3</v>
      </c>
    </row>
    <row r="32" spans="1:31" ht="18" hidden="1" customHeight="1" x14ac:dyDescent="0.3">
      <c r="A32" s="2"/>
      <c r="B32" s="65" t="str">
        <f t="shared" si="0"/>
        <v>GG00026</v>
      </c>
      <c r="C32" s="66">
        <v>46056</v>
      </c>
      <c r="D32" s="60" t="s">
        <v>769</v>
      </c>
      <c r="E32" s="61" t="s">
        <v>805</v>
      </c>
      <c r="F32" s="61" t="s">
        <v>806</v>
      </c>
      <c r="G32" s="67">
        <v>14000</v>
      </c>
      <c r="H32" s="60" t="s">
        <v>772</v>
      </c>
      <c r="I32" s="60" t="s">
        <v>773</v>
      </c>
      <c r="J32" s="61"/>
      <c r="K32" s="61"/>
      <c r="L32" s="60"/>
      <c r="M32" s="74" t="str">
        <f t="shared" si="1"/>
        <v>Ofis Kirası</v>
      </c>
      <c r="N32" s="74" t="str">
        <f t="shared" si="2"/>
        <v>Merkez Kasa</v>
      </c>
      <c r="O32" s="73">
        <f t="shared" si="3"/>
        <v>46054</v>
      </c>
      <c r="P32" s="65" t="str">
        <f t="shared" ca="1" si="4"/>
        <v>UYGUN</v>
      </c>
      <c r="Q32" s="2"/>
      <c r="R32" s="2"/>
      <c r="S32" s="1" t="str">
        <f t="shared" si="5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6"/>
        <v>0</v>
      </c>
      <c r="W32" s="1" t="str">
        <f t="shared" si="7"/>
        <v>Gider|Ofis Kirası|46056|14000|Ocak Ayı Ofis Kira Ödemesi|</v>
      </c>
      <c r="X32" s="73">
        <f>AY_SONU!$B34</f>
        <v>46844</v>
      </c>
      <c r="Y32" s="74" t="str">
        <f t="shared" si="8"/>
        <v>Müşteri Carisi  (MÜŞTERİ 360)</v>
      </c>
      <c r="Z32" s="74" t="str">
        <f t="shared" si="9"/>
        <v>600 Muhasebe Hizmet Geliri  (sözleşme)</v>
      </c>
      <c r="AA32" s="68">
        <f>AY_SONU!$C34</f>
        <v>529751</v>
      </c>
      <c r="AB32" s="68">
        <f>AY_SONU!$D34</f>
        <v>0</v>
      </c>
      <c r="AC32" s="68">
        <f>AY_SONU!$C34-AY_SONU!$D34</f>
        <v>529751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Ofis Kirası|1</v>
      </c>
    </row>
    <row r="33" spans="1:31" ht="18" hidden="1" customHeight="1" x14ac:dyDescent="0.3">
      <c r="A33" s="2"/>
      <c r="B33" s="65" t="str">
        <f t="shared" si="0"/>
        <v>GG00027</v>
      </c>
      <c r="C33" s="66">
        <v>46056</v>
      </c>
      <c r="D33" s="60" t="s">
        <v>769</v>
      </c>
      <c r="E33" s="61" t="s">
        <v>801</v>
      </c>
      <c r="F33" s="61" t="s">
        <v>807</v>
      </c>
      <c r="G33" s="67">
        <v>10260.16</v>
      </c>
      <c r="H33" s="60" t="s">
        <v>772</v>
      </c>
      <c r="I33" s="60" t="s">
        <v>773</v>
      </c>
      <c r="J33" s="61"/>
      <c r="K33" s="61"/>
      <c r="L33" s="60"/>
      <c r="M33" s="74" t="str">
        <f t="shared" si="1"/>
        <v>Vergi / Harç</v>
      </c>
      <c r="N33" s="74" t="str">
        <f t="shared" si="2"/>
        <v>Merkez Kasa</v>
      </c>
      <c r="O33" s="73">
        <f t="shared" si="3"/>
        <v>46054</v>
      </c>
      <c r="P33" s="65" t="str">
        <f t="shared" ca="1" si="4"/>
        <v>UYGUN</v>
      </c>
      <c r="Q33" s="2"/>
      <c r="R33" s="2"/>
      <c r="S33" s="1" t="str">
        <f t="shared" si="5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6"/>
        <v>0</v>
      </c>
      <c r="W33" s="1" t="str">
        <f t="shared" si="7"/>
        <v>Gider|Vergi / Harç|46056|10260|Ofis Vergi Ödemeleri|</v>
      </c>
      <c r="X33" s="73">
        <f>AY_SONU!$B35</f>
        <v>46874</v>
      </c>
      <c r="Y33" s="74" t="str">
        <f t="shared" si="8"/>
        <v>Müşteri Carisi  (MÜŞTERİ 360)</v>
      </c>
      <c r="Z33" s="74" t="str">
        <f t="shared" si="9"/>
        <v>600 Muhasebe Hizmet Geliri  (sözleşme)</v>
      </c>
      <c r="AA33" s="68">
        <f>AY_SONU!$C35</f>
        <v>450001</v>
      </c>
      <c r="AB33" s="68">
        <f>AY_SONU!$D35</f>
        <v>0</v>
      </c>
      <c r="AC33" s="68">
        <f>AY_SONU!$C35-AY_SONU!$D35</f>
        <v>450001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Vergi / Harç|4</v>
      </c>
    </row>
    <row r="34" spans="1:31" ht="18" hidden="1" customHeight="1" x14ac:dyDescent="0.3">
      <c r="A34" s="2"/>
      <c r="B34" s="65" t="str">
        <f t="shared" si="0"/>
        <v>GG00028</v>
      </c>
      <c r="C34" s="66">
        <v>46056</v>
      </c>
      <c r="D34" s="60" t="s">
        <v>769</v>
      </c>
      <c r="E34" s="61" t="s">
        <v>805</v>
      </c>
      <c r="F34" s="61" t="s">
        <v>808</v>
      </c>
      <c r="G34" s="67">
        <v>2000</v>
      </c>
      <c r="H34" s="60" t="s">
        <v>772</v>
      </c>
      <c r="I34" s="60" t="s">
        <v>773</v>
      </c>
      <c r="J34" s="61"/>
      <c r="K34" s="61"/>
      <c r="L34" s="60"/>
      <c r="M34" s="74" t="str">
        <f t="shared" si="1"/>
        <v>Ofis Kirası</v>
      </c>
      <c r="N34" s="74" t="str">
        <f t="shared" si="2"/>
        <v>Merkez Kasa</v>
      </c>
      <c r="O34" s="73">
        <f t="shared" si="3"/>
        <v>46054</v>
      </c>
      <c r="P34" s="65" t="str">
        <f t="shared" ca="1" si="4"/>
        <v>UYGUN</v>
      </c>
      <c r="Q34" s="2"/>
      <c r="R34" s="2"/>
      <c r="S34" s="1" t="str">
        <f t="shared" si="5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6"/>
        <v>0</v>
      </c>
      <c r="W34" s="1" t="str">
        <f t="shared" si="7"/>
        <v>Gider|Ofis Kirası|46056|2000|Ocak Ayı Ofis Aidatı Ödemesi|</v>
      </c>
      <c r="X34" s="73">
        <f>AY_SONU!$B36</f>
        <v>46905</v>
      </c>
      <c r="Y34" s="74" t="str">
        <f t="shared" si="8"/>
        <v>Müşteri Carisi  (MÜŞTERİ 360)</v>
      </c>
      <c r="Z34" s="74" t="str">
        <f t="shared" si="9"/>
        <v>600 Muhasebe Hizmet Geliri  (sözleşme)</v>
      </c>
      <c r="AA34" s="68">
        <f>AY_SONU!$C36</f>
        <v>450001</v>
      </c>
      <c r="AB34" s="68">
        <f>AY_SONU!$D36</f>
        <v>0</v>
      </c>
      <c r="AC34" s="68">
        <f>AY_SONU!$C36-AY_SONU!$D36</f>
        <v>450001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Ofis Kirası|2</v>
      </c>
    </row>
    <row r="35" spans="1:31" ht="18" hidden="1" customHeight="1" x14ac:dyDescent="0.3">
      <c r="A35" s="2"/>
      <c r="B35" s="65" t="str">
        <f t="shared" si="0"/>
        <v>GG00029</v>
      </c>
      <c r="C35" s="66">
        <v>46056</v>
      </c>
      <c r="D35" s="60" t="s">
        <v>769</v>
      </c>
      <c r="E35" s="61" t="s">
        <v>798</v>
      </c>
      <c r="F35" s="61" t="s">
        <v>809</v>
      </c>
      <c r="G35" s="67">
        <v>4000</v>
      </c>
      <c r="H35" s="60" t="s">
        <v>772</v>
      </c>
      <c r="I35" s="60" t="s">
        <v>773</v>
      </c>
      <c r="J35" s="61"/>
      <c r="K35" s="61"/>
      <c r="L35" s="60"/>
      <c r="M35" s="74" t="str">
        <f t="shared" si="1"/>
        <v>Personel</v>
      </c>
      <c r="N35" s="74" t="str">
        <f t="shared" si="2"/>
        <v>Merkez Kasa</v>
      </c>
      <c r="O35" s="73">
        <f t="shared" si="3"/>
        <v>46054</v>
      </c>
      <c r="P35" s="65" t="str">
        <f t="shared" ca="1" si="4"/>
        <v>UYGUN</v>
      </c>
      <c r="Q35" s="2"/>
      <c r="R35" s="2"/>
      <c r="S35" s="1" t="str">
        <f t="shared" si="5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6"/>
        <v>0</v>
      </c>
      <c r="W35" s="1" t="str">
        <f t="shared" si="7"/>
        <v>Gider|Personel|46056|4000|İsmail Harçlık|</v>
      </c>
      <c r="X35" s="73">
        <f>AY_SONU!$B37</f>
        <v>46935</v>
      </c>
      <c r="Y35" s="74" t="str">
        <f t="shared" si="8"/>
        <v>Müşteri Carisi  (MÜŞTERİ 360)</v>
      </c>
      <c r="Z35" s="74" t="str">
        <f t="shared" si="9"/>
        <v>600 Muhasebe Hizmet Geliri  (sözleşme)</v>
      </c>
      <c r="AA35" s="68">
        <f>AY_SONU!$C37</f>
        <v>529751</v>
      </c>
      <c r="AB35" s="68">
        <f>AY_SONU!$D37</f>
        <v>0</v>
      </c>
      <c r="AC35" s="68">
        <f>AY_SONU!$C37-AY_SONU!$D37</f>
        <v>529751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Personel|3</v>
      </c>
    </row>
    <row r="36" spans="1:31" ht="18" hidden="1" customHeight="1" x14ac:dyDescent="0.3">
      <c r="A36" s="2"/>
      <c r="B36" s="65" t="str">
        <f t="shared" si="0"/>
        <v>GG00030</v>
      </c>
      <c r="C36" s="66">
        <v>46057</v>
      </c>
      <c r="D36" s="60" t="s">
        <v>769</v>
      </c>
      <c r="E36" s="61" t="s">
        <v>805</v>
      </c>
      <c r="F36" s="61" t="s">
        <v>810</v>
      </c>
      <c r="G36" s="67">
        <v>14000</v>
      </c>
      <c r="H36" s="60" t="s">
        <v>772</v>
      </c>
      <c r="I36" s="60" t="s">
        <v>773</v>
      </c>
      <c r="J36" s="61"/>
      <c r="K36" s="61"/>
      <c r="L36" s="60"/>
      <c r="M36" s="74" t="str">
        <f t="shared" si="1"/>
        <v>Ofis Kirası</v>
      </c>
      <c r="N36" s="74" t="str">
        <f t="shared" si="2"/>
        <v>Merkez Kasa</v>
      </c>
      <c r="O36" s="73">
        <f t="shared" si="3"/>
        <v>46054</v>
      </c>
      <c r="P36" s="65" t="str">
        <f t="shared" ca="1" si="4"/>
        <v>UYGUN</v>
      </c>
      <c r="Q36" s="2"/>
      <c r="R36" s="2"/>
      <c r="S36" s="1" t="str">
        <f t="shared" si="5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6"/>
        <v>0</v>
      </c>
      <c r="W36" s="1" t="str">
        <f t="shared" si="7"/>
        <v>Gider|Ofis Kirası|46057|14000|Şubat Ayı Ofis Kira Ödemesi|</v>
      </c>
      <c r="X36" s="73">
        <f>AY_SONU!$B38</f>
        <v>46966</v>
      </c>
      <c r="Y36" s="74" t="str">
        <f t="shared" si="8"/>
        <v>Müşteri Carisi  (MÜŞTERİ 360)</v>
      </c>
      <c r="Z36" s="74" t="str">
        <f t="shared" si="9"/>
        <v>600 Muhasebe Hizmet Geliri  (sözleşme)</v>
      </c>
      <c r="AA36" s="68">
        <f>AY_SONU!$C38</f>
        <v>450001</v>
      </c>
      <c r="AB36" s="68">
        <f>AY_SONU!$D38</f>
        <v>0</v>
      </c>
      <c r="AC36" s="68">
        <f>AY_SONU!$C38-AY_SONU!$D38</f>
        <v>450001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Ofis Kirası|3</v>
      </c>
    </row>
    <row r="37" spans="1:31" ht="18" hidden="1" customHeight="1" x14ac:dyDescent="0.3">
      <c r="A37" s="2"/>
      <c r="B37" s="65" t="str">
        <f t="shared" si="0"/>
        <v>GG00031</v>
      </c>
      <c r="C37" s="66">
        <v>46057</v>
      </c>
      <c r="D37" s="60" t="s">
        <v>769</v>
      </c>
      <c r="E37" s="61" t="s">
        <v>805</v>
      </c>
      <c r="F37" s="61" t="s">
        <v>811</v>
      </c>
      <c r="G37" s="67">
        <v>2000</v>
      </c>
      <c r="H37" s="60" t="s">
        <v>772</v>
      </c>
      <c r="I37" s="60" t="s">
        <v>773</v>
      </c>
      <c r="J37" s="61"/>
      <c r="K37" s="61"/>
      <c r="L37" s="60"/>
      <c r="M37" s="74" t="str">
        <f t="shared" si="1"/>
        <v>Ofis Kirası</v>
      </c>
      <c r="N37" s="74" t="str">
        <f t="shared" si="2"/>
        <v>Merkez Kasa</v>
      </c>
      <c r="O37" s="73">
        <f t="shared" si="3"/>
        <v>46054</v>
      </c>
      <c r="P37" s="65" t="str">
        <f t="shared" ca="1" si="4"/>
        <v>UYGUN</v>
      </c>
      <c r="Q37" s="2"/>
      <c r="R37" s="2"/>
      <c r="S37" s="1" t="str">
        <f t="shared" si="5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6"/>
        <v>0</v>
      </c>
      <c r="W37" s="1" t="str">
        <f t="shared" si="7"/>
        <v>Gider|Ofis Kirası|46057|2000|Şubat Ayı Ofis Aidatı Ödemesi|</v>
      </c>
      <c r="X37" s="73">
        <f>AY_SONU!$B39</f>
        <v>46997</v>
      </c>
      <c r="Y37" s="74" t="str">
        <f t="shared" si="8"/>
        <v>Müşteri Carisi  (MÜŞTERİ 360)</v>
      </c>
      <c r="Z37" s="74" t="str">
        <f t="shared" si="9"/>
        <v>600 Muhasebe Hizmet Geliri  (sözleşme)</v>
      </c>
      <c r="AA37" s="68">
        <f>AY_SONU!$C39</f>
        <v>529751</v>
      </c>
      <c r="AB37" s="68">
        <f>AY_SONU!$D39</f>
        <v>0</v>
      </c>
      <c r="AC37" s="68">
        <f>AY_SONU!$C39-AY_SONU!$D39</f>
        <v>529751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Ofis Kirası|4</v>
      </c>
    </row>
    <row r="38" spans="1:31" ht="18" hidden="1" customHeight="1" x14ac:dyDescent="0.3">
      <c r="A38" s="2"/>
      <c r="B38" s="65" t="str">
        <f t="shared" si="0"/>
        <v>GG00032</v>
      </c>
      <c r="C38" s="66">
        <v>46060</v>
      </c>
      <c r="D38" s="60" t="s">
        <v>769</v>
      </c>
      <c r="E38" s="61" t="s">
        <v>788</v>
      </c>
      <c r="F38" s="61" t="s">
        <v>789</v>
      </c>
      <c r="G38" s="67">
        <v>2400</v>
      </c>
      <c r="H38" s="60" t="s">
        <v>772</v>
      </c>
      <c r="I38" s="60" t="s">
        <v>773</v>
      </c>
      <c r="J38" s="61"/>
      <c r="K38" s="61"/>
      <c r="L38" s="60"/>
      <c r="M38" s="74" t="str">
        <f t="shared" si="1"/>
        <v>Ulaşım</v>
      </c>
      <c r="N38" s="74" t="str">
        <f t="shared" si="2"/>
        <v>Merkez Kasa</v>
      </c>
      <c r="O38" s="73">
        <f t="shared" si="3"/>
        <v>46054</v>
      </c>
      <c r="P38" s="65" t="str">
        <f t="shared" ca="1" si="4"/>
        <v>UYGUN</v>
      </c>
      <c r="Q38" s="2"/>
      <c r="R38" s="2"/>
      <c r="S38" s="1" t="str">
        <f t="shared" si="5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6"/>
        <v>0</v>
      </c>
      <c r="W38" s="1" t="str">
        <f t="shared" si="7"/>
        <v>Gider|Ulaşım|46060|2400|Araç Yakıt Alımı|</v>
      </c>
      <c r="X38" s="73">
        <f>AY_SONU!$B40</f>
        <v>47027</v>
      </c>
      <c r="Y38" s="74" t="str">
        <f t="shared" si="8"/>
        <v>Müşteri Carisi  (MÜŞTERİ 360)</v>
      </c>
      <c r="Z38" s="74" t="str">
        <f t="shared" si="9"/>
        <v>600 Muhasebe Hizmet Geliri  (sözleşme)</v>
      </c>
      <c r="AA38" s="68">
        <f>AY_SONU!$C40</f>
        <v>450001</v>
      </c>
      <c r="AB38" s="68">
        <f>AY_SONU!$D40</f>
        <v>0</v>
      </c>
      <c r="AC38" s="68">
        <f>AY_SONU!$C40-AY_SONU!$D40</f>
        <v>450001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Ulaşım|2</v>
      </c>
    </row>
    <row r="39" spans="1:31" ht="18" customHeight="1" x14ac:dyDescent="0.3">
      <c r="A39" s="2"/>
      <c r="B39" s="65" t="str">
        <f t="shared" si="0"/>
        <v>GG00033</v>
      </c>
      <c r="C39" s="66">
        <v>46060</v>
      </c>
      <c r="D39" s="60" t="s">
        <v>795</v>
      </c>
      <c r="E39" s="61" t="s">
        <v>812</v>
      </c>
      <c r="F39" s="61" t="s">
        <v>813</v>
      </c>
      <c r="G39" s="67">
        <v>4200</v>
      </c>
      <c r="H39" s="60" t="s">
        <v>772</v>
      </c>
      <c r="I39" s="60" t="s">
        <v>773</v>
      </c>
      <c r="J39" s="61"/>
      <c r="K39" s="61"/>
      <c r="L39" s="60"/>
      <c r="M39" s="74" t="str">
        <f t="shared" si="1"/>
        <v>Merkez Kasa</v>
      </c>
      <c r="N39" s="74" t="str">
        <f t="shared" si="2"/>
        <v>Geçici Vergi Damga</v>
      </c>
      <c r="O39" s="73">
        <f t="shared" si="3"/>
        <v>46054</v>
      </c>
      <c r="P39" s="65" t="str">
        <f t="shared" ca="1" si="4"/>
        <v>UYGUN</v>
      </c>
      <c r="Q39" s="2"/>
      <c r="R39" s="2"/>
      <c r="S39" s="1" t="str">
        <f t="shared" si="5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6"/>
        <v>0</v>
      </c>
      <c r="W39" s="1" t="str">
        <f t="shared" si="7"/>
        <v>Gelir|Geçici Vergi Damga|46060|4200|RİX LTD.ŞTİ. 2025 / 04  DÖNEM GEÇİCİ DAMGA|</v>
      </c>
      <c r="X39" s="73">
        <f>AY_SONU!$B41</f>
        <v>47058</v>
      </c>
      <c r="Y39" s="74" t="str">
        <f t="shared" si="8"/>
        <v>Müşteri Carisi  (MÜŞTERİ 360)</v>
      </c>
      <c r="Z39" s="74" t="str">
        <f t="shared" si="9"/>
        <v>600 Muhasebe Hizmet Geliri  (sözleşme)</v>
      </c>
      <c r="AA39" s="68">
        <f>AY_SONU!$C41</f>
        <v>450001</v>
      </c>
      <c r="AB39" s="68">
        <f>AY_SONU!$D41</f>
        <v>0</v>
      </c>
      <c r="AC39" s="68">
        <f>AY_SONU!$C41-AY_SONU!$D41</f>
        <v>450001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Geçici Vergi Damga|1</v>
      </c>
    </row>
    <row r="40" spans="1:31" ht="18" customHeight="1" x14ac:dyDescent="0.3">
      <c r="A40" s="2"/>
      <c r="B40" s="65" t="str">
        <f t="shared" si="0"/>
        <v>GG00034</v>
      </c>
      <c r="C40" s="66">
        <v>46060</v>
      </c>
      <c r="D40" s="60" t="s">
        <v>795</v>
      </c>
      <c r="E40" s="61" t="s">
        <v>812</v>
      </c>
      <c r="F40" s="61" t="s">
        <v>814</v>
      </c>
      <c r="G40" s="67">
        <v>4200</v>
      </c>
      <c r="H40" s="60" t="s">
        <v>772</v>
      </c>
      <c r="I40" s="60" t="s">
        <v>773</v>
      </c>
      <c r="J40" s="61"/>
      <c r="K40" s="61"/>
      <c r="L40" s="60"/>
      <c r="M40" s="74" t="str">
        <f t="shared" si="1"/>
        <v>Merkez Kasa</v>
      </c>
      <c r="N40" s="74" t="str">
        <f t="shared" si="2"/>
        <v>Geçici Vergi Damga</v>
      </c>
      <c r="O40" s="73">
        <f t="shared" si="3"/>
        <v>46054</v>
      </c>
      <c r="P40" s="65" t="str">
        <f t="shared" ca="1" si="4"/>
        <v>UYGUN</v>
      </c>
      <c r="Q40" s="2"/>
      <c r="R40" s="2"/>
      <c r="S40" s="1" t="str">
        <f t="shared" si="5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6"/>
        <v>0</v>
      </c>
      <c r="W40" s="1" t="str">
        <f t="shared" si="7"/>
        <v>Gelir|Geçici Vergi Damga|46060|4200|İLDEŞ LTD.ŞTİ. 2025 / 04  DÖNEM GEÇİCİ DAMGA|</v>
      </c>
      <c r="X40" s="73">
        <f>AY_SONU!$B42</f>
        <v>47088</v>
      </c>
      <c r="Y40" s="74" t="str">
        <f t="shared" si="8"/>
        <v>Müşteri Carisi  (MÜŞTERİ 360)</v>
      </c>
      <c r="Z40" s="74" t="str">
        <f t="shared" si="9"/>
        <v>600 Muhasebe Hizmet Geliri  (sözleşme)</v>
      </c>
      <c r="AA40" s="68">
        <f>AY_SONU!$C42</f>
        <v>529751</v>
      </c>
      <c r="AB40" s="68">
        <f>AY_SONU!$D42</f>
        <v>0</v>
      </c>
      <c r="AC40" s="68">
        <f>AY_SONU!$C42-AY_SONU!$D42</f>
        <v>529751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Geçici Vergi Damga|2</v>
      </c>
    </row>
    <row r="41" spans="1:31" ht="18" customHeight="1" x14ac:dyDescent="0.3">
      <c r="A41" s="2"/>
      <c r="B41" s="65" t="str">
        <f t="shared" si="0"/>
        <v>GG00035</v>
      </c>
      <c r="C41" s="66">
        <v>46060</v>
      </c>
      <c r="D41" s="60" t="s">
        <v>795</v>
      </c>
      <c r="E41" s="61" t="s">
        <v>812</v>
      </c>
      <c r="F41" s="61" t="s">
        <v>815</v>
      </c>
      <c r="G41" s="67">
        <v>4200</v>
      </c>
      <c r="H41" s="60" t="s">
        <v>772</v>
      </c>
      <c r="I41" s="60" t="s">
        <v>773</v>
      </c>
      <c r="J41" s="61"/>
      <c r="K41" s="61"/>
      <c r="L41" s="60"/>
      <c r="M41" s="74" t="str">
        <f t="shared" si="1"/>
        <v>Merkez Kasa</v>
      </c>
      <c r="N41" s="74" t="str">
        <f t="shared" si="2"/>
        <v>Geçici Vergi Damga</v>
      </c>
      <c r="O41" s="73">
        <f t="shared" si="3"/>
        <v>46054</v>
      </c>
      <c r="P41" s="65" t="str">
        <f t="shared" ca="1" si="4"/>
        <v>UYGUN</v>
      </c>
      <c r="Q41" s="2"/>
      <c r="R41" s="2"/>
      <c r="S41" s="1" t="str">
        <f t="shared" si="5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6"/>
        <v>0</v>
      </c>
      <c r="W41" s="1" t="str">
        <f t="shared" si="7"/>
        <v>Gelir|Geçici Vergi Damga|46060|4200|KRİSTAL LTD.ŞTİ. 2025 / 04  DÖNEM GEÇİCİ DAMGA|</v>
      </c>
      <c r="X41" s="1"/>
      <c r="Y41" s="1"/>
      <c r="Z41" s="1"/>
      <c r="AA41" s="1"/>
      <c r="AB41" s="1"/>
      <c r="AC41" s="1"/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Geçici Vergi Damga|3</v>
      </c>
    </row>
    <row r="42" spans="1:31" ht="18" customHeight="1" x14ac:dyDescent="0.3">
      <c r="A42" s="2"/>
      <c r="B42" s="65" t="str">
        <f t="shared" si="0"/>
        <v>GG00036</v>
      </c>
      <c r="C42" s="66">
        <v>46060</v>
      </c>
      <c r="D42" s="60" t="s">
        <v>795</v>
      </c>
      <c r="E42" s="61" t="s">
        <v>812</v>
      </c>
      <c r="F42" s="61" t="s">
        <v>816</v>
      </c>
      <c r="G42" s="67">
        <v>4200</v>
      </c>
      <c r="H42" s="60" t="s">
        <v>772</v>
      </c>
      <c r="I42" s="60" t="s">
        <v>773</v>
      </c>
      <c r="J42" s="61"/>
      <c r="K42" s="61"/>
      <c r="L42" s="60"/>
      <c r="M42" s="74" t="str">
        <f t="shared" si="1"/>
        <v>Merkez Kasa</v>
      </c>
      <c r="N42" s="74" t="str">
        <f t="shared" si="2"/>
        <v>Geçici Vergi Damga</v>
      </c>
      <c r="O42" s="73">
        <f t="shared" si="3"/>
        <v>46054</v>
      </c>
      <c r="P42" s="65" t="str">
        <f t="shared" ca="1" si="4"/>
        <v>UYGUN</v>
      </c>
      <c r="Q42" s="2"/>
      <c r="R42" s="2"/>
      <c r="S42" s="1" t="str">
        <f t="shared" si="5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6"/>
        <v>0</v>
      </c>
      <c r="W42" s="1" t="str">
        <f t="shared" si="7"/>
        <v>Gelir|Geçici Vergi Damga|46060|4200|FİNAL LTD.ŞTİ. 2025 / 04  DÖNEM GEÇİCİ DAMGA|</v>
      </c>
      <c r="X42" s="1"/>
      <c r="Y42" s="1"/>
      <c r="Z42" s="1"/>
      <c r="AA42" s="1"/>
      <c r="AB42" s="1"/>
      <c r="AC42" s="1"/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Geçici Vergi Damga|4</v>
      </c>
    </row>
    <row r="43" spans="1:31" ht="18" customHeight="1" x14ac:dyDescent="0.3">
      <c r="A43" s="2"/>
      <c r="B43" s="65" t="str">
        <f t="shared" si="0"/>
        <v>GG00037</v>
      </c>
      <c r="C43" s="66">
        <v>46060</v>
      </c>
      <c r="D43" s="60" t="s">
        <v>795</v>
      </c>
      <c r="E43" s="61" t="s">
        <v>812</v>
      </c>
      <c r="F43" s="61" t="s">
        <v>817</v>
      </c>
      <c r="G43" s="67">
        <v>4200</v>
      </c>
      <c r="H43" s="60" t="s">
        <v>772</v>
      </c>
      <c r="I43" s="60" t="s">
        <v>773</v>
      </c>
      <c r="J43" s="61"/>
      <c r="K43" s="61"/>
      <c r="L43" s="60"/>
      <c r="M43" s="74" t="str">
        <f t="shared" si="1"/>
        <v>Merkez Kasa</v>
      </c>
      <c r="N43" s="74" t="str">
        <f t="shared" si="2"/>
        <v>Geçici Vergi Damga</v>
      </c>
      <c r="O43" s="73">
        <f t="shared" si="3"/>
        <v>46054</v>
      </c>
      <c r="P43" s="65" t="str">
        <f t="shared" ca="1" si="4"/>
        <v>UYGUN</v>
      </c>
      <c r="Q43" s="2"/>
      <c r="R43" s="2"/>
      <c r="S43" s="1" t="str">
        <f t="shared" si="5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6"/>
        <v>0</v>
      </c>
      <c r="W43" s="1" t="str">
        <f t="shared" si="7"/>
        <v>Gelir|Geçici Vergi Damga|46060|4200|ZÜMRÜT GRUP LTD.ŞTİ. 2025 / 04  DÖNEM GEÇİCİ DAMGA|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Geçici Vergi Damga|5</v>
      </c>
    </row>
    <row r="44" spans="1:31" ht="18" customHeight="1" x14ac:dyDescent="0.3">
      <c r="A44" s="2"/>
      <c r="B44" s="65" t="str">
        <f t="shared" si="0"/>
        <v>GG00038</v>
      </c>
      <c r="C44" s="66">
        <v>46060</v>
      </c>
      <c r="D44" s="60" t="s">
        <v>795</v>
      </c>
      <c r="E44" s="61" t="s">
        <v>812</v>
      </c>
      <c r="F44" s="61" t="s">
        <v>818</v>
      </c>
      <c r="G44" s="67">
        <v>4200</v>
      </c>
      <c r="H44" s="60" t="s">
        <v>772</v>
      </c>
      <c r="I44" s="60" t="s">
        <v>773</v>
      </c>
      <c r="J44" s="61"/>
      <c r="K44" s="61"/>
      <c r="L44" s="60"/>
      <c r="M44" s="74" t="str">
        <f t="shared" si="1"/>
        <v>Merkez Kasa</v>
      </c>
      <c r="N44" s="74" t="str">
        <f t="shared" si="2"/>
        <v>Geçici Vergi Damga</v>
      </c>
      <c r="O44" s="73">
        <f t="shared" si="3"/>
        <v>46054</v>
      </c>
      <c r="P44" s="65" t="str">
        <f t="shared" ca="1" si="4"/>
        <v>UYGUN</v>
      </c>
      <c r="Q44" s="2"/>
      <c r="R44" s="2"/>
      <c r="S44" s="1" t="str">
        <f t="shared" si="5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6"/>
        <v>0</v>
      </c>
      <c r="W44" s="1" t="str">
        <f t="shared" si="7"/>
        <v>Gelir|Geçici Vergi Damga|46060|4200|ANKARA HAVANA LTD.ŞTİ. 2025 / 04  DÖNEM GEÇİCİ DAMGA|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Geçici Vergi Damga|6</v>
      </c>
    </row>
    <row r="45" spans="1:31" ht="18" customHeight="1" x14ac:dyDescent="0.3">
      <c r="A45" s="2"/>
      <c r="B45" s="65" t="str">
        <f t="shared" si="0"/>
        <v>GG00039</v>
      </c>
      <c r="C45" s="66">
        <v>46060</v>
      </c>
      <c r="D45" s="60" t="s">
        <v>795</v>
      </c>
      <c r="E45" s="61" t="s">
        <v>812</v>
      </c>
      <c r="F45" s="61" t="s">
        <v>819</v>
      </c>
      <c r="G45" s="67">
        <v>4200</v>
      </c>
      <c r="H45" s="60" t="s">
        <v>772</v>
      </c>
      <c r="I45" s="60" t="s">
        <v>773</v>
      </c>
      <c r="J45" s="61"/>
      <c r="K45" s="61"/>
      <c r="L45" s="60"/>
      <c r="M45" s="74" t="str">
        <f t="shared" si="1"/>
        <v>Merkez Kasa</v>
      </c>
      <c r="N45" s="74" t="str">
        <f t="shared" si="2"/>
        <v>Geçici Vergi Damga</v>
      </c>
      <c r="O45" s="73">
        <f t="shared" si="3"/>
        <v>46054</v>
      </c>
      <c r="P45" s="65" t="str">
        <f t="shared" ca="1" si="4"/>
        <v>UYGUN</v>
      </c>
      <c r="Q45" s="2"/>
      <c r="R45" s="2"/>
      <c r="S45" s="1" t="str">
        <f t="shared" si="5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6"/>
        <v>0</v>
      </c>
      <c r="W45" s="1" t="str">
        <f t="shared" si="7"/>
        <v>Gelir|Geçici Vergi Damga|46060|4200|ASM LTD.ŞTİ. 2025 / 04  DÖNEM GEÇİCİ DAMGA|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Geçici Vergi Damga|7</v>
      </c>
    </row>
    <row r="46" spans="1:31" ht="18" customHeight="1" x14ac:dyDescent="0.3">
      <c r="A46" s="2"/>
      <c r="B46" s="65" t="str">
        <f t="shared" si="0"/>
        <v>GG00040</v>
      </c>
      <c r="C46" s="66">
        <v>46060</v>
      </c>
      <c r="D46" s="60" t="s">
        <v>795</v>
      </c>
      <c r="E46" s="61" t="s">
        <v>812</v>
      </c>
      <c r="F46" s="61" t="s">
        <v>820</v>
      </c>
      <c r="G46" s="67">
        <v>4200</v>
      </c>
      <c r="H46" s="60" t="s">
        <v>772</v>
      </c>
      <c r="I46" s="60" t="s">
        <v>773</v>
      </c>
      <c r="J46" s="61"/>
      <c r="K46" s="61"/>
      <c r="L46" s="60"/>
      <c r="M46" s="74" t="str">
        <f t="shared" si="1"/>
        <v>Merkez Kasa</v>
      </c>
      <c r="N46" s="74" t="str">
        <f t="shared" si="2"/>
        <v>Geçici Vergi Damga</v>
      </c>
      <c r="O46" s="73">
        <f t="shared" si="3"/>
        <v>46054</v>
      </c>
      <c r="P46" s="65" t="str">
        <f t="shared" ca="1" si="4"/>
        <v>UYGUN</v>
      </c>
      <c r="Q46" s="2"/>
      <c r="R46" s="2"/>
      <c r="S46" s="1" t="str">
        <f t="shared" si="5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6"/>
        <v>0</v>
      </c>
      <c r="W46" s="1" t="str">
        <f t="shared" si="7"/>
        <v>Gelir|Geçici Vergi Damga|46060|4200|MONAMOUR LTD.ŞTİ. 2025 / 04  DÖNEM GEÇİCİ DAMGA|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Geçici Vergi Damga|8</v>
      </c>
    </row>
    <row r="47" spans="1:31" ht="18" customHeight="1" x14ac:dyDescent="0.3">
      <c r="A47" s="2"/>
      <c r="B47" s="65" t="str">
        <f t="shared" si="0"/>
        <v>GG00041</v>
      </c>
      <c r="C47" s="66">
        <v>46060</v>
      </c>
      <c r="D47" s="60" t="s">
        <v>795</v>
      </c>
      <c r="E47" s="61" t="s">
        <v>812</v>
      </c>
      <c r="F47" s="61" t="s">
        <v>821</v>
      </c>
      <c r="G47" s="67">
        <v>4200</v>
      </c>
      <c r="H47" s="60" t="s">
        <v>772</v>
      </c>
      <c r="I47" s="60" t="s">
        <v>773</v>
      </c>
      <c r="J47" s="61"/>
      <c r="K47" s="61"/>
      <c r="L47" s="60"/>
      <c r="M47" s="74" t="str">
        <f t="shared" si="1"/>
        <v>Merkez Kasa</v>
      </c>
      <c r="N47" s="74" t="str">
        <f t="shared" si="2"/>
        <v>Geçici Vergi Damga</v>
      </c>
      <c r="O47" s="73">
        <f t="shared" si="3"/>
        <v>46054</v>
      </c>
      <c r="P47" s="65" t="str">
        <f t="shared" ca="1" si="4"/>
        <v>UYGUN</v>
      </c>
      <c r="Q47" s="2"/>
      <c r="R47" s="2"/>
      <c r="S47" s="1" t="str">
        <f t="shared" si="5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6"/>
        <v>0</v>
      </c>
      <c r="W47" s="1" t="str">
        <f t="shared" si="7"/>
        <v>Gelir|Geçici Vergi Damga|46060|4200|NAZ 1 LTD.ŞTİ. 2025 / 04  DÖNEM GEÇİCİ DAMGA|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Geçici Vergi Damga|9</v>
      </c>
    </row>
    <row r="48" spans="1:31" ht="18" customHeight="1" x14ac:dyDescent="0.3">
      <c r="A48" s="2"/>
      <c r="B48" s="65" t="str">
        <f t="shared" si="0"/>
        <v>GG00042</v>
      </c>
      <c r="C48" s="66">
        <v>46060</v>
      </c>
      <c r="D48" s="60" t="s">
        <v>795</v>
      </c>
      <c r="E48" s="61" t="s">
        <v>812</v>
      </c>
      <c r="F48" s="61" t="s">
        <v>822</v>
      </c>
      <c r="G48" s="67">
        <v>4200</v>
      </c>
      <c r="H48" s="60" t="s">
        <v>772</v>
      </c>
      <c r="I48" s="60" t="s">
        <v>773</v>
      </c>
      <c r="J48" s="61"/>
      <c r="K48" s="61"/>
      <c r="L48" s="60"/>
      <c r="M48" s="74" t="str">
        <f t="shared" si="1"/>
        <v>Merkez Kasa</v>
      </c>
      <c r="N48" s="74" t="str">
        <f t="shared" si="2"/>
        <v>Geçici Vergi Damga</v>
      </c>
      <c r="O48" s="73">
        <f t="shared" si="3"/>
        <v>46054</v>
      </c>
      <c r="P48" s="65" t="str">
        <f t="shared" ca="1" si="4"/>
        <v>UYGUN</v>
      </c>
      <c r="Q48" s="2"/>
      <c r="R48" s="2"/>
      <c r="S48" s="1" t="str">
        <f t="shared" si="5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6"/>
        <v>0</v>
      </c>
      <c r="W48" s="1" t="str">
        <f t="shared" si="7"/>
        <v>Gelir|Geçici Vergi Damga|46060|4200|ÇINARHAN LTD.ŞTİ. 2025 / 04  DÖNEM GEÇİCİ DAMGA|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Geçici Vergi Damga|10</v>
      </c>
    </row>
    <row r="49" spans="1:31" ht="18" customHeight="1" x14ac:dyDescent="0.3">
      <c r="A49" s="2"/>
      <c r="B49" s="65" t="str">
        <f t="shared" si="0"/>
        <v>GG00043</v>
      </c>
      <c r="C49" s="66">
        <v>46060</v>
      </c>
      <c r="D49" s="60" t="s">
        <v>795</v>
      </c>
      <c r="E49" s="61" t="s">
        <v>812</v>
      </c>
      <c r="F49" s="61" t="s">
        <v>823</v>
      </c>
      <c r="G49" s="67">
        <v>4200</v>
      </c>
      <c r="H49" s="60" t="s">
        <v>717</v>
      </c>
      <c r="I49" s="60" t="s">
        <v>773</v>
      </c>
      <c r="J49" s="61"/>
      <c r="K49" s="61"/>
      <c r="L49" s="60"/>
      <c r="M49" s="74" t="str">
        <f t="shared" si="1"/>
        <v>MERKEZ KASA</v>
      </c>
      <c r="N49" s="74" t="str">
        <f t="shared" si="2"/>
        <v>Geçici Vergi Damga</v>
      </c>
      <c r="O49" s="73">
        <f t="shared" si="3"/>
        <v>46054</v>
      </c>
      <c r="P49" s="65" t="str">
        <f t="shared" ca="1" si="4"/>
        <v>UYGUN</v>
      </c>
      <c r="Q49" s="2"/>
      <c r="R49" s="2"/>
      <c r="S49" s="1" t="str">
        <f t="shared" si="5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6"/>
        <v>0</v>
      </c>
      <c r="W49" s="1" t="str">
        <f t="shared" si="7"/>
        <v>Gelir|Geçici Vergi Damga|46060|4200|YALKENT LTD.ŞTİ. 2025 / 4 GEÇİCİ DAMGA|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Geçici Vergi Damga|11</v>
      </c>
    </row>
    <row r="50" spans="1:31" ht="18" hidden="1" customHeight="1" x14ac:dyDescent="0.3">
      <c r="A50" s="2"/>
      <c r="B50" s="65" t="str">
        <f t="shared" si="0"/>
        <v>GG00044</v>
      </c>
      <c r="C50" s="66">
        <v>46062</v>
      </c>
      <c r="D50" s="60" t="s">
        <v>769</v>
      </c>
      <c r="E50" s="61" t="s">
        <v>790</v>
      </c>
      <c r="F50" s="61" t="s">
        <v>824</v>
      </c>
      <c r="G50" s="67">
        <v>499.3</v>
      </c>
      <c r="H50" s="60" t="s">
        <v>772</v>
      </c>
      <c r="I50" s="60" t="s">
        <v>773</v>
      </c>
      <c r="J50" s="61"/>
      <c r="K50" s="61"/>
      <c r="L50" s="60"/>
      <c r="M50" s="74" t="str">
        <f t="shared" si="1"/>
        <v>Temsil / Ağırlama</v>
      </c>
      <c r="N50" s="74" t="str">
        <f t="shared" si="2"/>
        <v>Merkez Kasa</v>
      </c>
      <c r="O50" s="73">
        <f t="shared" si="3"/>
        <v>46054</v>
      </c>
      <c r="P50" s="65" t="str">
        <f t="shared" ca="1" si="4"/>
        <v>UYGUN</v>
      </c>
      <c r="Q50" s="2"/>
      <c r="R50" s="2"/>
      <c r="S50" s="1" t="str">
        <f t="shared" si="5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6"/>
        <v>0</v>
      </c>
      <c r="W50" s="1" t="str">
        <f t="shared" si="7"/>
        <v>Gider|Temsil / Ağırlama|46062|499|Ofis Temizlik Alışverişi|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Temsil / Ağırlama|2</v>
      </c>
    </row>
    <row r="51" spans="1:31" ht="18" customHeight="1" x14ac:dyDescent="0.3">
      <c r="A51" s="2"/>
      <c r="B51" s="65" t="str">
        <f t="shared" si="0"/>
        <v>GG00045</v>
      </c>
      <c r="C51" s="66">
        <v>46062</v>
      </c>
      <c r="D51" s="60" t="s">
        <v>795</v>
      </c>
      <c r="E51" s="61" t="s">
        <v>825</v>
      </c>
      <c r="F51" s="61" t="s">
        <v>825</v>
      </c>
      <c r="G51" s="67">
        <v>7500</v>
      </c>
      <c r="H51" s="60" t="s">
        <v>772</v>
      </c>
      <c r="I51" s="60" t="s">
        <v>773</v>
      </c>
      <c r="J51" s="61"/>
      <c r="K51" s="61"/>
      <c r="L51" s="60"/>
      <c r="M51" s="74" t="str">
        <f t="shared" si="1"/>
        <v>Merkez Kasa</v>
      </c>
      <c r="N51" s="74" t="str">
        <f t="shared" si="2"/>
        <v>Kuruluş Ücreti</v>
      </c>
      <c r="O51" s="73">
        <f t="shared" si="3"/>
        <v>46054</v>
      </c>
      <c r="P51" s="65" t="str">
        <f t="shared" ca="1" si="4"/>
        <v>UYGUN</v>
      </c>
      <c r="Q51" s="2"/>
      <c r="R51" s="2"/>
      <c r="S51" s="1" t="str">
        <f t="shared" si="5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6"/>
        <v>0</v>
      </c>
      <c r="W51" s="1" t="str">
        <f t="shared" si="7"/>
        <v>Gelir|Kuruluş Ücreti|46062|7500|Kuruluş Ücreti|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Kuruluş Ücreti|1</v>
      </c>
    </row>
    <row r="52" spans="1:31" ht="18" hidden="1" customHeight="1" x14ac:dyDescent="0.3">
      <c r="A52" s="2"/>
      <c r="B52" s="65" t="str">
        <f t="shared" si="0"/>
        <v>GG00046</v>
      </c>
      <c r="C52" s="66">
        <v>46064</v>
      </c>
      <c r="D52" s="60" t="s">
        <v>769</v>
      </c>
      <c r="E52" s="61" t="s">
        <v>790</v>
      </c>
      <c r="F52" s="61" t="s">
        <v>826</v>
      </c>
      <c r="G52" s="67">
        <v>300</v>
      </c>
      <c r="H52" s="60" t="s">
        <v>772</v>
      </c>
      <c r="I52" s="60" t="s">
        <v>773</v>
      </c>
      <c r="J52" s="61"/>
      <c r="K52" s="61"/>
      <c r="L52" s="60"/>
      <c r="M52" s="74" t="str">
        <f t="shared" si="1"/>
        <v>Temsil / Ağırlama</v>
      </c>
      <c r="N52" s="74" t="str">
        <f t="shared" si="2"/>
        <v>Merkez Kasa</v>
      </c>
      <c r="O52" s="73">
        <f t="shared" si="3"/>
        <v>46054</v>
      </c>
      <c r="P52" s="65" t="str">
        <f t="shared" ca="1" si="4"/>
        <v>UYGUN</v>
      </c>
      <c r="Q52" s="2"/>
      <c r="R52" s="2"/>
      <c r="S52" s="1" t="str">
        <f t="shared" si="5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6"/>
        <v>0</v>
      </c>
      <c r="W52" s="1" t="str">
        <f t="shared" si="7"/>
        <v>Gider|Temsil / Ağırlama|46064|300|İsmail Yemek|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Temsil / Ağırlama|3</v>
      </c>
    </row>
    <row r="53" spans="1:31" ht="18" hidden="1" customHeight="1" x14ac:dyDescent="0.3">
      <c r="A53" s="2"/>
      <c r="B53" s="65" t="str">
        <f t="shared" si="0"/>
        <v>GG00047</v>
      </c>
      <c r="C53" s="66">
        <v>46064</v>
      </c>
      <c r="D53" s="60" t="s">
        <v>769</v>
      </c>
      <c r="E53" s="61" t="s">
        <v>790</v>
      </c>
      <c r="F53" s="61" t="s">
        <v>827</v>
      </c>
      <c r="G53" s="67">
        <v>1530</v>
      </c>
      <c r="H53" s="60" t="s">
        <v>772</v>
      </c>
      <c r="I53" s="60" t="s">
        <v>773</v>
      </c>
      <c r="J53" s="61"/>
      <c r="K53" s="61"/>
      <c r="L53" s="60"/>
      <c r="M53" s="74" t="str">
        <f t="shared" si="1"/>
        <v>Temsil / Ağırlama</v>
      </c>
      <c r="N53" s="74" t="str">
        <f t="shared" si="2"/>
        <v>Merkez Kasa</v>
      </c>
      <c r="O53" s="73">
        <f t="shared" si="3"/>
        <v>46054</v>
      </c>
      <c r="P53" s="65" t="str">
        <f t="shared" ca="1" si="4"/>
        <v>UYGUN</v>
      </c>
      <c r="Q53" s="2"/>
      <c r="R53" s="2"/>
      <c r="S53" s="1" t="str">
        <f t="shared" si="5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6"/>
        <v>0</v>
      </c>
      <c r="W53" s="1" t="str">
        <f t="shared" si="7"/>
        <v>Gider|Temsil / Ağırlama|46064|1530|Baklavacı Hacıbaba 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Temsil / Ağırlama|4</v>
      </c>
    </row>
    <row r="54" spans="1:31" ht="18" hidden="1" customHeight="1" x14ac:dyDescent="0.3">
      <c r="A54" s="2"/>
      <c r="B54" s="65" t="str">
        <f t="shared" si="0"/>
        <v>GG00048</v>
      </c>
      <c r="C54" s="66">
        <v>46067</v>
      </c>
      <c r="D54" s="60" t="s">
        <v>769</v>
      </c>
      <c r="E54" s="61" t="s">
        <v>790</v>
      </c>
      <c r="F54" s="61" t="s">
        <v>828</v>
      </c>
      <c r="G54" s="67">
        <v>930</v>
      </c>
      <c r="H54" s="60" t="s">
        <v>772</v>
      </c>
      <c r="I54" s="60" t="s">
        <v>773</v>
      </c>
      <c r="J54" s="61"/>
      <c r="K54" s="61"/>
      <c r="L54" s="60"/>
      <c r="M54" s="74" t="str">
        <f t="shared" si="1"/>
        <v>Temsil / Ağırlama</v>
      </c>
      <c r="N54" s="74" t="str">
        <f t="shared" si="2"/>
        <v>Merkez Kasa</v>
      </c>
      <c r="O54" s="73">
        <f t="shared" si="3"/>
        <v>46054</v>
      </c>
      <c r="P54" s="65" t="str">
        <f t="shared" ca="1" si="4"/>
        <v>UYGUN</v>
      </c>
      <c r="Q54" s="2"/>
      <c r="R54" s="2"/>
      <c r="S54" s="1" t="str">
        <f t="shared" si="5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6"/>
        <v>0</v>
      </c>
      <c r="W54" s="1" t="str">
        <f t="shared" si="7"/>
        <v>Gider|Temsil / Ağırlama|46067|930|Yemek Ömer Ali 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Temsil / Ağırlama|5</v>
      </c>
    </row>
    <row r="55" spans="1:31" ht="18" hidden="1" customHeight="1" x14ac:dyDescent="0.3">
      <c r="A55" s="2"/>
      <c r="B55" s="65" t="str">
        <f t="shared" si="0"/>
        <v>GG00049</v>
      </c>
      <c r="C55" s="66">
        <v>46067</v>
      </c>
      <c r="D55" s="60" t="s">
        <v>769</v>
      </c>
      <c r="E55" s="61" t="s">
        <v>788</v>
      </c>
      <c r="F55" s="61" t="s">
        <v>829</v>
      </c>
      <c r="G55" s="67">
        <v>800</v>
      </c>
      <c r="H55" s="60" t="s">
        <v>772</v>
      </c>
      <c r="I55" s="60" t="s">
        <v>773</v>
      </c>
      <c r="J55" s="61"/>
      <c r="K55" s="61"/>
      <c r="L55" s="60"/>
      <c r="M55" s="74" t="str">
        <f t="shared" si="1"/>
        <v>Ulaşım</v>
      </c>
      <c r="N55" s="74" t="str">
        <f t="shared" si="2"/>
        <v>Merkez Kasa</v>
      </c>
      <c r="O55" s="73">
        <f t="shared" si="3"/>
        <v>46054</v>
      </c>
      <c r="P55" s="65" t="str">
        <f t="shared" ca="1" si="4"/>
        <v>UYGUN</v>
      </c>
      <c r="Q55" s="2"/>
      <c r="R55" s="2"/>
      <c r="S55" s="1" t="str">
        <f t="shared" si="5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6"/>
        <v>0</v>
      </c>
      <c r="W55" s="1" t="str">
        <f t="shared" si="7"/>
        <v>Gider|Ulaşım|46067|800|Taksi 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Ulaşım|3</v>
      </c>
    </row>
    <row r="56" spans="1:31" ht="18" hidden="1" customHeight="1" x14ac:dyDescent="0.3">
      <c r="A56" s="2"/>
      <c r="B56" s="65" t="str">
        <f t="shared" si="0"/>
        <v>GG00050</v>
      </c>
      <c r="C56" s="66">
        <v>46069</v>
      </c>
      <c r="D56" s="60" t="s">
        <v>769</v>
      </c>
      <c r="E56" s="61" t="s">
        <v>781</v>
      </c>
      <c r="F56" s="61" t="s">
        <v>830</v>
      </c>
      <c r="G56" s="67">
        <v>800</v>
      </c>
      <c r="H56" s="60" t="s">
        <v>772</v>
      </c>
      <c r="I56" s="60" t="s">
        <v>773</v>
      </c>
      <c r="J56" s="61"/>
      <c r="K56" s="61"/>
      <c r="L56" s="60"/>
      <c r="M56" s="74" t="str">
        <f t="shared" si="1"/>
        <v>Telefon / İnternet</v>
      </c>
      <c r="N56" s="74" t="str">
        <f t="shared" si="2"/>
        <v>Merkez Kasa</v>
      </c>
      <c r="O56" s="73">
        <f t="shared" si="3"/>
        <v>46054</v>
      </c>
      <c r="P56" s="65" t="str">
        <f t="shared" ca="1" si="4"/>
        <v>UYGUN</v>
      </c>
      <c r="Q56" s="2"/>
      <c r="R56" s="2"/>
      <c r="S56" s="1" t="str">
        <f t="shared" si="5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6"/>
        <v>0</v>
      </c>
      <c r="W56" s="1" t="str">
        <f t="shared" si="7"/>
        <v>Gider|Telefon / İnternet|46069|800|Ofis Whatsapp Hattı Şubat|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Telefon / İnternet|3</v>
      </c>
    </row>
    <row r="57" spans="1:31" ht="18" hidden="1" customHeight="1" x14ac:dyDescent="0.3">
      <c r="A57" s="2"/>
      <c r="B57" s="65" t="str">
        <f t="shared" si="0"/>
        <v>GG00051</v>
      </c>
      <c r="C57" s="66">
        <v>46070</v>
      </c>
      <c r="D57" s="60" t="s">
        <v>769</v>
      </c>
      <c r="E57" s="61" t="s">
        <v>790</v>
      </c>
      <c r="F57" s="61" t="s">
        <v>831</v>
      </c>
      <c r="G57" s="67">
        <v>2400</v>
      </c>
      <c r="H57" s="60" t="s">
        <v>772</v>
      </c>
      <c r="I57" s="60" t="s">
        <v>773</v>
      </c>
      <c r="J57" s="61"/>
      <c r="K57" s="61"/>
      <c r="L57" s="60"/>
      <c r="M57" s="74" t="str">
        <f t="shared" si="1"/>
        <v>Temsil / Ağırlama</v>
      </c>
      <c r="N57" s="74" t="str">
        <f t="shared" si="2"/>
        <v>Merkez Kasa</v>
      </c>
      <c r="O57" s="73">
        <f t="shared" si="3"/>
        <v>46054</v>
      </c>
      <c r="P57" s="65" t="str">
        <f t="shared" ca="1" si="4"/>
        <v>UYGUN</v>
      </c>
      <c r="Q57" s="2"/>
      <c r="R57" s="2"/>
      <c r="S57" s="1" t="str">
        <f t="shared" si="5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6"/>
        <v>0</v>
      </c>
      <c r="W57" s="1" t="str">
        <f t="shared" si="7"/>
        <v>Gider|Temsil / Ağırlama|46070|2400|2 Adet Mutfak Tüpü|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Temsil / Ağırlama|6</v>
      </c>
    </row>
    <row r="58" spans="1:31" ht="18" customHeight="1" x14ac:dyDescent="0.3">
      <c r="A58" s="2"/>
      <c r="B58" s="65" t="str">
        <f t="shared" si="0"/>
        <v>GG00052</v>
      </c>
      <c r="C58" s="66">
        <v>46070</v>
      </c>
      <c r="D58" s="60" t="s">
        <v>795</v>
      </c>
      <c r="E58" s="61" t="s">
        <v>796</v>
      </c>
      <c r="F58" s="61" t="s">
        <v>832</v>
      </c>
      <c r="G58" s="67">
        <v>12000</v>
      </c>
      <c r="H58" s="60" t="s">
        <v>717</v>
      </c>
      <c r="I58" s="60" t="s">
        <v>773</v>
      </c>
      <c r="J58" s="61"/>
      <c r="K58" s="61"/>
      <c r="L58" s="60"/>
      <c r="M58" s="74" t="str">
        <f t="shared" si="1"/>
        <v>MERKEZ KASA</v>
      </c>
      <c r="N58" s="74" t="str">
        <f t="shared" si="2"/>
        <v>Diğer Gelirler</v>
      </c>
      <c r="O58" s="73">
        <f t="shared" si="3"/>
        <v>46054</v>
      </c>
      <c r="P58" s="65" t="str">
        <f t="shared" ca="1" si="4"/>
        <v>UYGUN</v>
      </c>
      <c r="Q58" s="2"/>
      <c r="R58" s="2"/>
      <c r="S58" s="1" t="str">
        <f t="shared" si="5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6"/>
        <v>0</v>
      </c>
      <c r="W58" s="1" t="str">
        <f t="shared" si="7"/>
        <v>Gelir|Diğer Gelirler|46070|12000|GOLD LTD.ŞTİ. VE YSM LTD.ŞTİ. TAHSİLAT|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Diğer Gelirler|2</v>
      </c>
    </row>
    <row r="59" spans="1:31" ht="18" hidden="1" customHeight="1" x14ac:dyDescent="0.3">
      <c r="A59" s="2"/>
      <c r="B59" s="65" t="str">
        <f t="shared" si="0"/>
        <v>GG00053</v>
      </c>
      <c r="C59" s="66">
        <v>46071</v>
      </c>
      <c r="D59" s="60" t="s">
        <v>769</v>
      </c>
      <c r="E59" s="61" t="s">
        <v>798</v>
      </c>
      <c r="F59" s="61" t="s">
        <v>833</v>
      </c>
      <c r="G59" s="67">
        <v>5000</v>
      </c>
      <c r="H59" s="60" t="s">
        <v>772</v>
      </c>
      <c r="I59" s="60" t="s">
        <v>773</v>
      </c>
      <c r="J59" s="61"/>
      <c r="K59" s="61"/>
      <c r="L59" s="60"/>
      <c r="M59" s="74" t="str">
        <f t="shared" si="1"/>
        <v>Personel</v>
      </c>
      <c r="N59" s="74" t="str">
        <f t="shared" si="2"/>
        <v>Merkez Kasa</v>
      </c>
      <c r="O59" s="73">
        <f t="shared" si="3"/>
        <v>46054</v>
      </c>
      <c r="P59" s="65" t="str">
        <f t="shared" ca="1" si="4"/>
        <v>UYGUN</v>
      </c>
      <c r="Q59" s="2"/>
      <c r="R59" s="2"/>
      <c r="S59" s="1" t="str">
        <f t="shared" si="5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6"/>
        <v>0</v>
      </c>
      <c r="W59" s="1" t="str">
        <f t="shared" si="7"/>
        <v>Gider|Personel|46071|5000|Zeynep Hanım Ramazan Primi|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Personel|4</v>
      </c>
    </row>
    <row r="60" spans="1:31" ht="18" hidden="1" customHeight="1" x14ac:dyDescent="0.3">
      <c r="A60" s="2"/>
      <c r="B60" s="65" t="str">
        <f t="shared" si="0"/>
        <v>GG00054</v>
      </c>
      <c r="C60" s="66">
        <v>46072</v>
      </c>
      <c r="D60" s="60" t="s">
        <v>769</v>
      </c>
      <c r="E60" s="61" t="s">
        <v>801</v>
      </c>
      <c r="F60" s="61" t="s">
        <v>834</v>
      </c>
      <c r="G60" s="67">
        <v>136439.57999999999</v>
      </c>
      <c r="H60" s="60" t="s">
        <v>772</v>
      </c>
      <c r="I60" s="60" t="s">
        <v>773</v>
      </c>
      <c r="J60" s="61"/>
      <c r="K60" s="61"/>
      <c r="L60" s="60"/>
      <c r="M60" s="74" t="str">
        <f t="shared" si="1"/>
        <v>Vergi / Harç</v>
      </c>
      <c r="N60" s="74" t="str">
        <f t="shared" si="2"/>
        <v>Merkez Kasa</v>
      </c>
      <c r="O60" s="73">
        <f t="shared" si="3"/>
        <v>46054</v>
      </c>
      <c r="P60" s="65" t="str">
        <f t="shared" ca="1" si="4"/>
        <v>UYGUN</v>
      </c>
      <c r="Q60" s="2"/>
      <c r="R60" s="2"/>
      <c r="S60" s="1" t="str">
        <f t="shared" si="5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6"/>
        <v>0</v>
      </c>
      <c r="W60" s="1" t="str">
        <f t="shared" si="7"/>
        <v>Gider|Vergi / Harç|46072|136440|Aralık KDV Ödemesi|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Vergi / Harç|5</v>
      </c>
    </row>
    <row r="61" spans="1:31" ht="18" hidden="1" customHeight="1" x14ac:dyDescent="0.3">
      <c r="A61" s="2"/>
      <c r="B61" s="65" t="str">
        <f t="shared" si="0"/>
        <v>GG00055</v>
      </c>
      <c r="C61" s="66">
        <v>46072</v>
      </c>
      <c r="D61" s="60" t="s">
        <v>769</v>
      </c>
      <c r="E61" s="61" t="s">
        <v>801</v>
      </c>
      <c r="F61" s="61" t="s">
        <v>835</v>
      </c>
      <c r="G61" s="67">
        <v>1088.1500000000001</v>
      </c>
      <c r="H61" s="60" t="s">
        <v>772</v>
      </c>
      <c r="I61" s="60" t="s">
        <v>773</v>
      </c>
      <c r="J61" s="61"/>
      <c r="K61" s="61"/>
      <c r="L61" s="60"/>
      <c r="M61" s="74" t="str">
        <f t="shared" si="1"/>
        <v>Vergi / Harç</v>
      </c>
      <c r="N61" s="74" t="str">
        <f t="shared" si="2"/>
        <v>Merkez Kasa</v>
      </c>
      <c r="O61" s="73">
        <f t="shared" si="3"/>
        <v>46054</v>
      </c>
      <c r="P61" s="65" t="str">
        <f t="shared" ca="1" si="4"/>
        <v>UYGUN</v>
      </c>
      <c r="Q61" s="2"/>
      <c r="R61" s="2"/>
      <c r="S61" s="1" t="str">
        <f t="shared" si="5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6"/>
        <v>0</v>
      </c>
      <c r="W61" s="1" t="str">
        <f t="shared" si="7"/>
        <v>Gider|Vergi / Harç|46072|1088|Geçici Vergi Damga Ödeme|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Vergi / Harç|6</v>
      </c>
    </row>
    <row r="62" spans="1:31" ht="18" customHeight="1" x14ac:dyDescent="0.3">
      <c r="A62" s="2"/>
      <c r="B62" s="65" t="str">
        <f t="shared" si="0"/>
        <v>GG00056</v>
      </c>
      <c r="C62" s="66">
        <v>46077</v>
      </c>
      <c r="D62" s="60" t="s">
        <v>795</v>
      </c>
      <c r="E62" s="61" t="s">
        <v>796</v>
      </c>
      <c r="F62" s="61" t="s">
        <v>836</v>
      </c>
      <c r="G62" s="67">
        <v>1500</v>
      </c>
      <c r="H62" s="60" t="s">
        <v>772</v>
      </c>
      <c r="I62" s="60" t="s">
        <v>773</v>
      </c>
      <c r="J62" s="61"/>
      <c r="K62" s="61"/>
      <c r="L62" s="60"/>
      <c r="M62" s="74" t="str">
        <f t="shared" si="1"/>
        <v>Merkez Kasa</v>
      </c>
      <c r="N62" s="74" t="str">
        <f t="shared" si="2"/>
        <v>Diğer Gelirler</v>
      </c>
      <c r="O62" s="73">
        <f t="shared" si="3"/>
        <v>46054</v>
      </c>
      <c r="P62" s="65" t="str">
        <f t="shared" ca="1" si="4"/>
        <v>UYGUN</v>
      </c>
      <c r="Q62" s="2"/>
      <c r="R62" s="2"/>
      <c r="S62" s="1" t="str">
        <f t="shared" si="5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6"/>
        <v>0</v>
      </c>
      <c r="W62" s="1" t="str">
        <f t="shared" si="7"/>
        <v>Gelir|Diğer Gelirler|46077|1500|Müjgan Yavuz Asar Tahsilat Ocak - Şubat Muhasebe|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Diğer Gelirler|3</v>
      </c>
    </row>
    <row r="63" spans="1:31" ht="18" hidden="1" customHeight="1" x14ac:dyDescent="0.3">
      <c r="A63" s="2"/>
      <c r="B63" s="65" t="str">
        <f t="shared" si="0"/>
        <v>GG00057</v>
      </c>
      <c r="C63" s="66">
        <v>46081</v>
      </c>
      <c r="D63" s="60" t="s">
        <v>769</v>
      </c>
      <c r="E63" s="61" t="s">
        <v>801</v>
      </c>
      <c r="F63" s="61" t="s">
        <v>837</v>
      </c>
      <c r="G63" s="67">
        <v>11810</v>
      </c>
      <c r="H63" s="60" t="s">
        <v>772</v>
      </c>
      <c r="I63" s="60" t="s">
        <v>773</v>
      </c>
      <c r="J63" s="61"/>
      <c r="K63" s="61"/>
      <c r="L63" s="60"/>
      <c r="M63" s="74" t="str">
        <f t="shared" si="1"/>
        <v>Vergi / Harç</v>
      </c>
      <c r="N63" s="74" t="str">
        <f t="shared" si="2"/>
        <v>Merkez Kasa</v>
      </c>
      <c r="O63" s="73">
        <f t="shared" si="3"/>
        <v>46054</v>
      </c>
      <c r="P63" s="65" t="str">
        <f t="shared" ca="1" si="4"/>
        <v>UYGUN</v>
      </c>
      <c r="Q63" s="2"/>
      <c r="R63" s="2"/>
      <c r="S63" s="1" t="str">
        <f t="shared" si="5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6"/>
        <v>0</v>
      </c>
      <c r="W63" s="1" t="str">
        <f t="shared" si="7"/>
        <v>Gider|Vergi / Harç|46081|11810|Şubat Bağkur Ödemesi|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Vergi / Harç|7</v>
      </c>
    </row>
    <row r="64" spans="1:31" ht="18" hidden="1" customHeight="1" x14ac:dyDescent="0.3">
      <c r="A64" s="2"/>
      <c r="B64" s="65" t="str">
        <f t="shared" si="0"/>
        <v>GG00058</v>
      </c>
      <c r="C64" s="66">
        <v>46083</v>
      </c>
      <c r="D64" s="60" t="s">
        <v>769</v>
      </c>
      <c r="E64" s="61" t="s">
        <v>798</v>
      </c>
      <c r="F64" s="61" t="s">
        <v>838</v>
      </c>
      <c r="G64" s="67">
        <v>10000</v>
      </c>
      <c r="H64" s="60" t="s">
        <v>772</v>
      </c>
      <c r="I64" s="60" t="s">
        <v>773</v>
      </c>
      <c r="J64" s="61"/>
      <c r="K64" s="61"/>
      <c r="L64" s="60"/>
      <c r="M64" s="74" t="str">
        <f t="shared" si="1"/>
        <v>Personel</v>
      </c>
      <c r="N64" s="74" t="str">
        <f t="shared" si="2"/>
        <v>Merkez Kasa</v>
      </c>
      <c r="O64" s="73">
        <f t="shared" si="3"/>
        <v>46082</v>
      </c>
      <c r="P64" s="65" t="str">
        <f t="shared" ca="1" si="4"/>
        <v>UYGUN</v>
      </c>
      <c r="Q64" s="2"/>
      <c r="R64" s="2"/>
      <c r="S64" s="1" t="str">
        <f t="shared" si="5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6"/>
        <v>0</v>
      </c>
      <c r="W64" s="1" t="str">
        <f t="shared" si="7"/>
        <v>Gider|Personel|46083|10000|Zeynep Hanım Maaş Mahsuben|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Personel|5</v>
      </c>
    </row>
    <row r="65" spans="1:31" ht="18" hidden="1" customHeight="1" x14ac:dyDescent="0.3">
      <c r="A65" s="2"/>
      <c r="B65" s="65" t="str">
        <f t="shared" si="0"/>
        <v>GG00059</v>
      </c>
      <c r="C65" s="66">
        <v>46083</v>
      </c>
      <c r="D65" s="60" t="s">
        <v>769</v>
      </c>
      <c r="E65" s="61" t="s">
        <v>790</v>
      </c>
      <c r="F65" s="61" t="s">
        <v>839</v>
      </c>
      <c r="G65" s="67">
        <v>1500</v>
      </c>
      <c r="H65" s="60" t="s">
        <v>772</v>
      </c>
      <c r="I65" s="60" t="s">
        <v>773</v>
      </c>
      <c r="J65" s="61"/>
      <c r="K65" s="61"/>
      <c r="L65" s="60"/>
      <c r="M65" s="74" t="str">
        <f t="shared" si="1"/>
        <v>Temsil / Ağırlama</v>
      </c>
      <c r="N65" s="74" t="str">
        <f t="shared" si="2"/>
        <v>Merkez Kasa</v>
      </c>
      <c r="O65" s="73">
        <f t="shared" si="3"/>
        <v>46082</v>
      </c>
      <c r="P65" s="65" t="str">
        <f t="shared" ca="1" si="4"/>
        <v>UYGUN</v>
      </c>
      <c r="Q65" s="2"/>
      <c r="R65" s="2"/>
      <c r="S65" s="1" t="str">
        <f t="shared" si="5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6"/>
        <v>0</v>
      </c>
      <c r="W65" s="1" t="str">
        <f t="shared" si="7"/>
        <v>Gider|Temsil / Ağırlama|46083|1500|Mutfak Gereci|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Temsil / Ağırlama|7</v>
      </c>
    </row>
    <row r="66" spans="1:31" ht="18" hidden="1" customHeight="1" x14ac:dyDescent="0.3">
      <c r="A66" s="2"/>
      <c r="B66" s="65" t="str">
        <f t="shared" si="0"/>
        <v>GG00060</v>
      </c>
      <c r="C66" s="66">
        <v>46083</v>
      </c>
      <c r="D66" s="60" t="s">
        <v>769</v>
      </c>
      <c r="E66" s="61" t="s">
        <v>779</v>
      </c>
      <c r="F66" s="61" t="s">
        <v>779</v>
      </c>
      <c r="G66" s="67">
        <v>100</v>
      </c>
      <c r="H66" s="60" t="s">
        <v>772</v>
      </c>
      <c r="I66" s="60" t="s">
        <v>773</v>
      </c>
      <c r="J66" s="61"/>
      <c r="K66" s="61"/>
      <c r="L66" s="60"/>
      <c r="M66" s="74" t="str">
        <f t="shared" si="1"/>
        <v>Kırtasiye</v>
      </c>
      <c r="N66" s="74" t="str">
        <f t="shared" si="2"/>
        <v>Merkez Kasa</v>
      </c>
      <c r="O66" s="73">
        <f t="shared" si="3"/>
        <v>46082</v>
      </c>
      <c r="P66" s="65" t="str">
        <f t="shared" ca="1" si="4"/>
        <v>UYGUN</v>
      </c>
      <c r="Q66" s="2"/>
      <c r="R66" s="2"/>
      <c r="S66" s="1" t="str">
        <f t="shared" si="5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6"/>
        <v>0</v>
      </c>
      <c r="W66" s="1" t="str">
        <f t="shared" si="7"/>
        <v>Gider|Kırtasiye|46083|100|Kırtasiye|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Kırtasiye|2</v>
      </c>
    </row>
    <row r="67" spans="1:31" ht="18" hidden="1" customHeight="1" x14ac:dyDescent="0.3">
      <c r="A67" s="2"/>
      <c r="B67" s="65" t="str">
        <f t="shared" si="0"/>
        <v>GG00061</v>
      </c>
      <c r="C67" s="66">
        <v>46083</v>
      </c>
      <c r="D67" s="60" t="s">
        <v>769</v>
      </c>
      <c r="E67" s="61" t="s">
        <v>790</v>
      </c>
      <c r="F67" s="61" t="s">
        <v>840</v>
      </c>
      <c r="G67" s="67">
        <v>860</v>
      </c>
      <c r="H67" s="60" t="s">
        <v>772</v>
      </c>
      <c r="I67" s="60" t="s">
        <v>773</v>
      </c>
      <c r="J67" s="61"/>
      <c r="K67" s="61"/>
      <c r="L67" s="60"/>
      <c r="M67" s="74" t="str">
        <f t="shared" si="1"/>
        <v>Temsil / Ağırlama</v>
      </c>
      <c r="N67" s="74" t="str">
        <f t="shared" si="2"/>
        <v>Merkez Kasa</v>
      </c>
      <c r="O67" s="73">
        <f t="shared" si="3"/>
        <v>46082</v>
      </c>
      <c r="P67" s="65" t="str">
        <f t="shared" ca="1" si="4"/>
        <v>UYGUN</v>
      </c>
      <c r="Q67" s="2"/>
      <c r="R67" s="2"/>
      <c r="S67" s="1" t="str">
        <f t="shared" si="5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6"/>
        <v>0</v>
      </c>
      <c r="W67" s="1" t="str">
        <f t="shared" si="7"/>
        <v>Gider|Temsil / Ağırlama|46083|860|Gıda Alışverişi 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Temsil / Ağırlama|8</v>
      </c>
    </row>
    <row r="68" spans="1:31" ht="18" hidden="1" customHeight="1" x14ac:dyDescent="0.3">
      <c r="A68" s="2"/>
      <c r="B68" s="65" t="str">
        <f t="shared" si="0"/>
        <v>GG00062</v>
      </c>
      <c r="C68" s="66">
        <v>46083</v>
      </c>
      <c r="D68" s="60" t="s">
        <v>769</v>
      </c>
      <c r="E68" s="61" t="s">
        <v>790</v>
      </c>
      <c r="F68" s="61" t="s">
        <v>841</v>
      </c>
      <c r="G68" s="67">
        <v>380</v>
      </c>
      <c r="H68" s="60" t="s">
        <v>772</v>
      </c>
      <c r="I68" s="60" t="s">
        <v>773</v>
      </c>
      <c r="J68" s="61"/>
      <c r="K68" s="61"/>
      <c r="L68" s="60"/>
      <c r="M68" s="74" t="str">
        <f t="shared" si="1"/>
        <v>Temsil / Ağırlama</v>
      </c>
      <c r="N68" s="74" t="str">
        <f t="shared" si="2"/>
        <v>Merkez Kasa</v>
      </c>
      <c r="O68" s="73">
        <f t="shared" si="3"/>
        <v>46082</v>
      </c>
      <c r="P68" s="65" t="str">
        <f t="shared" ca="1" si="4"/>
        <v>UYGUN</v>
      </c>
      <c r="Q68" s="2"/>
      <c r="R68" s="2"/>
      <c r="S68" s="1" t="str">
        <f t="shared" si="5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6"/>
        <v>0</v>
      </c>
      <c r="W68" s="1" t="str">
        <f t="shared" si="7"/>
        <v>Gider|Temsil / Ağırlama|46083|380|Çay|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Temsil / Ağırlama|9</v>
      </c>
    </row>
    <row r="69" spans="1:31" ht="18" hidden="1" customHeight="1" x14ac:dyDescent="0.3">
      <c r="A69" s="2"/>
      <c r="B69" s="65" t="str">
        <f t="shared" si="0"/>
        <v>GG00063</v>
      </c>
      <c r="C69" s="66">
        <v>46083</v>
      </c>
      <c r="D69" s="60" t="s">
        <v>769</v>
      </c>
      <c r="E69" s="61" t="s">
        <v>781</v>
      </c>
      <c r="F69" s="61" t="s">
        <v>842</v>
      </c>
      <c r="G69" s="67">
        <v>610</v>
      </c>
      <c r="H69" s="60" t="s">
        <v>772</v>
      </c>
      <c r="I69" s="60" t="s">
        <v>773</v>
      </c>
      <c r="J69" s="61"/>
      <c r="K69" s="61"/>
      <c r="L69" s="60"/>
      <c r="M69" s="74" t="str">
        <f t="shared" si="1"/>
        <v>Telefon / İnternet</v>
      </c>
      <c r="N69" s="74" t="str">
        <f t="shared" si="2"/>
        <v>Merkez Kasa</v>
      </c>
      <c r="O69" s="73">
        <f t="shared" si="3"/>
        <v>46082</v>
      </c>
      <c r="P69" s="65" t="str">
        <f t="shared" ca="1" si="4"/>
        <v>UYGUN</v>
      </c>
      <c r="Q69" s="2"/>
      <c r="R69" s="2"/>
      <c r="S69" s="1" t="str">
        <f t="shared" si="5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6"/>
        <v>0</v>
      </c>
      <c r="W69" s="1" t="str">
        <f t="shared" si="7"/>
        <v>Gider|Telefon / İnternet|46083|610|Ofis İnternet|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Telefon / İnternet|4</v>
      </c>
    </row>
    <row r="70" spans="1:31" ht="18" hidden="1" customHeight="1" x14ac:dyDescent="0.3">
      <c r="A70" s="2"/>
      <c r="B70" s="65" t="str">
        <f t="shared" si="0"/>
        <v>GG00064</v>
      </c>
      <c r="C70" s="66">
        <v>46088</v>
      </c>
      <c r="D70" s="60" t="s">
        <v>769</v>
      </c>
      <c r="E70" s="61" t="s">
        <v>788</v>
      </c>
      <c r="F70" s="61" t="s">
        <v>789</v>
      </c>
      <c r="G70" s="67">
        <v>2000</v>
      </c>
      <c r="H70" s="60" t="s">
        <v>772</v>
      </c>
      <c r="I70" s="60" t="s">
        <v>773</v>
      </c>
      <c r="J70" s="61"/>
      <c r="K70" s="61"/>
      <c r="L70" s="60"/>
      <c r="M70" s="74" t="str">
        <f t="shared" si="1"/>
        <v>Ulaşım</v>
      </c>
      <c r="N70" s="74" t="str">
        <f t="shared" si="2"/>
        <v>Merkez Kasa</v>
      </c>
      <c r="O70" s="73">
        <f t="shared" si="3"/>
        <v>46082</v>
      </c>
      <c r="P70" s="65" t="str">
        <f t="shared" ca="1" si="4"/>
        <v>UYGUN</v>
      </c>
      <c r="Q70" s="2"/>
      <c r="R70" s="2"/>
      <c r="S70" s="1" t="str">
        <f t="shared" si="5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6"/>
        <v>0</v>
      </c>
      <c r="W70" s="1" t="str">
        <f t="shared" si="7"/>
        <v>Gider|Ulaşım|46088|2000|Araç Yakıt Alımı|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Ulaşım|4</v>
      </c>
    </row>
    <row r="71" spans="1:31" ht="18" customHeight="1" x14ac:dyDescent="0.3">
      <c r="A71" s="2"/>
      <c r="B71" s="65" t="str">
        <f t="shared" ref="B71:B134" si="10">IF($C71="","","GG"&amp;TEXT(ROW()-6,"00000"))</f>
        <v>GG00065</v>
      </c>
      <c r="C71" s="66">
        <v>46088</v>
      </c>
      <c r="D71" s="60" t="s">
        <v>795</v>
      </c>
      <c r="E71" s="61" t="s">
        <v>843</v>
      </c>
      <c r="F71" s="61" t="s">
        <v>844</v>
      </c>
      <c r="G71" s="67">
        <v>20000</v>
      </c>
      <c r="H71" s="60" t="s">
        <v>772</v>
      </c>
      <c r="I71" s="60" t="s">
        <v>773</v>
      </c>
      <c r="J71" s="61"/>
      <c r="K71" s="61"/>
      <c r="L71" s="60"/>
      <c r="M71" s="74" t="str">
        <f t="shared" ref="M71:M134" si="11">IF($C71="","",IF($D71="Gider",$E71,IF($L71&lt;&gt;"",$L71,$H71)))</f>
        <v>Merkez Kasa</v>
      </c>
      <c r="N71" s="74" t="str">
        <f t="shared" ref="N71:N134" si="12">IF($C71="","",IF($D71="Gider",$H71,$E71))</f>
        <v>Defter Tasdik Geliri</v>
      </c>
      <c r="O71" s="73">
        <f t="shared" ref="O71:O134" si="13">IF($C71="","",DATE(YEAR($C71),MONTH($C71),1))</f>
        <v>46082</v>
      </c>
      <c r="P71" s="65" t="str">
        <f t="shared" ref="P71:P134" ca="1" si="14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TARİH",IF(COUNTIF($W$7:$W$3001,$W71)&gt;1,"MÜKERRER?",IF($AD71&gt;0,"KAPALI DÖNEM",IF($I71="Hayır","ÖDENECEK","UYGUN")))),"EKSİK"))))</f>
        <v>UYGUN</v>
      </c>
      <c r="Q71" s="2"/>
      <c r="R71" s="2"/>
      <c r="S71" s="1" t="str">
        <f t="shared" ref="S71:S134" si="1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16">IF($T71="",0,1)</f>
        <v>0</v>
      </c>
      <c r="W71" s="1" t="str">
        <f t="shared" ref="W71:W134" si="17">IF($C71="","",$D71&amp;"|"&amp;$E71&amp;"|"&amp;TEXT($C71,"0")&amp;"|"&amp;TEXT($G71,"0")&amp;"|"&amp;$F71&amp;"|"&amp;$J71)</f>
        <v>Gelir|Defter Tasdik Geliri|46088|20000|ARON LTD.ŞTİ. 2026 YILI DEFTER TASDİK 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Defter Tasdik Geliri|1</v>
      </c>
    </row>
    <row r="72" spans="1:31" ht="18" hidden="1" customHeight="1" x14ac:dyDescent="0.3">
      <c r="A72" s="2"/>
      <c r="B72" s="65" t="str">
        <f t="shared" si="10"/>
        <v>GG00066</v>
      </c>
      <c r="C72" s="66">
        <v>46090</v>
      </c>
      <c r="D72" s="60" t="s">
        <v>769</v>
      </c>
      <c r="E72" s="61" t="s">
        <v>798</v>
      </c>
      <c r="F72" s="61" t="s">
        <v>845</v>
      </c>
      <c r="G72" s="67">
        <v>5000</v>
      </c>
      <c r="H72" s="60" t="s">
        <v>772</v>
      </c>
      <c r="I72" s="60" t="s">
        <v>773</v>
      </c>
      <c r="J72" s="61"/>
      <c r="K72" s="61"/>
      <c r="L72" s="60"/>
      <c r="M72" s="74" t="str">
        <f t="shared" si="11"/>
        <v>Personel</v>
      </c>
      <c r="N72" s="74" t="str">
        <f t="shared" si="12"/>
        <v>Merkez Kasa</v>
      </c>
      <c r="O72" s="73">
        <f t="shared" si="13"/>
        <v>46082</v>
      </c>
      <c r="P72" s="65" t="str">
        <f t="shared" ca="1" si="14"/>
        <v>UYGUN</v>
      </c>
      <c r="Q72" s="2"/>
      <c r="R72" s="2"/>
      <c r="S72" s="1" t="str">
        <f t="shared" si="1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16"/>
        <v>0</v>
      </c>
      <c r="W72" s="1" t="str">
        <f t="shared" si="17"/>
        <v>Gider|Personel|46090|5000|Zeynep Hanım Maaş Bakiye|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Personel|6</v>
      </c>
    </row>
    <row r="73" spans="1:31" ht="18" hidden="1" customHeight="1" x14ac:dyDescent="0.3">
      <c r="A73" s="2"/>
      <c r="B73" s="65" t="str">
        <f t="shared" si="10"/>
        <v>GG00067</v>
      </c>
      <c r="C73" s="66">
        <v>46090</v>
      </c>
      <c r="D73" s="60" t="s">
        <v>769</v>
      </c>
      <c r="E73" s="61" t="s">
        <v>805</v>
      </c>
      <c r="F73" s="61" t="s">
        <v>846</v>
      </c>
      <c r="G73" s="67">
        <v>14000</v>
      </c>
      <c r="H73" s="60" t="s">
        <v>772</v>
      </c>
      <c r="I73" s="60" t="s">
        <v>773</v>
      </c>
      <c r="J73" s="61"/>
      <c r="K73" s="61"/>
      <c r="L73" s="60"/>
      <c r="M73" s="74" t="str">
        <f t="shared" si="11"/>
        <v>Ofis Kirası</v>
      </c>
      <c r="N73" s="74" t="str">
        <f t="shared" si="12"/>
        <v>Merkez Kasa</v>
      </c>
      <c r="O73" s="73">
        <f t="shared" si="13"/>
        <v>46082</v>
      </c>
      <c r="P73" s="65" t="str">
        <f t="shared" ca="1" si="14"/>
        <v>UYGUN</v>
      </c>
      <c r="Q73" s="2"/>
      <c r="R73" s="2"/>
      <c r="S73" s="1" t="str">
        <f t="shared" si="1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16"/>
        <v>0</v>
      </c>
      <c r="W73" s="1" t="str">
        <f t="shared" si="17"/>
        <v>Gider|Ofis Kirası|46090|14000|Mart Ayı Ofis Kirası|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Ofis Kirası|5</v>
      </c>
    </row>
    <row r="74" spans="1:31" ht="18" hidden="1" customHeight="1" x14ac:dyDescent="0.3">
      <c r="A74" s="2"/>
      <c r="B74" s="65" t="str">
        <f t="shared" si="10"/>
        <v>GG00068</v>
      </c>
      <c r="C74" s="66">
        <v>46090</v>
      </c>
      <c r="D74" s="60" t="s">
        <v>769</v>
      </c>
      <c r="E74" s="61" t="s">
        <v>805</v>
      </c>
      <c r="F74" s="61" t="s">
        <v>847</v>
      </c>
      <c r="G74" s="67">
        <v>2000</v>
      </c>
      <c r="H74" s="60" t="s">
        <v>772</v>
      </c>
      <c r="I74" s="60" t="s">
        <v>773</v>
      </c>
      <c r="J74" s="61"/>
      <c r="K74" s="61"/>
      <c r="L74" s="60"/>
      <c r="M74" s="74" t="str">
        <f t="shared" si="11"/>
        <v>Ofis Kirası</v>
      </c>
      <c r="N74" s="74" t="str">
        <f t="shared" si="12"/>
        <v>Merkez Kasa</v>
      </c>
      <c r="O74" s="73">
        <f t="shared" si="13"/>
        <v>46082</v>
      </c>
      <c r="P74" s="65" t="str">
        <f t="shared" ca="1" si="14"/>
        <v>UYGUN</v>
      </c>
      <c r="Q74" s="2"/>
      <c r="R74" s="2"/>
      <c r="S74" s="1" t="str">
        <f t="shared" si="1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16"/>
        <v>0</v>
      </c>
      <c r="W74" s="1" t="str">
        <f t="shared" si="17"/>
        <v>Gider|Ofis Kirası|46090|2000|Mart Ayı Aidat|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Ofis Kirası|6</v>
      </c>
    </row>
    <row r="75" spans="1:31" ht="18" hidden="1" customHeight="1" x14ac:dyDescent="0.3">
      <c r="A75" s="2"/>
      <c r="B75" s="65" t="str">
        <f t="shared" si="10"/>
        <v>GG00069</v>
      </c>
      <c r="C75" s="66">
        <v>46090</v>
      </c>
      <c r="D75" s="60" t="s">
        <v>769</v>
      </c>
      <c r="E75" s="61" t="s">
        <v>781</v>
      </c>
      <c r="F75" s="61" t="s">
        <v>848</v>
      </c>
      <c r="G75" s="67">
        <v>764</v>
      </c>
      <c r="H75" s="60" t="s">
        <v>772</v>
      </c>
      <c r="I75" s="60" t="s">
        <v>773</v>
      </c>
      <c r="J75" s="61"/>
      <c r="K75" s="61"/>
      <c r="L75" s="60"/>
      <c r="M75" s="74" t="str">
        <f t="shared" si="11"/>
        <v>Telefon / İnternet</v>
      </c>
      <c r="N75" s="74" t="str">
        <f t="shared" si="12"/>
        <v>Merkez Kasa</v>
      </c>
      <c r="O75" s="73">
        <f t="shared" si="13"/>
        <v>46082</v>
      </c>
      <c r="P75" s="65" t="str">
        <f t="shared" ca="1" si="14"/>
        <v>UYGUN</v>
      </c>
      <c r="Q75" s="2"/>
      <c r="R75" s="2"/>
      <c r="S75" s="1" t="str">
        <f t="shared" si="1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16"/>
        <v>0</v>
      </c>
      <c r="W75" s="1" t="str">
        <f t="shared" si="17"/>
        <v>Gider|Telefon / İnternet|46090|764|Şubat Ayı Fatura|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Telefon / İnternet|5</v>
      </c>
    </row>
    <row r="76" spans="1:31" ht="18" hidden="1" customHeight="1" x14ac:dyDescent="0.3">
      <c r="A76" s="2"/>
      <c r="B76" s="65" t="str">
        <f t="shared" si="10"/>
        <v>GG00070</v>
      </c>
      <c r="C76" s="66">
        <v>46090</v>
      </c>
      <c r="D76" s="60" t="s">
        <v>769</v>
      </c>
      <c r="E76" s="61" t="s">
        <v>849</v>
      </c>
      <c r="F76" s="61" t="s">
        <v>850</v>
      </c>
      <c r="G76" s="67">
        <v>20000</v>
      </c>
      <c r="H76" s="60" t="s">
        <v>772</v>
      </c>
      <c r="I76" s="60" t="s">
        <v>773</v>
      </c>
      <c r="J76" s="61"/>
      <c r="K76" s="61"/>
      <c r="L76" s="60"/>
      <c r="M76" s="74" t="str">
        <f t="shared" si="11"/>
        <v>Demirbaş</v>
      </c>
      <c r="N76" s="74" t="str">
        <f t="shared" si="12"/>
        <v>Merkez Kasa</v>
      </c>
      <c r="O76" s="73">
        <f t="shared" si="13"/>
        <v>46082</v>
      </c>
      <c r="P76" s="65" t="str">
        <f t="shared" ca="1" si="14"/>
        <v>UYGUN</v>
      </c>
      <c r="Q76" s="2"/>
      <c r="R76" s="2"/>
      <c r="S76" s="1" t="str">
        <f t="shared" si="1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16"/>
        <v>0</v>
      </c>
      <c r="W76" s="1" t="str">
        <f t="shared" si="17"/>
        <v>Gider|Demirbaş|46090|20000|Serkan Baş Zeynep Hanım Bilgisayar Takımı Komple|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Demirbaş|1</v>
      </c>
    </row>
    <row r="77" spans="1:31" ht="18" hidden="1" customHeight="1" x14ac:dyDescent="0.3">
      <c r="A77" s="2"/>
      <c r="B77" s="65" t="str">
        <f t="shared" si="10"/>
        <v>GG00071</v>
      </c>
      <c r="C77" s="66">
        <v>46090</v>
      </c>
      <c r="D77" s="60" t="s">
        <v>769</v>
      </c>
      <c r="E77" s="61" t="s">
        <v>798</v>
      </c>
      <c r="F77" s="61" t="s">
        <v>851</v>
      </c>
      <c r="G77" s="67">
        <v>5000</v>
      </c>
      <c r="H77" s="60" t="s">
        <v>772</v>
      </c>
      <c r="I77" s="60" t="s">
        <v>773</v>
      </c>
      <c r="J77" s="61"/>
      <c r="K77" s="61"/>
      <c r="L77" s="60"/>
      <c r="M77" s="74" t="str">
        <f t="shared" si="11"/>
        <v>Personel</v>
      </c>
      <c r="N77" s="74" t="str">
        <f t="shared" si="12"/>
        <v>Merkez Kasa</v>
      </c>
      <c r="O77" s="73">
        <f t="shared" si="13"/>
        <v>46082</v>
      </c>
      <c r="P77" s="65" t="str">
        <f t="shared" ca="1" si="14"/>
        <v>UYGUN</v>
      </c>
      <c r="Q77" s="2"/>
      <c r="R77" s="2"/>
      <c r="S77" s="1" t="str">
        <f t="shared" si="1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16"/>
        <v>0</v>
      </c>
      <c r="W77" s="1" t="str">
        <f t="shared" si="17"/>
        <v>Gider|Personel|46090|5000|Zeynep Yalıkent ve Yalı Gazino Prim|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Personel|7</v>
      </c>
    </row>
    <row r="78" spans="1:31" ht="18" customHeight="1" x14ac:dyDescent="0.3">
      <c r="A78" s="2"/>
      <c r="B78" s="65" t="str">
        <f t="shared" si="10"/>
        <v>GG00072</v>
      </c>
      <c r="C78" s="66">
        <v>46095</v>
      </c>
      <c r="D78" s="60" t="s">
        <v>795</v>
      </c>
      <c r="E78" s="61" t="s">
        <v>796</v>
      </c>
      <c r="F78" s="61" t="s">
        <v>852</v>
      </c>
      <c r="G78" s="67">
        <v>30000</v>
      </c>
      <c r="H78" s="60" t="s">
        <v>772</v>
      </c>
      <c r="I78" s="60" t="s">
        <v>773</v>
      </c>
      <c r="J78" s="61"/>
      <c r="K78" s="61"/>
      <c r="L78" s="60"/>
      <c r="M78" s="74" t="str">
        <f t="shared" si="11"/>
        <v>Merkez Kasa</v>
      </c>
      <c r="N78" s="74" t="str">
        <f t="shared" si="12"/>
        <v>Diğer Gelirler</v>
      </c>
      <c r="O78" s="73">
        <f t="shared" si="13"/>
        <v>46082</v>
      </c>
      <c r="P78" s="65" t="str">
        <f t="shared" ca="1" si="14"/>
        <v>UYGUN</v>
      </c>
      <c r="Q78" s="2"/>
      <c r="R78" s="2"/>
      <c r="S78" s="1" t="str">
        <f t="shared" si="1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16"/>
        <v>0</v>
      </c>
      <c r="W78" s="1" t="str">
        <f t="shared" si="17"/>
        <v>Gelir|Diğer Gelirler|46095|30000|EĞLENGÖR LTD.ŞTİ. SGK DANIŞMANLIK|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Diğer Gelirler|4</v>
      </c>
    </row>
    <row r="79" spans="1:31" ht="18" hidden="1" customHeight="1" x14ac:dyDescent="0.3">
      <c r="A79" s="2"/>
      <c r="B79" s="65" t="str">
        <f t="shared" si="10"/>
        <v>GG00073</v>
      </c>
      <c r="C79" s="66">
        <v>46096</v>
      </c>
      <c r="D79" s="60" t="s">
        <v>769</v>
      </c>
      <c r="E79" s="61" t="s">
        <v>788</v>
      </c>
      <c r="F79" s="61" t="s">
        <v>853</v>
      </c>
      <c r="G79" s="67">
        <v>4000</v>
      </c>
      <c r="H79" s="60" t="s">
        <v>772</v>
      </c>
      <c r="I79" s="60" t="s">
        <v>773</v>
      </c>
      <c r="J79" s="61"/>
      <c r="K79" s="61"/>
      <c r="L79" s="60"/>
      <c r="M79" s="74" t="str">
        <f t="shared" si="11"/>
        <v>Ulaşım</v>
      </c>
      <c r="N79" s="74" t="str">
        <f t="shared" si="12"/>
        <v>Merkez Kasa</v>
      </c>
      <c r="O79" s="73">
        <f t="shared" si="13"/>
        <v>46082</v>
      </c>
      <c r="P79" s="65" t="str">
        <f t="shared" ca="1" si="14"/>
        <v>UYGUN</v>
      </c>
      <c r="Q79" s="2"/>
      <c r="R79" s="2"/>
      <c r="S79" s="1" t="str">
        <f t="shared" si="1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16"/>
        <v>0</v>
      </c>
      <c r="W79" s="1" t="str">
        <f t="shared" si="17"/>
        <v>Gider|Ulaşım|46096|4000|Benzin|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Ulaşım|5</v>
      </c>
    </row>
    <row r="80" spans="1:31" ht="18" hidden="1" customHeight="1" x14ac:dyDescent="0.3">
      <c r="A80" s="2"/>
      <c r="B80" s="65" t="str">
        <f t="shared" si="10"/>
        <v>GG00074</v>
      </c>
      <c r="C80" s="66">
        <v>46096</v>
      </c>
      <c r="D80" s="60" t="s">
        <v>769</v>
      </c>
      <c r="E80" s="61" t="s">
        <v>781</v>
      </c>
      <c r="F80" s="61" t="s">
        <v>854</v>
      </c>
      <c r="G80" s="67">
        <v>800</v>
      </c>
      <c r="H80" s="60" t="s">
        <v>772</v>
      </c>
      <c r="I80" s="60" t="s">
        <v>773</v>
      </c>
      <c r="J80" s="61"/>
      <c r="K80" s="61"/>
      <c r="L80" s="60"/>
      <c r="M80" s="74" t="str">
        <f t="shared" si="11"/>
        <v>Telefon / İnternet</v>
      </c>
      <c r="N80" s="74" t="str">
        <f t="shared" si="12"/>
        <v>Merkez Kasa</v>
      </c>
      <c r="O80" s="73">
        <f t="shared" si="13"/>
        <v>46082</v>
      </c>
      <c r="P80" s="65" t="str">
        <f t="shared" ca="1" si="14"/>
        <v>UYGUN</v>
      </c>
      <c r="Q80" s="2"/>
      <c r="R80" s="2"/>
      <c r="S80" s="1" t="str">
        <f t="shared" si="1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16"/>
        <v>0</v>
      </c>
      <c r="W80" s="1" t="str">
        <f t="shared" si="17"/>
        <v>Gider|Telefon / İnternet|46096|800|Ofis Whatsapp Hattı Mart|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Telefon / İnternet|6</v>
      </c>
    </row>
    <row r="81" spans="1:31" ht="18" hidden="1" customHeight="1" x14ac:dyDescent="0.3">
      <c r="A81" s="2"/>
      <c r="B81" s="65" t="str">
        <f t="shared" si="10"/>
        <v>GG00075</v>
      </c>
      <c r="C81" s="66">
        <v>46103</v>
      </c>
      <c r="D81" s="60" t="s">
        <v>769</v>
      </c>
      <c r="E81" s="61" t="s">
        <v>788</v>
      </c>
      <c r="F81" s="61" t="s">
        <v>855</v>
      </c>
      <c r="G81" s="67">
        <v>4000</v>
      </c>
      <c r="H81" s="60" t="s">
        <v>772</v>
      </c>
      <c r="I81" s="60" t="s">
        <v>773</v>
      </c>
      <c r="J81" s="61"/>
      <c r="K81" s="61"/>
      <c r="L81" s="60"/>
      <c r="M81" s="74" t="str">
        <f t="shared" si="11"/>
        <v>Ulaşım</v>
      </c>
      <c r="N81" s="74" t="str">
        <f t="shared" si="12"/>
        <v>Merkez Kasa</v>
      </c>
      <c r="O81" s="73">
        <f t="shared" si="13"/>
        <v>46082</v>
      </c>
      <c r="P81" s="65" t="str">
        <f t="shared" ca="1" si="14"/>
        <v>UYGUN</v>
      </c>
      <c r="Q81" s="2"/>
      <c r="R81" s="2"/>
      <c r="S81" s="1" t="str">
        <f t="shared" si="1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16"/>
        <v>0</v>
      </c>
      <c r="W81" s="1" t="str">
        <f t="shared" si="17"/>
        <v>Gider|Ulaşım|46103|4000|Akaryakıt|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Ulaşım|6</v>
      </c>
    </row>
    <row r="82" spans="1:31" ht="18" hidden="1" customHeight="1" x14ac:dyDescent="0.3">
      <c r="A82" s="2"/>
      <c r="B82" s="65" t="str">
        <f t="shared" si="10"/>
        <v>GG00076</v>
      </c>
      <c r="C82" s="66">
        <v>46106</v>
      </c>
      <c r="D82" s="60" t="s">
        <v>769</v>
      </c>
      <c r="E82" s="61" t="s">
        <v>790</v>
      </c>
      <c r="F82" s="61" t="s">
        <v>856</v>
      </c>
      <c r="G82" s="67">
        <v>420</v>
      </c>
      <c r="H82" s="60" t="s">
        <v>772</v>
      </c>
      <c r="I82" s="60" t="s">
        <v>773</v>
      </c>
      <c r="J82" s="61"/>
      <c r="K82" s="61"/>
      <c r="L82" s="60"/>
      <c r="M82" s="74" t="str">
        <f t="shared" si="11"/>
        <v>Temsil / Ağırlama</v>
      </c>
      <c r="N82" s="74" t="str">
        <f t="shared" si="12"/>
        <v>Merkez Kasa</v>
      </c>
      <c r="O82" s="73">
        <f t="shared" si="13"/>
        <v>46082</v>
      </c>
      <c r="P82" s="65" t="str">
        <f t="shared" ca="1" si="14"/>
        <v>UYGUN</v>
      </c>
      <c r="Q82" s="2"/>
      <c r="R82" s="2"/>
      <c r="S82" s="1" t="str">
        <f t="shared" si="1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16"/>
        <v>0</v>
      </c>
      <c r="W82" s="1" t="str">
        <f t="shared" si="17"/>
        <v>Gider|Temsil / Ağırlama|46106|420|Kahve|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Temsil / Ağırlama|10</v>
      </c>
    </row>
    <row r="83" spans="1:31" ht="18" hidden="1" customHeight="1" x14ac:dyDescent="0.3">
      <c r="A83" s="2"/>
      <c r="B83" s="65" t="str">
        <f t="shared" si="10"/>
        <v>GG00077</v>
      </c>
      <c r="C83" s="66">
        <v>46107</v>
      </c>
      <c r="D83" s="60" t="s">
        <v>769</v>
      </c>
      <c r="E83" s="61" t="s">
        <v>790</v>
      </c>
      <c r="F83" s="61" t="s">
        <v>857</v>
      </c>
      <c r="G83" s="67">
        <v>450</v>
      </c>
      <c r="H83" s="60" t="s">
        <v>772</v>
      </c>
      <c r="I83" s="60" t="s">
        <v>773</v>
      </c>
      <c r="J83" s="61"/>
      <c r="K83" s="61"/>
      <c r="L83" s="60"/>
      <c r="M83" s="74" t="str">
        <f t="shared" si="11"/>
        <v>Temsil / Ağırlama</v>
      </c>
      <c r="N83" s="74" t="str">
        <f t="shared" si="12"/>
        <v>Merkez Kasa</v>
      </c>
      <c r="O83" s="73">
        <f t="shared" si="13"/>
        <v>46082</v>
      </c>
      <c r="P83" s="65" t="str">
        <f t="shared" ca="1" si="14"/>
        <v>UYGUN</v>
      </c>
      <c r="Q83" s="2"/>
      <c r="R83" s="2"/>
      <c r="S83" s="1" t="str">
        <f t="shared" si="1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16"/>
        <v>0</v>
      </c>
      <c r="W83" s="1" t="str">
        <f t="shared" si="17"/>
        <v>Gider|Temsil / Ağırlama|46107|450|İçme Suyu|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Temsil / Ağırlama|11</v>
      </c>
    </row>
    <row r="84" spans="1:31" ht="18" hidden="1" customHeight="1" x14ac:dyDescent="0.3">
      <c r="A84" s="2"/>
      <c r="B84" s="65" t="str">
        <f t="shared" si="10"/>
        <v>GG00078</v>
      </c>
      <c r="C84" s="66">
        <v>46111</v>
      </c>
      <c r="D84" s="60" t="s">
        <v>769</v>
      </c>
      <c r="E84" s="61" t="s">
        <v>798</v>
      </c>
      <c r="F84" s="61" t="s">
        <v>858</v>
      </c>
      <c r="G84" s="67">
        <v>45000</v>
      </c>
      <c r="H84" s="60" t="s">
        <v>772</v>
      </c>
      <c r="I84" s="60" t="s">
        <v>773</v>
      </c>
      <c r="J84" s="61"/>
      <c r="K84" s="61"/>
      <c r="L84" s="60"/>
      <c r="M84" s="74" t="str">
        <f t="shared" si="11"/>
        <v>Personel</v>
      </c>
      <c r="N84" s="74" t="str">
        <f t="shared" si="12"/>
        <v>Merkez Kasa</v>
      </c>
      <c r="O84" s="73">
        <f t="shared" si="13"/>
        <v>46082</v>
      </c>
      <c r="P84" s="65" t="str">
        <f t="shared" ca="1" si="14"/>
        <v>UYGUN</v>
      </c>
      <c r="Q84" s="2"/>
      <c r="R84" s="2"/>
      <c r="S84" s="1" t="str">
        <f t="shared" si="1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16"/>
        <v>0</v>
      </c>
      <c r="W84" s="1" t="str">
        <f t="shared" si="17"/>
        <v>Gider|Personel|46111|45000|Zeynep Mart Maaşı Ödemesi|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Personel|8</v>
      </c>
    </row>
    <row r="85" spans="1:31" ht="18" hidden="1" customHeight="1" x14ac:dyDescent="0.3">
      <c r="A85" s="2"/>
      <c r="B85" s="65" t="str">
        <f t="shared" si="10"/>
        <v>GG00079</v>
      </c>
      <c r="C85" s="66">
        <v>46111</v>
      </c>
      <c r="D85" s="60" t="s">
        <v>769</v>
      </c>
      <c r="E85" s="61" t="s">
        <v>801</v>
      </c>
      <c r="F85" s="61" t="s">
        <v>859</v>
      </c>
      <c r="G85" s="67">
        <v>11810</v>
      </c>
      <c r="H85" s="60" t="s">
        <v>772</v>
      </c>
      <c r="I85" s="60" t="s">
        <v>773</v>
      </c>
      <c r="J85" s="61"/>
      <c r="K85" s="61"/>
      <c r="L85" s="60"/>
      <c r="M85" s="74" t="str">
        <f t="shared" si="11"/>
        <v>Vergi / Harç</v>
      </c>
      <c r="N85" s="74" t="str">
        <f t="shared" si="12"/>
        <v>Merkez Kasa</v>
      </c>
      <c r="O85" s="73">
        <f t="shared" si="13"/>
        <v>46082</v>
      </c>
      <c r="P85" s="65" t="str">
        <f t="shared" ca="1" si="14"/>
        <v>UYGUN</v>
      </c>
      <c r="Q85" s="2"/>
      <c r="R85" s="2"/>
      <c r="S85" s="1" t="str">
        <f t="shared" si="1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16"/>
        <v>0</v>
      </c>
      <c r="W85" s="1" t="str">
        <f t="shared" si="17"/>
        <v>Gider|Vergi / Harç|46111|11810|Bağkur Ödemesi|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Vergi / Harç|8</v>
      </c>
    </row>
    <row r="86" spans="1:31" ht="18" hidden="1" customHeight="1" x14ac:dyDescent="0.3">
      <c r="A86" s="2"/>
      <c r="B86" s="65" t="str">
        <f t="shared" si="10"/>
        <v>GG00080</v>
      </c>
      <c r="C86" s="66">
        <v>46111</v>
      </c>
      <c r="D86" s="60" t="s">
        <v>769</v>
      </c>
      <c r="E86" s="61" t="s">
        <v>860</v>
      </c>
      <c r="F86" s="61" t="s">
        <v>861</v>
      </c>
      <c r="G86" s="67">
        <v>11900</v>
      </c>
      <c r="H86" s="60" t="s">
        <v>772</v>
      </c>
      <c r="I86" s="60" t="s">
        <v>773</v>
      </c>
      <c r="J86" s="61"/>
      <c r="K86" s="61"/>
      <c r="L86" s="60"/>
      <c r="M86" s="74" t="str">
        <f t="shared" si="11"/>
        <v>Yazılım / Abonelik</v>
      </c>
      <c r="N86" s="74" t="str">
        <f t="shared" si="12"/>
        <v>Merkez Kasa</v>
      </c>
      <c r="O86" s="73">
        <f t="shared" si="13"/>
        <v>46082</v>
      </c>
      <c r="P86" s="65" t="str">
        <f t="shared" ca="1" si="14"/>
        <v>UYGUN</v>
      </c>
      <c r="Q86" s="2"/>
      <c r="R86" s="2"/>
      <c r="S86" s="1" t="str">
        <f t="shared" si="1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16"/>
        <v>0</v>
      </c>
      <c r="W86" s="1" t="str">
        <f t="shared" si="17"/>
        <v>Gider|Yazılım / Abonelik|46111|11900|Luca Güncelleme Bedeli|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Yazılım / Abonelik|1</v>
      </c>
    </row>
    <row r="87" spans="1:31" ht="18" hidden="1" customHeight="1" x14ac:dyDescent="0.3">
      <c r="A87" s="2"/>
      <c r="B87" s="65" t="str">
        <f t="shared" si="10"/>
        <v>GG00081</v>
      </c>
      <c r="C87" s="66">
        <v>46111</v>
      </c>
      <c r="D87" s="60" t="s">
        <v>769</v>
      </c>
      <c r="E87" s="61" t="s">
        <v>781</v>
      </c>
      <c r="F87" s="61" t="s">
        <v>787</v>
      </c>
      <c r="G87" s="67">
        <v>610</v>
      </c>
      <c r="H87" s="60" t="s">
        <v>772</v>
      </c>
      <c r="I87" s="60" t="s">
        <v>773</v>
      </c>
      <c r="J87" s="61"/>
      <c r="K87" s="61"/>
      <c r="L87" s="60"/>
      <c r="M87" s="74" t="str">
        <f t="shared" si="11"/>
        <v>Telefon / İnternet</v>
      </c>
      <c r="N87" s="74" t="str">
        <f t="shared" si="12"/>
        <v>Merkez Kasa</v>
      </c>
      <c r="O87" s="73">
        <f t="shared" si="13"/>
        <v>46082</v>
      </c>
      <c r="P87" s="65" t="str">
        <f t="shared" ca="1" si="14"/>
        <v>UYGUN</v>
      </c>
      <c r="Q87" s="2"/>
      <c r="R87" s="2"/>
      <c r="S87" s="1" t="str">
        <f t="shared" si="1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16"/>
        <v>0</v>
      </c>
      <c r="W87" s="1" t="str">
        <f t="shared" si="17"/>
        <v>Gider|Telefon / İnternet|46111|610|İnternet Ödemesi|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Telefon / İnternet|7</v>
      </c>
    </row>
    <row r="88" spans="1:31" ht="18" hidden="1" customHeight="1" x14ac:dyDescent="0.3">
      <c r="A88" s="2"/>
      <c r="B88" s="65" t="str">
        <f t="shared" si="10"/>
        <v>GG00082</v>
      </c>
      <c r="C88" s="66">
        <v>46111</v>
      </c>
      <c r="D88" s="60" t="s">
        <v>769</v>
      </c>
      <c r="E88" s="61" t="s">
        <v>788</v>
      </c>
      <c r="F88" s="61" t="s">
        <v>862</v>
      </c>
      <c r="G88" s="67">
        <v>4900</v>
      </c>
      <c r="H88" s="60" t="s">
        <v>772</v>
      </c>
      <c r="I88" s="60" t="s">
        <v>773</v>
      </c>
      <c r="J88" s="61"/>
      <c r="K88" s="61"/>
      <c r="L88" s="60"/>
      <c r="M88" s="74" t="str">
        <f t="shared" si="11"/>
        <v>Ulaşım</v>
      </c>
      <c r="N88" s="74" t="str">
        <f t="shared" si="12"/>
        <v>Merkez Kasa</v>
      </c>
      <c r="O88" s="73">
        <f t="shared" si="13"/>
        <v>46082</v>
      </c>
      <c r="P88" s="65" t="str">
        <f t="shared" ca="1" si="14"/>
        <v>UYGUN</v>
      </c>
      <c r="Q88" s="2"/>
      <c r="R88" s="2"/>
      <c r="S88" s="1" t="str">
        <f t="shared" si="1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16"/>
        <v>0</v>
      </c>
      <c r="W88" s="1" t="str">
        <f t="shared" si="17"/>
        <v>Gider|Ulaşım|46111|4900|Benzin ( Ömer ) 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Ulaşım|7</v>
      </c>
    </row>
    <row r="89" spans="1:31" ht="18" hidden="1" customHeight="1" x14ac:dyDescent="0.3">
      <c r="A89" s="2"/>
      <c r="B89" s="65" t="str">
        <f t="shared" si="10"/>
        <v>GG00083</v>
      </c>
      <c r="C89" s="66">
        <v>46111</v>
      </c>
      <c r="D89" s="60" t="s">
        <v>769</v>
      </c>
      <c r="E89" s="61" t="s">
        <v>801</v>
      </c>
      <c r="F89" s="61" t="s">
        <v>863</v>
      </c>
      <c r="G89" s="67">
        <v>12303.97</v>
      </c>
      <c r="H89" s="60" t="s">
        <v>772</v>
      </c>
      <c r="I89" s="60" t="s">
        <v>773</v>
      </c>
      <c r="J89" s="61"/>
      <c r="K89" s="61"/>
      <c r="L89" s="60"/>
      <c r="M89" s="74" t="str">
        <f t="shared" si="11"/>
        <v>Vergi / Harç</v>
      </c>
      <c r="N89" s="74" t="str">
        <f t="shared" si="12"/>
        <v>Merkez Kasa</v>
      </c>
      <c r="O89" s="73">
        <f t="shared" si="13"/>
        <v>46082</v>
      </c>
      <c r="P89" s="65" t="str">
        <f t="shared" ca="1" si="14"/>
        <v>UYGUN</v>
      </c>
      <c r="Q89" s="2"/>
      <c r="R89" s="2"/>
      <c r="S89" s="1" t="str">
        <f t="shared" si="1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16"/>
        <v>0</v>
      </c>
      <c r="W89" s="1" t="str">
        <f t="shared" si="17"/>
        <v>Gider|Vergi / Harç|46111|12304|M.Ali Kılıç Vergi Ödemesi|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Vergi / Harç|9</v>
      </c>
    </row>
    <row r="90" spans="1:31" ht="18" hidden="1" customHeight="1" x14ac:dyDescent="0.3">
      <c r="A90" s="2"/>
      <c r="B90" s="65" t="str">
        <f t="shared" si="10"/>
        <v>GG00084</v>
      </c>
      <c r="C90" s="66">
        <v>46113</v>
      </c>
      <c r="D90" s="60" t="s">
        <v>769</v>
      </c>
      <c r="E90" s="61" t="s">
        <v>793</v>
      </c>
      <c r="F90" s="61" t="s">
        <v>1306</v>
      </c>
      <c r="G90" s="67">
        <v>2500</v>
      </c>
      <c r="H90" s="60" t="s">
        <v>772</v>
      </c>
      <c r="I90" s="60" t="s">
        <v>773</v>
      </c>
      <c r="J90" s="61"/>
      <c r="K90" s="61"/>
      <c r="L90" s="60"/>
      <c r="M90" s="74" t="str">
        <f t="shared" si="11"/>
        <v>Mehmet Ali Kartal</v>
      </c>
      <c r="N90" s="74" t="str">
        <f t="shared" si="12"/>
        <v>Merkez Kasa</v>
      </c>
      <c r="O90" s="73">
        <f t="shared" si="13"/>
        <v>46113</v>
      </c>
      <c r="P90" s="65" t="str">
        <f t="shared" ca="1" si="14"/>
        <v>UYGUN</v>
      </c>
      <c r="Q90" s="2"/>
      <c r="R90" s="2"/>
      <c r="S90" s="1" t="str">
        <f t="shared" si="1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16"/>
        <v>0</v>
      </c>
      <c r="W90" s="1" t="str">
        <f t="shared" si="17"/>
        <v>Gider|Mehmet Ali Kartal|46113|2500|CEREN DEMİRCİ SGK|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Mehmet Ali Kartal|2</v>
      </c>
    </row>
    <row r="91" spans="1:31" ht="18" customHeight="1" x14ac:dyDescent="0.3">
      <c r="A91" s="2"/>
      <c r="B91" s="65" t="str">
        <f t="shared" si="10"/>
        <v>GG00085</v>
      </c>
      <c r="C91" s="66">
        <v>46115</v>
      </c>
      <c r="D91" s="60" t="s">
        <v>795</v>
      </c>
      <c r="E91" s="61" t="s">
        <v>796</v>
      </c>
      <c r="F91" s="61" t="s">
        <v>864</v>
      </c>
      <c r="G91" s="67">
        <v>30000</v>
      </c>
      <c r="H91" s="60" t="s">
        <v>772</v>
      </c>
      <c r="I91" s="60" t="s">
        <v>773</v>
      </c>
      <c r="J91" s="61"/>
      <c r="K91" s="61"/>
      <c r="L91" s="60"/>
      <c r="M91" s="74" t="str">
        <f t="shared" si="11"/>
        <v>Merkez Kasa</v>
      </c>
      <c r="N91" s="74" t="str">
        <f t="shared" si="12"/>
        <v>Diğer Gelirler</v>
      </c>
      <c r="O91" s="73">
        <f t="shared" si="13"/>
        <v>46113</v>
      </c>
      <c r="P91" s="65" t="str">
        <f t="shared" ca="1" si="14"/>
        <v>UYGUN</v>
      </c>
      <c r="Q91" s="2"/>
      <c r="R91" s="2"/>
      <c r="S91" s="1" t="str">
        <f t="shared" si="1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16"/>
        <v>0</v>
      </c>
      <c r="W91" s="1" t="str">
        <f t="shared" si="17"/>
        <v>Gelir|Diğer Gelirler|46115|30000|ZÜMRÜT GRUP LTD.ŞTİ. SGK DANIŞMANLIK|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Diğer Gelirler|5</v>
      </c>
    </row>
    <row r="92" spans="1:31" ht="18" hidden="1" customHeight="1" x14ac:dyDescent="0.3">
      <c r="A92" s="2"/>
      <c r="B92" s="65" t="str">
        <f t="shared" si="10"/>
        <v>GG00086</v>
      </c>
      <c r="C92" s="66">
        <v>46118</v>
      </c>
      <c r="D92" s="60" t="s">
        <v>769</v>
      </c>
      <c r="E92" s="61" t="s">
        <v>805</v>
      </c>
      <c r="F92" s="61" t="s">
        <v>865</v>
      </c>
      <c r="G92" s="67">
        <v>2000</v>
      </c>
      <c r="H92" s="60" t="s">
        <v>772</v>
      </c>
      <c r="I92" s="60" t="s">
        <v>773</v>
      </c>
      <c r="J92" s="61"/>
      <c r="K92" s="61"/>
      <c r="L92" s="60"/>
      <c r="M92" s="74" t="str">
        <f t="shared" si="11"/>
        <v>Ofis Kirası</v>
      </c>
      <c r="N92" s="74" t="str">
        <f t="shared" si="12"/>
        <v>Merkez Kasa</v>
      </c>
      <c r="O92" s="73">
        <f t="shared" si="13"/>
        <v>46113</v>
      </c>
      <c r="P92" s="65" t="str">
        <f t="shared" ca="1" si="14"/>
        <v>UYGUN</v>
      </c>
      <c r="Q92" s="2"/>
      <c r="R92" s="2"/>
      <c r="S92" s="1" t="str">
        <f t="shared" si="1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16"/>
        <v>0</v>
      </c>
      <c r="W92" s="1" t="str">
        <f t="shared" si="17"/>
        <v>Gider|Ofis Kirası|46118|2000|Nisan Ofis Aidat Ödemesi|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Ofis Kirası|7</v>
      </c>
    </row>
    <row r="93" spans="1:31" ht="18" hidden="1" customHeight="1" x14ac:dyDescent="0.3">
      <c r="A93" s="2"/>
      <c r="B93" s="65" t="str">
        <f t="shared" si="10"/>
        <v>GG00087</v>
      </c>
      <c r="C93" s="66">
        <v>46118</v>
      </c>
      <c r="D93" s="60" t="s">
        <v>769</v>
      </c>
      <c r="E93" s="61" t="s">
        <v>788</v>
      </c>
      <c r="F93" s="61" t="s">
        <v>853</v>
      </c>
      <c r="G93" s="67">
        <v>2000</v>
      </c>
      <c r="H93" s="60" t="s">
        <v>772</v>
      </c>
      <c r="I93" s="60" t="s">
        <v>773</v>
      </c>
      <c r="J93" s="61"/>
      <c r="K93" s="61"/>
      <c r="L93" s="60"/>
      <c r="M93" s="74" t="str">
        <f t="shared" si="11"/>
        <v>Ulaşım</v>
      </c>
      <c r="N93" s="74" t="str">
        <f t="shared" si="12"/>
        <v>Merkez Kasa</v>
      </c>
      <c r="O93" s="73">
        <f t="shared" si="13"/>
        <v>46113</v>
      </c>
      <c r="P93" s="65" t="str">
        <f t="shared" ca="1" si="14"/>
        <v>UYGUN</v>
      </c>
      <c r="Q93" s="2"/>
      <c r="R93" s="2"/>
      <c r="S93" s="1" t="str">
        <f t="shared" si="1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16"/>
        <v>0</v>
      </c>
      <c r="W93" s="1" t="str">
        <f t="shared" si="17"/>
        <v>Gider|Ulaşım|46118|2000|Benzin|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Ulaşım|8</v>
      </c>
    </row>
    <row r="94" spans="1:31" ht="18" hidden="1" customHeight="1" x14ac:dyDescent="0.3">
      <c r="A94" s="2"/>
      <c r="B94" s="65" t="str">
        <f t="shared" si="10"/>
        <v>GG00088</v>
      </c>
      <c r="C94" s="66">
        <v>46118</v>
      </c>
      <c r="D94" s="60" t="s">
        <v>769</v>
      </c>
      <c r="E94" s="61" t="s">
        <v>788</v>
      </c>
      <c r="F94" s="61" t="s">
        <v>853</v>
      </c>
      <c r="G94" s="67">
        <v>1000</v>
      </c>
      <c r="H94" s="60" t="s">
        <v>772</v>
      </c>
      <c r="I94" s="60" t="s">
        <v>773</v>
      </c>
      <c r="J94" s="61"/>
      <c r="K94" s="61"/>
      <c r="L94" s="60"/>
      <c r="M94" s="74" t="str">
        <f t="shared" si="11"/>
        <v>Ulaşım</v>
      </c>
      <c r="N94" s="74" t="str">
        <f t="shared" si="12"/>
        <v>Merkez Kasa</v>
      </c>
      <c r="O94" s="73">
        <f t="shared" si="13"/>
        <v>46113</v>
      </c>
      <c r="P94" s="65" t="str">
        <f t="shared" ca="1" si="14"/>
        <v>UYGUN</v>
      </c>
      <c r="Q94" s="2"/>
      <c r="R94" s="2"/>
      <c r="S94" s="1" t="str">
        <f t="shared" si="1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16"/>
        <v>0</v>
      </c>
      <c r="W94" s="1" t="str">
        <f t="shared" si="17"/>
        <v>Gider|Ulaşım|46118|1000|Benzin|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Ulaşım|9</v>
      </c>
    </row>
    <row r="95" spans="1:31" ht="18" customHeight="1" x14ac:dyDescent="0.3">
      <c r="A95" s="2"/>
      <c r="B95" s="65" t="str">
        <f t="shared" si="10"/>
        <v>GG00089</v>
      </c>
      <c r="C95" s="66">
        <v>46119</v>
      </c>
      <c r="D95" s="60" t="s">
        <v>795</v>
      </c>
      <c r="E95" s="61" t="s">
        <v>796</v>
      </c>
      <c r="F95" s="61" t="s">
        <v>864</v>
      </c>
      <c r="G95" s="67">
        <v>30000</v>
      </c>
      <c r="H95" s="60" t="s">
        <v>772</v>
      </c>
      <c r="I95" s="60" t="s">
        <v>773</v>
      </c>
      <c r="J95" s="61"/>
      <c r="K95" s="61"/>
      <c r="L95" s="60"/>
      <c r="M95" s="74" t="str">
        <f t="shared" si="11"/>
        <v>Merkez Kasa</v>
      </c>
      <c r="N95" s="74" t="str">
        <f t="shared" si="12"/>
        <v>Diğer Gelirler</v>
      </c>
      <c r="O95" s="73">
        <f t="shared" si="13"/>
        <v>46113</v>
      </c>
      <c r="P95" s="65" t="str">
        <f t="shared" ca="1" si="14"/>
        <v>UYGUN</v>
      </c>
      <c r="Q95" s="2"/>
      <c r="R95" s="2"/>
      <c r="S95" s="1" t="str">
        <f t="shared" si="1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16"/>
        <v>0</v>
      </c>
      <c r="W95" s="1" t="str">
        <f t="shared" si="17"/>
        <v>Gelir|Diğer Gelirler|46119|30000|ZÜMRÜT GRUP LTD.ŞTİ. SGK DANIŞMANLIK|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Diğer Gelirler|6</v>
      </c>
    </row>
    <row r="96" spans="1:31" ht="18" hidden="1" customHeight="1" x14ac:dyDescent="0.3">
      <c r="A96" s="2"/>
      <c r="B96" s="65" t="str">
        <f t="shared" si="10"/>
        <v>GG00090</v>
      </c>
      <c r="C96" s="66">
        <v>46123</v>
      </c>
      <c r="D96" s="60" t="s">
        <v>769</v>
      </c>
      <c r="E96" s="61" t="s">
        <v>849</v>
      </c>
      <c r="F96" s="61" t="s">
        <v>866</v>
      </c>
      <c r="G96" s="67">
        <v>9500</v>
      </c>
      <c r="H96" s="60" t="s">
        <v>772</v>
      </c>
      <c r="I96" s="60" t="s">
        <v>773</v>
      </c>
      <c r="J96" s="61"/>
      <c r="K96" s="61"/>
      <c r="L96" s="60"/>
      <c r="M96" s="74" t="str">
        <f t="shared" si="11"/>
        <v>Demirbaş</v>
      </c>
      <c r="N96" s="74" t="str">
        <f t="shared" si="12"/>
        <v>Merkez Kasa</v>
      </c>
      <c r="O96" s="73">
        <f t="shared" si="13"/>
        <v>46113</v>
      </c>
      <c r="P96" s="65" t="str">
        <f t="shared" ca="1" si="14"/>
        <v>UYGUN</v>
      </c>
      <c r="Q96" s="2"/>
      <c r="R96" s="2"/>
      <c r="S96" s="1" t="str">
        <f t="shared" si="1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16"/>
        <v>0</v>
      </c>
      <c r="W96" s="1" t="str">
        <f t="shared" si="17"/>
        <v>Gider|Demirbaş|46123|9500|Serkan Baş Irmak Ömer Bilgisayar Format ve Parça|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Demirbaş|2</v>
      </c>
    </row>
    <row r="97" spans="1:31" ht="18" hidden="1" customHeight="1" x14ac:dyDescent="0.3">
      <c r="A97" s="2"/>
      <c r="B97" s="65" t="str">
        <f t="shared" si="10"/>
        <v>GG00091</v>
      </c>
      <c r="C97" s="66">
        <v>46123</v>
      </c>
      <c r="D97" s="60" t="s">
        <v>769</v>
      </c>
      <c r="E97" s="61" t="s">
        <v>805</v>
      </c>
      <c r="F97" s="61" t="s">
        <v>867</v>
      </c>
      <c r="G97" s="67">
        <v>14000</v>
      </c>
      <c r="H97" s="60" t="s">
        <v>772</v>
      </c>
      <c r="I97" s="60" t="s">
        <v>773</v>
      </c>
      <c r="J97" s="61"/>
      <c r="K97" s="61"/>
      <c r="L97" s="60"/>
      <c r="M97" s="74" t="str">
        <f t="shared" si="11"/>
        <v>Ofis Kirası</v>
      </c>
      <c r="N97" s="74" t="str">
        <f t="shared" si="12"/>
        <v>Merkez Kasa</v>
      </c>
      <c r="O97" s="73">
        <f t="shared" si="13"/>
        <v>46113</v>
      </c>
      <c r="P97" s="65" t="str">
        <f t="shared" ca="1" si="14"/>
        <v>UYGUN</v>
      </c>
      <c r="Q97" s="2"/>
      <c r="R97" s="2"/>
      <c r="S97" s="1" t="str">
        <f t="shared" si="1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16"/>
        <v>0</v>
      </c>
      <c r="W97" s="1" t="str">
        <f t="shared" si="17"/>
        <v>Gider|Ofis Kirası|46123|14000|Mayıs Ofis Kira Ödemesi|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Ofis Kirası|8</v>
      </c>
    </row>
    <row r="98" spans="1:31" ht="18" hidden="1" customHeight="1" x14ac:dyDescent="0.3">
      <c r="A98" s="2"/>
      <c r="B98" s="65" t="str">
        <f t="shared" si="10"/>
        <v>GG00092</v>
      </c>
      <c r="C98" s="66">
        <v>46123</v>
      </c>
      <c r="D98" s="60" t="s">
        <v>769</v>
      </c>
      <c r="E98" s="61" t="s">
        <v>805</v>
      </c>
      <c r="F98" s="61" t="s">
        <v>868</v>
      </c>
      <c r="G98" s="67">
        <v>2000</v>
      </c>
      <c r="H98" s="60" t="s">
        <v>772</v>
      </c>
      <c r="I98" s="60" t="s">
        <v>773</v>
      </c>
      <c r="J98" s="61"/>
      <c r="K98" s="61"/>
      <c r="L98" s="60"/>
      <c r="M98" s="74" t="str">
        <f t="shared" si="11"/>
        <v>Ofis Kirası</v>
      </c>
      <c r="N98" s="74" t="str">
        <f t="shared" si="12"/>
        <v>Merkez Kasa</v>
      </c>
      <c r="O98" s="73">
        <f t="shared" si="13"/>
        <v>46113</v>
      </c>
      <c r="P98" s="65" t="str">
        <f t="shared" ca="1" si="14"/>
        <v>UYGUN</v>
      </c>
      <c r="Q98" s="2"/>
      <c r="R98" s="2"/>
      <c r="S98" s="1" t="str">
        <f t="shared" si="1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16"/>
        <v>0</v>
      </c>
      <c r="W98" s="1" t="str">
        <f t="shared" si="17"/>
        <v>Gider|Ofis Kirası|46123|2000|Mayıs Ofis Aidat Ödemesi|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Ofis Kirası|9</v>
      </c>
    </row>
    <row r="99" spans="1:31" ht="18" hidden="1" customHeight="1" x14ac:dyDescent="0.3">
      <c r="A99" s="2"/>
      <c r="B99" s="65" t="str">
        <f t="shared" si="10"/>
        <v>GG00093</v>
      </c>
      <c r="C99" s="66">
        <v>46123</v>
      </c>
      <c r="D99" s="60" t="s">
        <v>769</v>
      </c>
      <c r="E99" s="61" t="s">
        <v>798</v>
      </c>
      <c r="F99" s="61" t="s">
        <v>869</v>
      </c>
      <c r="G99" s="67">
        <v>1000</v>
      </c>
      <c r="H99" s="60" t="s">
        <v>772</v>
      </c>
      <c r="I99" s="60" t="s">
        <v>773</v>
      </c>
      <c r="J99" s="61"/>
      <c r="K99" s="61"/>
      <c r="L99" s="60"/>
      <c r="M99" s="74" t="str">
        <f t="shared" si="11"/>
        <v>Personel</v>
      </c>
      <c r="N99" s="74" t="str">
        <f t="shared" si="12"/>
        <v>Merkez Kasa</v>
      </c>
      <c r="O99" s="73">
        <f t="shared" si="13"/>
        <v>46113</v>
      </c>
      <c r="P99" s="65" t="str">
        <f t="shared" ca="1" si="14"/>
        <v>UYGUN</v>
      </c>
      <c r="Q99" s="2"/>
      <c r="R99" s="2"/>
      <c r="S99" s="1" t="str">
        <f t="shared" si="1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16"/>
        <v>0</v>
      </c>
      <c r="W99" s="1" t="str">
        <f t="shared" si="17"/>
        <v>Gider|Personel|46123|1000|Irmak Harçlık|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Personel|9</v>
      </c>
    </row>
    <row r="100" spans="1:31" ht="18" hidden="1" customHeight="1" x14ac:dyDescent="0.3">
      <c r="A100" s="2"/>
      <c r="B100" s="65" t="str">
        <f t="shared" si="10"/>
        <v>GG00094</v>
      </c>
      <c r="C100" s="66">
        <v>46123</v>
      </c>
      <c r="D100" s="60" t="s">
        <v>769</v>
      </c>
      <c r="E100" s="61" t="s">
        <v>781</v>
      </c>
      <c r="F100" s="61" t="s">
        <v>870</v>
      </c>
      <c r="G100" s="67">
        <v>800</v>
      </c>
      <c r="H100" s="60" t="s">
        <v>772</v>
      </c>
      <c r="I100" s="60" t="s">
        <v>773</v>
      </c>
      <c r="J100" s="61"/>
      <c r="K100" s="61"/>
      <c r="L100" s="60"/>
      <c r="M100" s="74" t="str">
        <f t="shared" si="11"/>
        <v>Telefon / İnternet</v>
      </c>
      <c r="N100" s="74" t="str">
        <f t="shared" si="12"/>
        <v>Merkez Kasa</v>
      </c>
      <c r="O100" s="73">
        <f t="shared" si="13"/>
        <v>46113</v>
      </c>
      <c r="P100" s="65" t="str">
        <f t="shared" ca="1" si="14"/>
        <v>UYGUN</v>
      </c>
      <c r="Q100" s="2"/>
      <c r="R100" s="2"/>
      <c r="S100" s="1" t="str">
        <f t="shared" si="1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16"/>
        <v>0</v>
      </c>
      <c r="W100" s="1" t="str">
        <f t="shared" si="17"/>
        <v>Gider|Telefon / İnternet|46123|800|Ofis Whatsapp Hattı Nisan|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Telefon / İnternet|8</v>
      </c>
    </row>
    <row r="101" spans="1:31" ht="18" customHeight="1" x14ac:dyDescent="0.3">
      <c r="A101" s="2"/>
      <c r="B101" s="65" t="str">
        <f t="shared" si="10"/>
        <v>GG00095</v>
      </c>
      <c r="C101" s="66">
        <v>46123</v>
      </c>
      <c r="D101" s="60" t="s">
        <v>795</v>
      </c>
      <c r="E101" s="61" t="s">
        <v>871</v>
      </c>
      <c r="F101" s="61" t="s">
        <v>872</v>
      </c>
      <c r="G101" s="67">
        <v>5200</v>
      </c>
      <c r="H101" s="60" t="s">
        <v>772</v>
      </c>
      <c r="I101" s="60" t="s">
        <v>773</v>
      </c>
      <c r="J101" s="61"/>
      <c r="K101" s="61"/>
      <c r="L101" s="60"/>
      <c r="M101" s="74" t="str">
        <f t="shared" si="11"/>
        <v>Merkez Kasa</v>
      </c>
      <c r="N101" s="74" t="str">
        <f t="shared" si="12"/>
        <v>Kurumlar Vergisi Damga</v>
      </c>
      <c r="O101" s="73">
        <f t="shared" si="13"/>
        <v>46113</v>
      </c>
      <c r="P101" s="65" t="str">
        <f t="shared" ca="1" si="14"/>
        <v>UYGUN</v>
      </c>
      <c r="Q101" s="2"/>
      <c r="R101" s="2"/>
      <c r="S101" s="1" t="str">
        <f t="shared" si="1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16"/>
        <v>0</v>
      </c>
      <c r="W101" s="1" t="str">
        <f t="shared" si="17"/>
        <v>Gelir|Kurumlar Vergisi Damga|46123|5200|FİNAL LTD.ŞTİ. 2025 KURUMLAR DAMGA|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Kurumlar Vergisi Damga|1</v>
      </c>
    </row>
    <row r="102" spans="1:31" ht="18" customHeight="1" x14ac:dyDescent="0.3">
      <c r="A102" s="2"/>
      <c r="B102" s="65" t="str">
        <f t="shared" si="10"/>
        <v>GG00096</v>
      </c>
      <c r="C102" s="66">
        <v>46123</v>
      </c>
      <c r="D102" s="60" t="s">
        <v>795</v>
      </c>
      <c r="E102" s="61" t="s">
        <v>871</v>
      </c>
      <c r="F102" s="61" t="s">
        <v>873</v>
      </c>
      <c r="G102" s="67">
        <v>5200</v>
      </c>
      <c r="H102" s="60" t="s">
        <v>772</v>
      </c>
      <c r="I102" s="60" t="s">
        <v>773</v>
      </c>
      <c r="J102" s="61"/>
      <c r="K102" s="61"/>
      <c r="L102" s="60"/>
      <c r="M102" s="74" t="str">
        <f t="shared" si="11"/>
        <v>Merkez Kasa</v>
      </c>
      <c r="N102" s="74" t="str">
        <f t="shared" si="12"/>
        <v>Kurumlar Vergisi Damga</v>
      </c>
      <c r="O102" s="73">
        <f t="shared" si="13"/>
        <v>46113</v>
      </c>
      <c r="P102" s="65" t="str">
        <f t="shared" ca="1" si="14"/>
        <v>UYGUN</v>
      </c>
      <c r="Q102" s="2"/>
      <c r="R102" s="2"/>
      <c r="S102" s="1" t="str">
        <f t="shared" si="1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16"/>
        <v>0</v>
      </c>
      <c r="W102" s="1" t="str">
        <f t="shared" si="17"/>
        <v>Gelir|Kurumlar Vergisi Damga|46123|5200|İLDEŞ LTD.ŞTİ. 2025 KURUMLAR DAMGA|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Kurumlar Vergisi Damga|2</v>
      </c>
    </row>
    <row r="103" spans="1:31" ht="18" customHeight="1" x14ac:dyDescent="0.3">
      <c r="A103" s="2"/>
      <c r="B103" s="65" t="str">
        <f t="shared" si="10"/>
        <v>GG00097</v>
      </c>
      <c r="C103" s="66">
        <v>46123</v>
      </c>
      <c r="D103" s="60" t="s">
        <v>795</v>
      </c>
      <c r="E103" s="61" t="s">
        <v>871</v>
      </c>
      <c r="F103" s="61" t="s">
        <v>874</v>
      </c>
      <c r="G103" s="67">
        <v>5200</v>
      </c>
      <c r="H103" s="60" t="s">
        <v>772</v>
      </c>
      <c r="I103" s="60" t="s">
        <v>773</v>
      </c>
      <c r="J103" s="61"/>
      <c r="K103" s="61"/>
      <c r="L103" s="60"/>
      <c r="M103" s="74" t="str">
        <f t="shared" si="11"/>
        <v>Merkez Kasa</v>
      </c>
      <c r="N103" s="74" t="str">
        <f t="shared" si="12"/>
        <v>Kurumlar Vergisi Damga</v>
      </c>
      <c r="O103" s="73">
        <f t="shared" si="13"/>
        <v>46113</v>
      </c>
      <c r="P103" s="65" t="str">
        <f t="shared" ca="1" si="14"/>
        <v>UYGUN</v>
      </c>
      <c r="Q103" s="2"/>
      <c r="R103" s="2"/>
      <c r="S103" s="1" t="str">
        <f t="shared" si="1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16"/>
        <v>0</v>
      </c>
      <c r="W103" s="1" t="str">
        <f t="shared" si="17"/>
        <v>Gelir|Kurumlar Vergisi Damga|46123|5200|ASM EĞLENCE LTD.ŞTİ. 2025 KURUMLAR DAMGA|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Kurumlar Vergisi Damga|3</v>
      </c>
    </row>
    <row r="104" spans="1:31" ht="18" customHeight="1" x14ac:dyDescent="0.3">
      <c r="A104" s="2"/>
      <c r="B104" s="65" t="str">
        <f t="shared" si="10"/>
        <v>GG00098</v>
      </c>
      <c r="C104" s="66">
        <v>46123</v>
      </c>
      <c r="D104" s="60" t="s">
        <v>795</v>
      </c>
      <c r="E104" s="61" t="s">
        <v>871</v>
      </c>
      <c r="F104" s="61" t="s">
        <v>875</v>
      </c>
      <c r="G104" s="67">
        <v>5200</v>
      </c>
      <c r="H104" s="60" t="s">
        <v>772</v>
      </c>
      <c r="I104" s="60" t="s">
        <v>773</v>
      </c>
      <c r="J104" s="61"/>
      <c r="K104" s="61"/>
      <c r="L104" s="60"/>
      <c r="M104" s="74" t="str">
        <f t="shared" si="11"/>
        <v>Merkez Kasa</v>
      </c>
      <c r="N104" s="74" t="str">
        <f t="shared" si="12"/>
        <v>Kurumlar Vergisi Damga</v>
      </c>
      <c r="O104" s="73">
        <f t="shared" si="13"/>
        <v>46113</v>
      </c>
      <c r="P104" s="65" t="str">
        <f t="shared" ca="1" si="14"/>
        <v>UYGUN</v>
      </c>
      <c r="Q104" s="2"/>
      <c r="R104" s="2"/>
      <c r="S104" s="1" t="str">
        <f t="shared" si="1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16"/>
        <v>0</v>
      </c>
      <c r="W104" s="1" t="str">
        <f t="shared" si="17"/>
        <v>Gelir|Kurumlar Vergisi Damga|46123|5200|RİX LTD.ŞTİ. 2025 KURUMLAR DAMGA|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Kurumlar Vergisi Damga|4</v>
      </c>
    </row>
    <row r="105" spans="1:31" ht="18" customHeight="1" x14ac:dyDescent="0.3">
      <c r="A105" s="2"/>
      <c r="B105" s="65" t="str">
        <f t="shared" si="10"/>
        <v>GG00099</v>
      </c>
      <c r="C105" s="66">
        <v>46123</v>
      </c>
      <c r="D105" s="60" t="s">
        <v>795</v>
      </c>
      <c r="E105" s="61" t="s">
        <v>871</v>
      </c>
      <c r="F105" s="61" t="s">
        <v>876</v>
      </c>
      <c r="G105" s="67">
        <v>5200</v>
      </c>
      <c r="H105" s="60" t="s">
        <v>772</v>
      </c>
      <c r="I105" s="60" t="s">
        <v>773</v>
      </c>
      <c r="J105" s="61"/>
      <c r="K105" s="61"/>
      <c r="L105" s="60"/>
      <c r="M105" s="74" t="str">
        <f t="shared" si="11"/>
        <v>Merkez Kasa</v>
      </c>
      <c r="N105" s="74" t="str">
        <f t="shared" si="12"/>
        <v>Kurumlar Vergisi Damga</v>
      </c>
      <c r="O105" s="73">
        <f t="shared" si="13"/>
        <v>46113</v>
      </c>
      <c r="P105" s="65" t="str">
        <f t="shared" ca="1" si="14"/>
        <v>UYGUN</v>
      </c>
      <c r="Q105" s="2"/>
      <c r="R105" s="2"/>
      <c r="S105" s="1" t="str">
        <f t="shared" si="1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16"/>
        <v>0</v>
      </c>
      <c r="W105" s="1" t="str">
        <f t="shared" si="17"/>
        <v>Gelir|Kurumlar Vergisi Damga|46123|5200|ÇAYIRALAN LTD.ŞTİ. 2025 KURUMLAR DAMGA|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Kurumlar Vergisi Damga|5</v>
      </c>
    </row>
    <row r="106" spans="1:31" ht="18" customHeight="1" x14ac:dyDescent="0.3">
      <c r="A106" s="2"/>
      <c r="B106" s="65" t="str">
        <f t="shared" si="10"/>
        <v>GG00100</v>
      </c>
      <c r="C106" s="66">
        <v>46123</v>
      </c>
      <c r="D106" s="60" t="s">
        <v>795</v>
      </c>
      <c r="E106" s="61" t="s">
        <v>871</v>
      </c>
      <c r="F106" s="61" t="s">
        <v>877</v>
      </c>
      <c r="G106" s="67">
        <v>5200</v>
      </c>
      <c r="H106" s="60" t="s">
        <v>772</v>
      </c>
      <c r="I106" s="60" t="s">
        <v>773</v>
      </c>
      <c r="J106" s="61"/>
      <c r="K106" s="61"/>
      <c r="L106" s="60"/>
      <c r="M106" s="74" t="str">
        <f t="shared" si="11"/>
        <v>Merkez Kasa</v>
      </c>
      <c r="N106" s="74" t="str">
        <f t="shared" si="12"/>
        <v>Kurumlar Vergisi Damga</v>
      </c>
      <c r="O106" s="73">
        <f t="shared" si="13"/>
        <v>46113</v>
      </c>
      <c r="P106" s="65" t="str">
        <f t="shared" ca="1" si="14"/>
        <v>UYGUN</v>
      </c>
      <c r="Q106" s="2"/>
      <c r="R106" s="2"/>
      <c r="S106" s="1" t="str">
        <f t="shared" si="1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16"/>
        <v>0</v>
      </c>
      <c r="W106" s="1" t="str">
        <f t="shared" si="17"/>
        <v>Gelir|Kurumlar Vergisi Damga|46123|5200|İBRAHİM MALDAN 2025 KURUMLAR DAMGA|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Kurumlar Vergisi Damga|6</v>
      </c>
    </row>
    <row r="107" spans="1:31" ht="18" customHeight="1" x14ac:dyDescent="0.3">
      <c r="A107" s="2"/>
      <c r="B107" s="65" t="str">
        <f t="shared" si="10"/>
        <v>GG00101</v>
      </c>
      <c r="C107" s="66">
        <v>46123</v>
      </c>
      <c r="D107" s="60" t="s">
        <v>795</v>
      </c>
      <c r="E107" s="61" t="s">
        <v>871</v>
      </c>
      <c r="F107" s="61" t="s">
        <v>878</v>
      </c>
      <c r="G107" s="67">
        <v>5200</v>
      </c>
      <c r="H107" s="60" t="s">
        <v>772</v>
      </c>
      <c r="I107" s="60" t="s">
        <v>773</v>
      </c>
      <c r="J107" s="61"/>
      <c r="K107" s="61"/>
      <c r="L107" s="60"/>
      <c r="M107" s="74" t="str">
        <f t="shared" si="11"/>
        <v>Merkez Kasa</v>
      </c>
      <c r="N107" s="74" t="str">
        <f t="shared" si="12"/>
        <v>Kurumlar Vergisi Damga</v>
      </c>
      <c r="O107" s="73">
        <f t="shared" si="13"/>
        <v>46113</v>
      </c>
      <c r="P107" s="65" t="str">
        <f t="shared" ca="1" si="14"/>
        <v>UYGUN</v>
      </c>
      <c r="Q107" s="2"/>
      <c r="R107" s="2"/>
      <c r="S107" s="1" t="str">
        <f t="shared" si="1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16"/>
        <v>0</v>
      </c>
      <c r="W107" s="1" t="str">
        <f t="shared" si="17"/>
        <v>Gelir|Kurumlar Vergisi Damga|46123|5200|ASIM AÇIKGÖZ 2025 KURUMLAR DAMGA|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Kurumlar Vergisi Damga|7</v>
      </c>
    </row>
    <row r="108" spans="1:31" ht="18" customHeight="1" x14ac:dyDescent="0.3">
      <c r="A108" s="2"/>
      <c r="B108" s="65" t="str">
        <f t="shared" si="10"/>
        <v>GG00102</v>
      </c>
      <c r="C108" s="66">
        <v>46123</v>
      </c>
      <c r="D108" s="60" t="s">
        <v>795</v>
      </c>
      <c r="E108" s="61" t="s">
        <v>871</v>
      </c>
      <c r="F108" s="61" t="s">
        <v>879</v>
      </c>
      <c r="G108" s="67">
        <v>5200</v>
      </c>
      <c r="H108" s="60" t="s">
        <v>772</v>
      </c>
      <c r="I108" s="60" t="s">
        <v>773</v>
      </c>
      <c r="J108" s="61"/>
      <c r="K108" s="61"/>
      <c r="L108" s="60"/>
      <c r="M108" s="74" t="str">
        <f t="shared" si="11"/>
        <v>Merkez Kasa</v>
      </c>
      <c r="N108" s="74" t="str">
        <f t="shared" si="12"/>
        <v>Kurumlar Vergisi Damga</v>
      </c>
      <c r="O108" s="73">
        <f t="shared" si="13"/>
        <v>46113</v>
      </c>
      <c r="P108" s="65" t="str">
        <f t="shared" ca="1" si="14"/>
        <v>UYGUN</v>
      </c>
      <c r="Q108" s="2"/>
      <c r="R108" s="2"/>
      <c r="S108" s="1" t="str">
        <f t="shared" si="1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16"/>
        <v>0</v>
      </c>
      <c r="W108" s="1" t="str">
        <f t="shared" si="17"/>
        <v>Gelir|Kurumlar Vergisi Damga|46123|5200|KRİSTAL LTD.ŞTİ. 2025 KURUMLAR DAMGA|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Kurumlar Vergisi Damga|8</v>
      </c>
    </row>
    <row r="109" spans="1:31" ht="18" customHeight="1" x14ac:dyDescent="0.3">
      <c r="A109" s="2"/>
      <c r="B109" s="65" t="str">
        <f t="shared" si="10"/>
        <v>GG00103</v>
      </c>
      <c r="C109" s="66">
        <v>46123</v>
      </c>
      <c r="D109" s="60" t="s">
        <v>795</v>
      </c>
      <c r="E109" s="61" t="s">
        <v>871</v>
      </c>
      <c r="F109" s="61" t="s">
        <v>880</v>
      </c>
      <c r="G109" s="67">
        <v>5200</v>
      </c>
      <c r="H109" s="60" t="s">
        <v>772</v>
      </c>
      <c r="I109" s="60" t="s">
        <v>773</v>
      </c>
      <c r="J109" s="61"/>
      <c r="K109" s="61"/>
      <c r="L109" s="60"/>
      <c r="M109" s="74" t="str">
        <f t="shared" si="11"/>
        <v>Merkez Kasa</v>
      </c>
      <c r="N109" s="74" t="str">
        <f t="shared" si="12"/>
        <v>Kurumlar Vergisi Damga</v>
      </c>
      <c r="O109" s="73">
        <f t="shared" si="13"/>
        <v>46113</v>
      </c>
      <c r="P109" s="65" t="str">
        <f t="shared" ca="1" si="14"/>
        <v>UYGUN</v>
      </c>
      <c r="Q109" s="2"/>
      <c r="R109" s="2"/>
      <c r="S109" s="1" t="str">
        <f t="shared" si="1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16"/>
        <v>0</v>
      </c>
      <c r="W109" s="1" t="str">
        <f t="shared" si="17"/>
        <v>Gelir|Kurumlar Vergisi Damga|46123|5200|PALAOĞULLARI LTD.ŞTİ. 2025 KURUMLAR DAMGA|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Kurumlar Vergisi Damga|9</v>
      </c>
    </row>
    <row r="110" spans="1:31" ht="18" customHeight="1" x14ac:dyDescent="0.3">
      <c r="A110" s="2"/>
      <c r="B110" s="65" t="str">
        <f t="shared" si="10"/>
        <v>GG00104</v>
      </c>
      <c r="C110" s="66">
        <v>46123</v>
      </c>
      <c r="D110" s="60" t="s">
        <v>795</v>
      </c>
      <c r="E110" s="61" t="s">
        <v>871</v>
      </c>
      <c r="F110" s="61" t="s">
        <v>881</v>
      </c>
      <c r="G110" s="67">
        <v>5200</v>
      </c>
      <c r="H110" s="60" t="s">
        <v>772</v>
      </c>
      <c r="I110" s="60" t="s">
        <v>773</v>
      </c>
      <c r="J110" s="61"/>
      <c r="K110" s="61"/>
      <c r="L110" s="60"/>
      <c r="M110" s="74" t="str">
        <f t="shared" si="11"/>
        <v>Merkez Kasa</v>
      </c>
      <c r="N110" s="74" t="str">
        <f t="shared" si="12"/>
        <v>Kurumlar Vergisi Damga</v>
      </c>
      <c r="O110" s="73">
        <f t="shared" si="13"/>
        <v>46113</v>
      </c>
      <c r="P110" s="65" t="str">
        <f t="shared" ca="1" si="14"/>
        <v>UYGUN</v>
      </c>
      <c r="Q110" s="2"/>
      <c r="R110" s="2"/>
      <c r="S110" s="1" t="str">
        <f t="shared" si="1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16"/>
        <v>0</v>
      </c>
      <c r="W110" s="1" t="str">
        <f t="shared" si="17"/>
        <v>Gelir|Kurumlar Vergisi Damga|46123|5200|ÇINARHAN LTD.ŞTİ. 2025 KURUMLAR DAMGA|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Kurumlar Vergisi Damga|10</v>
      </c>
    </row>
    <row r="111" spans="1:31" ht="18" customHeight="1" x14ac:dyDescent="0.3">
      <c r="A111" s="2"/>
      <c r="B111" s="65" t="str">
        <f t="shared" si="10"/>
        <v>GG00105</v>
      </c>
      <c r="C111" s="66">
        <v>46123</v>
      </c>
      <c r="D111" s="60" t="s">
        <v>795</v>
      </c>
      <c r="E111" s="61" t="s">
        <v>871</v>
      </c>
      <c r="F111" s="61" t="s">
        <v>882</v>
      </c>
      <c r="G111" s="67">
        <v>5200</v>
      </c>
      <c r="H111" s="60" t="s">
        <v>772</v>
      </c>
      <c r="I111" s="60" t="s">
        <v>773</v>
      </c>
      <c r="J111" s="61"/>
      <c r="K111" s="61"/>
      <c r="L111" s="60"/>
      <c r="M111" s="74" t="str">
        <f t="shared" si="11"/>
        <v>Merkez Kasa</v>
      </c>
      <c r="N111" s="74" t="str">
        <f t="shared" si="12"/>
        <v>Kurumlar Vergisi Damga</v>
      </c>
      <c r="O111" s="73">
        <f t="shared" si="13"/>
        <v>46113</v>
      </c>
      <c r="P111" s="65" t="str">
        <f t="shared" ca="1" si="14"/>
        <v>UYGUN</v>
      </c>
      <c r="Q111" s="2"/>
      <c r="R111" s="2"/>
      <c r="S111" s="1" t="str">
        <f t="shared" si="1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16"/>
        <v>0</v>
      </c>
      <c r="W111" s="1" t="str">
        <f t="shared" si="17"/>
        <v>Gelir|Kurumlar Vergisi Damga|46123|5200|İSA DEMİRCİ 2025 KURUMLAR DAMGA|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Kurumlar Vergisi Damga|11</v>
      </c>
    </row>
    <row r="112" spans="1:31" ht="18" hidden="1" customHeight="1" x14ac:dyDescent="0.3">
      <c r="A112" s="2"/>
      <c r="B112" s="65" t="str">
        <f t="shared" si="10"/>
        <v>GG00106</v>
      </c>
      <c r="C112" s="66">
        <v>46127</v>
      </c>
      <c r="D112" s="60" t="s">
        <v>769</v>
      </c>
      <c r="E112" s="61" t="s">
        <v>788</v>
      </c>
      <c r="F112" s="61" t="s">
        <v>789</v>
      </c>
      <c r="G112" s="67">
        <v>2000</v>
      </c>
      <c r="H112" s="60" t="s">
        <v>772</v>
      </c>
      <c r="I112" s="60" t="s">
        <v>773</v>
      </c>
      <c r="J112" s="61"/>
      <c r="K112" s="61"/>
      <c r="L112" s="60"/>
      <c r="M112" s="74" t="str">
        <f t="shared" si="11"/>
        <v>Ulaşım</v>
      </c>
      <c r="N112" s="74" t="str">
        <f t="shared" si="12"/>
        <v>Merkez Kasa</v>
      </c>
      <c r="O112" s="73">
        <f t="shared" si="13"/>
        <v>46113</v>
      </c>
      <c r="P112" s="65" t="str">
        <f t="shared" ca="1" si="14"/>
        <v>UYGUN</v>
      </c>
      <c r="Q112" s="2"/>
      <c r="R112" s="2"/>
      <c r="S112" s="1" t="str">
        <f t="shared" si="1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16"/>
        <v>0</v>
      </c>
      <c r="W112" s="1" t="str">
        <f t="shared" si="17"/>
        <v>Gider|Ulaşım|46127|2000|Araç Yakıt Alımı|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Ulaşım|10</v>
      </c>
    </row>
    <row r="113" spans="1:31" ht="18" hidden="1" customHeight="1" x14ac:dyDescent="0.3">
      <c r="A113" s="2"/>
      <c r="B113" s="65" t="str">
        <f t="shared" si="10"/>
        <v>GG00107</v>
      </c>
      <c r="C113" s="66">
        <v>46127</v>
      </c>
      <c r="D113" s="60" t="s">
        <v>769</v>
      </c>
      <c r="E113" s="61" t="s">
        <v>793</v>
      </c>
      <c r="F113" s="61" t="s">
        <v>883</v>
      </c>
      <c r="G113" s="67">
        <v>7500</v>
      </c>
      <c r="H113" s="60" t="s">
        <v>772</v>
      </c>
      <c r="I113" s="60" t="s">
        <v>773</v>
      </c>
      <c r="J113" s="61"/>
      <c r="K113" s="61"/>
      <c r="L113" s="60"/>
      <c r="M113" s="74" t="str">
        <f t="shared" si="11"/>
        <v>Mehmet Ali Kartal</v>
      </c>
      <c r="N113" s="74" t="str">
        <f t="shared" si="12"/>
        <v>Merkez Kasa</v>
      </c>
      <c r="O113" s="73">
        <f t="shared" si="13"/>
        <v>46113</v>
      </c>
      <c r="P113" s="65" t="str">
        <f t="shared" ca="1" si="14"/>
        <v>UYGUN</v>
      </c>
      <c r="Q113" s="2"/>
      <c r="R113" s="2"/>
      <c r="S113" s="1" t="str">
        <f t="shared" si="1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16"/>
        <v>0</v>
      </c>
      <c r="W113" s="1" t="str">
        <f t="shared" si="17"/>
        <v>Gider|Mehmet Ali Kartal|46127|7500|Ceren Demirci Tahsilatı|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Mehmet Ali Kartal|3</v>
      </c>
    </row>
    <row r="114" spans="1:31" ht="18" hidden="1" customHeight="1" x14ac:dyDescent="0.3">
      <c r="A114" s="2"/>
      <c r="B114" s="65" t="str">
        <f t="shared" si="10"/>
        <v>GG00108</v>
      </c>
      <c r="C114" s="66">
        <v>46130</v>
      </c>
      <c r="D114" s="60" t="s">
        <v>769</v>
      </c>
      <c r="E114" s="61" t="s">
        <v>790</v>
      </c>
      <c r="F114" s="61" t="s">
        <v>884</v>
      </c>
      <c r="G114" s="67">
        <v>784</v>
      </c>
      <c r="H114" s="60" t="s">
        <v>772</v>
      </c>
      <c r="I114" s="60" t="s">
        <v>773</v>
      </c>
      <c r="J114" s="61"/>
      <c r="K114" s="61"/>
      <c r="L114" s="60"/>
      <c r="M114" s="74" t="str">
        <f t="shared" si="11"/>
        <v>Temsil / Ağırlama</v>
      </c>
      <c r="N114" s="74" t="str">
        <f t="shared" si="12"/>
        <v>Merkez Kasa</v>
      </c>
      <c r="O114" s="73">
        <f t="shared" si="13"/>
        <v>46113</v>
      </c>
      <c r="P114" s="65" t="str">
        <f t="shared" ca="1" si="14"/>
        <v>UYGUN</v>
      </c>
      <c r="Q114" s="2"/>
      <c r="R114" s="2"/>
      <c r="S114" s="1" t="str">
        <f t="shared" si="1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16"/>
        <v>0</v>
      </c>
      <c r="W114" s="1" t="str">
        <f t="shared" si="17"/>
        <v>Gider|Temsil / Ağırlama|46130|784|Ofis Gıda Alışverişi|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Temsil / Ağırlama|12</v>
      </c>
    </row>
    <row r="115" spans="1:31" ht="18" hidden="1" customHeight="1" x14ac:dyDescent="0.3">
      <c r="A115" s="2"/>
      <c r="B115" s="65" t="str">
        <f t="shared" si="10"/>
        <v>GG00109</v>
      </c>
      <c r="C115" s="66">
        <v>46132</v>
      </c>
      <c r="D115" s="60" t="s">
        <v>769</v>
      </c>
      <c r="E115" s="61" t="s">
        <v>849</v>
      </c>
      <c r="F115" s="61" t="s">
        <v>885</v>
      </c>
      <c r="G115" s="67">
        <v>4500</v>
      </c>
      <c r="H115" s="60" t="s">
        <v>772</v>
      </c>
      <c r="I115" s="60" t="s">
        <v>773</v>
      </c>
      <c r="J115" s="61"/>
      <c r="K115" s="61"/>
      <c r="L115" s="60"/>
      <c r="M115" s="74" t="str">
        <f t="shared" si="11"/>
        <v>Demirbaş</v>
      </c>
      <c r="N115" s="74" t="str">
        <f t="shared" si="12"/>
        <v>Merkez Kasa</v>
      </c>
      <c r="O115" s="73">
        <f t="shared" si="13"/>
        <v>46113</v>
      </c>
      <c r="P115" s="65" t="str">
        <f t="shared" ca="1" si="14"/>
        <v>UYGUN</v>
      </c>
      <c r="Q115" s="2"/>
      <c r="R115" s="2"/>
      <c r="S115" s="1" t="str">
        <f t="shared" si="1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16"/>
        <v>0</v>
      </c>
      <c r="W115" s="1" t="str">
        <f t="shared" si="17"/>
        <v>Gider|Demirbaş|46132|4500|Notebook Adaptör 1 Mouse ve Mouseped Toner|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Demirbaş|3</v>
      </c>
    </row>
    <row r="116" spans="1:31" ht="18" hidden="1" customHeight="1" x14ac:dyDescent="0.3">
      <c r="A116" s="2"/>
      <c r="B116" s="65" t="str">
        <f t="shared" si="10"/>
        <v>GG00110</v>
      </c>
      <c r="C116" s="66">
        <v>46132</v>
      </c>
      <c r="D116" s="60" t="s">
        <v>769</v>
      </c>
      <c r="E116" s="61" t="s">
        <v>779</v>
      </c>
      <c r="F116" s="61" t="s">
        <v>886</v>
      </c>
      <c r="G116" s="67">
        <v>5200</v>
      </c>
      <c r="H116" s="60" t="s">
        <v>772</v>
      </c>
      <c r="I116" s="60" t="s">
        <v>773</v>
      </c>
      <c r="J116" s="61"/>
      <c r="K116" s="61"/>
      <c r="L116" s="60"/>
      <c r="M116" s="74" t="str">
        <f t="shared" si="11"/>
        <v>Kırtasiye</v>
      </c>
      <c r="N116" s="74" t="str">
        <f t="shared" si="12"/>
        <v>Merkez Kasa</v>
      </c>
      <c r="O116" s="73">
        <f t="shared" si="13"/>
        <v>46113</v>
      </c>
      <c r="P116" s="65" t="str">
        <f t="shared" ca="1" si="14"/>
        <v>UYGUN</v>
      </c>
      <c r="Q116" s="2"/>
      <c r="R116" s="2"/>
      <c r="S116" s="1" t="str">
        <f t="shared" si="1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16"/>
        <v>0</v>
      </c>
      <c r="W116" s="1" t="str">
        <f t="shared" si="17"/>
        <v>Gider|Kırtasiye|46132|5200|Şeffaf Dosya ve A4 Kağıt 1 Koli|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Kırtasiye|3</v>
      </c>
    </row>
    <row r="117" spans="1:31" ht="18" hidden="1" customHeight="1" x14ac:dyDescent="0.3">
      <c r="A117" s="2"/>
      <c r="B117" s="65" t="str">
        <f t="shared" si="10"/>
        <v>GG00111</v>
      </c>
      <c r="C117" s="66">
        <v>46132</v>
      </c>
      <c r="D117" s="60" t="s">
        <v>769</v>
      </c>
      <c r="E117" s="61" t="s">
        <v>781</v>
      </c>
      <c r="F117" s="61" t="s">
        <v>887</v>
      </c>
      <c r="G117" s="67">
        <v>2100</v>
      </c>
      <c r="H117" s="60" t="s">
        <v>772</v>
      </c>
      <c r="I117" s="60" t="s">
        <v>773</v>
      </c>
      <c r="J117" s="61"/>
      <c r="K117" s="61"/>
      <c r="L117" s="60"/>
      <c r="M117" s="74" t="str">
        <f t="shared" si="11"/>
        <v>Telefon / İnternet</v>
      </c>
      <c r="N117" s="74" t="str">
        <f t="shared" si="12"/>
        <v>Merkez Kasa</v>
      </c>
      <c r="O117" s="73">
        <f t="shared" si="13"/>
        <v>46113</v>
      </c>
      <c r="P117" s="65" t="str">
        <f t="shared" ca="1" si="14"/>
        <v>UYGUN</v>
      </c>
      <c r="Q117" s="2"/>
      <c r="R117" s="2"/>
      <c r="S117" s="1" t="str">
        <f t="shared" si="1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16"/>
        <v>0</v>
      </c>
      <c r="W117" s="1" t="str">
        <f t="shared" si="17"/>
        <v>Gider|Telefon / İnternet|46132|2100|Ofis Whatsapp Hattı Taahhüt Yenileme ( Powerbank ) 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Telefon / İnternet|9</v>
      </c>
    </row>
    <row r="118" spans="1:31" ht="18" hidden="1" customHeight="1" x14ac:dyDescent="0.3">
      <c r="A118" s="2"/>
      <c r="B118" s="65" t="str">
        <f t="shared" si="10"/>
        <v>GG00112</v>
      </c>
      <c r="C118" s="66">
        <v>46132</v>
      </c>
      <c r="D118" s="60" t="s">
        <v>769</v>
      </c>
      <c r="E118" s="61" t="s">
        <v>790</v>
      </c>
      <c r="F118" s="61" t="s">
        <v>888</v>
      </c>
      <c r="G118" s="67">
        <v>2000</v>
      </c>
      <c r="H118" s="60" t="s">
        <v>772</v>
      </c>
      <c r="I118" s="60" t="s">
        <v>773</v>
      </c>
      <c r="J118" s="61"/>
      <c r="K118" s="61"/>
      <c r="L118" s="60"/>
      <c r="M118" s="74" t="str">
        <f t="shared" si="11"/>
        <v>Temsil / Ağırlama</v>
      </c>
      <c r="N118" s="74" t="str">
        <f t="shared" si="12"/>
        <v>Merkez Kasa</v>
      </c>
      <c r="O118" s="73">
        <f t="shared" si="13"/>
        <v>46113</v>
      </c>
      <c r="P118" s="65" t="str">
        <f t="shared" ca="1" si="14"/>
        <v>UYGUN</v>
      </c>
      <c r="Q118" s="2"/>
      <c r="R118" s="2"/>
      <c r="S118" s="1" t="str">
        <f t="shared" si="1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16"/>
        <v>0</v>
      </c>
      <c r="W118" s="1" t="str">
        <f t="shared" si="17"/>
        <v>Gider|Temsil / Ağırlama|46132|2000|Ofis Tabak|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Temsil / Ağırlama|13</v>
      </c>
    </row>
    <row r="119" spans="1:31" ht="18" hidden="1" customHeight="1" x14ac:dyDescent="0.3">
      <c r="A119" s="2"/>
      <c r="B119" s="65" t="str">
        <f t="shared" si="10"/>
        <v>GG00113</v>
      </c>
      <c r="C119" s="66">
        <v>46132</v>
      </c>
      <c r="D119" s="60" t="s">
        <v>769</v>
      </c>
      <c r="E119" s="61" t="s">
        <v>790</v>
      </c>
      <c r="F119" s="61" t="s">
        <v>889</v>
      </c>
      <c r="G119" s="67">
        <v>600</v>
      </c>
      <c r="H119" s="60" t="s">
        <v>772</v>
      </c>
      <c r="I119" s="60" t="s">
        <v>773</v>
      </c>
      <c r="J119" s="61"/>
      <c r="K119" s="61"/>
      <c r="L119" s="60"/>
      <c r="M119" s="74" t="str">
        <f t="shared" si="11"/>
        <v>Temsil / Ağırlama</v>
      </c>
      <c r="N119" s="74" t="str">
        <f t="shared" si="12"/>
        <v>Merkez Kasa</v>
      </c>
      <c r="O119" s="73">
        <f t="shared" si="13"/>
        <v>46113</v>
      </c>
      <c r="P119" s="65" t="str">
        <f t="shared" ca="1" si="14"/>
        <v>UYGUN</v>
      </c>
      <c r="Q119" s="2"/>
      <c r="R119" s="2"/>
      <c r="S119" s="1" t="str">
        <f t="shared" si="1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16"/>
        <v>0</v>
      </c>
      <c r="W119" s="1" t="str">
        <f t="shared" si="17"/>
        <v>Gider|Temsil / Ağırlama|46132|600|Damacana|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Temsil / Ağırlama|14</v>
      </c>
    </row>
    <row r="120" spans="1:31" ht="18" hidden="1" customHeight="1" x14ac:dyDescent="0.3">
      <c r="A120" s="2"/>
      <c r="B120" s="65" t="str">
        <f t="shared" si="10"/>
        <v>GG00114</v>
      </c>
      <c r="C120" s="66">
        <v>46132</v>
      </c>
      <c r="D120" s="60" t="s">
        <v>769</v>
      </c>
      <c r="E120" s="61" t="s">
        <v>790</v>
      </c>
      <c r="F120" s="61" t="s">
        <v>839</v>
      </c>
      <c r="G120" s="67">
        <v>400</v>
      </c>
      <c r="H120" s="60" t="s">
        <v>772</v>
      </c>
      <c r="I120" s="60" t="s">
        <v>773</v>
      </c>
      <c r="J120" s="61"/>
      <c r="K120" s="61"/>
      <c r="L120" s="60"/>
      <c r="M120" s="74" t="str">
        <f t="shared" si="11"/>
        <v>Temsil / Ağırlama</v>
      </c>
      <c r="N120" s="74" t="str">
        <f t="shared" si="12"/>
        <v>Merkez Kasa</v>
      </c>
      <c r="O120" s="73">
        <f t="shared" si="13"/>
        <v>46113</v>
      </c>
      <c r="P120" s="65" t="str">
        <f t="shared" ca="1" si="14"/>
        <v>UYGUN</v>
      </c>
      <c r="Q120" s="2"/>
      <c r="R120" s="2"/>
      <c r="S120" s="1" t="str">
        <f t="shared" si="1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16"/>
        <v>0</v>
      </c>
      <c r="W120" s="1" t="str">
        <f t="shared" si="17"/>
        <v>Gider|Temsil / Ağırlama|46132|400|Mutfak Gereci|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Temsil / Ağırlama|15</v>
      </c>
    </row>
    <row r="121" spans="1:31" ht="18" hidden="1" customHeight="1" x14ac:dyDescent="0.3">
      <c r="A121" s="2"/>
      <c r="B121" s="65" t="str">
        <f t="shared" si="10"/>
        <v>GG00115</v>
      </c>
      <c r="C121" s="66">
        <v>46132</v>
      </c>
      <c r="D121" s="60" t="s">
        <v>769</v>
      </c>
      <c r="E121" s="61" t="s">
        <v>781</v>
      </c>
      <c r="F121" s="61" t="s">
        <v>787</v>
      </c>
      <c r="G121" s="67">
        <v>630</v>
      </c>
      <c r="H121" s="60" t="s">
        <v>772</v>
      </c>
      <c r="I121" s="60" t="s">
        <v>773</v>
      </c>
      <c r="J121" s="61"/>
      <c r="K121" s="61"/>
      <c r="L121" s="60"/>
      <c r="M121" s="74" t="str">
        <f t="shared" si="11"/>
        <v>Telefon / İnternet</v>
      </c>
      <c r="N121" s="74" t="str">
        <f t="shared" si="12"/>
        <v>Merkez Kasa</v>
      </c>
      <c r="O121" s="73">
        <f t="shared" si="13"/>
        <v>46113</v>
      </c>
      <c r="P121" s="65" t="str">
        <f t="shared" ca="1" si="14"/>
        <v>UYGUN</v>
      </c>
      <c r="Q121" s="2"/>
      <c r="R121" s="2"/>
      <c r="S121" s="1" t="str">
        <f t="shared" si="1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16"/>
        <v>0</v>
      </c>
      <c r="W121" s="1" t="str">
        <f t="shared" si="17"/>
        <v>Gider|Telefon / İnternet|46132|630|İnternet Ödemesi|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Telefon / İnternet|10</v>
      </c>
    </row>
    <row r="122" spans="1:31" ht="18" hidden="1" customHeight="1" x14ac:dyDescent="0.3">
      <c r="A122" s="2"/>
      <c r="B122" s="65" t="str">
        <f t="shared" si="10"/>
        <v>GG00116</v>
      </c>
      <c r="C122" s="66">
        <v>46132</v>
      </c>
      <c r="D122" s="60" t="s">
        <v>769</v>
      </c>
      <c r="E122" s="61" t="s">
        <v>788</v>
      </c>
      <c r="F122" s="61" t="s">
        <v>789</v>
      </c>
      <c r="G122" s="67">
        <v>2000</v>
      </c>
      <c r="H122" s="60" t="s">
        <v>772</v>
      </c>
      <c r="I122" s="60" t="s">
        <v>773</v>
      </c>
      <c r="J122" s="61"/>
      <c r="K122" s="61"/>
      <c r="L122" s="60"/>
      <c r="M122" s="74" t="str">
        <f t="shared" si="11"/>
        <v>Ulaşım</v>
      </c>
      <c r="N122" s="74" t="str">
        <f t="shared" si="12"/>
        <v>Merkez Kasa</v>
      </c>
      <c r="O122" s="73">
        <f t="shared" si="13"/>
        <v>46113</v>
      </c>
      <c r="P122" s="65" t="str">
        <f t="shared" ca="1" si="14"/>
        <v>UYGUN</v>
      </c>
      <c r="Q122" s="2"/>
      <c r="R122" s="2"/>
      <c r="S122" s="1" t="str">
        <f t="shared" si="1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16"/>
        <v>0</v>
      </c>
      <c r="W122" s="1" t="str">
        <f t="shared" si="17"/>
        <v>Gider|Ulaşım|46132|2000|Araç Yakıt Alımı|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Ulaşım|11</v>
      </c>
    </row>
    <row r="123" spans="1:31" ht="18" hidden="1" customHeight="1" x14ac:dyDescent="0.3">
      <c r="A123" s="2"/>
      <c r="B123" s="65" t="str">
        <f t="shared" si="10"/>
        <v>GG00117</v>
      </c>
      <c r="C123" s="66">
        <v>46137</v>
      </c>
      <c r="D123" s="60" t="s">
        <v>769</v>
      </c>
      <c r="E123" s="61" t="s">
        <v>790</v>
      </c>
      <c r="F123" s="61" t="s">
        <v>890</v>
      </c>
      <c r="G123" s="67">
        <v>270</v>
      </c>
      <c r="H123" s="60" t="s">
        <v>772</v>
      </c>
      <c r="I123" s="60" t="s">
        <v>773</v>
      </c>
      <c r="J123" s="61"/>
      <c r="K123" s="61"/>
      <c r="L123" s="60"/>
      <c r="M123" s="74" t="str">
        <f t="shared" si="11"/>
        <v>Temsil / Ağırlama</v>
      </c>
      <c r="N123" s="74" t="str">
        <f t="shared" si="12"/>
        <v>Merkez Kasa</v>
      </c>
      <c r="O123" s="73">
        <f t="shared" si="13"/>
        <v>46113</v>
      </c>
      <c r="P123" s="65" t="str">
        <f t="shared" ca="1" si="14"/>
        <v>UYGUN</v>
      </c>
      <c r="Q123" s="2"/>
      <c r="R123" s="2"/>
      <c r="S123" s="1" t="str">
        <f t="shared" si="1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16"/>
        <v>0</v>
      </c>
      <c r="W123" s="1" t="str">
        <f t="shared" si="17"/>
        <v>Gider|Temsil / Ağırlama|46137|270|Ofis Gıda Temizlik Alışverişi|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Temsil / Ağırlama|16</v>
      </c>
    </row>
    <row r="124" spans="1:31" ht="18" hidden="1" customHeight="1" x14ac:dyDescent="0.3">
      <c r="A124" s="2"/>
      <c r="B124" s="65" t="str">
        <f t="shared" si="10"/>
        <v>GG00118</v>
      </c>
      <c r="C124" s="66">
        <v>46139</v>
      </c>
      <c r="D124" s="60" t="s">
        <v>769</v>
      </c>
      <c r="E124" s="61" t="s">
        <v>798</v>
      </c>
      <c r="F124" s="61" t="s">
        <v>891</v>
      </c>
      <c r="G124" s="67">
        <v>20000</v>
      </c>
      <c r="H124" s="60" t="s">
        <v>772</v>
      </c>
      <c r="I124" s="60" t="s">
        <v>773</v>
      </c>
      <c r="J124" s="61"/>
      <c r="K124" s="61"/>
      <c r="L124" s="60"/>
      <c r="M124" s="74" t="str">
        <f t="shared" si="11"/>
        <v>Personel</v>
      </c>
      <c r="N124" s="74" t="str">
        <f t="shared" si="12"/>
        <v>Merkez Kasa</v>
      </c>
      <c r="O124" s="73">
        <f t="shared" si="13"/>
        <v>46113</v>
      </c>
      <c r="P124" s="65" t="str">
        <f t="shared" ca="1" si="14"/>
        <v>UYGUN</v>
      </c>
      <c r="Q124" s="2"/>
      <c r="R124" s="2"/>
      <c r="S124" s="1" t="str">
        <f t="shared" si="1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16"/>
        <v>0</v>
      </c>
      <c r="W124" s="1" t="str">
        <f t="shared" si="17"/>
        <v>Gider|Personel|46139|20000|Zeynep Hanım Avans|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Personel|10</v>
      </c>
    </row>
    <row r="125" spans="1:31" ht="18" hidden="1" customHeight="1" x14ac:dyDescent="0.3">
      <c r="A125" s="2"/>
      <c r="B125" s="65" t="str">
        <f t="shared" si="10"/>
        <v>GG00119</v>
      </c>
      <c r="C125" s="66">
        <v>46139</v>
      </c>
      <c r="D125" s="60" t="s">
        <v>769</v>
      </c>
      <c r="E125" s="61" t="s">
        <v>801</v>
      </c>
      <c r="F125" s="61" t="s">
        <v>859</v>
      </c>
      <c r="G125" s="67">
        <v>11810</v>
      </c>
      <c r="H125" s="60" t="s">
        <v>772</v>
      </c>
      <c r="I125" s="60" t="s">
        <v>773</v>
      </c>
      <c r="J125" s="61"/>
      <c r="K125" s="61"/>
      <c r="L125" s="60"/>
      <c r="M125" s="74" t="str">
        <f t="shared" si="11"/>
        <v>Vergi / Harç</v>
      </c>
      <c r="N125" s="74" t="str">
        <f t="shared" si="12"/>
        <v>Merkez Kasa</v>
      </c>
      <c r="O125" s="73">
        <f t="shared" si="13"/>
        <v>46113</v>
      </c>
      <c r="P125" s="65" t="str">
        <f t="shared" ca="1" si="14"/>
        <v>UYGUN</v>
      </c>
      <c r="Q125" s="2"/>
      <c r="R125" s="2"/>
      <c r="S125" s="1" t="str">
        <f t="shared" si="1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16"/>
        <v>0</v>
      </c>
      <c r="W125" s="1" t="str">
        <f t="shared" si="17"/>
        <v>Gider|Vergi / Harç|46139|11810|Bağkur Ödemesi|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Vergi / Harç|10</v>
      </c>
    </row>
    <row r="126" spans="1:31" ht="18" hidden="1" customHeight="1" x14ac:dyDescent="0.3">
      <c r="A126" s="2"/>
      <c r="B126" s="65" t="str">
        <f t="shared" si="10"/>
        <v>GG00120</v>
      </c>
      <c r="C126" s="66">
        <v>46142</v>
      </c>
      <c r="D126" s="60" t="s">
        <v>769</v>
      </c>
      <c r="E126" s="61" t="s">
        <v>798</v>
      </c>
      <c r="F126" s="61" t="s">
        <v>892</v>
      </c>
      <c r="G126" s="67">
        <v>60000</v>
      </c>
      <c r="H126" s="60" t="s">
        <v>772</v>
      </c>
      <c r="I126" s="60" t="s">
        <v>773</v>
      </c>
      <c r="J126" s="61"/>
      <c r="K126" s="61"/>
      <c r="L126" s="60"/>
      <c r="M126" s="74" t="str">
        <f t="shared" si="11"/>
        <v>Personel</v>
      </c>
      <c r="N126" s="74" t="str">
        <f t="shared" si="12"/>
        <v>Merkez Kasa</v>
      </c>
      <c r="O126" s="73">
        <f t="shared" si="13"/>
        <v>46113</v>
      </c>
      <c r="P126" s="65" t="str">
        <f t="shared" ca="1" si="14"/>
        <v>UYGUN</v>
      </c>
      <c r="Q126" s="2"/>
      <c r="R126" s="2"/>
      <c r="S126" s="1" t="str">
        <f t="shared" si="1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16"/>
        <v>0</v>
      </c>
      <c r="W126" s="1" t="str">
        <f t="shared" si="17"/>
        <v>Gider|Personel|46142|60000|Zeynep Hanim Nisan Maaşı|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Personel|11</v>
      </c>
    </row>
    <row r="127" spans="1:31" ht="18" hidden="1" customHeight="1" x14ac:dyDescent="0.3">
      <c r="A127" s="2"/>
      <c r="B127" s="65" t="str">
        <f t="shared" si="10"/>
        <v>GG00121</v>
      </c>
      <c r="C127" s="66">
        <v>46142</v>
      </c>
      <c r="D127" s="60" t="s">
        <v>769</v>
      </c>
      <c r="E127" s="61" t="s">
        <v>788</v>
      </c>
      <c r="F127" s="61" t="s">
        <v>893</v>
      </c>
      <c r="G127" s="67">
        <v>2000</v>
      </c>
      <c r="H127" s="60" t="s">
        <v>772</v>
      </c>
      <c r="I127" s="60" t="s">
        <v>773</v>
      </c>
      <c r="J127" s="61"/>
      <c r="K127" s="61"/>
      <c r="L127" s="60"/>
      <c r="M127" s="74" t="str">
        <f t="shared" si="11"/>
        <v>Ulaşım</v>
      </c>
      <c r="N127" s="74" t="str">
        <f t="shared" si="12"/>
        <v>Merkez Kasa</v>
      </c>
      <c r="O127" s="73">
        <f t="shared" si="13"/>
        <v>46113</v>
      </c>
      <c r="P127" s="65" t="str">
        <f t="shared" ca="1" si="14"/>
        <v>UYGUN</v>
      </c>
      <c r="Q127" s="2"/>
      <c r="R127" s="2"/>
      <c r="S127" s="1" t="str">
        <f t="shared" si="1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16"/>
        <v>0</v>
      </c>
      <c r="W127" s="1" t="str">
        <f t="shared" si="17"/>
        <v>Gider|Ulaşım|46142|2000|Araç Benzin|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Ulaşım|12</v>
      </c>
    </row>
    <row r="128" spans="1:31" ht="18" customHeight="1" x14ac:dyDescent="0.3">
      <c r="A128" s="2"/>
      <c r="B128" s="65" t="str">
        <f t="shared" si="10"/>
        <v>GG00122</v>
      </c>
      <c r="C128" s="66">
        <v>46142</v>
      </c>
      <c r="D128" s="60" t="s">
        <v>795</v>
      </c>
      <c r="E128" s="61" t="s">
        <v>796</v>
      </c>
      <c r="F128" s="61" t="s">
        <v>894</v>
      </c>
      <c r="G128" s="67">
        <v>30400</v>
      </c>
      <c r="H128" s="60" t="s">
        <v>772</v>
      </c>
      <c r="I128" s="60" t="s">
        <v>773</v>
      </c>
      <c r="J128" s="61"/>
      <c r="K128" s="61"/>
      <c r="L128" s="60"/>
      <c r="M128" s="74" t="str">
        <f t="shared" si="11"/>
        <v>Merkez Kasa</v>
      </c>
      <c r="N128" s="74" t="str">
        <f t="shared" si="12"/>
        <v>Diğer Gelirler</v>
      </c>
      <c r="O128" s="73">
        <f t="shared" si="13"/>
        <v>46113</v>
      </c>
      <c r="P128" s="65" t="str">
        <f t="shared" ca="1" si="14"/>
        <v>UYGUN</v>
      </c>
      <c r="Q128" s="2"/>
      <c r="R128" s="2"/>
      <c r="S128" s="1" t="str">
        <f t="shared" si="1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16"/>
        <v>0</v>
      </c>
      <c r="W128" s="1" t="str">
        <f t="shared" si="17"/>
        <v>Gelir|Diğer Gelirler|46142|30400|ALI KILIC 2025 YILI GELİR VERGİSİ İADE|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Diğer Gelirler|7</v>
      </c>
    </row>
    <row r="129" spans="1:31" ht="18" hidden="1" customHeight="1" x14ac:dyDescent="0.3">
      <c r="A129" s="2"/>
      <c r="B129" s="65" t="str">
        <f t="shared" si="10"/>
        <v>GG00123</v>
      </c>
      <c r="C129" s="66">
        <v>46143</v>
      </c>
      <c r="D129" s="60" t="s">
        <v>769</v>
      </c>
      <c r="E129" s="61" t="s">
        <v>793</v>
      </c>
      <c r="F129" s="61" t="s">
        <v>1306</v>
      </c>
      <c r="G129" s="67">
        <v>2500</v>
      </c>
      <c r="H129" s="60" t="s">
        <v>772</v>
      </c>
      <c r="I129" s="60" t="s">
        <v>773</v>
      </c>
      <c r="J129" s="61"/>
      <c r="K129" s="61"/>
      <c r="L129" s="60"/>
      <c r="M129" s="74" t="str">
        <f t="shared" si="11"/>
        <v>Mehmet Ali Kartal</v>
      </c>
      <c r="N129" s="74" t="str">
        <f t="shared" si="12"/>
        <v>Merkez Kasa</v>
      </c>
      <c r="O129" s="73">
        <f t="shared" si="13"/>
        <v>46143</v>
      </c>
      <c r="P129" s="65" t="str">
        <f t="shared" ca="1" si="14"/>
        <v>UYGUN</v>
      </c>
      <c r="Q129" s="2"/>
      <c r="R129" s="2"/>
      <c r="S129" s="1" t="str">
        <f t="shared" si="1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16"/>
        <v>0</v>
      </c>
      <c r="W129" s="1" t="str">
        <f t="shared" si="17"/>
        <v>Gider|Mehmet Ali Kartal|46143|2500|CEREN DEMİRCİ SGK|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Mehmet Ali Kartal|4</v>
      </c>
    </row>
    <row r="130" spans="1:31" ht="18" hidden="1" customHeight="1" x14ac:dyDescent="0.3">
      <c r="A130" s="2"/>
      <c r="B130" s="65" t="str">
        <f t="shared" si="10"/>
        <v>GG00124</v>
      </c>
      <c r="C130" s="66">
        <v>46144</v>
      </c>
      <c r="D130" s="60" t="s">
        <v>769</v>
      </c>
      <c r="E130" s="61" t="s">
        <v>788</v>
      </c>
      <c r="F130" s="61" t="s">
        <v>895</v>
      </c>
      <c r="G130" s="67">
        <v>1000</v>
      </c>
      <c r="H130" s="60" t="s">
        <v>772</v>
      </c>
      <c r="I130" s="60" t="s">
        <v>773</v>
      </c>
      <c r="J130" s="61"/>
      <c r="K130" s="61"/>
      <c r="L130" s="60"/>
      <c r="M130" s="74" t="str">
        <f t="shared" si="11"/>
        <v>Ulaşım</v>
      </c>
      <c r="N130" s="74" t="str">
        <f t="shared" si="12"/>
        <v>Merkez Kasa</v>
      </c>
      <c r="O130" s="73">
        <f t="shared" si="13"/>
        <v>46143</v>
      </c>
      <c r="P130" s="65" t="str">
        <f t="shared" ca="1" si="14"/>
        <v>UYGUN</v>
      </c>
      <c r="Q130" s="2"/>
      <c r="R130" s="2"/>
      <c r="S130" s="1" t="str">
        <f t="shared" si="1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16"/>
        <v>0</v>
      </c>
      <c r="W130" s="1" t="str">
        <f t="shared" si="17"/>
        <v>Gider|Ulaşım|46144|1000|Ömer TAG|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Ulaşım|13</v>
      </c>
    </row>
    <row r="131" spans="1:31" ht="18" hidden="1" customHeight="1" x14ac:dyDescent="0.3">
      <c r="A131" s="2"/>
      <c r="B131" s="65" t="str">
        <f t="shared" si="10"/>
        <v>GG00125</v>
      </c>
      <c r="C131" s="66">
        <v>46144</v>
      </c>
      <c r="D131" s="60" t="s">
        <v>769</v>
      </c>
      <c r="E131" s="61" t="s">
        <v>805</v>
      </c>
      <c r="F131" s="61" t="s">
        <v>896</v>
      </c>
      <c r="G131" s="67">
        <v>14000</v>
      </c>
      <c r="H131" s="60" t="s">
        <v>772</v>
      </c>
      <c r="I131" s="60" t="s">
        <v>773</v>
      </c>
      <c r="J131" s="61"/>
      <c r="K131" s="61"/>
      <c r="L131" s="60"/>
      <c r="M131" s="74" t="str">
        <f t="shared" si="11"/>
        <v>Ofis Kirası</v>
      </c>
      <c r="N131" s="74" t="str">
        <f t="shared" si="12"/>
        <v>Merkez Kasa</v>
      </c>
      <c r="O131" s="73">
        <f t="shared" si="13"/>
        <v>46143</v>
      </c>
      <c r="P131" s="65" t="str">
        <f t="shared" ca="1" si="14"/>
        <v>UYGUN</v>
      </c>
      <c r="Q131" s="2"/>
      <c r="R131" s="2"/>
      <c r="S131" s="1" t="str">
        <f t="shared" si="1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16"/>
        <v>0</v>
      </c>
      <c r="W131" s="1" t="str">
        <f t="shared" si="17"/>
        <v>Gider|Ofis Kirası|46144|14000|Haziran Ayı Ofis Kirası|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Ofis Kirası|10</v>
      </c>
    </row>
    <row r="132" spans="1:31" ht="18" hidden="1" customHeight="1" x14ac:dyDescent="0.3">
      <c r="A132" s="2"/>
      <c r="B132" s="65" t="str">
        <f t="shared" si="10"/>
        <v>GG00126</v>
      </c>
      <c r="C132" s="66">
        <v>46144</v>
      </c>
      <c r="D132" s="60" t="s">
        <v>769</v>
      </c>
      <c r="E132" s="61" t="s">
        <v>805</v>
      </c>
      <c r="F132" s="61" t="s">
        <v>897</v>
      </c>
      <c r="G132" s="67">
        <v>2000</v>
      </c>
      <c r="H132" s="60" t="s">
        <v>772</v>
      </c>
      <c r="I132" s="60" t="s">
        <v>773</v>
      </c>
      <c r="J132" s="61"/>
      <c r="K132" s="61"/>
      <c r="L132" s="60"/>
      <c r="M132" s="74" t="str">
        <f t="shared" si="11"/>
        <v>Ofis Kirası</v>
      </c>
      <c r="N132" s="74" t="str">
        <f t="shared" si="12"/>
        <v>Merkez Kasa</v>
      </c>
      <c r="O132" s="73">
        <f t="shared" si="13"/>
        <v>46143</v>
      </c>
      <c r="P132" s="65" t="str">
        <f t="shared" ca="1" si="14"/>
        <v>UYGUN</v>
      </c>
      <c r="Q132" s="2"/>
      <c r="R132" s="2"/>
      <c r="S132" s="1" t="str">
        <f t="shared" si="1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16"/>
        <v>0</v>
      </c>
      <c r="W132" s="1" t="str">
        <f t="shared" si="17"/>
        <v>Gider|Ofis Kirası|46144|2000|Haziran Aidat Ödemesi|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Ofis Kirası|11</v>
      </c>
    </row>
    <row r="133" spans="1:31" ht="18" hidden="1" customHeight="1" x14ac:dyDescent="0.3">
      <c r="A133" s="2"/>
      <c r="B133" s="65" t="str">
        <f t="shared" si="10"/>
        <v>GG00127</v>
      </c>
      <c r="C133" s="66">
        <v>46144</v>
      </c>
      <c r="D133" s="60" t="s">
        <v>769</v>
      </c>
      <c r="E133" s="61" t="s">
        <v>788</v>
      </c>
      <c r="F133" s="61" t="s">
        <v>789</v>
      </c>
      <c r="G133" s="67">
        <v>2000</v>
      </c>
      <c r="H133" s="60" t="s">
        <v>772</v>
      </c>
      <c r="I133" s="60" t="s">
        <v>773</v>
      </c>
      <c r="J133" s="61"/>
      <c r="K133" s="61"/>
      <c r="L133" s="60"/>
      <c r="M133" s="74" t="str">
        <f t="shared" si="11"/>
        <v>Ulaşım</v>
      </c>
      <c r="N133" s="74" t="str">
        <f t="shared" si="12"/>
        <v>Merkez Kasa</v>
      </c>
      <c r="O133" s="73">
        <f t="shared" si="13"/>
        <v>46143</v>
      </c>
      <c r="P133" s="65" t="str">
        <f t="shared" ca="1" si="14"/>
        <v>UYGUN</v>
      </c>
      <c r="Q133" s="2"/>
      <c r="R133" s="2"/>
      <c r="S133" s="1" t="str">
        <f t="shared" si="1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16"/>
        <v>0</v>
      </c>
      <c r="W133" s="1" t="str">
        <f t="shared" si="17"/>
        <v>Gider|Ulaşım|46144|2000|Araç Yakıt Alımı|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Ulaşım|14</v>
      </c>
    </row>
    <row r="134" spans="1:31" ht="18" hidden="1" customHeight="1" x14ac:dyDescent="0.3">
      <c r="A134" s="2"/>
      <c r="B134" s="65" t="str">
        <f t="shared" si="10"/>
        <v>GG00128</v>
      </c>
      <c r="C134" s="66">
        <v>46146</v>
      </c>
      <c r="D134" s="60" t="s">
        <v>769</v>
      </c>
      <c r="E134" s="61" t="s">
        <v>788</v>
      </c>
      <c r="F134" s="61" t="s">
        <v>898</v>
      </c>
      <c r="G134" s="67">
        <v>600</v>
      </c>
      <c r="H134" s="60" t="s">
        <v>772</v>
      </c>
      <c r="I134" s="60" t="s">
        <v>773</v>
      </c>
      <c r="J134" s="61"/>
      <c r="K134" s="61"/>
      <c r="L134" s="60"/>
      <c r="M134" s="74" t="str">
        <f t="shared" si="11"/>
        <v>Ulaşım</v>
      </c>
      <c r="N134" s="74" t="str">
        <f t="shared" si="12"/>
        <v>Merkez Kasa</v>
      </c>
      <c r="O134" s="73">
        <f t="shared" si="13"/>
        <v>46143</v>
      </c>
      <c r="P134" s="65" t="str">
        <f t="shared" ca="1" si="14"/>
        <v>UYGUN</v>
      </c>
      <c r="Q134" s="2"/>
      <c r="R134" s="2"/>
      <c r="S134" s="1" t="str">
        <f t="shared" si="1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16"/>
        <v>0</v>
      </c>
      <c r="W134" s="1" t="str">
        <f t="shared" si="17"/>
        <v>Gider|Ulaşım|46146|600|Yıkama|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Ulaşım|15</v>
      </c>
    </row>
    <row r="135" spans="1:31" ht="18" hidden="1" customHeight="1" x14ac:dyDescent="0.3">
      <c r="A135" s="2"/>
      <c r="B135" s="65" t="str">
        <f t="shared" ref="B135:B198" si="18">IF($C135="","","GG"&amp;TEXT(ROW()-6,"00000"))</f>
        <v>GG00129</v>
      </c>
      <c r="C135" s="66">
        <v>46147</v>
      </c>
      <c r="D135" s="60" t="s">
        <v>769</v>
      </c>
      <c r="E135" s="61" t="s">
        <v>798</v>
      </c>
      <c r="F135" s="61" t="s">
        <v>869</v>
      </c>
      <c r="G135" s="67">
        <v>10000</v>
      </c>
      <c r="H135" s="60" t="s">
        <v>772</v>
      </c>
      <c r="I135" s="60" t="s">
        <v>773</v>
      </c>
      <c r="J135" s="61"/>
      <c r="K135" s="61"/>
      <c r="L135" s="60"/>
      <c r="M135" s="74" t="str">
        <f t="shared" ref="M135:M198" si="19">IF($C135="","",IF($D135="Gider",$E135,IF($L135&lt;&gt;"",$L135,$H135)))</f>
        <v>Personel</v>
      </c>
      <c r="N135" s="74" t="str">
        <f t="shared" ref="N135:N198" si="20">IF($C135="","",IF($D135="Gider",$H135,$E135))</f>
        <v>Merkez Kasa</v>
      </c>
      <c r="O135" s="73">
        <f t="shared" ref="O135:O198" si="21">IF($C135="","",DATE(YEAR($C135),MONTH($C135),1))</f>
        <v>46143</v>
      </c>
      <c r="P135" s="65" t="str">
        <f t="shared" ref="P135:P198" ca="1" si="22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TARİH",IF(COUNTIF($W$7:$W$3001,$W135)&gt;1,"MÜKERRER?",IF($AD135&gt;0,"KAPALI DÖNEM",IF($I135="Hayır","ÖDENECEK","UYGUN")))),"EKSİK"))))</f>
        <v>UYGUN</v>
      </c>
      <c r="Q135" s="2"/>
      <c r="R135" s="2"/>
      <c r="S135" s="1" t="str">
        <f t="shared" ref="S135:S196" si="23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6" si="24">IF($T135="",0,1)</f>
        <v>0</v>
      </c>
      <c r="W135" s="1" t="str">
        <f t="shared" ref="W135:W196" si="25">IF($C135="","",$D135&amp;"|"&amp;$E135&amp;"|"&amp;TEXT($C135,"0")&amp;"|"&amp;TEXT($G135,"0")&amp;"|"&amp;$F135&amp;"|"&amp;$J135)</f>
        <v>Gider|Personel|46147|10000|Irmak Harçlık|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Personel|12</v>
      </c>
    </row>
    <row r="136" spans="1:31" ht="18" hidden="1" customHeight="1" x14ac:dyDescent="0.3">
      <c r="A136" s="2"/>
      <c r="B136" s="65" t="str">
        <f t="shared" si="18"/>
        <v>GG00130</v>
      </c>
      <c r="C136" s="66">
        <v>46151</v>
      </c>
      <c r="D136" s="60" t="s">
        <v>769</v>
      </c>
      <c r="E136" s="61" t="s">
        <v>781</v>
      </c>
      <c r="F136" s="61" t="s">
        <v>557</v>
      </c>
      <c r="G136" s="67">
        <v>964</v>
      </c>
      <c r="H136" s="60" t="s">
        <v>772</v>
      </c>
      <c r="I136" s="60" t="s">
        <v>773</v>
      </c>
      <c r="J136" s="61"/>
      <c r="K136" s="61"/>
      <c r="L136" s="60"/>
      <c r="M136" s="74" t="str">
        <f t="shared" si="19"/>
        <v>Telefon / İnternet</v>
      </c>
      <c r="N136" s="74" t="str">
        <f t="shared" si="20"/>
        <v>Merkez Kasa</v>
      </c>
      <c r="O136" s="73">
        <f t="shared" si="21"/>
        <v>46143</v>
      </c>
      <c r="P136" s="65" t="str">
        <f t="shared" ca="1" si="22"/>
        <v>UYGUN</v>
      </c>
      <c r="Q136" s="2"/>
      <c r="R136" s="2"/>
      <c r="S136" s="1" t="str">
        <f t="shared" si="23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24"/>
        <v>0</v>
      </c>
      <c r="W136" s="1" t="str">
        <f t="shared" si="25"/>
        <v>Gider|Telefon / İnternet|46151|964|Telefon|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Telefon / İnternet|11</v>
      </c>
    </row>
    <row r="137" spans="1:31" ht="18" hidden="1" customHeight="1" x14ac:dyDescent="0.3">
      <c r="A137" s="2"/>
      <c r="B137" s="65" t="str">
        <f t="shared" si="18"/>
        <v>GG00131</v>
      </c>
      <c r="C137" s="66">
        <v>46151</v>
      </c>
      <c r="D137" s="60" t="s">
        <v>769</v>
      </c>
      <c r="E137" s="61" t="s">
        <v>781</v>
      </c>
      <c r="F137" s="61" t="s">
        <v>899</v>
      </c>
      <c r="G137" s="67">
        <v>800</v>
      </c>
      <c r="H137" s="60" t="s">
        <v>772</v>
      </c>
      <c r="I137" s="60" t="s">
        <v>773</v>
      </c>
      <c r="J137" s="61"/>
      <c r="K137" s="61"/>
      <c r="L137" s="60"/>
      <c r="M137" s="74" t="str">
        <f t="shared" si="19"/>
        <v>Telefon / İnternet</v>
      </c>
      <c r="N137" s="74" t="str">
        <f t="shared" si="20"/>
        <v>Merkez Kasa</v>
      </c>
      <c r="O137" s="73">
        <f t="shared" si="21"/>
        <v>46143</v>
      </c>
      <c r="P137" s="65" t="str">
        <f t="shared" ca="1" si="22"/>
        <v>UYGUN</v>
      </c>
      <c r="Q137" s="2"/>
      <c r="R137" s="2"/>
      <c r="S137" s="1" t="str">
        <f t="shared" si="23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24"/>
        <v>0</v>
      </c>
      <c r="W137" s="1" t="str">
        <f t="shared" si="25"/>
        <v>Gider|Telefon / İnternet|46151|800|Ofis Whatsapp Hattı Mayıs|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Telefon / İnternet|12</v>
      </c>
    </row>
    <row r="138" spans="1:31" ht="18" hidden="1" customHeight="1" x14ac:dyDescent="0.3">
      <c r="A138" s="2"/>
      <c r="B138" s="65" t="str">
        <f t="shared" si="18"/>
        <v>GG00132</v>
      </c>
      <c r="C138" s="66">
        <v>46151</v>
      </c>
      <c r="D138" s="60" t="s">
        <v>769</v>
      </c>
      <c r="E138" s="61" t="s">
        <v>793</v>
      </c>
      <c r="F138" s="61" t="s">
        <v>900</v>
      </c>
      <c r="G138" s="67">
        <v>51500</v>
      </c>
      <c r="H138" s="60" t="s">
        <v>772</v>
      </c>
      <c r="I138" s="60" t="s">
        <v>773</v>
      </c>
      <c r="J138" s="61"/>
      <c r="K138" s="61"/>
      <c r="L138" s="60"/>
      <c r="M138" s="74" t="str">
        <f t="shared" si="19"/>
        <v>Mehmet Ali Kartal</v>
      </c>
      <c r="N138" s="74" t="str">
        <f t="shared" si="20"/>
        <v>Merkez Kasa</v>
      </c>
      <c r="O138" s="73">
        <f t="shared" si="21"/>
        <v>46143</v>
      </c>
      <c r="P138" s="65" t="str">
        <f t="shared" ca="1" si="22"/>
        <v>UYGUN</v>
      </c>
      <c r="Q138" s="2"/>
      <c r="R138" s="2"/>
      <c r="S138" s="1" t="str">
        <f t="shared" si="23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24"/>
        <v>0</v>
      </c>
      <c r="W138" s="1" t="str">
        <f t="shared" si="25"/>
        <v>Gider|Mehmet Ali Kartal|46151|51500|Mehmet Ali Kartal Nisan ve Mayıs Maaşı|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Mehmet Ali Kartal|5</v>
      </c>
    </row>
    <row r="139" spans="1:31" ht="18" hidden="1" customHeight="1" x14ac:dyDescent="0.3">
      <c r="A139" s="2"/>
      <c r="B139" s="65" t="str">
        <f t="shared" si="18"/>
        <v>GG00133</v>
      </c>
      <c r="C139" s="66">
        <v>46151</v>
      </c>
      <c r="D139" s="60" t="s">
        <v>769</v>
      </c>
      <c r="E139" s="61" t="s">
        <v>788</v>
      </c>
      <c r="F139" s="61" t="s">
        <v>789</v>
      </c>
      <c r="G139" s="67">
        <v>2000</v>
      </c>
      <c r="H139" s="60" t="s">
        <v>772</v>
      </c>
      <c r="I139" s="60" t="s">
        <v>773</v>
      </c>
      <c r="J139" s="61"/>
      <c r="K139" s="61"/>
      <c r="L139" s="60"/>
      <c r="M139" s="74" t="str">
        <f t="shared" si="19"/>
        <v>Ulaşım</v>
      </c>
      <c r="N139" s="74" t="str">
        <f t="shared" si="20"/>
        <v>Merkez Kasa</v>
      </c>
      <c r="O139" s="73">
        <f t="shared" si="21"/>
        <v>46143</v>
      </c>
      <c r="P139" s="65" t="str">
        <f t="shared" ca="1" si="22"/>
        <v>UYGUN</v>
      </c>
      <c r="Q139" s="2"/>
      <c r="R139" s="2"/>
      <c r="S139" s="1" t="str">
        <f t="shared" si="23"/>
        <v/>
      </c>
      <c r="T139" s="1" t="str">
        <f>IF(OR($C139="",$D139&lt;&gt;"Gelir",$L139=""),"",IFERROR(INDEX(MUSTERILER!$B$7:$B$156,MATCH($S139,MUSTERILER!$T$7:$T$156,0)),""))</f>
        <v/>
      </c>
      <c r="U139" s="1" t="str">
        <f>IF($T139="","",$T139&amp;"|"&amp;COUNTIFS($T$7:$T139,$T139))</f>
        <v/>
      </c>
      <c r="V139" s="1">
        <f t="shared" si="24"/>
        <v>0</v>
      </c>
      <c r="W139" s="1" t="str">
        <f t="shared" si="25"/>
        <v>Gider|Ulaşım|46151|2000|Araç Yakıt Alımı|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Ulaşım|16</v>
      </c>
    </row>
    <row r="140" spans="1:31" ht="18" customHeight="1" x14ac:dyDescent="0.3">
      <c r="A140" s="2"/>
      <c r="B140" s="65" t="str">
        <f t="shared" si="18"/>
        <v>GG00134</v>
      </c>
      <c r="C140" s="66">
        <v>46151</v>
      </c>
      <c r="D140" s="60" t="s">
        <v>795</v>
      </c>
      <c r="E140" s="61" t="s">
        <v>812</v>
      </c>
      <c r="F140" s="61" t="s">
        <v>901</v>
      </c>
      <c r="G140" s="67">
        <v>5350</v>
      </c>
      <c r="H140" s="60" t="s">
        <v>772</v>
      </c>
      <c r="I140" s="60" t="s">
        <v>773</v>
      </c>
      <c r="J140" s="61"/>
      <c r="K140" s="61"/>
      <c r="L140" s="60"/>
      <c r="M140" s="74" t="str">
        <f t="shared" si="19"/>
        <v>Merkez Kasa</v>
      </c>
      <c r="N140" s="74" t="str">
        <f t="shared" si="20"/>
        <v>Geçici Vergi Damga</v>
      </c>
      <c r="O140" s="73">
        <f t="shared" si="21"/>
        <v>46143</v>
      </c>
      <c r="P140" s="65" t="str">
        <f t="shared" ca="1" si="22"/>
        <v>UYGUN</v>
      </c>
      <c r="Q140" s="2"/>
      <c r="R140" s="2"/>
      <c r="S140" s="1" t="str">
        <f t="shared" si="23"/>
        <v/>
      </c>
      <c r="T140" s="1" t="str">
        <f>IF(OR($C140="",$D140&lt;&gt;"Gelir",$L140=""),"",IFERROR(INDEX(MUSTERILER!$B$7:$B$156,MATCH($S140,MUSTERILER!$T$7:$T$156,0)),""))</f>
        <v/>
      </c>
      <c r="U140" s="1" t="str">
        <f>IF($T140="","",$T140&amp;"|"&amp;COUNTIFS($T$7:$T140,$T140))</f>
        <v/>
      </c>
      <c r="V140" s="1">
        <f t="shared" si="24"/>
        <v>0</v>
      </c>
      <c r="W140" s="1" t="str">
        <f t="shared" si="25"/>
        <v>Gelir|Geçici Vergi Damga|46151|5350|KRİSTAL LTD.ŞTİ. 2026 / 1 GEÇİCİ DAMGA|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Geçici Vergi Damga|12</v>
      </c>
    </row>
    <row r="141" spans="1:31" ht="18" customHeight="1" x14ac:dyDescent="0.3">
      <c r="A141" s="2"/>
      <c r="B141" s="65" t="str">
        <f t="shared" si="18"/>
        <v>GG00135</v>
      </c>
      <c r="C141" s="66">
        <v>46151</v>
      </c>
      <c r="D141" s="60" t="s">
        <v>795</v>
      </c>
      <c r="E141" s="61" t="s">
        <v>812</v>
      </c>
      <c r="F141" s="61" t="s">
        <v>902</v>
      </c>
      <c r="G141" s="67">
        <v>5350</v>
      </c>
      <c r="H141" s="60" t="s">
        <v>772</v>
      </c>
      <c r="I141" s="60" t="s">
        <v>773</v>
      </c>
      <c r="J141" s="61"/>
      <c r="K141" s="61"/>
      <c r="L141" s="60"/>
      <c r="M141" s="74" t="str">
        <f t="shared" si="19"/>
        <v>Merkez Kasa</v>
      </c>
      <c r="N141" s="74" t="str">
        <f t="shared" si="20"/>
        <v>Geçici Vergi Damga</v>
      </c>
      <c r="O141" s="73">
        <f t="shared" si="21"/>
        <v>46143</v>
      </c>
      <c r="P141" s="65" t="str">
        <f t="shared" ca="1" si="22"/>
        <v>UYGUN</v>
      </c>
      <c r="Q141" s="2"/>
      <c r="R141" s="2"/>
      <c r="S141" s="1" t="str">
        <f t="shared" si="23"/>
        <v/>
      </c>
      <c r="T141" s="1" t="str">
        <f>IF(OR($C141="",$D141&lt;&gt;"Gelir",$L141=""),"",IFERROR(INDEX(MUSTERILER!$B$7:$B$156,MATCH($S141,MUSTERILER!$T$7:$T$156,0)),""))</f>
        <v/>
      </c>
      <c r="U141" s="1" t="str">
        <f>IF($T141="","",$T141&amp;"|"&amp;COUNTIFS($T$7:$T141,$T141))</f>
        <v/>
      </c>
      <c r="V141" s="1">
        <f t="shared" si="24"/>
        <v>0</v>
      </c>
      <c r="W141" s="1" t="str">
        <f t="shared" si="25"/>
        <v>Gelir|Geçici Vergi Damga|46151|5350|ÇAYIRALAN LTD.ŞTİ. 2026 / 1 GEÇİCİ DAMGA|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Geçici Vergi Damga|13</v>
      </c>
    </row>
    <row r="142" spans="1:31" ht="18" customHeight="1" x14ac:dyDescent="0.3">
      <c r="A142" s="2"/>
      <c r="B142" s="65" t="str">
        <f t="shared" si="18"/>
        <v>GG00136</v>
      </c>
      <c r="C142" s="66">
        <v>46151</v>
      </c>
      <c r="D142" s="60" t="s">
        <v>795</v>
      </c>
      <c r="E142" s="61" t="s">
        <v>812</v>
      </c>
      <c r="F142" s="61" t="s">
        <v>903</v>
      </c>
      <c r="G142" s="67">
        <v>5350</v>
      </c>
      <c r="H142" s="60" t="s">
        <v>772</v>
      </c>
      <c r="I142" s="60" t="s">
        <v>773</v>
      </c>
      <c r="J142" s="61"/>
      <c r="K142" s="61"/>
      <c r="L142" s="60"/>
      <c r="M142" s="74" t="str">
        <f t="shared" si="19"/>
        <v>Merkez Kasa</v>
      </c>
      <c r="N142" s="74" t="str">
        <f t="shared" si="20"/>
        <v>Geçici Vergi Damga</v>
      </c>
      <c r="O142" s="73">
        <f t="shared" si="21"/>
        <v>46143</v>
      </c>
      <c r="P142" s="65" t="str">
        <f t="shared" ca="1" si="22"/>
        <v>UYGUN</v>
      </c>
      <c r="Q142" s="2"/>
      <c r="R142" s="2"/>
      <c r="S142" s="1" t="str">
        <f t="shared" si="23"/>
        <v/>
      </c>
      <c r="T142" s="1" t="str">
        <f>IF(OR($C142="",$D142&lt;&gt;"Gelir",$L142=""),"",IFERROR(INDEX(MUSTERILER!$B$7:$B$156,MATCH($S142,MUSTERILER!$T$7:$T$156,0)),""))</f>
        <v/>
      </c>
      <c r="U142" s="1" t="str">
        <f>IF($T142="","",$T142&amp;"|"&amp;COUNTIFS($T$7:$T142,$T142))</f>
        <v/>
      </c>
      <c r="V142" s="1">
        <f t="shared" si="24"/>
        <v>0</v>
      </c>
      <c r="W142" s="1" t="str">
        <f t="shared" si="25"/>
        <v>Gelir|Geçici Vergi Damga|46151|5350|RİX LTD.ŞTİ.  2026 / 1 GEÇİCİ DAMGA|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Geçici Vergi Damga|14</v>
      </c>
    </row>
    <row r="143" spans="1:31" ht="18" customHeight="1" x14ac:dyDescent="0.3">
      <c r="A143" s="2"/>
      <c r="B143" s="65" t="str">
        <f t="shared" si="18"/>
        <v>GG00137</v>
      </c>
      <c r="C143" s="66">
        <v>46151</v>
      </c>
      <c r="D143" s="60" t="s">
        <v>795</v>
      </c>
      <c r="E143" s="61" t="s">
        <v>812</v>
      </c>
      <c r="F143" s="61" t="s">
        <v>904</v>
      </c>
      <c r="G143" s="67">
        <v>5350</v>
      </c>
      <c r="H143" s="60" t="s">
        <v>772</v>
      </c>
      <c r="I143" s="60" t="s">
        <v>773</v>
      </c>
      <c r="J143" s="61"/>
      <c r="K143" s="61"/>
      <c r="L143" s="60"/>
      <c r="M143" s="74" t="str">
        <f t="shared" si="19"/>
        <v>Merkez Kasa</v>
      </c>
      <c r="N143" s="74" t="str">
        <f t="shared" si="20"/>
        <v>Geçici Vergi Damga</v>
      </c>
      <c r="O143" s="73">
        <f t="shared" si="21"/>
        <v>46143</v>
      </c>
      <c r="P143" s="65" t="str">
        <f t="shared" ca="1" si="22"/>
        <v>UYGUN</v>
      </c>
      <c r="Q143" s="2"/>
      <c r="R143" s="2"/>
      <c r="S143" s="1" t="str">
        <f t="shared" si="23"/>
        <v/>
      </c>
      <c r="T143" s="1" t="str">
        <f>IF(OR($C143="",$D143&lt;&gt;"Gelir",$L143=""),"",IFERROR(INDEX(MUSTERILER!$B$7:$B$156,MATCH($S143,MUSTERILER!$T$7:$T$156,0)),""))</f>
        <v/>
      </c>
      <c r="U143" s="1" t="str">
        <f>IF($T143="","",$T143&amp;"|"&amp;COUNTIFS($T$7:$T143,$T143))</f>
        <v/>
      </c>
      <c r="V143" s="1">
        <f t="shared" si="24"/>
        <v>0</v>
      </c>
      <c r="W143" s="1" t="str">
        <f t="shared" si="25"/>
        <v>Gelir|Geçici Vergi Damga|46151|5350|ASM EĞLENCE LTD.ŞTİ.  2026 / 1 GEÇİCİ DAMGA|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Geçici Vergi Damga|15</v>
      </c>
    </row>
    <row r="144" spans="1:31" ht="18" customHeight="1" x14ac:dyDescent="0.3">
      <c r="A144" s="2"/>
      <c r="B144" s="65" t="str">
        <f t="shared" si="18"/>
        <v>GG00138</v>
      </c>
      <c r="C144" s="66">
        <v>46151</v>
      </c>
      <c r="D144" s="60" t="s">
        <v>795</v>
      </c>
      <c r="E144" s="61" t="s">
        <v>812</v>
      </c>
      <c r="F144" s="61" t="s">
        <v>905</v>
      </c>
      <c r="G144" s="67">
        <v>5350</v>
      </c>
      <c r="H144" s="60" t="s">
        <v>772</v>
      </c>
      <c r="I144" s="60" t="s">
        <v>773</v>
      </c>
      <c r="J144" s="61"/>
      <c r="K144" s="61"/>
      <c r="L144" s="60"/>
      <c r="M144" s="74" t="str">
        <f t="shared" si="19"/>
        <v>Merkez Kasa</v>
      </c>
      <c r="N144" s="74" t="str">
        <f t="shared" si="20"/>
        <v>Geçici Vergi Damga</v>
      </c>
      <c r="O144" s="73">
        <f t="shared" si="21"/>
        <v>46143</v>
      </c>
      <c r="P144" s="65" t="str">
        <f t="shared" ca="1" si="22"/>
        <v>UYGUN</v>
      </c>
      <c r="Q144" s="2"/>
      <c r="R144" s="2"/>
      <c r="S144" s="1" t="str">
        <f t="shared" si="23"/>
        <v/>
      </c>
      <c r="T144" s="1" t="str">
        <f>IF(OR($C144="",$D144&lt;&gt;"Gelir",$L144=""),"",IFERROR(INDEX(MUSTERILER!$B$7:$B$156,MATCH($S144,MUSTERILER!$T$7:$T$156,0)),""))</f>
        <v/>
      </c>
      <c r="U144" s="1" t="str">
        <f>IF($T144="","",$T144&amp;"|"&amp;COUNTIFS($T$7:$T144,$T144))</f>
        <v/>
      </c>
      <c r="V144" s="1">
        <f t="shared" si="24"/>
        <v>0</v>
      </c>
      <c r="W144" s="1" t="str">
        <f t="shared" si="25"/>
        <v>Gelir|Geçici Vergi Damga|46151|5350|FİNAL LTD.ŞTİ. 2026 / 1 GEÇİCİ DAMGA|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Geçici Vergi Damga|16</v>
      </c>
    </row>
    <row r="145" spans="1:31" ht="18" customHeight="1" x14ac:dyDescent="0.3">
      <c r="A145" s="2"/>
      <c r="B145" s="65" t="str">
        <f t="shared" si="18"/>
        <v>GG00139</v>
      </c>
      <c r="C145" s="66">
        <v>46151</v>
      </c>
      <c r="D145" s="60" t="s">
        <v>795</v>
      </c>
      <c r="E145" s="61" t="s">
        <v>812</v>
      </c>
      <c r="F145" s="61" t="s">
        <v>906</v>
      </c>
      <c r="G145" s="67">
        <v>5350</v>
      </c>
      <c r="H145" s="60" t="s">
        <v>772</v>
      </c>
      <c r="I145" s="60" t="s">
        <v>773</v>
      </c>
      <c r="J145" s="61"/>
      <c r="K145" s="61"/>
      <c r="L145" s="60"/>
      <c r="M145" s="74" t="str">
        <f t="shared" si="19"/>
        <v>Merkez Kasa</v>
      </c>
      <c r="N145" s="74" t="str">
        <f t="shared" si="20"/>
        <v>Geçici Vergi Damga</v>
      </c>
      <c r="O145" s="73">
        <f t="shared" si="21"/>
        <v>46143</v>
      </c>
      <c r="P145" s="65" t="str">
        <f t="shared" ca="1" si="22"/>
        <v>UYGUN</v>
      </c>
      <c r="Q145" s="2"/>
      <c r="R145" s="2"/>
      <c r="S145" s="1" t="str">
        <f t="shared" si="23"/>
        <v/>
      </c>
      <c r="T145" s="1" t="str">
        <f>IF(OR($C145="",$D145&lt;&gt;"Gelir",$L145=""),"",IFERROR(INDEX(MUSTERILER!$B$7:$B$156,MATCH($S145,MUSTERILER!$T$7:$T$156,0)),""))</f>
        <v/>
      </c>
      <c r="U145" s="1" t="str">
        <f>IF($T145="","",$T145&amp;"|"&amp;COUNTIFS($T$7:$T145,$T145))</f>
        <v/>
      </c>
      <c r="V145" s="1">
        <f t="shared" si="24"/>
        <v>0</v>
      </c>
      <c r="W145" s="1" t="str">
        <f t="shared" si="25"/>
        <v>Gelir|Geçici Vergi Damga|46151|5350|ZÜMRÜT GRUP LTD.ŞTİ. 2026 / 1 GEÇİCİ DAMGA|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Geçici Vergi Damga|17</v>
      </c>
    </row>
    <row r="146" spans="1:31" ht="18" customHeight="1" x14ac:dyDescent="0.3">
      <c r="A146" s="2"/>
      <c r="B146" s="65" t="str">
        <f t="shared" si="18"/>
        <v>GG00140</v>
      </c>
      <c r="C146" s="66">
        <v>46151</v>
      </c>
      <c r="D146" s="60" t="s">
        <v>795</v>
      </c>
      <c r="E146" s="61" t="s">
        <v>812</v>
      </c>
      <c r="F146" s="61" t="s">
        <v>907</v>
      </c>
      <c r="G146" s="67">
        <v>5350</v>
      </c>
      <c r="H146" s="60" t="s">
        <v>772</v>
      </c>
      <c r="I146" s="60" t="s">
        <v>773</v>
      </c>
      <c r="J146" s="61"/>
      <c r="K146" s="61"/>
      <c r="L146" s="60"/>
      <c r="M146" s="74" t="str">
        <f t="shared" si="19"/>
        <v>Merkez Kasa</v>
      </c>
      <c r="N146" s="74" t="str">
        <f t="shared" si="20"/>
        <v>Geçici Vergi Damga</v>
      </c>
      <c r="O146" s="73">
        <f t="shared" si="21"/>
        <v>46143</v>
      </c>
      <c r="P146" s="65" t="str">
        <f t="shared" ca="1" si="22"/>
        <v>UYGUN</v>
      </c>
      <c r="Q146" s="2"/>
      <c r="R146" s="2"/>
      <c r="S146" s="1" t="str">
        <f t="shared" si="23"/>
        <v/>
      </c>
      <c r="T146" s="1" t="str">
        <f>IF(OR($C146="",$D146&lt;&gt;"Gelir",$L146=""),"",IFERROR(INDEX(MUSTERILER!$B$7:$B$156,MATCH($S146,MUSTERILER!$T$7:$T$156,0)),""))</f>
        <v/>
      </c>
      <c r="U146" s="1" t="str">
        <f>IF($T146="","",$T146&amp;"|"&amp;COUNTIFS($T$7:$T146,$T146))</f>
        <v/>
      </c>
      <c r="V146" s="1">
        <f t="shared" si="24"/>
        <v>0</v>
      </c>
      <c r="W146" s="1" t="str">
        <f t="shared" si="25"/>
        <v>Gelir|Geçici Vergi Damga|46151|5350|PAKYILDIZ LTD.ŞTİ. 2026 / 1 GEÇİCİ DAMGA|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Damga|18</v>
      </c>
    </row>
    <row r="147" spans="1:31" ht="18" customHeight="1" x14ac:dyDescent="0.3">
      <c r="A147" s="2"/>
      <c r="B147" s="65" t="str">
        <f t="shared" si="18"/>
        <v>GG00141</v>
      </c>
      <c r="C147" s="66">
        <v>46151</v>
      </c>
      <c r="D147" s="60" t="s">
        <v>795</v>
      </c>
      <c r="E147" s="61" t="s">
        <v>812</v>
      </c>
      <c r="F147" s="61" t="s">
        <v>908</v>
      </c>
      <c r="G147" s="67">
        <v>5350</v>
      </c>
      <c r="H147" s="60" t="s">
        <v>772</v>
      </c>
      <c r="I147" s="60" t="s">
        <v>773</v>
      </c>
      <c r="J147" s="61"/>
      <c r="K147" s="61"/>
      <c r="L147" s="60"/>
      <c r="M147" s="74" t="str">
        <f t="shared" si="19"/>
        <v>Merkez Kasa</v>
      </c>
      <c r="N147" s="74" t="str">
        <f t="shared" si="20"/>
        <v>Geçici Vergi Damga</v>
      </c>
      <c r="O147" s="73">
        <f t="shared" si="21"/>
        <v>46143</v>
      </c>
      <c r="P147" s="65" t="str">
        <f t="shared" ca="1" si="22"/>
        <v>UYGUN</v>
      </c>
      <c r="Q147" s="2"/>
      <c r="R147" s="2"/>
      <c r="S147" s="1" t="str">
        <f t="shared" si="23"/>
        <v/>
      </c>
      <c r="T147" s="1" t="str">
        <f>IF(OR($C147="",$D147&lt;&gt;"Gelir",$L147=""),"",IFERROR(INDEX(MUSTERILER!$B$7:$B$156,MATCH($S147,MUSTERILER!$T$7:$T$156,0)),""))</f>
        <v/>
      </c>
      <c r="U147" s="1" t="str">
        <f>IF($T147="","",$T147&amp;"|"&amp;COUNTIFS($T$7:$T147,$T147))</f>
        <v/>
      </c>
      <c r="V147" s="1">
        <f t="shared" si="24"/>
        <v>0</v>
      </c>
      <c r="W147" s="1" t="str">
        <f t="shared" si="25"/>
        <v>Gelir|Geçici Vergi Damga|46151|5350|ÇINARHAN LTD.ŞTİ. 2026 / 1 GEÇİCİ DAMGA|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Damga|19</v>
      </c>
    </row>
    <row r="148" spans="1:31" ht="18" hidden="1" customHeight="1" x14ac:dyDescent="0.3">
      <c r="A148" s="2"/>
      <c r="B148" s="65" t="str">
        <f t="shared" si="18"/>
        <v>GG00142</v>
      </c>
      <c r="C148" s="66">
        <v>46157</v>
      </c>
      <c r="D148" s="60" t="s">
        <v>769</v>
      </c>
      <c r="E148" s="61" t="s">
        <v>779</v>
      </c>
      <c r="F148" s="61" t="s">
        <v>909</v>
      </c>
      <c r="G148" s="67">
        <v>80</v>
      </c>
      <c r="H148" s="60" t="s">
        <v>772</v>
      </c>
      <c r="I148" s="60" t="s">
        <v>773</v>
      </c>
      <c r="J148" s="61"/>
      <c r="K148" s="61"/>
      <c r="L148" s="60"/>
      <c r="M148" s="74" t="str">
        <f t="shared" si="19"/>
        <v>Kırtasiye</v>
      </c>
      <c r="N148" s="74" t="str">
        <f t="shared" si="20"/>
        <v>Merkez Kasa</v>
      </c>
      <c r="O148" s="73">
        <f t="shared" si="21"/>
        <v>46143</v>
      </c>
      <c r="P148" s="65" t="str">
        <f t="shared" ca="1" si="22"/>
        <v>UYGUN</v>
      </c>
      <c r="Q148" s="2"/>
      <c r="R148" s="2"/>
      <c r="S148" s="1" t="str">
        <f t="shared" si="23"/>
        <v/>
      </c>
      <c r="T148" s="1" t="str">
        <f>IF(OR($C148="",$D148&lt;&gt;"Gelir",$L148=""),"",IFERROR(INDEX(MUSTERILER!$B$7:$B$156,MATCH($S148,MUSTERILER!$T$7:$T$156,0)),""))</f>
        <v/>
      </c>
      <c r="U148" s="1" t="str">
        <f>IF($T148="","",$T148&amp;"|"&amp;COUNTIFS($T$7:$T148,$T148))</f>
        <v/>
      </c>
      <c r="V148" s="1">
        <f t="shared" si="24"/>
        <v>0</v>
      </c>
      <c r="W148" s="1" t="str">
        <f t="shared" si="25"/>
        <v>Gider|Kırtasiye|46157|80|Mail Depolama 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Kırtasiye|4</v>
      </c>
    </row>
    <row r="149" spans="1:31" ht="18" hidden="1" customHeight="1" x14ac:dyDescent="0.3">
      <c r="A149" s="2"/>
      <c r="B149" s="65" t="str">
        <f t="shared" si="18"/>
        <v>GG00143</v>
      </c>
      <c r="C149" s="66">
        <v>46158</v>
      </c>
      <c r="D149" s="60" t="s">
        <v>769</v>
      </c>
      <c r="E149" s="61" t="s">
        <v>788</v>
      </c>
      <c r="F149" s="61" t="s">
        <v>829</v>
      </c>
      <c r="G149" s="67">
        <v>600</v>
      </c>
      <c r="H149" s="60" t="s">
        <v>772</v>
      </c>
      <c r="I149" s="60" t="s">
        <v>773</v>
      </c>
      <c r="J149" s="61"/>
      <c r="K149" s="61"/>
      <c r="L149" s="60"/>
      <c r="M149" s="74" t="str">
        <f t="shared" si="19"/>
        <v>Ulaşım</v>
      </c>
      <c r="N149" s="74" t="str">
        <f t="shared" si="20"/>
        <v>Merkez Kasa</v>
      </c>
      <c r="O149" s="73">
        <f t="shared" si="21"/>
        <v>46143</v>
      </c>
      <c r="P149" s="65" t="str">
        <f t="shared" ca="1" si="22"/>
        <v>UYGUN</v>
      </c>
      <c r="Q149" s="2"/>
      <c r="R149" s="2"/>
      <c r="S149" s="1" t="str">
        <f t="shared" si="23"/>
        <v/>
      </c>
      <c r="T149" s="1" t="str">
        <f>IF(OR($C149="",$D149&lt;&gt;"Gelir",$L149=""),"",IFERROR(INDEX(MUSTERILER!$B$7:$B$156,MATCH($S149,MUSTERILER!$T$7:$T$156,0)),""))</f>
        <v/>
      </c>
      <c r="U149" s="1" t="str">
        <f>IF($T149="","",$T149&amp;"|"&amp;COUNTIFS($T$7:$T149,$T149))</f>
        <v/>
      </c>
      <c r="V149" s="1">
        <f t="shared" si="24"/>
        <v>0</v>
      </c>
      <c r="W149" s="1" t="str">
        <f t="shared" si="25"/>
        <v>Gider|Ulaşım|46158|600|Taksi 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Ulaşım|17</v>
      </c>
    </row>
    <row r="150" spans="1:31" ht="18" hidden="1" customHeight="1" x14ac:dyDescent="0.3">
      <c r="A150" s="2"/>
      <c r="B150" s="65" t="str">
        <f t="shared" si="18"/>
        <v>GG00144</v>
      </c>
      <c r="C150" s="66">
        <v>46158</v>
      </c>
      <c r="D150" s="60" t="s">
        <v>769</v>
      </c>
      <c r="E150" s="61" t="s">
        <v>798</v>
      </c>
      <c r="F150" s="61" t="s">
        <v>910</v>
      </c>
      <c r="G150" s="67">
        <v>60000</v>
      </c>
      <c r="H150" s="60" t="s">
        <v>772</v>
      </c>
      <c r="I150" s="60" t="s">
        <v>773</v>
      </c>
      <c r="J150" s="61"/>
      <c r="K150" s="61"/>
      <c r="L150" s="60"/>
      <c r="M150" s="74" t="str">
        <f t="shared" si="19"/>
        <v>Personel</v>
      </c>
      <c r="N150" s="74" t="str">
        <f t="shared" si="20"/>
        <v>Merkez Kasa</v>
      </c>
      <c r="O150" s="73">
        <f t="shared" si="21"/>
        <v>46143</v>
      </c>
      <c r="P150" s="65" t="str">
        <f t="shared" ca="1" si="22"/>
        <v>UYGUN</v>
      </c>
      <c r="Q150" s="2"/>
      <c r="R150" s="2"/>
      <c r="S150" s="1" t="str">
        <f t="shared" si="23"/>
        <v/>
      </c>
      <c r="T150" s="1" t="str">
        <f>IF(OR($C150="",$D150&lt;&gt;"Gelir",$L150=""),"",IFERROR(INDEX(MUSTERILER!$B$7:$B$156,MATCH($S150,MUSTERILER!$T$7:$T$156,0)),""))</f>
        <v/>
      </c>
      <c r="U150" s="1" t="str">
        <f>IF($T150="","",$T150&amp;"|"&amp;COUNTIFS($T$7:$T150,$T150))</f>
        <v/>
      </c>
      <c r="V150" s="1">
        <f t="shared" si="24"/>
        <v>0</v>
      </c>
      <c r="W150" s="1" t="str">
        <f t="shared" si="25"/>
        <v>Gider|Personel|46158|60000|Zeynep Nisan Maaşı Ödemesi|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Personel|13</v>
      </c>
    </row>
    <row r="151" spans="1:31" ht="18" customHeight="1" x14ac:dyDescent="0.3">
      <c r="A151" s="2"/>
      <c r="B151" s="65" t="str">
        <f t="shared" si="18"/>
        <v>GG00145</v>
      </c>
      <c r="C151" s="66">
        <v>46158</v>
      </c>
      <c r="D151" s="60" t="s">
        <v>795</v>
      </c>
      <c r="E151" s="61" t="s">
        <v>911</v>
      </c>
      <c r="F151" s="61" t="s">
        <v>912</v>
      </c>
      <c r="G151" s="67">
        <v>7050</v>
      </c>
      <c r="H151" s="60" t="s">
        <v>772</v>
      </c>
      <c r="I151" s="60" t="s">
        <v>773</v>
      </c>
      <c r="J151" s="61"/>
      <c r="K151" s="61"/>
      <c r="L151" s="60"/>
      <c r="M151" s="74" t="str">
        <f t="shared" si="19"/>
        <v>Merkez Kasa</v>
      </c>
      <c r="N151" s="74" t="str">
        <f t="shared" si="20"/>
        <v>Luca Kontör</v>
      </c>
      <c r="O151" s="73">
        <f t="shared" si="21"/>
        <v>46143</v>
      </c>
      <c r="P151" s="65" t="str">
        <f t="shared" ca="1" si="22"/>
        <v>UYGUN</v>
      </c>
      <c r="Q151" s="2"/>
      <c r="R151" s="2"/>
      <c r="S151" s="1" t="str">
        <f t="shared" si="23"/>
        <v/>
      </c>
      <c r="T151" s="1" t="str">
        <f>IF(OR($C151="",$D151&lt;&gt;"Gelir",$L151=""),"",IFERROR(INDEX(MUSTERILER!$B$7:$B$156,MATCH($S151,MUSTERILER!$T$7:$T$156,0)),""))</f>
        <v/>
      </c>
      <c r="U151" s="1" t="str">
        <f>IF($T151="","",$T151&amp;"|"&amp;COUNTIFS($T$7:$T151,$T151))</f>
        <v/>
      </c>
      <c r="V151" s="1">
        <f t="shared" si="24"/>
        <v>0</v>
      </c>
      <c r="W151" s="1" t="str">
        <f t="shared" si="25"/>
        <v>Gelir|Luca Kontör|46158|7050|E-DEFTER KONTÖR|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Luca Kontör|1</v>
      </c>
    </row>
    <row r="152" spans="1:31" ht="18" customHeight="1" x14ac:dyDescent="0.3">
      <c r="A152" s="2"/>
      <c r="B152" s="65" t="str">
        <f t="shared" si="18"/>
        <v>GG00146</v>
      </c>
      <c r="C152" s="66">
        <v>46158</v>
      </c>
      <c r="D152" s="60" t="s">
        <v>795</v>
      </c>
      <c r="E152" s="61" t="s">
        <v>871</v>
      </c>
      <c r="F152" s="61" t="s">
        <v>913</v>
      </c>
      <c r="G152" s="67">
        <v>5350</v>
      </c>
      <c r="H152" s="60" t="s">
        <v>772</v>
      </c>
      <c r="I152" s="60" t="s">
        <v>773</v>
      </c>
      <c r="J152" s="61"/>
      <c r="K152" s="61"/>
      <c r="L152" s="60"/>
      <c r="M152" s="74" t="str">
        <f t="shared" si="19"/>
        <v>Merkez Kasa</v>
      </c>
      <c r="N152" s="74" t="str">
        <f t="shared" si="20"/>
        <v>Kurumlar Vergisi Damga</v>
      </c>
      <c r="O152" s="73">
        <f t="shared" si="21"/>
        <v>46143</v>
      </c>
      <c r="P152" s="65" t="str">
        <f t="shared" ca="1" si="22"/>
        <v>UYGUN</v>
      </c>
      <c r="Q152" s="2"/>
      <c r="R152" s="2"/>
      <c r="S152" s="1" t="str">
        <f t="shared" si="23"/>
        <v/>
      </c>
      <c r="T152" s="1" t="str">
        <f>IF(OR($C152="",$D152&lt;&gt;"Gelir",$L152=""),"",IFERROR(INDEX(MUSTERILER!$B$7:$B$156,MATCH($S152,MUSTERILER!$T$7:$T$156,0)),""))</f>
        <v/>
      </c>
      <c r="U152" s="1" t="str">
        <f>IF($T152="","",$T152&amp;"|"&amp;COUNTIFS($T$7:$T152,$T152))</f>
        <v/>
      </c>
      <c r="V152" s="1">
        <f t="shared" si="24"/>
        <v>0</v>
      </c>
      <c r="W152" s="1" t="str">
        <f t="shared" si="25"/>
        <v>Gelir|Kurumlar Vergisi Damga|46158|5350|2025 KURUMLAR DAMGA|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Kurumlar Vergisi Damga|12</v>
      </c>
    </row>
    <row r="153" spans="1:31" ht="18" customHeight="1" x14ac:dyDescent="0.3">
      <c r="A153" s="2"/>
      <c r="B153" s="65" t="str">
        <f t="shared" si="18"/>
        <v>GG00147</v>
      </c>
      <c r="C153" s="66">
        <v>46158</v>
      </c>
      <c r="D153" s="60" t="s">
        <v>795</v>
      </c>
      <c r="E153" s="61" t="s">
        <v>911</v>
      </c>
      <c r="F153" s="61" t="s">
        <v>914</v>
      </c>
      <c r="G153" s="67">
        <v>7050</v>
      </c>
      <c r="H153" s="60" t="s">
        <v>717</v>
      </c>
      <c r="I153" s="60" t="s">
        <v>773</v>
      </c>
      <c r="J153" s="61"/>
      <c r="K153" s="61"/>
      <c r="L153" s="60"/>
      <c r="M153" s="74" t="str">
        <f t="shared" si="19"/>
        <v>MERKEZ KASA</v>
      </c>
      <c r="N153" s="74" t="str">
        <f t="shared" si="20"/>
        <v>Luca Kontör</v>
      </c>
      <c r="O153" s="73">
        <f t="shared" si="21"/>
        <v>46143</v>
      </c>
      <c r="P153" s="65" t="str">
        <f t="shared" ca="1" si="22"/>
        <v>UYGUN</v>
      </c>
      <c r="Q153" s="2"/>
      <c r="R153" s="2"/>
      <c r="S153" s="1" t="str">
        <f t="shared" si="23"/>
        <v/>
      </c>
      <c r="T153" s="1" t="str">
        <f>IF(OR($C153="",$D153&lt;&gt;"Gelir",$L153=""),"",IFERROR(INDEX(MUSTERILER!$B$7:$B$156,MATCH($S153,MUSTERILER!$T$7:$T$156,0)),""))</f>
        <v/>
      </c>
      <c r="U153" s="1" t="str">
        <f>IF($T153="","",$T153&amp;"|"&amp;COUNTIFS($T$7:$T153,$T153))</f>
        <v/>
      </c>
      <c r="V153" s="1">
        <f t="shared" si="24"/>
        <v>0</v>
      </c>
      <c r="W153" s="1" t="str">
        <f t="shared" si="25"/>
        <v>Gelir|Luca Kontör|46158|7050|ASIM AÇIKGÖZ LUCA KONTÖR|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Luca Kontör|2</v>
      </c>
    </row>
    <row r="154" spans="1:31" ht="18" customHeight="1" x14ac:dyDescent="0.3">
      <c r="A154" s="2"/>
      <c r="B154" s="65" t="str">
        <f t="shared" si="18"/>
        <v>GG00148</v>
      </c>
      <c r="C154" s="66">
        <v>46160</v>
      </c>
      <c r="D154" s="60" t="s">
        <v>795</v>
      </c>
      <c r="E154" s="61" t="s">
        <v>796</v>
      </c>
      <c r="F154" s="61" t="s">
        <v>915</v>
      </c>
      <c r="G154" s="67">
        <v>5000</v>
      </c>
      <c r="H154" s="60" t="s">
        <v>723</v>
      </c>
      <c r="I154" s="60" t="s">
        <v>773</v>
      </c>
      <c r="J154" s="61"/>
      <c r="K154" s="61"/>
      <c r="L154" s="60"/>
      <c r="M154" s="74" t="str">
        <f t="shared" si="19"/>
        <v>ÖMER KARTAL</v>
      </c>
      <c r="N154" s="74" t="str">
        <f t="shared" si="20"/>
        <v>Diğer Gelirler</v>
      </c>
      <c r="O154" s="73">
        <f t="shared" si="21"/>
        <v>46143</v>
      </c>
      <c r="P154" s="65" t="str">
        <f t="shared" ca="1" si="22"/>
        <v>UYGUN</v>
      </c>
      <c r="Q154" s="2"/>
      <c r="R154" s="2"/>
      <c r="S154" s="1" t="str">
        <f t="shared" si="23"/>
        <v/>
      </c>
      <c r="T154" s="1" t="str">
        <f>IF(OR($C154="",$D154&lt;&gt;"Gelir",$L154=""),"",IFERROR(INDEX(MUSTERILER!$B$7:$B$156,MATCH($S154,MUSTERILER!$T$7:$T$156,0)),""))</f>
        <v/>
      </c>
      <c r="U154" s="1" t="str">
        <f>IF($T154="","",$T154&amp;"|"&amp;COUNTIFS($T$7:$T154,$T154))</f>
        <v/>
      </c>
      <c r="V154" s="1">
        <f t="shared" si="24"/>
        <v>0</v>
      </c>
      <c r="W154" s="1" t="str">
        <f t="shared" si="25"/>
        <v>Gelir|Diğer Gelirler|46160|5000|ELVAN ALTIPARMAK 10 GÜNLÜK SİGORTA|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Diğer Gelirler|8</v>
      </c>
    </row>
    <row r="155" spans="1:31" ht="18" hidden="1" customHeight="1" x14ac:dyDescent="0.3">
      <c r="A155" s="2"/>
      <c r="B155" s="65" t="str">
        <f t="shared" si="18"/>
        <v>GG00149</v>
      </c>
      <c r="C155" s="66">
        <v>46165</v>
      </c>
      <c r="D155" s="60" t="s">
        <v>769</v>
      </c>
      <c r="E155" s="61" t="s">
        <v>788</v>
      </c>
      <c r="F155" s="61" t="s">
        <v>916</v>
      </c>
      <c r="G155" s="67">
        <v>2000</v>
      </c>
      <c r="H155" s="60" t="s">
        <v>772</v>
      </c>
      <c r="I155" s="60" t="s">
        <v>773</v>
      </c>
      <c r="J155" s="61"/>
      <c r="K155" s="61"/>
      <c r="L155" s="60"/>
      <c r="M155" s="74" t="str">
        <f t="shared" si="19"/>
        <v>Ulaşım</v>
      </c>
      <c r="N155" s="74" t="str">
        <f t="shared" si="20"/>
        <v>Merkez Kasa</v>
      </c>
      <c r="O155" s="73">
        <f t="shared" si="21"/>
        <v>46143</v>
      </c>
      <c r="P155" s="65" t="str">
        <f t="shared" ca="1" si="22"/>
        <v>UYGUN</v>
      </c>
      <c r="Q155" s="2"/>
      <c r="R155" s="2"/>
      <c r="S155" s="1" t="str">
        <f t="shared" si="23"/>
        <v/>
      </c>
      <c r="T155" s="1" t="str">
        <f>IF(OR($C155="",$D155&lt;&gt;"Gelir",$L155=""),"",IFERROR(INDEX(MUSTERILER!$B$7:$B$156,MATCH($S155,MUSTERILER!$T$7:$T$156,0)),""))</f>
        <v/>
      </c>
      <c r="U155" s="1" t="str">
        <f>IF($T155="","",$T155&amp;"|"&amp;COUNTIFS($T$7:$T155,$T155))</f>
        <v/>
      </c>
      <c r="V155" s="1">
        <f t="shared" si="24"/>
        <v>0</v>
      </c>
      <c r="W155" s="1" t="str">
        <f t="shared" si="25"/>
        <v>Gider|Ulaşım|46165|2000|Araç Yakıt Alımı ( Ömer ) 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Ulaşım|18</v>
      </c>
    </row>
    <row r="156" spans="1:31" ht="18" hidden="1" customHeight="1" x14ac:dyDescent="0.3">
      <c r="A156" s="2"/>
      <c r="B156" s="65" t="str">
        <f t="shared" si="18"/>
        <v>GG00150</v>
      </c>
      <c r="C156" s="66">
        <v>46165</v>
      </c>
      <c r="D156" s="60" t="s">
        <v>769</v>
      </c>
      <c r="E156" s="61" t="s">
        <v>801</v>
      </c>
      <c r="F156" s="61" t="s">
        <v>859</v>
      </c>
      <c r="G156" s="67">
        <v>11810</v>
      </c>
      <c r="H156" s="60" t="s">
        <v>772</v>
      </c>
      <c r="I156" s="60" t="s">
        <v>773</v>
      </c>
      <c r="J156" s="61"/>
      <c r="K156" s="61"/>
      <c r="L156" s="60"/>
      <c r="M156" s="74" t="str">
        <f t="shared" si="19"/>
        <v>Vergi / Harç</v>
      </c>
      <c r="N156" s="74" t="str">
        <f t="shared" si="20"/>
        <v>Merkez Kasa</v>
      </c>
      <c r="O156" s="73">
        <f t="shared" si="21"/>
        <v>46143</v>
      </c>
      <c r="P156" s="65" t="str">
        <f t="shared" ca="1" si="22"/>
        <v>UYGUN</v>
      </c>
      <c r="Q156" s="2"/>
      <c r="R156" s="2"/>
      <c r="S156" s="1" t="str">
        <f t="shared" si="23"/>
        <v/>
      </c>
      <c r="T156" s="1" t="str">
        <f>IF(OR($C156="",$D156&lt;&gt;"Gelir",$L156=""),"",IFERROR(INDEX(MUSTERILER!$B$7:$B$156,MATCH($S156,MUSTERILER!$T$7:$T$156,0)),""))</f>
        <v/>
      </c>
      <c r="U156" s="1" t="str">
        <f>IF($T156="","",$T156&amp;"|"&amp;COUNTIFS($T$7:$T156,$T156))</f>
        <v/>
      </c>
      <c r="V156" s="1">
        <f t="shared" si="24"/>
        <v>0</v>
      </c>
      <c r="W156" s="1" t="str">
        <f t="shared" si="25"/>
        <v>Gider|Vergi / Harç|46165|11810|Bağkur Ödemesi|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Vergi / Harç|11</v>
      </c>
    </row>
    <row r="157" spans="1:31" ht="18" hidden="1" customHeight="1" x14ac:dyDescent="0.3">
      <c r="A157" s="2"/>
      <c r="B157" s="65" t="str">
        <f t="shared" si="18"/>
        <v>GG00151</v>
      </c>
      <c r="C157" s="66">
        <v>46165</v>
      </c>
      <c r="D157" s="60" t="s">
        <v>769</v>
      </c>
      <c r="E157" s="61" t="s">
        <v>788</v>
      </c>
      <c r="F157" s="61" t="s">
        <v>789</v>
      </c>
      <c r="G157" s="67">
        <v>2000</v>
      </c>
      <c r="H157" s="60" t="s">
        <v>772</v>
      </c>
      <c r="I157" s="60" t="s">
        <v>773</v>
      </c>
      <c r="J157" s="61"/>
      <c r="K157" s="61"/>
      <c r="L157" s="60"/>
      <c r="M157" s="74" t="str">
        <f t="shared" si="19"/>
        <v>Ulaşım</v>
      </c>
      <c r="N157" s="74" t="str">
        <f t="shared" si="20"/>
        <v>Merkez Kasa</v>
      </c>
      <c r="O157" s="73">
        <f t="shared" si="21"/>
        <v>46143</v>
      </c>
      <c r="P157" s="65" t="str">
        <f t="shared" ca="1" si="22"/>
        <v>UYGUN</v>
      </c>
      <c r="Q157" s="2"/>
      <c r="R157" s="2"/>
      <c r="S157" s="1" t="str">
        <f t="shared" si="23"/>
        <v/>
      </c>
      <c r="T157" s="1" t="str">
        <f>IF(OR($C157="",$D157&lt;&gt;"Gelir",$L157=""),"",IFERROR(INDEX(MUSTERILER!$B$7:$B$156,MATCH($S157,MUSTERILER!$T$7:$T$156,0)),""))</f>
        <v/>
      </c>
      <c r="U157" s="1" t="str">
        <f>IF($T157="","",$T157&amp;"|"&amp;COUNTIFS($T$7:$T157,$T157))</f>
        <v/>
      </c>
      <c r="V157" s="1">
        <f t="shared" si="24"/>
        <v>0</v>
      </c>
      <c r="W157" s="1" t="str">
        <f t="shared" si="25"/>
        <v>Gider|Ulaşım|46165|2000|Araç Yakıt Alımı|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Ulaşım|19</v>
      </c>
    </row>
    <row r="158" spans="1:31" ht="18" hidden="1" customHeight="1" x14ac:dyDescent="0.3">
      <c r="A158" s="2"/>
      <c r="B158" s="65" t="str">
        <f t="shared" si="18"/>
        <v>GG00152</v>
      </c>
      <c r="C158" s="66">
        <v>46169</v>
      </c>
      <c r="D158" s="60" t="s">
        <v>769</v>
      </c>
      <c r="E158" s="61" t="s">
        <v>793</v>
      </c>
      <c r="F158" s="61" t="s">
        <v>917</v>
      </c>
      <c r="G158" s="67">
        <v>30000</v>
      </c>
      <c r="H158" s="60" t="s">
        <v>772</v>
      </c>
      <c r="I158" s="60" t="s">
        <v>773</v>
      </c>
      <c r="J158" s="61"/>
      <c r="K158" s="61"/>
      <c r="L158" s="60"/>
      <c r="M158" s="74" t="str">
        <f t="shared" si="19"/>
        <v>Mehmet Ali Kartal</v>
      </c>
      <c r="N158" s="74" t="str">
        <f t="shared" si="20"/>
        <v>Merkez Kasa</v>
      </c>
      <c r="O158" s="73">
        <f t="shared" si="21"/>
        <v>46143</v>
      </c>
      <c r="P158" s="65" t="str">
        <f t="shared" ca="1" si="22"/>
        <v>UYGUN</v>
      </c>
      <c r="Q158" s="2"/>
      <c r="R158" s="2"/>
      <c r="S158" s="1" t="str">
        <f t="shared" si="23"/>
        <v/>
      </c>
      <c r="T158" s="1" t="str">
        <f>IF(OR($C158="",$D158&lt;&gt;"Gelir",$L158=""),"",IFERROR(INDEX(MUSTERILER!$B$7:$B$156,MATCH($S158,MUSTERILER!$T$7:$T$156,0)),""))</f>
        <v/>
      </c>
      <c r="U158" s="1" t="str">
        <f>IF($T158="","",$T158&amp;"|"&amp;COUNTIFS($T$7:$T158,$T158))</f>
        <v/>
      </c>
      <c r="V158" s="1">
        <f t="shared" si="24"/>
        <v>0</v>
      </c>
      <c r="W158" s="1" t="str">
        <f t="shared" si="25"/>
        <v>Gider|Mehmet Ali Kartal|46169|30000|Mehmet Ali Kartal Haziran Maaşı|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Mehmet Ali Kartal|6</v>
      </c>
    </row>
    <row r="159" spans="1:31" ht="18" hidden="1" customHeight="1" x14ac:dyDescent="0.3">
      <c r="A159" s="2"/>
      <c r="B159" s="65" t="str">
        <f t="shared" si="18"/>
        <v>GG00153</v>
      </c>
      <c r="C159" s="66">
        <v>46173</v>
      </c>
      <c r="D159" s="60" t="s">
        <v>769</v>
      </c>
      <c r="E159" s="61" t="s">
        <v>788</v>
      </c>
      <c r="F159" s="61" t="s">
        <v>918</v>
      </c>
      <c r="G159" s="67">
        <v>2000</v>
      </c>
      <c r="H159" s="60" t="s">
        <v>772</v>
      </c>
      <c r="I159" s="60" t="s">
        <v>773</v>
      </c>
      <c r="J159" s="61"/>
      <c r="K159" s="61"/>
      <c r="L159" s="60"/>
      <c r="M159" s="74" t="str">
        <f t="shared" si="19"/>
        <v>Ulaşım</v>
      </c>
      <c r="N159" s="74" t="str">
        <f t="shared" si="20"/>
        <v>Merkez Kasa</v>
      </c>
      <c r="O159" s="73">
        <f t="shared" si="21"/>
        <v>46143</v>
      </c>
      <c r="P159" s="65" t="str">
        <f t="shared" ca="1" si="22"/>
        <v>UYGUN</v>
      </c>
      <c r="Q159" s="2"/>
      <c r="R159" s="2"/>
      <c r="S159" s="1" t="str">
        <f t="shared" si="23"/>
        <v/>
      </c>
      <c r="T159" s="1" t="str">
        <f>IF(OR($C159="",$D159&lt;&gt;"Gelir",$L159=""),"",IFERROR(INDEX(MUSTERILER!$B$7:$B$156,MATCH($S159,MUSTERILER!$T$7:$T$156,0)),""))</f>
        <v/>
      </c>
      <c r="U159" s="1" t="str">
        <f>IF($T159="","",$T159&amp;"|"&amp;COUNTIFS($T$7:$T159,$T159))</f>
        <v/>
      </c>
      <c r="V159" s="1">
        <f t="shared" si="24"/>
        <v>0</v>
      </c>
      <c r="W159" s="1" t="str">
        <f t="shared" si="25"/>
        <v>Gider|Ulaşım|46173|2000|AraçYakıt|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Ulaşım|20</v>
      </c>
    </row>
    <row r="160" spans="1:31" ht="18" hidden="1" customHeight="1" x14ac:dyDescent="0.3">
      <c r="A160" s="2"/>
      <c r="B160" s="65" t="str">
        <f t="shared" si="18"/>
        <v>GG00154</v>
      </c>
      <c r="C160" s="66">
        <v>46173</v>
      </c>
      <c r="D160" s="60" t="s">
        <v>769</v>
      </c>
      <c r="E160" s="61" t="s">
        <v>788</v>
      </c>
      <c r="F160" s="61" t="s">
        <v>789</v>
      </c>
      <c r="G160" s="67">
        <v>2000</v>
      </c>
      <c r="H160" s="60" t="s">
        <v>772</v>
      </c>
      <c r="I160" s="60" t="s">
        <v>773</v>
      </c>
      <c r="J160" s="61"/>
      <c r="K160" s="61"/>
      <c r="L160" s="60"/>
      <c r="M160" s="74" t="str">
        <f t="shared" si="19"/>
        <v>Ulaşım</v>
      </c>
      <c r="N160" s="74" t="str">
        <f t="shared" si="20"/>
        <v>Merkez Kasa</v>
      </c>
      <c r="O160" s="73">
        <f t="shared" si="21"/>
        <v>46143</v>
      </c>
      <c r="P160" s="65" t="str">
        <f t="shared" ca="1" si="22"/>
        <v>UYGUN</v>
      </c>
      <c r="Q160" s="2"/>
      <c r="R160" s="2"/>
      <c r="S160" s="1" t="str">
        <f t="shared" si="23"/>
        <v/>
      </c>
      <c r="T160" s="1" t="str">
        <f>IF(OR($C160="",$D160&lt;&gt;"Gelir",$L160=""),"",IFERROR(INDEX(MUSTERILER!$B$7:$B$156,MATCH($S160,MUSTERILER!$T$7:$T$156,0)),""))</f>
        <v/>
      </c>
      <c r="U160" s="1" t="str">
        <f>IF($T160="","",$T160&amp;"|"&amp;COUNTIFS($T$7:$T160,$T160))</f>
        <v/>
      </c>
      <c r="V160" s="1">
        <f t="shared" si="24"/>
        <v>0</v>
      </c>
      <c r="W160" s="1" t="str">
        <f t="shared" si="25"/>
        <v>Gider|Ulaşım|46173|2000|Araç Yakıt Alımı|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Ulaşım|21</v>
      </c>
    </row>
    <row r="161" spans="1:31" ht="18" hidden="1" customHeight="1" x14ac:dyDescent="0.3">
      <c r="A161" s="2"/>
      <c r="B161" s="65" t="str">
        <f t="shared" si="18"/>
        <v>GG00155</v>
      </c>
      <c r="C161" s="66">
        <v>46174</v>
      </c>
      <c r="D161" s="60" t="s">
        <v>769</v>
      </c>
      <c r="E161" s="61" t="s">
        <v>793</v>
      </c>
      <c r="F161" s="61" t="s">
        <v>1306</v>
      </c>
      <c r="G161" s="67">
        <v>2500</v>
      </c>
      <c r="H161" s="60" t="s">
        <v>772</v>
      </c>
      <c r="I161" s="60" t="s">
        <v>773</v>
      </c>
      <c r="J161" s="61"/>
      <c r="K161" s="61"/>
      <c r="L161" s="60"/>
      <c r="M161" s="74" t="str">
        <f t="shared" si="19"/>
        <v>Mehmet Ali Kartal</v>
      </c>
      <c r="N161" s="74" t="str">
        <f t="shared" si="20"/>
        <v>Merkez Kasa</v>
      </c>
      <c r="O161" s="73">
        <f t="shared" si="21"/>
        <v>46174</v>
      </c>
      <c r="P161" s="65" t="str">
        <f t="shared" ca="1" si="22"/>
        <v>UYGUN</v>
      </c>
      <c r="Q161" s="2"/>
      <c r="R161" s="2"/>
      <c r="S161" s="1" t="str">
        <f t="shared" si="23"/>
        <v/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24"/>
        <v>0</v>
      </c>
      <c r="W161" s="1" t="str">
        <f t="shared" si="25"/>
        <v>Gider|Mehmet Ali Kartal|46174|2500|CEREN DEMİRCİ SGK|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Mehmet Ali Kartal|7</v>
      </c>
    </row>
    <row r="162" spans="1:31" ht="18" hidden="1" customHeight="1" x14ac:dyDescent="0.3">
      <c r="A162" s="2"/>
      <c r="B162" s="65" t="str">
        <f t="shared" si="18"/>
        <v>GG00156</v>
      </c>
      <c r="C162" s="66">
        <v>46179</v>
      </c>
      <c r="D162" s="60" t="s">
        <v>769</v>
      </c>
      <c r="E162" s="61" t="s">
        <v>781</v>
      </c>
      <c r="F162" s="61" t="s">
        <v>919</v>
      </c>
      <c r="G162" s="67">
        <v>800</v>
      </c>
      <c r="H162" s="60" t="s">
        <v>772</v>
      </c>
      <c r="I162" s="60" t="s">
        <v>773</v>
      </c>
      <c r="J162" s="61"/>
      <c r="K162" s="61"/>
      <c r="L162" s="60"/>
      <c r="M162" s="74" t="str">
        <f t="shared" si="19"/>
        <v>Telefon / İnternet</v>
      </c>
      <c r="N162" s="74" t="str">
        <f t="shared" si="20"/>
        <v>Merkez Kasa</v>
      </c>
      <c r="O162" s="73">
        <f t="shared" si="21"/>
        <v>46174</v>
      </c>
      <c r="P162" s="65" t="str">
        <f t="shared" ca="1" si="22"/>
        <v>UYGUN</v>
      </c>
      <c r="Q162" s="2"/>
      <c r="R162" s="2"/>
      <c r="S162" s="1" t="str">
        <f t="shared" si="23"/>
        <v/>
      </c>
      <c r="T162" s="1" t="str">
        <f>IF(OR($C162="",$D162&lt;&gt;"Gelir",$L162=""),"",IFERROR(INDEX(MUSTERILER!$B$7:$B$156,MATCH($S162,MUSTERILER!$T$7:$T$156,0)),""))</f>
        <v/>
      </c>
      <c r="U162" s="1" t="str">
        <f>IF($T162="","",$T162&amp;"|"&amp;COUNTIFS($T$7:$T162,$T162))</f>
        <v/>
      </c>
      <c r="V162" s="1">
        <f t="shared" si="24"/>
        <v>0</v>
      </c>
      <c r="W162" s="1" t="str">
        <f t="shared" si="25"/>
        <v>Gider|Telefon / İnternet|46179|800|Ofis Whatsapp Hattı Haziran|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Telefon / İnternet|13</v>
      </c>
    </row>
    <row r="163" spans="1:31" ht="18" hidden="1" customHeight="1" x14ac:dyDescent="0.3">
      <c r="A163" s="2"/>
      <c r="B163" s="65" t="str">
        <f t="shared" si="18"/>
        <v>GG00157</v>
      </c>
      <c r="C163" s="66">
        <v>46179</v>
      </c>
      <c r="D163" s="60" t="s">
        <v>769</v>
      </c>
      <c r="E163" s="61" t="s">
        <v>788</v>
      </c>
      <c r="F163" s="61" t="s">
        <v>789</v>
      </c>
      <c r="G163" s="67">
        <v>2000</v>
      </c>
      <c r="H163" s="60" t="s">
        <v>772</v>
      </c>
      <c r="I163" s="60" t="s">
        <v>773</v>
      </c>
      <c r="J163" s="61"/>
      <c r="K163" s="61"/>
      <c r="L163" s="60"/>
      <c r="M163" s="74" t="str">
        <f t="shared" si="19"/>
        <v>Ulaşım</v>
      </c>
      <c r="N163" s="74" t="str">
        <f t="shared" si="20"/>
        <v>Merkez Kasa</v>
      </c>
      <c r="O163" s="73">
        <f t="shared" si="21"/>
        <v>46174</v>
      </c>
      <c r="P163" s="65" t="str">
        <f t="shared" ca="1" si="22"/>
        <v>UYGUN</v>
      </c>
      <c r="Q163" s="2"/>
      <c r="R163" s="2"/>
      <c r="S163" s="1" t="str">
        <f t="shared" si="23"/>
        <v/>
      </c>
      <c r="T163" s="1" t="str">
        <f>IF(OR($C163="",$D163&lt;&gt;"Gelir",$L163=""),"",IFERROR(INDEX(MUSTERILER!$B$7:$B$156,MATCH($S163,MUSTERILER!$T$7:$T$156,0)),""))</f>
        <v/>
      </c>
      <c r="U163" s="1" t="str">
        <f>IF($T163="","",$T163&amp;"|"&amp;COUNTIFS($T$7:$T163,$T163))</f>
        <v/>
      </c>
      <c r="V163" s="1">
        <f t="shared" si="24"/>
        <v>0</v>
      </c>
      <c r="W163" s="1" t="str">
        <f t="shared" si="25"/>
        <v>Gider|Ulaşım|46179|2000|Araç Yakıt Alımı|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Ulaşım|22</v>
      </c>
    </row>
    <row r="164" spans="1:31" ht="18" hidden="1" customHeight="1" x14ac:dyDescent="0.3">
      <c r="A164" s="2"/>
      <c r="B164" s="65" t="str">
        <f t="shared" si="18"/>
        <v>GG00158</v>
      </c>
      <c r="C164" s="66">
        <v>46179</v>
      </c>
      <c r="D164" s="60" t="s">
        <v>769</v>
      </c>
      <c r="E164" s="61" t="s">
        <v>788</v>
      </c>
      <c r="F164" s="61" t="s">
        <v>920</v>
      </c>
      <c r="G164" s="67">
        <v>2000</v>
      </c>
      <c r="H164" s="60" t="s">
        <v>772</v>
      </c>
      <c r="I164" s="60" t="s">
        <v>773</v>
      </c>
      <c r="J164" s="61"/>
      <c r="K164" s="61"/>
      <c r="L164" s="60"/>
      <c r="M164" s="74" t="str">
        <f t="shared" si="19"/>
        <v>Ulaşım</v>
      </c>
      <c r="N164" s="74" t="str">
        <f t="shared" si="20"/>
        <v>Merkez Kasa</v>
      </c>
      <c r="O164" s="73">
        <f t="shared" si="21"/>
        <v>46174</v>
      </c>
      <c r="P164" s="65" t="str">
        <f t="shared" ca="1" si="22"/>
        <v>UYGUN</v>
      </c>
      <c r="Q164" s="2"/>
      <c r="R164" s="2"/>
      <c r="S164" s="1" t="str">
        <f t="shared" si="23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24"/>
        <v>0</v>
      </c>
      <c r="W164" s="1" t="str">
        <f t="shared" si="25"/>
        <v>Gider|Ulaşım|46179|2000|Araç Lastik Değişimi Yıkama|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Ulaşım|23</v>
      </c>
    </row>
    <row r="165" spans="1:31" ht="18" customHeight="1" x14ac:dyDescent="0.3">
      <c r="A165" s="2"/>
      <c r="B165" s="65" t="str">
        <f t="shared" si="18"/>
        <v>GG00159</v>
      </c>
      <c r="C165" s="66">
        <v>46183</v>
      </c>
      <c r="D165" s="60" t="s">
        <v>795</v>
      </c>
      <c r="E165" s="61" t="s">
        <v>911</v>
      </c>
      <c r="F165" s="61" t="s">
        <v>921</v>
      </c>
      <c r="G165" s="67">
        <v>7050</v>
      </c>
      <c r="H165" s="60" t="s">
        <v>723</v>
      </c>
      <c r="I165" s="60" t="s">
        <v>773</v>
      </c>
      <c r="J165" s="61"/>
      <c r="K165" s="61"/>
      <c r="L165" s="60"/>
      <c r="M165" s="74" t="str">
        <f t="shared" si="19"/>
        <v>ÖMER KARTAL</v>
      </c>
      <c r="N165" s="74" t="str">
        <f t="shared" si="20"/>
        <v>Luca Kontör</v>
      </c>
      <c r="O165" s="73">
        <f t="shared" si="21"/>
        <v>46174</v>
      </c>
      <c r="P165" s="65" t="str">
        <f t="shared" ca="1" si="22"/>
        <v>UYGUN</v>
      </c>
      <c r="Q165" s="2"/>
      <c r="R165" s="2"/>
      <c r="S165" s="1" t="str">
        <f t="shared" si="23"/>
        <v/>
      </c>
      <c r="T165" s="1" t="str">
        <f>IF(OR($C165="",$D165&lt;&gt;"Gelir",$L165=""),"",IFERROR(INDEX(MUSTERILER!$B$7:$B$156,MATCH($S165,MUSTERILER!$T$7:$T$156,0)),""))</f>
        <v/>
      </c>
      <c r="U165" s="1" t="str">
        <f>IF($T165="","",$T165&amp;"|"&amp;COUNTIFS($T$7:$T165,$T165))</f>
        <v/>
      </c>
      <c r="V165" s="1">
        <f t="shared" si="24"/>
        <v>0</v>
      </c>
      <c r="W165" s="1" t="str">
        <f t="shared" si="25"/>
        <v>Gelir|Luca Kontör|46183|7050|ESERLİ LTD.ŞTİ. LUCA KONTÖR|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Luca Kontör|3</v>
      </c>
    </row>
    <row r="166" spans="1:31" ht="18" customHeight="1" x14ac:dyDescent="0.3">
      <c r="A166" s="2"/>
      <c r="B166" s="65" t="str">
        <f t="shared" si="18"/>
        <v>GG00160</v>
      </c>
      <c r="C166" s="66">
        <v>46183</v>
      </c>
      <c r="D166" s="60" t="s">
        <v>795</v>
      </c>
      <c r="E166" s="61" t="s">
        <v>911</v>
      </c>
      <c r="F166" s="61" t="s">
        <v>922</v>
      </c>
      <c r="G166" s="67">
        <v>7050</v>
      </c>
      <c r="H166" s="60" t="s">
        <v>717</v>
      </c>
      <c r="I166" s="60" t="s">
        <v>773</v>
      </c>
      <c r="J166" s="61"/>
      <c r="K166" s="61"/>
      <c r="L166" s="60"/>
      <c r="M166" s="74" t="str">
        <f t="shared" si="19"/>
        <v>MERKEZ KASA</v>
      </c>
      <c r="N166" s="74" t="str">
        <f t="shared" si="20"/>
        <v>Luca Kontör</v>
      </c>
      <c r="O166" s="73">
        <f t="shared" si="21"/>
        <v>46174</v>
      </c>
      <c r="P166" s="65" t="str">
        <f t="shared" ca="1" si="22"/>
        <v>UYGUN</v>
      </c>
      <c r="Q166" s="2"/>
      <c r="R166" s="2"/>
      <c r="S166" s="1" t="str">
        <f t="shared" si="23"/>
        <v/>
      </c>
      <c r="T166" s="1" t="str">
        <f>IF(OR($C166="",$D166&lt;&gt;"Gelir",$L166=""),"",IFERROR(INDEX(MUSTERILER!$B$7:$B$156,MATCH($S166,MUSTERILER!$T$7:$T$156,0)),""))</f>
        <v/>
      </c>
      <c r="U166" s="1" t="str">
        <f>IF($T166="","",$T166&amp;"|"&amp;COUNTIFS($T$7:$T166,$T166))</f>
        <v/>
      </c>
      <c r="V166" s="1">
        <f t="shared" si="24"/>
        <v>0</v>
      </c>
      <c r="W166" s="1" t="str">
        <f t="shared" si="25"/>
        <v>Gelir|Luca Kontör|46183|7050|RİX LTD.ŞTİ. LUCA KONTÖR|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Luca Kontör|4</v>
      </c>
    </row>
    <row r="167" spans="1:31" ht="18" hidden="1" customHeight="1" x14ac:dyDescent="0.3">
      <c r="A167" s="2"/>
      <c r="B167" s="65" t="str">
        <f t="shared" si="18"/>
        <v>GG00161</v>
      </c>
      <c r="C167" s="66">
        <v>46186</v>
      </c>
      <c r="D167" s="60" t="s">
        <v>769</v>
      </c>
      <c r="E167" s="61" t="s">
        <v>798</v>
      </c>
      <c r="F167" s="61" t="s">
        <v>869</v>
      </c>
      <c r="G167" s="67">
        <v>10000</v>
      </c>
      <c r="H167" s="60" t="s">
        <v>772</v>
      </c>
      <c r="I167" s="60" t="s">
        <v>773</v>
      </c>
      <c r="J167" s="61"/>
      <c r="K167" s="61"/>
      <c r="L167" s="60"/>
      <c r="M167" s="74" t="str">
        <f t="shared" si="19"/>
        <v>Personel</v>
      </c>
      <c r="N167" s="74" t="str">
        <f t="shared" si="20"/>
        <v>Merkez Kasa</v>
      </c>
      <c r="O167" s="73">
        <f t="shared" si="21"/>
        <v>46174</v>
      </c>
      <c r="P167" s="65" t="str">
        <f t="shared" ca="1" si="22"/>
        <v>UYGUN</v>
      </c>
      <c r="Q167" s="2"/>
      <c r="R167" s="2"/>
      <c r="S167" s="1" t="str">
        <f t="shared" si="23"/>
        <v/>
      </c>
      <c r="T167" s="1" t="str">
        <f>IF(OR($C167="",$D167&lt;&gt;"Gelir",$L167=""),"",IFERROR(INDEX(MUSTERILER!$B$7:$B$156,MATCH($S167,MUSTERILER!$T$7:$T$156,0)),""))</f>
        <v/>
      </c>
      <c r="U167" s="1" t="str">
        <f>IF($T167="","",$T167&amp;"|"&amp;COUNTIFS($T$7:$T167,$T167))</f>
        <v/>
      </c>
      <c r="V167" s="1">
        <f t="shared" si="24"/>
        <v>0</v>
      </c>
      <c r="W167" s="1" t="str">
        <f t="shared" si="25"/>
        <v>Gider|Personel|46186|10000|Irmak Harçlık|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Personel|14</v>
      </c>
    </row>
    <row r="168" spans="1:31" ht="18" customHeight="1" x14ac:dyDescent="0.3">
      <c r="A168" s="2"/>
      <c r="B168" s="65" t="str">
        <f t="shared" si="18"/>
        <v>GG00162</v>
      </c>
      <c r="C168" s="66">
        <v>46186</v>
      </c>
      <c r="D168" s="60" t="s">
        <v>795</v>
      </c>
      <c r="E168" s="61" t="s">
        <v>911</v>
      </c>
      <c r="F168" s="61" t="s">
        <v>923</v>
      </c>
      <c r="G168" s="67">
        <v>7050</v>
      </c>
      <c r="H168" s="60" t="s">
        <v>717</v>
      </c>
      <c r="I168" s="60" t="s">
        <v>773</v>
      </c>
      <c r="J168" s="61"/>
      <c r="K168" s="61"/>
      <c r="L168" s="60"/>
      <c r="M168" s="74" t="str">
        <f t="shared" si="19"/>
        <v>MERKEZ KASA</v>
      </c>
      <c r="N168" s="74" t="str">
        <f t="shared" si="20"/>
        <v>Luca Kontör</v>
      </c>
      <c r="O168" s="73">
        <f t="shared" si="21"/>
        <v>46174</v>
      </c>
      <c r="P168" s="65" t="str">
        <f t="shared" ca="1" si="22"/>
        <v>UYGUN</v>
      </c>
      <c r="Q168" s="2"/>
      <c r="R168" s="2"/>
      <c r="S168" s="1" t="str">
        <f t="shared" si="23"/>
        <v/>
      </c>
      <c r="T168" s="1" t="str">
        <f>IF(OR($C168="",$D168&lt;&gt;"Gelir",$L168=""),"",IFERROR(INDEX(MUSTERILER!$B$7:$B$156,MATCH($S168,MUSTERILER!$T$7:$T$156,0)),""))</f>
        <v/>
      </c>
      <c r="U168" s="1" t="str">
        <f>IF($T168="","",$T168&amp;"|"&amp;COUNTIFS($T$7:$T168,$T168))</f>
        <v/>
      </c>
      <c r="V168" s="1">
        <f t="shared" si="24"/>
        <v>0</v>
      </c>
      <c r="W168" s="1" t="str">
        <f t="shared" si="25"/>
        <v>Gelir|Luca Kontör|46186|7050|EĞLENGÖR LTD.ŞTİ. LUCA KONTÖR|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Luca Kontör|5</v>
      </c>
    </row>
    <row r="169" spans="1:31" ht="18" customHeight="1" x14ac:dyDescent="0.3">
      <c r="A169" s="2"/>
      <c r="B169" s="65" t="str">
        <f t="shared" si="18"/>
        <v>GG00163</v>
      </c>
      <c r="C169" s="66">
        <v>46186</v>
      </c>
      <c r="D169" s="60" t="s">
        <v>795</v>
      </c>
      <c r="E169" s="61" t="s">
        <v>911</v>
      </c>
      <c r="F169" s="61" t="s">
        <v>924</v>
      </c>
      <c r="G169" s="67">
        <v>7050</v>
      </c>
      <c r="H169" s="60" t="s">
        <v>717</v>
      </c>
      <c r="I169" s="60" t="s">
        <v>773</v>
      </c>
      <c r="J169" s="61"/>
      <c r="K169" s="61"/>
      <c r="L169" s="60"/>
      <c r="M169" s="74" t="str">
        <f t="shared" si="19"/>
        <v>MERKEZ KASA</v>
      </c>
      <c r="N169" s="74" t="str">
        <f t="shared" si="20"/>
        <v>Luca Kontör</v>
      </c>
      <c r="O169" s="73">
        <f t="shared" si="21"/>
        <v>46174</v>
      </c>
      <c r="P169" s="65" t="str">
        <f t="shared" ca="1" si="22"/>
        <v>UYGUN</v>
      </c>
      <c r="Q169" s="2"/>
      <c r="R169" s="2"/>
      <c r="S169" s="1" t="str">
        <f t="shared" si="23"/>
        <v/>
      </c>
      <c r="T169" s="1" t="str">
        <f>IF(OR($C169="",$D169&lt;&gt;"Gelir",$L169=""),"",IFERROR(INDEX(MUSTERILER!$B$7:$B$156,MATCH($S169,MUSTERILER!$T$7:$T$156,0)),""))</f>
        <v/>
      </c>
      <c r="U169" s="1" t="str">
        <f>IF($T169="","",$T169&amp;"|"&amp;COUNTIFS($T$7:$T169,$T169))</f>
        <v/>
      </c>
      <c r="V169" s="1">
        <f t="shared" si="24"/>
        <v>0</v>
      </c>
      <c r="W169" s="1" t="str">
        <f t="shared" si="25"/>
        <v>Gelir|Luca Kontör|46186|7050|ASM EĞLENCE LTD.ŞTİ. LUCA KONTÖR|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Luca Kontör|6</v>
      </c>
    </row>
    <row r="170" spans="1:31" ht="18" hidden="1" customHeight="1" x14ac:dyDescent="0.3">
      <c r="A170" s="2"/>
      <c r="B170" s="65" t="str">
        <f t="shared" si="18"/>
        <v>GG00164</v>
      </c>
      <c r="C170" s="66">
        <v>46188</v>
      </c>
      <c r="D170" s="60" t="s">
        <v>769</v>
      </c>
      <c r="E170" s="61" t="s">
        <v>798</v>
      </c>
      <c r="F170" s="61" t="s">
        <v>891</v>
      </c>
      <c r="G170" s="67">
        <v>10000</v>
      </c>
      <c r="H170" s="60" t="s">
        <v>772</v>
      </c>
      <c r="I170" s="60" t="s">
        <v>773</v>
      </c>
      <c r="J170" s="61"/>
      <c r="K170" s="61"/>
      <c r="L170" s="60"/>
      <c r="M170" s="74" t="str">
        <f t="shared" si="19"/>
        <v>Personel</v>
      </c>
      <c r="N170" s="74" t="str">
        <f t="shared" si="20"/>
        <v>Merkez Kasa</v>
      </c>
      <c r="O170" s="73">
        <f t="shared" si="21"/>
        <v>46174</v>
      </c>
      <c r="P170" s="65" t="str">
        <f t="shared" ca="1" si="22"/>
        <v>UYGUN</v>
      </c>
      <c r="Q170" s="2"/>
      <c r="R170" s="2"/>
      <c r="S170" s="1" t="str">
        <f t="shared" si="23"/>
        <v/>
      </c>
      <c r="T170" s="1" t="str">
        <f>IF(OR($C170="",$D170&lt;&gt;"Gelir",$L170=""),"",IFERROR(INDEX(MUSTERILER!$B$7:$B$156,MATCH($S170,MUSTERILER!$T$7:$T$156,0)),""))</f>
        <v/>
      </c>
      <c r="U170" s="1" t="str">
        <f>IF($T170="","",$T170&amp;"|"&amp;COUNTIFS($T$7:$T170,$T170))</f>
        <v/>
      </c>
      <c r="V170" s="1">
        <f t="shared" si="24"/>
        <v>0</v>
      </c>
      <c r="W170" s="1" t="str">
        <f t="shared" si="25"/>
        <v>Gider|Personel|46188|10000|Zeynep Hanım Avans|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Personel|15</v>
      </c>
    </row>
    <row r="171" spans="1:31" ht="18" hidden="1" customHeight="1" x14ac:dyDescent="0.3">
      <c r="A171" s="2"/>
      <c r="B171" s="65" t="str">
        <f t="shared" si="18"/>
        <v>GG00165</v>
      </c>
      <c r="C171" s="66">
        <v>46194</v>
      </c>
      <c r="D171" s="60" t="s">
        <v>769</v>
      </c>
      <c r="E171" s="61" t="s">
        <v>801</v>
      </c>
      <c r="F171" s="61" t="s">
        <v>859</v>
      </c>
      <c r="G171" s="67">
        <v>11810</v>
      </c>
      <c r="H171" s="60" t="s">
        <v>772</v>
      </c>
      <c r="I171" s="60" t="s">
        <v>773</v>
      </c>
      <c r="J171" s="61"/>
      <c r="K171" s="61"/>
      <c r="L171" s="60"/>
      <c r="M171" s="74" t="str">
        <f t="shared" si="19"/>
        <v>Vergi / Harç</v>
      </c>
      <c r="N171" s="74" t="str">
        <f t="shared" si="20"/>
        <v>Merkez Kasa</v>
      </c>
      <c r="O171" s="73">
        <f t="shared" si="21"/>
        <v>46174</v>
      </c>
      <c r="P171" s="65" t="str">
        <f t="shared" ca="1" si="22"/>
        <v>UYGUN</v>
      </c>
      <c r="Q171" s="2"/>
      <c r="R171" s="2"/>
      <c r="S171" s="1" t="str">
        <f t="shared" si="23"/>
        <v/>
      </c>
      <c r="T171" s="1" t="str">
        <f>IF(OR($C171="",$D171&lt;&gt;"Gelir",$L171=""),"",IFERROR(INDEX(MUSTERILER!$B$7:$B$156,MATCH($S171,MUSTERILER!$T$7:$T$156,0)),""))</f>
        <v/>
      </c>
      <c r="U171" s="1" t="str">
        <f>IF($T171="","",$T171&amp;"|"&amp;COUNTIFS($T$7:$T171,$T171))</f>
        <v/>
      </c>
      <c r="V171" s="1">
        <f t="shared" si="24"/>
        <v>0</v>
      </c>
      <c r="W171" s="1" t="str">
        <f t="shared" si="25"/>
        <v>Gider|Vergi / Harç|46194|11810|Bağkur Ödemesi|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Vergi / Harç|12</v>
      </c>
    </row>
    <row r="172" spans="1:31" ht="18" hidden="1" customHeight="1" x14ac:dyDescent="0.3">
      <c r="A172" s="2"/>
      <c r="B172" s="65" t="str">
        <f t="shared" si="18"/>
        <v>GG00166</v>
      </c>
      <c r="C172" s="66">
        <v>46194</v>
      </c>
      <c r="D172" s="60" t="s">
        <v>769</v>
      </c>
      <c r="E172" s="61" t="s">
        <v>798</v>
      </c>
      <c r="F172" s="61" t="s">
        <v>891</v>
      </c>
      <c r="G172" s="67">
        <v>9700</v>
      </c>
      <c r="H172" s="60" t="s">
        <v>772</v>
      </c>
      <c r="I172" s="60" t="s">
        <v>773</v>
      </c>
      <c r="J172" s="61"/>
      <c r="K172" s="61"/>
      <c r="L172" s="60"/>
      <c r="M172" s="74" t="str">
        <f t="shared" si="19"/>
        <v>Personel</v>
      </c>
      <c r="N172" s="74" t="str">
        <f t="shared" si="20"/>
        <v>Merkez Kasa</v>
      </c>
      <c r="O172" s="73">
        <f t="shared" si="21"/>
        <v>46174</v>
      </c>
      <c r="P172" s="65" t="str">
        <f t="shared" ca="1" si="22"/>
        <v>UYGUN</v>
      </c>
      <c r="Q172" s="2"/>
      <c r="R172" s="2"/>
      <c r="S172" s="1" t="str">
        <f t="shared" si="23"/>
        <v/>
      </c>
      <c r="T172" s="1" t="str">
        <f>IF(OR($C172="",$D172&lt;&gt;"Gelir",$L172=""),"",IFERROR(INDEX(MUSTERILER!$B$7:$B$156,MATCH($S172,MUSTERILER!$T$7:$T$156,0)),""))</f>
        <v/>
      </c>
      <c r="U172" s="1" t="str">
        <f>IF($T172="","",$T172&amp;"|"&amp;COUNTIFS($T$7:$T172,$T172))</f>
        <v/>
      </c>
      <c r="V172" s="1">
        <f t="shared" si="24"/>
        <v>0</v>
      </c>
      <c r="W172" s="1" t="str">
        <f t="shared" si="25"/>
        <v>Gider|Personel|46194|9700|Zeynep Hanım Avans|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Personel|16</v>
      </c>
    </row>
    <row r="173" spans="1:31" ht="18" hidden="1" customHeight="1" x14ac:dyDescent="0.3">
      <c r="A173" s="2"/>
      <c r="B173" s="65" t="str">
        <f t="shared" si="18"/>
        <v>GG00167</v>
      </c>
      <c r="C173" s="66">
        <v>46195</v>
      </c>
      <c r="D173" s="60" t="s">
        <v>769</v>
      </c>
      <c r="E173" s="61" t="s">
        <v>781</v>
      </c>
      <c r="F173" s="61" t="s">
        <v>925</v>
      </c>
      <c r="G173" s="67">
        <v>800</v>
      </c>
      <c r="H173" s="60" t="s">
        <v>772</v>
      </c>
      <c r="I173" s="60" t="s">
        <v>773</v>
      </c>
      <c r="J173" s="61"/>
      <c r="K173" s="61"/>
      <c r="L173" s="60"/>
      <c r="M173" s="74" t="str">
        <f t="shared" si="19"/>
        <v>Telefon / İnternet</v>
      </c>
      <c r="N173" s="74" t="str">
        <f t="shared" si="20"/>
        <v>Merkez Kasa</v>
      </c>
      <c r="O173" s="73">
        <f t="shared" si="21"/>
        <v>46174</v>
      </c>
      <c r="P173" s="65" t="str">
        <f t="shared" ca="1" si="22"/>
        <v>UYGUN</v>
      </c>
      <c r="Q173" s="2"/>
      <c r="R173" s="2"/>
      <c r="S173" s="1" t="str">
        <f t="shared" si="23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24"/>
        <v>0</v>
      </c>
      <c r="W173" s="1" t="str">
        <f t="shared" si="25"/>
        <v>Gider|Telefon / İnternet|46195|800|Ofis Whatsapp Hattı Temmuz|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Telefon / İnternet|14</v>
      </c>
    </row>
    <row r="174" spans="1:31" ht="18" customHeight="1" x14ac:dyDescent="0.3">
      <c r="A174" s="2"/>
      <c r="B174" s="65" t="str">
        <f t="shared" si="18"/>
        <v>GG00168</v>
      </c>
      <c r="C174" s="66">
        <v>46198</v>
      </c>
      <c r="D174" s="60" t="s">
        <v>795</v>
      </c>
      <c r="E174" s="61" t="s">
        <v>825</v>
      </c>
      <c r="F174" s="61" t="s">
        <v>926</v>
      </c>
      <c r="G174" s="67">
        <v>10000</v>
      </c>
      <c r="H174" s="60" t="s">
        <v>717</v>
      </c>
      <c r="I174" s="60" t="s">
        <v>773</v>
      </c>
      <c r="J174" s="61"/>
      <c r="K174" s="61"/>
      <c r="L174" s="60"/>
      <c r="M174" s="74" t="str">
        <f t="shared" si="19"/>
        <v>MERKEZ KASA</v>
      </c>
      <c r="N174" s="74" t="str">
        <f t="shared" si="20"/>
        <v>Kuruluş Ücreti</v>
      </c>
      <c r="O174" s="73">
        <f t="shared" si="21"/>
        <v>46174</v>
      </c>
      <c r="P174" s="65" t="str">
        <f t="shared" ca="1" si="22"/>
        <v>UYGUN</v>
      </c>
      <c r="Q174" s="2"/>
      <c r="R174" s="2"/>
      <c r="S174" s="1" t="str">
        <f t="shared" si="23"/>
        <v/>
      </c>
      <c r="T174" s="1" t="str">
        <f>IF(OR($C174="",$D174&lt;&gt;"Gelir",$L174=""),"",IFERROR(INDEX(MUSTERILER!$B$7:$B$156,MATCH($S174,MUSTERILER!$T$7:$T$156,0)),""))</f>
        <v/>
      </c>
      <c r="U174" s="1" t="str">
        <f>IF($T174="","",$T174&amp;"|"&amp;COUNTIFS($T$7:$T174,$T174))</f>
        <v/>
      </c>
      <c r="V174" s="1">
        <f t="shared" si="24"/>
        <v>0</v>
      </c>
      <c r="W174" s="1" t="str">
        <f t="shared" si="25"/>
        <v>Gelir|Kuruluş Ücreti|46198|10000|MESUT KÖKLÜ KURULUŞ ÜCRETİ|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Kuruluş Ücreti|2</v>
      </c>
    </row>
    <row r="175" spans="1:31" ht="18" hidden="1" customHeight="1" x14ac:dyDescent="0.3">
      <c r="A175" s="2"/>
      <c r="B175" s="65" t="str">
        <f t="shared" si="18"/>
        <v>GG00169</v>
      </c>
      <c r="C175" s="66">
        <v>46203</v>
      </c>
      <c r="D175" s="60" t="s">
        <v>769</v>
      </c>
      <c r="E175" s="61" t="s">
        <v>798</v>
      </c>
      <c r="F175" s="61" t="s">
        <v>927</v>
      </c>
      <c r="G175" s="67">
        <v>50000</v>
      </c>
      <c r="H175" s="60" t="s">
        <v>772</v>
      </c>
      <c r="I175" s="60" t="s">
        <v>773</v>
      </c>
      <c r="J175" s="61"/>
      <c r="K175" s="61"/>
      <c r="L175" s="60"/>
      <c r="M175" s="74" t="str">
        <f t="shared" si="19"/>
        <v>Personel</v>
      </c>
      <c r="N175" s="74" t="str">
        <f t="shared" si="20"/>
        <v>Merkez Kasa</v>
      </c>
      <c r="O175" s="73">
        <f t="shared" si="21"/>
        <v>46174</v>
      </c>
      <c r="P175" s="65" t="str">
        <f t="shared" ca="1" si="22"/>
        <v>UYGUN</v>
      </c>
      <c r="Q175" s="2"/>
      <c r="R175" s="2"/>
      <c r="S175" s="1" t="str">
        <f t="shared" si="23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24"/>
        <v>0</v>
      </c>
      <c r="W175" s="1" t="str">
        <f t="shared" si="25"/>
        <v>Gider|Personel|46203|50000|Zeynep Hanım Haziran Maaş Bakiye Ödemesi|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Personel|17</v>
      </c>
    </row>
    <row r="176" spans="1:31" ht="18" hidden="1" customHeight="1" x14ac:dyDescent="0.3">
      <c r="A176" s="2"/>
      <c r="B176" s="65" t="str">
        <f t="shared" si="18"/>
        <v>GG00170</v>
      </c>
      <c r="C176" s="66">
        <v>46203</v>
      </c>
      <c r="D176" s="60" t="s">
        <v>769</v>
      </c>
      <c r="E176" s="61" t="s">
        <v>788</v>
      </c>
      <c r="F176" s="61" t="s">
        <v>928</v>
      </c>
      <c r="G176" s="67">
        <v>2000</v>
      </c>
      <c r="H176" s="60" t="s">
        <v>772</v>
      </c>
      <c r="I176" s="60" t="s">
        <v>773</v>
      </c>
      <c r="J176" s="61"/>
      <c r="K176" s="61"/>
      <c r="L176" s="60"/>
      <c r="M176" s="74" t="str">
        <f t="shared" si="19"/>
        <v>Ulaşım</v>
      </c>
      <c r="N176" s="74" t="str">
        <f t="shared" si="20"/>
        <v>Merkez Kasa</v>
      </c>
      <c r="O176" s="73">
        <f t="shared" si="21"/>
        <v>46174</v>
      </c>
      <c r="P176" s="65" t="str">
        <f t="shared" ca="1" si="22"/>
        <v>UYGUN</v>
      </c>
      <c r="Q176" s="2"/>
      <c r="R176" s="2"/>
      <c r="S176" s="1" t="str">
        <f t="shared" si="23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24"/>
        <v>0</v>
      </c>
      <c r="W176" s="1" t="str">
        <f t="shared" si="25"/>
        <v>Gider|Ulaşım|46203|2000|Araç Yakıt|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Ulaşım|24</v>
      </c>
    </row>
    <row r="177" spans="1:31" ht="18" hidden="1" customHeight="1" x14ac:dyDescent="0.3">
      <c r="A177" s="2"/>
      <c r="B177" s="65" t="str">
        <f t="shared" si="18"/>
        <v>GG00171</v>
      </c>
      <c r="C177" s="66">
        <v>46204</v>
      </c>
      <c r="D177" s="60" t="s">
        <v>769</v>
      </c>
      <c r="E177" s="61" t="s">
        <v>793</v>
      </c>
      <c r="F177" s="61" t="s">
        <v>1306</v>
      </c>
      <c r="G177" s="67">
        <v>2500</v>
      </c>
      <c r="H177" s="60" t="s">
        <v>772</v>
      </c>
      <c r="I177" s="60" t="s">
        <v>773</v>
      </c>
      <c r="J177" s="61"/>
      <c r="K177" s="61"/>
      <c r="L177" s="60"/>
      <c r="M177" s="74" t="str">
        <f t="shared" si="19"/>
        <v>Mehmet Ali Kartal</v>
      </c>
      <c r="N177" s="74" t="str">
        <f t="shared" si="20"/>
        <v>Merkez Kasa</v>
      </c>
      <c r="O177" s="73">
        <f t="shared" si="21"/>
        <v>46204</v>
      </c>
      <c r="P177" s="65" t="str">
        <f t="shared" ca="1" si="22"/>
        <v>UYGUN</v>
      </c>
      <c r="Q177" s="2"/>
      <c r="R177" s="2"/>
      <c r="S177" s="1" t="str">
        <f t="shared" si="23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24"/>
        <v>0</v>
      </c>
      <c r="W177" s="1" t="str">
        <f t="shared" si="25"/>
        <v>Gider|Mehmet Ali Kartal|46204|2500|CEREN DEMİRCİ SGK|</v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>Mehmet Ali Kartal|8</v>
      </c>
    </row>
    <row r="178" spans="1:31" ht="18" hidden="1" customHeight="1" x14ac:dyDescent="0.3">
      <c r="A178" s="2"/>
      <c r="B178" s="65" t="str">
        <f t="shared" si="18"/>
        <v>GG00172</v>
      </c>
      <c r="C178" s="66">
        <v>46216</v>
      </c>
      <c r="D178" s="60" t="s">
        <v>769</v>
      </c>
      <c r="E178" s="61" t="s">
        <v>798</v>
      </c>
      <c r="F178" s="61" t="s">
        <v>929</v>
      </c>
      <c r="G178" s="67">
        <v>10000</v>
      </c>
      <c r="H178" s="60" t="s">
        <v>772</v>
      </c>
      <c r="I178" s="60" t="s">
        <v>773</v>
      </c>
      <c r="J178" s="61"/>
      <c r="K178" s="61"/>
      <c r="L178" s="60"/>
      <c r="M178" s="74" t="str">
        <f t="shared" si="19"/>
        <v>Personel</v>
      </c>
      <c r="N178" s="74" t="str">
        <f t="shared" si="20"/>
        <v>Merkez Kasa</v>
      </c>
      <c r="O178" s="73">
        <f t="shared" si="21"/>
        <v>46204</v>
      </c>
      <c r="P178" s="65" t="str">
        <f t="shared" ca="1" si="22"/>
        <v>UYGUN</v>
      </c>
      <c r="Q178" s="2"/>
      <c r="R178" s="2"/>
      <c r="S178" s="1" t="str">
        <f t="shared" si="23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24"/>
        <v>0</v>
      </c>
      <c r="W178" s="1" t="str">
        <f t="shared" si="25"/>
        <v>Gider|Personel|46216|10000|Irmak Maaş Ödemesi|</v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>Personel|18</v>
      </c>
    </row>
    <row r="179" spans="1:31" ht="18" customHeight="1" x14ac:dyDescent="0.3">
      <c r="A179" s="2"/>
      <c r="B179" s="65" t="str">
        <f t="shared" si="18"/>
        <v>GG00173</v>
      </c>
      <c r="C179" s="66">
        <v>46216</v>
      </c>
      <c r="D179" s="60" t="s">
        <v>795</v>
      </c>
      <c r="E179" s="61" t="s">
        <v>825</v>
      </c>
      <c r="F179" s="61" t="s">
        <v>930</v>
      </c>
      <c r="G179" s="67">
        <v>20000</v>
      </c>
      <c r="H179" s="60" t="s">
        <v>723</v>
      </c>
      <c r="I179" s="60" t="s">
        <v>773</v>
      </c>
      <c r="J179" s="61"/>
      <c r="K179" s="61"/>
      <c r="L179" s="60"/>
      <c r="M179" s="74" t="str">
        <f t="shared" si="19"/>
        <v>ÖMER KARTAL</v>
      </c>
      <c r="N179" s="74" t="str">
        <f t="shared" si="20"/>
        <v>Kuruluş Ücreti</v>
      </c>
      <c r="O179" s="73">
        <f t="shared" si="21"/>
        <v>46204</v>
      </c>
      <c r="P179" s="65" t="str">
        <f t="shared" ca="1" si="22"/>
        <v>UYGUN</v>
      </c>
      <c r="Q179" s="2"/>
      <c r="R179" s="2"/>
      <c r="S179" s="1" t="str">
        <f t="shared" si="23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24"/>
        <v>0</v>
      </c>
      <c r="W179" s="1" t="str">
        <f t="shared" si="25"/>
        <v>Gelir|Kuruluş Ücreti|46216|20000|VANOLYA LTD.ŞTİ. KURULUŞ ÜCRETİ|</v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>Kuruluş Ücreti|3</v>
      </c>
    </row>
    <row r="180" spans="1:31" ht="18" hidden="1" customHeight="1" x14ac:dyDescent="0.3">
      <c r="A180" s="2"/>
      <c r="B180" s="65" t="str">
        <f t="shared" si="18"/>
        <v>GG00174</v>
      </c>
      <c r="C180" s="66">
        <v>46218</v>
      </c>
      <c r="D180" s="60" t="s">
        <v>769</v>
      </c>
      <c r="E180" s="61" t="s">
        <v>784</v>
      </c>
      <c r="F180" s="61" t="s">
        <v>931</v>
      </c>
      <c r="G180" s="67">
        <v>2200</v>
      </c>
      <c r="H180" s="60" t="s">
        <v>772</v>
      </c>
      <c r="I180" s="60" t="s">
        <v>773</v>
      </c>
      <c r="J180" s="61"/>
      <c r="K180" s="61"/>
      <c r="L180" s="60"/>
      <c r="M180" s="74" t="str">
        <f t="shared" si="19"/>
        <v>Elektrik / Su / Doğalgaz</v>
      </c>
      <c r="N180" s="74" t="str">
        <f t="shared" si="20"/>
        <v>Merkez Kasa</v>
      </c>
      <c r="O180" s="73">
        <f t="shared" si="21"/>
        <v>46204</v>
      </c>
      <c r="P180" s="65" t="str">
        <f t="shared" ca="1" si="22"/>
        <v>UYGUN</v>
      </c>
      <c r="Q180" s="2"/>
      <c r="R180" s="2"/>
      <c r="S180" s="1" t="str">
        <f t="shared" si="23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24"/>
        <v>0</v>
      </c>
      <c r="W180" s="1" t="str">
        <f t="shared" si="25"/>
        <v>Gider|Elektrik / Su / Doğalgaz|46218|2200|Ofis Elektrik Fatura Ödemesi 3 Adet|</v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>Elektrik / Su / Doğalgaz|6</v>
      </c>
    </row>
    <row r="181" spans="1:31" ht="18" hidden="1" customHeight="1" x14ac:dyDescent="0.3">
      <c r="A181" s="2"/>
      <c r="B181" s="65" t="str">
        <f t="shared" si="18"/>
        <v>GG00175</v>
      </c>
      <c r="C181" s="66">
        <v>46222</v>
      </c>
      <c r="D181" s="60" t="s">
        <v>769</v>
      </c>
      <c r="E181" s="61" t="s">
        <v>779</v>
      </c>
      <c r="F181" s="61" t="s">
        <v>932</v>
      </c>
      <c r="G181" s="67">
        <v>3500</v>
      </c>
      <c r="H181" s="60" t="s">
        <v>772</v>
      </c>
      <c r="I181" s="60" t="s">
        <v>773</v>
      </c>
      <c r="J181" s="61"/>
      <c r="K181" s="61"/>
      <c r="L181" s="60"/>
      <c r="M181" s="74" t="str">
        <f t="shared" si="19"/>
        <v>Kırtasiye</v>
      </c>
      <c r="N181" s="74" t="str">
        <f t="shared" si="20"/>
        <v>Merkez Kasa</v>
      </c>
      <c r="O181" s="73">
        <f t="shared" si="21"/>
        <v>46204</v>
      </c>
      <c r="P181" s="65" t="str">
        <f t="shared" ca="1" si="22"/>
        <v>UYGUN</v>
      </c>
      <c r="Q181" s="2"/>
      <c r="R181" s="2"/>
      <c r="S181" s="1" t="str">
        <f t="shared" si="23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24"/>
        <v>0</v>
      </c>
      <c r="W181" s="1" t="str">
        <f t="shared" si="25"/>
        <v>Gider|Kırtasiye|46222|3500|Serkan Baş Toner|</v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>Kırtasiye|5</v>
      </c>
    </row>
    <row r="182" spans="1:31" ht="18" hidden="1" customHeight="1" x14ac:dyDescent="0.3">
      <c r="A182" s="2"/>
      <c r="B182" s="65" t="str">
        <f t="shared" si="18"/>
        <v>GG00176</v>
      </c>
      <c r="C182" s="66">
        <v>46222</v>
      </c>
      <c r="D182" s="60" t="s">
        <v>769</v>
      </c>
      <c r="E182" s="61" t="s">
        <v>788</v>
      </c>
      <c r="F182" s="61" t="s">
        <v>928</v>
      </c>
      <c r="G182" s="67">
        <v>2000</v>
      </c>
      <c r="H182" s="60" t="s">
        <v>772</v>
      </c>
      <c r="I182" s="60" t="s">
        <v>773</v>
      </c>
      <c r="J182" s="61"/>
      <c r="K182" s="61"/>
      <c r="L182" s="60"/>
      <c r="M182" s="74" t="str">
        <f t="shared" si="19"/>
        <v>Ulaşım</v>
      </c>
      <c r="N182" s="74" t="str">
        <f t="shared" si="20"/>
        <v>Merkez Kasa</v>
      </c>
      <c r="O182" s="73">
        <f t="shared" si="21"/>
        <v>46204</v>
      </c>
      <c r="P182" s="65" t="str">
        <f t="shared" ca="1" si="22"/>
        <v>UYGUN</v>
      </c>
      <c r="Q182" s="2"/>
      <c r="R182" s="2"/>
      <c r="S182" s="1" t="str">
        <f t="shared" si="23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24"/>
        <v>0</v>
      </c>
      <c r="W182" s="1" t="str">
        <f t="shared" si="25"/>
        <v>Gider|Ulaşım|46222|2000|Araç Yakıt|</v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>Ulaşım|25</v>
      </c>
    </row>
    <row r="183" spans="1:31" ht="18" hidden="1" customHeight="1" x14ac:dyDescent="0.3">
      <c r="A183" s="2"/>
      <c r="B183" s="65" t="str">
        <f t="shared" si="18"/>
        <v>GG00177</v>
      </c>
      <c r="C183" s="66">
        <v>46224</v>
      </c>
      <c r="D183" s="60" t="s">
        <v>769</v>
      </c>
      <c r="E183" s="61" t="s">
        <v>801</v>
      </c>
      <c r="F183" s="61" t="s">
        <v>859</v>
      </c>
      <c r="G183" s="67">
        <v>11810</v>
      </c>
      <c r="H183" s="60" t="s">
        <v>772</v>
      </c>
      <c r="I183" s="60" t="s">
        <v>773</v>
      </c>
      <c r="J183" s="61"/>
      <c r="K183" s="61"/>
      <c r="L183" s="60"/>
      <c r="M183" s="74" t="str">
        <f t="shared" si="19"/>
        <v>Vergi / Harç</v>
      </c>
      <c r="N183" s="74" t="str">
        <f t="shared" si="20"/>
        <v>Merkez Kasa</v>
      </c>
      <c r="O183" s="73">
        <f t="shared" si="21"/>
        <v>46204</v>
      </c>
      <c r="P183" s="65" t="str">
        <f t="shared" ca="1" si="22"/>
        <v>UYGUN</v>
      </c>
      <c r="Q183" s="2"/>
      <c r="R183" s="2"/>
      <c r="S183" s="1" t="str">
        <f t="shared" si="23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24"/>
        <v>0</v>
      </c>
      <c r="W183" s="1" t="str">
        <f t="shared" si="25"/>
        <v>Gider|Vergi / Harç|46224|11810|Bağkur Ödemesi|</v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>Vergi / Harç|13</v>
      </c>
    </row>
    <row r="184" spans="1:31" ht="18" hidden="1" customHeight="1" x14ac:dyDescent="0.3">
      <c r="A184" s="2"/>
      <c r="B184" s="65" t="str">
        <f t="shared" si="18"/>
        <v>GG00178</v>
      </c>
      <c r="C184" s="66">
        <v>46226</v>
      </c>
      <c r="D184" s="60" t="s">
        <v>769</v>
      </c>
      <c r="E184" s="61" t="s">
        <v>788</v>
      </c>
      <c r="F184" s="61" t="s">
        <v>928</v>
      </c>
      <c r="G184" s="67">
        <v>2000</v>
      </c>
      <c r="H184" s="60" t="s">
        <v>772</v>
      </c>
      <c r="I184" s="60" t="s">
        <v>773</v>
      </c>
      <c r="J184" s="61"/>
      <c r="K184" s="61"/>
      <c r="L184" s="60"/>
      <c r="M184" s="74" t="str">
        <f t="shared" si="19"/>
        <v>Ulaşım</v>
      </c>
      <c r="N184" s="74" t="str">
        <f t="shared" si="20"/>
        <v>Merkez Kasa</v>
      </c>
      <c r="O184" s="73">
        <f t="shared" si="21"/>
        <v>46204</v>
      </c>
      <c r="P184" s="65" t="str">
        <f t="shared" ca="1" si="22"/>
        <v>UYGUN</v>
      </c>
      <c r="Q184" s="2"/>
      <c r="R184" s="2"/>
      <c r="S184" s="1" t="str">
        <f t="shared" si="23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24"/>
        <v>0</v>
      </c>
      <c r="W184" s="1" t="str">
        <f t="shared" si="25"/>
        <v>Gider|Ulaşım|46226|2000|Araç Yakıt|</v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>Ulaşım|26</v>
      </c>
    </row>
    <row r="185" spans="1:31" ht="18" hidden="1" customHeight="1" x14ac:dyDescent="0.3">
      <c r="A185" s="2"/>
      <c r="B185" s="65" t="str">
        <f t="shared" si="18"/>
        <v>GG00179</v>
      </c>
      <c r="C185" s="66">
        <v>46230</v>
      </c>
      <c r="D185" s="60" t="s">
        <v>769</v>
      </c>
      <c r="E185" s="61" t="s">
        <v>798</v>
      </c>
      <c r="F185" s="61" t="s">
        <v>799</v>
      </c>
      <c r="G185" s="67">
        <v>60000</v>
      </c>
      <c r="H185" s="60" t="s">
        <v>772</v>
      </c>
      <c r="I185" s="60" t="s">
        <v>773</v>
      </c>
      <c r="J185" s="61"/>
      <c r="K185" s="61"/>
      <c r="L185" s="60"/>
      <c r="M185" s="74" t="str">
        <f t="shared" si="19"/>
        <v>Personel</v>
      </c>
      <c r="N185" s="74" t="str">
        <f t="shared" si="20"/>
        <v>Merkez Kasa</v>
      </c>
      <c r="O185" s="73">
        <f t="shared" si="21"/>
        <v>46204</v>
      </c>
      <c r="P185" s="65" t="str">
        <f t="shared" ca="1" si="22"/>
        <v>UYGUN</v>
      </c>
      <c r="Q185" s="2"/>
      <c r="R185" s="2"/>
      <c r="S185" s="1" t="str">
        <f t="shared" si="23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24"/>
        <v>0</v>
      </c>
      <c r="W185" s="1" t="str">
        <f t="shared" si="25"/>
        <v>Gider|Personel|46230|60000|Zeynep Hanım Maaş|</v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>Personel|19</v>
      </c>
    </row>
    <row r="186" spans="1:31" ht="18" hidden="1" customHeight="1" x14ac:dyDescent="0.3">
      <c r="A186" s="2"/>
      <c r="B186" s="65" t="str">
        <f t="shared" si="18"/>
        <v>GG00180</v>
      </c>
      <c r="C186" s="66">
        <v>46230</v>
      </c>
      <c r="D186" s="60" t="s">
        <v>769</v>
      </c>
      <c r="E186" s="61" t="s">
        <v>788</v>
      </c>
      <c r="F186" s="61" t="s">
        <v>928</v>
      </c>
      <c r="G186" s="67">
        <v>2000</v>
      </c>
      <c r="H186" s="60" t="s">
        <v>772</v>
      </c>
      <c r="I186" s="60" t="s">
        <v>773</v>
      </c>
      <c r="J186" s="61"/>
      <c r="K186" s="61"/>
      <c r="L186" s="60"/>
      <c r="M186" s="74" t="str">
        <f t="shared" si="19"/>
        <v>Ulaşım</v>
      </c>
      <c r="N186" s="74" t="str">
        <f t="shared" si="20"/>
        <v>Merkez Kasa</v>
      </c>
      <c r="O186" s="73">
        <f t="shared" si="21"/>
        <v>46204</v>
      </c>
      <c r="P186" s="65" t="str">
        <f t="shared" ca="1" si="22"/>
        <v>UYGUN</v>
      </c>
      <c r="Q186" s="2"/>
      <c r="R186" s="2"/>
      <c r="S186" s="1" t="str">
        <f t="shared" si="23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24"/>
        <v>0</v>
      </c>
      <c r="W186" s="1" t="str">
        <f t="shared" si="25"/>
        <v>Gider|Ulaşım|46230|2000|Araç Yakıt|</v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>Ulaşım|27</v>
      </c>
    </row>
    <row r="187" spans="1:31" ht="18" hidden="1" customHeight="1" x14ac:dyDescent="0.3">
      <c r="A187" s="2"/>
      <c r="B187" s="65" t="str">
        <f t="shared" si="18"/>
        <v>GG00181</v>
      </c>
      <c r="C187" s="66">
        <v>46234</v>
      </c>
      <c r="D187" s="60" t="s">
        <v>769</v>
      </c>
      <c r="E187" s="61" t="s">
        <v>805</v>
      </c>
      <c r="F187" s="61" t="s">
        <v>933</v>
      </c>
      <c r="G187" s="67">
        <v>14000</v>
      </c>
      <c r="H187" s="60" t="s">
        <v>772</v>
      </c>
      <c r="I187" s="60" t="s">
        <v>773</v>
      </c>
      <c r="J187" s="61"/>
      <c r="K187" s="61"/>
      <c r="L187" s="60"/>
      <c r="M187" s="74" t="str">
        <f t="shared" si="19"/>
        <v>Ofis Kirası</v>
      </c>
      <c r="N187" s="74" t="str">
        <f t="shared" si="20"/>
        <v>Merkez Kasa</v>
      </c>
      <c r="O187" s="73">
        <f t="shared" si="21"/>
        <v>46204</v>
      </c>
      <c r="P187" s="65" t="str">
        <f t="shared" ca="1" si="22"/>
        <v>UYGUN</v>
      </c>
      <c r="Q187" s="2"/>
      <c r="R187" s="2"/>
      <c r="S187" s="1" t="str">
        <f t="shared" si="23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24"/>
        <v>0</v>
      </c>
      <c r="W187" s="1" t="str">
        <f t="shared" si="25"/>
        <v>Gider|Ofis Kirası|46234|14000|Temmuz İşyeri Kira Ödemesi|</v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>Ofis Kirası|12</v>
      </c>
    </row>
    <row r="188" spans="1:31" ht="18" hidden="1" customHeight="1" x14ac:dyDescent="0.3">
      <c r="A188" s="2"/>
      <c r="B188" s="65" t="str">
        <f t="shared" si="18"/>
        <v>GG00182</v>
      </c>
      <c r="C188" s="66">
        <v>46235</v>
      </c>
      <c r="D188" s="60" t="s">
        <v>769</v>
      </c>
      <c r="E188" s="61" t="s">
        <v>805</v>
      </c>
      <c r="F188" s="61" t="s">
        <v>934</v>
      </c>
      <c r="G188" s="67">
        <v>14000</v>
      </c>
      <c r="H188" s="60" t="s">
        <v>772</v>
      </c>
      <c r="I188" s="60" t="s">
        <v>773</v>
      </c>
      <c r="J188" s="61"/>
      <c r="K188" s="61"/>
      <c r="L188" s="60"/>
      <c r="M188" s="74" t="str">
        <f t="shared" si="19"/>
        <v>Ofis Kirası</v>
      </c>
      <c r="N188" s="74" t="str">
        <f t="shared" si="20"/>
        <v>Merkez Kasa</v>
      </c>
      <c r="O188" s="73">
        <f t="shared" si="21"/>
        <v>46235</v>
      </c>
      <c r="P188" s="65" t="str">
        <f t="shared" ca="1" si="22"/>
        <v>UYGUN</v>
      </c>
      <c r="Q188" s="2"/>
      <c r="R188" s="2"/>
      <c r="S188" s="1" t="str">
        <f t="shared" si="23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24"/>
        <v>0</v>
      </c>
      <c r="W188" s="1" t="str">
        <f t="shared" si="25"/>
        <v>Gider|Ofis Kirası|46235|14000|Ağustos İşyeri Kira Ödemesi|</v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>Ofis Kirası|13</v>
      </c>
    </row>
    <row r="189" spans="1:31" ht="18" hidden="1" customHeight="1" x14ac:dyDescent="0.3">
      <c r="A189" s="2"/>
      <c r="B189" s="65" t="str">
        <f t="shared" si="18"/>
        <v>GG00183</v>
      </c>
      <c r="C189" s="66">
        <v>46235</v>
      </c>
      <c r="D189" s="60" t="s">
        <v>769</v>
      </c>
      <c r="E189" s="61" t="s">
        <v>805</v>
      </c>
      <c r="F189" s="61" t="s">
        <v>935</v>
      </c>
      <c r="G189" s="67">
        <v>14000</v>
      </c>
      <c r="H189" s="60" t="s">
        <v>772</v>
      </c>
      <c r="I189" s="60" t="s">
        <v>773</v>
      </c>
      <c r="J189" s="61"/>
      <c r="K189" s="61"/>
      <c r="L189" s="60"/>
      <c r="M189" s="74" t="str">
        <f t="shared" si="19"/>
        <v>Ofis Kirası</v>
      </c>
      <c r="N189" s="74" t="str">
        <f t="shared" si="20"/>
        <v>Merkez Kasa</v>
      </c>
      <c r="O189" s="73">
        <f t="shared" si="21"/>
        <v>46235</v>
      </c>
      <c r="P189" s="65" t="str">
        <f t="shared" ca="1" si="22"/>
        <v>UYGUN</v>
      </c>
      <c r="Q189" s="2"/>
      <c r="R189" s="2"/>
      <c r="S189" s="1" t="str">
        <f t="shared" si="23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24"/>
        <v>0</v>
      </c>
      <c r="W189" s="1" t="str">
        <f t="shared" si="25"/>
        <v>Gider|Ofis Kirası|46235|14000|Eylül İşyeri Kira Ödemesi|</v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>Ofis Kirası|14</v>
      </c>
    </row>
    <row r="190" spans="1:31" ht="18" customHeight="1" x14ac:dyDescent="0.3">
      <c r="A190" s="2"/>
      <c r="B190" s="65" t="str">
        <f t="shared" si="18"/>
        <v>GG00184</v>
      </c>
      <c r="C190" s="66">
        <v>46235</v>
      </c>
      <c r="D190" s="60" t="s">
        <v>795</v>
      </c>
      <c r="E190" s="61" t="s">
        <v>812</v>
      </c>
      <c r="F190" s="61" t="s">
        <v>936</v>
      </c>
      <c r="G190" s="67">
        <v>4200</v>
      </c>
      <c r="H190" s="60" t="s">
        <v>717</v>
      </c>
      <c r="I190" s="60" t="s">
        <v>773</v>
      </c>
      <c r="J190" s="61"/>
      <c r="K190" s="61"/>
      <c r="L190" s="60"/>
      <c r="M190" s="74" t="str">
        <f t="shared" si="19"/>
        <v>MERKEZ KASA</v>
      </c>
      <c r="N190" s="74" t="str">
        <f t="shared" si="20"/>
        <v>Geçici Vergi Damga</v>
      </c>
      <c r="O190" s="73">
        <f t="shared" si="21"/>
        <v>46235</v>
      </c>
      <c r="P190" s="65" t="str">
        <f t="shared" ca="1" si="22"/>
        <v>UYGUN</v>
      </c>
      <c r="Q190" s="2"/>
      <c r="R190" s="2"/>
      <c r="S190" s="1" t="str">
        <f t="shared" si="23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24"/>
        <v>0</v>
      </c>
      <c r="W190" s="1" t="str">
        <f t="shared" si="25"/>
        <v>Gelir|Geçici Vergi Damga|46235|4200|KRİSTAL LTD.ŞTİ. 2026 / 2 GEÇİCİ DAMGA|</v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>Geçici Vergi Damga|20</v>
      </c>
    </row>
    <row r="191" spans="1:31" ht="18" customHeight="1" x14ac:dyDescent="0.3">
      <c r="A191" s="2"/>
      <c r="B191" s="65" t="str">
        <f t="shared" si="18"/>
        <v>GG00185</v>
      </c>
      <c r="C191" s="66">
        <v>46235</v>
      </c>
      <c r="D191" s="60" t="s">
        <v>795</v>
      </c>
      <c r="E191" s="61" t="s">
        <v>812</v>
      </c>
      <c r="F191" s="61" t="s">
        <v>937</v>
      </c>
      <c r="G191" s="67">
        <v>4200</v>
      </c>
      <c r="H191" s="60" t="s">
        <v>717</v>
      </c>
      <c r="I191" s="60" t="s">
        <v>773</v>
      </c>
      <c r="J191" s="61"/>
      <c r="K191" s="61"/>
      <c r="L191" s="60"/>
      <c r="M191" s="74" t="str">
        <f t="shared" si="19"/>
        <v>MERKEZ KASA</v>
      </c>
      <c r="N191" s="74" t="str">
        <f t="shared" si="20"/>
        <v>Geçici Vergi Damga</v>
      </c>
      <c r="O191" s="73">
        <f t="shared" si="21"/>
        <v>46235</v>
      </c>
      <c r="P191" s="65" t="str">
        <f t="shared" ca="1" si="22"/>
        <v>UYGUN</v>
      </c>
      <c r="Q191" s="2"/>
      <c r="R191" s="2"/>
      <c r="S191" s="1" t="str">
        <f t="shared" si="23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24"/>
        <v>0</v>
      </c>
      <c r="W191" s="1" t="str">
        <f t="shared" si="25"/>
        <v>Gelir|Geçici Vergi Damga|46235|4200|ASIM AÇIKGÖZ 2026 / 2 GEÇİCİ DAMGA|</v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>Geçici Vergi Damga|21</v>
      </c>
    </row>
    <row r="192" spans="1:31" ht="18" customHeight="1" x14ac:dyDescent="0.3">
      <c r="A192" s="2"/>
      <c r="B192" s="65" t="str">
        <f t="shared" si="18"/>
        <v>GG00186</v>
      </c>
      <c r="C192" s="66">
        <v>46235</v>
      </c>
      <c r="D192" s="60" t="s">
        <v>795</v>
      </c>
      <c r="E192" s="61" t="s">
        <v>812</v>
      </c>
      <c r="F192" s="61" t="s">
        <v>938</v>
      </c>
      <c r="G192" s="67">
        <v>4200</v>
      </c>
      <c r="H192" s="60" t="s">
        <v>717</v>
      </c>
      <c r="I192" s="60" t="s">
        <v>773</v>
      </c>
      <c r="J192" s="61"/>
      <c r="K192" s="61"/>
      <c r="L192" s="60"/>
      <c r="M192" s="74" t="str">
        <f t="shared" si="19"/>
        <v>MERKEZ KASA</v>
      </c>
      <c r="N192" s="74" t="str">
        <f t="shared" si="20"/>
        <v>Geçici Vergi Damga</v>
      </c>
      <c r="O192" s="73">
        <f t="shared" si="21"/>
        <v>46235</v>
      </c>
      <c r="P192" s="65" t="str">
        <f t="shared" ca="1" si="22"/>
        <v>UYGUN</v>
      </c>
      <c r="Q192" s="2"/>
      <c r="R192" s="2"/>
      <c r="S192" s="1" t="str">
        <f t="shared" si="23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24"/>
        <v>0</v>
      </c>
      <c r="W192" s="1" t="str">
        <f t="shared" si="25"/>
        <v>Gelir|Geçici Vergi Damga|46235|4200|RİX LTD.ŞTİ. 2026 / 2 GEÇİCİ DAMGA|</v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>Geçici Vergi Damga|22</v>
      </c>
    </row>
    <row r="193" spans="1:31" ht="18" customHeight="1" x14ac:dyDescent="0.3">
      <c r="A193" s="2"/>
      <c r="B193" s="65" t="str">
        <f t="shared" si="18"/>
        <v>GG00187</v>
      </c>
      <c r="C193" s="66">
        <v>46235</v>
      </c>
      <c r="D193" s="60" t="s">
        <v>795</v>
      </c>
      <c r="E193" s="61" t="s">
        <v>812</v>
      </c>
      <c r="F193" s="61" t="s">
        <v>939</v>
      </c>
      <c r="G193" s="67">
        <v>4200</v>
      </c>
      <c r="H193" s="60" t="s">
        <v>717</v>
      </c>
      <c r="I193" s="60" t="s">
        <v>773</v>
      </c>
      <c r="J193" s="61"/>
      <c r="K193" s="61"/>
      <c r="L193" s="60"/>
      <c r="M193" s="74" t="str">
        <f t="shared" si="19"/>
        <v>MERKEZ KASA</v>
      </c>
      <c r="N193" s="74" t="str">
        <f t="shared" si="20"/>
        <v>Geçici Vergi Damga</v>
      </c>
      <c r="O193" s="73">
        <f t="shared" si="21"/>
        <v>46235</v>
      </c>
      <c r="P193" s="65" t="str">
        <f t="shared" ca="1" si="22"/>
        <v>UYGUN</v>
      </c>
      <c r="Q193" s="2"/>
      <c r="R193" s="2"/>
      <c r="S193" s="1" t="str">
        <f t="shared" si="23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24"/>
        <v>0</v>
      </c>
      <c r="W193" s="1" t="str">
        <f t="shared" si="25"/>
        <v>Gelir|Geçici Vergi Damga|46235|4200|ASM EĞLENCE LTD.ŞTİ. 2026 / 2 GEÇİCİ DAMGA|</v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>Geçici Vergi Damga|23</v>
      </c>
    </row>
    <row r="194" spans="1:31" ht="18" customHeight="1" x14ac:dyDescent="0.3">
      <c r="A194" s="2"/>
      <c r="B194" s="65" t="str">
        <f t="shared" si="18"/>
        <v>GG00188</v>
      </c>
      <c r="C194" s="66">
        <v>46235</v>
      </c>
      <c r="D194" s="60" t="s">
        <v>795</v>
      </c>
      <c r="E194" s="61" t="s">
        <v>812</v>
      </c>
      <c r="F194" s="61" t="s">
        <v>940</v>
      </c>
      <c r="G194" s="67">
        <v>4200</v>
      </c>
      <c r="H194" s="60" t="s">
        <v>717</v>
      </c>
      <c r="I194" s="60" t="s">
        <v>773</v>
      </c>
      <c r="J194" s="61"/>
      <c r="K194" s="61"/>
      <c r="L194" s="60"/>
      <c r="M194" s="74" t="str">
        <f t="shared" si="19"/>
        <v>MERKEZ KASA</v>
      </c>
      <c r="N194" s="74" t="str">
        <f t="shared" si="20"/>
        <v>Geçici Vergi Damga</v>
      </c>
      <c r="O194" s="73">
        <f t="shared" si="21"/>
        <v>46235</v>
      </c>
      <c r="P194" s="65" t="str">
        <f t="shared" ca="1" si="22"/>
        <v>UYGUN</v>
      </c>
      <c r="Q194" s="2"/>
      <c r="R194" s="2"/>
      <c r="S194" s="1" t="str">
        <f t="shared" si="23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24"/>
        <v>0</v>
      </c>
      <c r="W194" s="1" t="str">
        <f t="shared" si="25"/>
        <v>Gelir|Geçici Vergi Damga|46235|4200|PAKYILDIZ LTD.ŞTİ.  2026 / 2 GEÇİCİ DAMGA|</v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>Geçici Vergi Damga|24</v>
      </c>
    </row>
    <row r="195" spans="1:31" ht="18" customHeight="1" x14ac:dyDescent="0.3">
      <c r="A195" s="2"/>
      <c r="B195" s="65" t="str">
        <f t="shared" si="18"/>
        <v>GG00189</v>
      </c>
      <c r="C195" s="66">
        <v>46235</v>
      </c>
      <c r="D195" s="60" t="s">
        <v>795</v>
      </c>
      <c r="E195" s="61" t="s">
        <v>812</v>
      </c>
      <c r="F195" s="61" t="s">
        <v>941</v>
      </c>
      <c r="G195" s="67">
        <v>4200</v>
      </c>
      <c r="H195" s="60" t="s">
        <v>717</v>
      </c>
      <c r="I195" s="60" t="s">
        <v>773</v>
      </c>
      <c r="J195" s="61"/>
      <c r="K195" s="61"/>
      <c r="L195" s="60"/>
      <c r="M195" s="74" t="str">
        <f t="shared" si="19"/>
        <v>MERKEZ KASA</v>
      </c>
      <c r="N195" s="74" t="str">
        <f t="shared" si="20"/>
        <v>Geçici Vergi Damga</v>
      </c>
      <c r="O195" s="73">
        <f t="shared" si="21"/>
        <v>46235</v>
      </c>
      <c r="P195" s="65" t="str">
        <f t="shared" ca="1" si="22"/>
        <v>UYGUN</v>
      </c>
      <c r="Q195" s="2"/>
      <c r="R195" s="2"/>
      <c r="S195" s="1" t="str">
        <f t="shared" si="23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24"/>
        <v>0</v>
      </c>
      <c r="W195" s="1" t="str">
        <f t="shared" si="25"/>
        <v>Gelir|Geçici Vergi Damga|46235|4200|FİNAL LTD.ŞTİ.  2026 / 2 GEÇİCİ DAMGA|</v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>Geçici Vergi Damga|25</v>
      </c>
    </row>
    <row r="196" spans="1:31" ht="18" customHeight="1" x14ac:dyDescent="0.3">
      <c r="A196" s="2"/>
      <c r="B196" s="65" t="str">
        <f t="shared" si="18"/>
        <v>GG00190</v>
      </c>
      <c r="C196" s="66">
        <v>46235</v>
      </c>
      <c r="D196" s="60" t="s">
        <v>795</v>
      </c>
      <c r="E196" s="61" t="s">
        <v>812</v>
      </c>
      <c r="F196" s="61" t="s">
        <v>942</v>
      </c>
      <c r="G196" s="67">
        <v>4200</v>
      </c>
      <c r="H196" s="60" t="s">
        <v>717</v>
      </c>
      <c r="I196" s="60" t="s">
        <v>773</v>
      </c>
      <c r="J196" s="61"/>
      <c r="K196" s="61"/>
      <c r="L196" s="60"/>
      <c r="M196" s="74" t="str">
        <f t="shared" si="19"/>
        <v>MERKEZ KASA</v>
      </c>
      <c r="N196" s="74" t="str">
        <f t="shared" si="20"/>
        <v>Geçici Vergi Damga</v>
      </c>
      <c r="O196" s="73">
        <f t="shared" si="21"/>
        <v>46235</v>
      </c>
      <c r="P196" s="65" t="str">
        <f t="shared" ca="1" si="22"/>
        <v>UYGUN</v>
      </c>
      <c r="Q196" s="2"/>
      <c r="R196" s="2"/>
      <c r="S196" s="1" t="str">
        <f t="shared" si="23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24"/>
        <v>0</v>
      </c>
      <c r="W196" s="1" t="str">
        <f t="shared" si="25"/>
        <v>Gelir|Geçici Vergi Damga|46235|4200|ZÜMRÜT GRUP LTD.ŞTİ. 2026 / 2 GEÇİCİ DAMGA|</v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>Geçici Vergi Damga|26</v>
      </c>
    </row>
    <row r="197" spans="1:31" ht="18" customHeight="1" x14ac:dyDescent="0.3">
      <c r="A197" s="2"/>
      <c r="B197" s="65" t="str">
        <f t="shared" si="18"/>
        <v>GG00191</v>
      </c>
      <c r="C197" s="66">
        <v>46235</v>
      </c>
      <c r="D197" s="60" t="s">
        <v>795</v>
      </c>
      <c r="E197" s="61" t="s">
        <v>812</v>
      </c>
      <c r="F197" s="61" t="s">
        <v>943</v>
      </c>
      <c r="G197" s="67">
        <v>4200</v>
      </c>
      <c r="H197" s="60" t="s">
        <v>717</v>
      </c>
      <c r="I197" s="60" t="s">
        <v>773</v>
      </c>
      <c r="J197" s="61"/>
      <c r="K197" s="61"/>
      <c r="L197" s="60"/>
      <c r="M197" s="74" t="str">
        <f t="shared" si="19"/>
        <v>MERKEZ KASA</v>
      </c>
      <c r="N197" s="74" t="str">
        <f t="shared" si="20"/>
        <v>Geçici Vergi Damga</v>
      </c>
      <c r="O197" s="73">
        <f t="shared" si="21"/>
        <v>46235</v>
      </c>
      <c r="P197" s="65" t="str">
        <f t="shared" ca="1" si="22"/>
        <v>UYGUN</v>
      </c>
      <c r="Q197" s="2"/>
      <c r="R197" s="2"/>
      <c r="S197" s="1" t="str">
        <f t="shared" ref="S197:S260" si="26"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ref="V197:V260" si="27">IF($T197="",0,1)</f>
        <v>0</v>
      </c>
      <c r="W197" s="1" t="str">
        <f t="shared" ref="W197:W260" si="28">IF($C197="","",$D197&amp;"|"&amp;$E197&amp;"|"&amp;TEXT($C197,"0")&amp;"|"&amp;TEXT($G197,"0")&amp;"|"&amp;$F197&amp;"|"&amp;$J197)</f>
        <v>Gelir|Geçici Vergi Damga|46235|4200|ÇINARHAN LTD.ŞTİ. 2026 / 2 GEÇİCİ DAMGA|</v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>Geçici Vergi Damga|27</v>
      </c>
    </row>
    <row r="198" spans="1:31" ht="18" customHeight="1" x14ac:dyDescent="0.3">
      <c r="A198" s="2"/>
      <c r="B198" s="65" t="str">
        <f t="shared" si="18"/>
        <v>GG00192</v>
      </c>
      <c r="C198" s="66">
        <v>46235</v>
      </c>
      <c r="D198" s="60" t="s">
        <v>795</v>
      </c>
      <c r="E198" s="61" t="s">
        <v>812</v>
      </c>
      <c r="F198" s="61" t="s">
        <v>944</v>
      </c>
      <c r="G198" s="67">
        <v>4200</v>
      </c>
      <c r="H198" s="60" t="s">
        <v>717</v>
      </c>
      <c r="I198" s="60" t="s">
        <v>773</v>
      </c>
      <c r="J198" s="61"/>
      <c r="K198" s="61"/>
      <c r="L198" s="60"/>
      <c r="M198" s="74" t="str">
        <f t="shared" si="19"/>
        <v>MERKEZ KASA</v>
      </c>
      <c r="N198" s="74" t="str">
        <f t="shared" si="20"/>
        <v>Geçici Vergi Damga</v>
      </c>
      <c r="O198" s="73">
        <f t="shared" si="21"/>
        <v>46235</v>
      </c>
      <c r="P198" s="65" t="str">
        <f t="shared" ca="1" si="22"/>
        <v>UYGUN</v>
      </c>
      <c r="Q198" s="2"/>
      <c r="R198" s="2"/>
      <c r="S198" s="1" t="str">
        <f t="shared" si="26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27"/>
        <v>0</v>
      </c>
      <c r="W198" s="1" t="str">
        <f t="shared" si="28"/>
        <v>Gelir|Geçici Vergi Damga|46235|4200|YALKENT LTD.ŞTİ. 2026 / 2 GEÇİCİ DAMGA|</v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>Geçici Vergi Damga|28</v>
      </c>
    </row>
    <row r="199" spans="1:31" ht="18" customHeight="1" x14ac:dyDescent="0.3">
      <c r="A199" s="2"/>
      <c r="B199" s="65" t="str">
        <f t="shared" ref="B199:B262" si="29">IF($C199="","","GG"&amp;TEXT(ROW()-6,"00000"))</f>
        <v>GG00193</v>
      </c>
      <c r="C199" s="66">
        <v>46235</v>
      </c>
      <c r="D199" s="60" t="s">
        <v>795</v>
      </c>
      <c r="E199" s="61" t="s">
        <v>812</v>
      </c>
      <c r="F199" s="61" t="s">
        <v>945</v>
      </c>
      <c r="G199" s="67">
        <v>4200</v>
      </c>
      <c r="H199" s="60" t="s">
        <v>717</v>
      </c>
      <c r="I199" s="60" t="s">
        <v>773</v>
      </c>
      <c r="J199" s="61"/>
      <c r="K199" s="61"/>
      <c r="L199" s="60"/>
      <c r="M199" s="74" t="str">
        <f t="shared" ref="M199:M262" si="30">IF($C199="","",IF($D199="Gider",$E199,IF($L199&lt;&gt;"",$L199,$H199)))</f>
        <v>MERKEZ KASA</v>
      </c>
      <c r="N199" s="74" t="str">
        <f t="shared" ref="N199:N262" si="31">IF($C199="","",IF($D199="Gider",$H199,$E199))</f>
        <v>Geçici Vergi Damga</v>
      </c>
      <c r="O199" s="73">
        <f t="shared" ref="O199:O262" si="32">IF($C199="","",DATE(YEAR($C199),MONTH($C199),1))</f>
        <v>46235</v>
      </c>
      <c r="P199" s="65" t="str">
        <f t="shared" ref="P199:P262" ca="1" si="33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TARİH",IF(COUNTIF($W$7:$W$3001,$W199)&gt;1,"MÜKERRER?",IF($AD199&gt;0,"KAPALI DÖNEM",IF($I199="Hayır","ÖDENECEK","UYGUN")))),"EKSİK"))))</f>
        <v>UYGUN</v>
      </c>
      <c r="Q199" s="2"/>
      <c r="R199" s="2"/>
      <c r="S199" s="1" t="str">
        <f t="shared" si="26"/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si="27"/>
        <v>0</v>
      </c>
      <c r="W199" s="1" t="str">
        <f t="shared" si="28"/>
        <v>Gelir|Geçici Vergi Damga|46235|4200|PALAOĞULLARI LTD.ŞTİ. 2026 / 2 GEÇİCİ DAMGA|</v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>Geçici Vergi Damga|29</v>
      </c>
    </row>
    <row r="200" spans="1:31" ht="18" customHeight="1" x14ac:dyDescent="0.3">
      <c r="A200" s="2"/>
      <c r="B200" s="65" t="str">
        <f t="shared" si="29"/>
        <v>GG00194</v>
      </c>
      <c r="C200" s="66">
        <v>46235</v>
      </c>
      <c r="D200" s="60" t="s">
        <v>795</v>
      </c>
      <c r="E200" s="61" t="s">
        <v>796</v>
      </c>
      <c r="F200" s="61" t="s">
        <v>946</v>
      </c>
      <c r="G200" s="67">
        <v>7000</v>
      </c>
      <c r="H200" s="60" t="s">
        <v>717</v>
      </c>
      <c r="I200" s="60" t="s">
        <v>773</v>
      </c>
      <c r="J200" s="61"/>
      <c r="K200" s="61"/>
      <c r="L200" s="60"/>
      <c r="M200" s="74" t="str">
        <f t="shared" si="30"/>
        <v>MERKEZ KASA</v>
      </c>
      <c r="N200" s="74" t="str">
        <f t="shared" si="31"/>
        <v>Diğer Gelirler</v>
      </c>
      <c r="O200" s="73">
        <f t="shared" si="32"/>
        <v>46235</v>
      </c>
      <c r="P200" s="65" t="str">
        <f t="shared" ca="1" si="33"/>
        <v>UYGUN</v>
      </c>
      <c r="Q200" s="2"/>
      <c r="R200" s="2"/>
      <c r="S200" s="1" t="str">
        <f t="shared" si="26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27"/>
        <v>0</v>
      </c>
      <c r="W200" s="1" t="str">
        <f t="shared" si="28"/>
        <v>Gelir|Diğer Gelirler|46235|7000|PINAR HANIM SİGORTA HAZİRAN|</v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>Diğer Gelirler|9</v>
      </c>
    </row>
    <row r="201" spans="1:31" ht="18" customHeight="1" x14ac:dyDescent="0.3">
      <c r="A201" s="2"/>
      <c r="B201" s="65" t="str">
        <f t="shared" si="29"/>
        <v>GG00195</v>
      </c>
      <c r="C201" s="66">
        <v>46235</v>
      </c>
      <c r="D201" s="60" t="s">
        <v>795</v>
      </c>
      <c r="E201" s="61" t="s">
        <v>796</v>
      </c>
      <c r="F201" s="61" t="s">
        <v>947</v>
      </c>
      <c r="G201" s="67">
        <v>14000</v>
      </c>
      <c r="H201" s="60" t="s">
        <v>723</v>
      </c>
      <c r="I201" s="60" t="s">
        <v>773</v>
      </c>
      <c r="J201" s="61"/>
      <c r="K201" s="61"/>
      <c r="L201" s="60"/>
      <c r="M201" s="74" t="str">
        <f t="shared" si="30"/>
        <v>ÖMER KARTAL</v>
      </c>
      <c r="N201" s="74" t="str">
        <f t="shared" si="31"/>
        <v>Diğer Gelirler</v>
      </c>
      <c r="O201" s="73">
        <f t="shared" si="32"/>
        <v>46235</v>
      </c>
      <c r="P201" s="65" t="str">
        <f t="shared" ca="1" si="33"/>
        <v>UYGUN</v>
      </c>
      <c r="Q201" s="2"/>
      <c r="R201" s="2"/>
      <c r="S201" s="1" t="str">
        <f t="shared" si="26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27"/>
        <v>0</v>
      </c>
      <c r="W201" s="1" t="str">
        <f t="shared" si="28"/>
        <v>Gelir|Diğer Gelirler|46235|14000|PINAR HANIM SİGORTA TEMMUZ VE AĞUSTOS|</v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>Diğer Gelirler|10</v>
      </c>
    </row>
    <row r="202" spans="1:31" ht="18" hidden="1" customHeight="1" x14ac:dyDescent="0.3">
      <c r="A202" s="2"/>
      <c r="B202" s="65" t="str">
        <f t="shared" si="29"/>
        <v>GG00196</v>
      </c>
      <c r="C202" s="66">
        <v>46235</v>
      </c>
      <c r="D202" s="60" t="s">
        <v>769</v>
      </c>
      <c r="E202" s="61" t="s">
        <v>793</v>
      </c>
      <c r="F202" s="61" t="s">
        <v>1306</v>
      </c>
      <c r="G202" s="67">
        <v>2500</v>
      </c>
      <c r="H202" s="60" t="s">
        <v>772</v>
      </c>
      <c r="I202" s="60" t="s">
        <v>773</v>
      </c>
      <c r="J202" s="61"/>
      <c r="K202" s="61"/>
      <c r="L202" s="60"/>
      <c r="M202" s="74" t="str">
        <f t="shared" si="30"/>
        <v>Mehmet Ali Kartal</v>
      </c>
      <c r="N202" s="74" t="str">
        <f t="shared" si="31"/>
        <v>Merkez Kasa</v>
      </c>
      <c r="O202" s="73">
        <f t="shared" si="32"/>
        <v>46235</v>
      </c>
      <c r="P202" s="65" t="str">
        <f t="shared" ca="1" si="33"/>
        <v>UYGUN</v>
      </c>
      <c r="Q202" s="2"/>
      <c r="R202" s="2"/>
      <c r="S202" s="1" t="str">
        <f t="shared" si="26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27"/>
        <v>0</v>
      </c>
      <c r="W202" s="1" t="str">
        <f t="shared" si="28"/>
        <v>Gider|Mehmet Ali Kartal|46235|2500|CEREN DEMİRCİ SGK|</v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>Mehmet Ali Kartal|9</v>
      </c>
    </row>
    <row r="203" spans="1:31" ht="18" hidden="1" customHeight="1" x14ac:dyDescent="0.3">
      <c r="A203" s="2"/>
      <c r="B203" s="65" t="str">
        <f t="shared" si="29"/>
        <v>GG00197</v>
      </c>
      <c r="C203" s="66">
        <v>46243</v>
      </c>
      <c r="D203" s="60" t="s">
        <v>769</v>
      </c>
      <c r="E203" s="61" t="s">
        <v>805</v>
      </c>
      <c r="F203" s="61" t="s">
        <v>948</v>
      </c>
      <c r="G203" s="67">
        <v>6000</v>
      </c>
      <c r="H203" s="60" t="s">
        <v>772</v>
      </c>
      <c r="I203" s="60" t="s">
        <v>773</v>
      </c>
      <c r="J203" s="61"/>
      <c r="K203" s="61"/>
      <c r="L203" s="60"/>
      <c r="M203" s="74" t="str">
        <f t="shared" si="30"/>
        <v>Ofis Kirası</v>
      </c>
      <c r="N203" s="74" t="str">
        <f t="shared" si="31"/>
        <v>Merkez Kasa</v>
      </c>
      <c r="O203" s="73">
        <f t="shared" si="32"/>
        <v>46235</v>
      </c>
      <c r="P203" s="65" t="str">
        <f t="shared" ca="1" si="33"/>
        <v>UYGUN</v>
      </c>
      <c r="Q203" s="2"/>
      <c r="R203" s="2"/>
      <c r="S203" s="1" t="str">
        <f t="shared" si="26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27"/>
        <v>0</v>
      </c>
      <c r="W203" s="1" t="str">
        <f t="shared" si="28"/>
        <v>Gider|Ofis Kirası|46243|6000|Temmuz Ağustos Eylül İşyeri Aidatı Ödemesi|</v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>Ofis Kirası|15</v>
      </c>
    </row>
    <row r="204" spans="1:31" ht="18" hidden="1" customHeight="1" x14ac:dyDescent="0.3">
      <c r="A204" s="2"/>
      <c r="B204" s="65" t="str">
        <f t="shared" si="29"/>
        <v>GG00198</v>
      </c>
      <c r="C204" s="66">
        <v>46245</v>
      </c>
      <c r="D204" s="60" t="s">
        <v>769</v>
      </c>
      <c r="E204" s="61" t="s">
        <v>781</v>
      </c>
      <c r="F204" s="61" t="s">
        <v>949</v>
      </c>
      <c r="G204" s="67">
        <v>800</v>
      </c>
      <c r="H204" s="60" t="s">
        <v>772</v>
      </c>
      <c r="I204" s="60" t="s">
        <v>773</v>
      </c>
      <c r="J204" s="61"/>
      <c r="K204" s="61"/>
      <c r="L204" s="60"/>
      <c r="M204" s="74" t="str">
        <f t="shared" si="30"/>
        <v>Telefon / İnternet</v>
      </c>
      <c r="N204" s="74" t="str">
        <f t="shared" si="31"/>
        <v>Merkez Kasa</v>
      </c>
      <c r="O204" s="73">
        <f t="shared" si="32"/>
        <v>46235</v>
      </c>
      <c r="P204" s="65" t="str">
        <f t="shared" ca="1" si="33"/>
        <v>UYGUN</v>
      </c>
      <c r="Q204" s="2"/>
      <c r="R204" s="2"/>
      <c r="S204" s="1" t="str">
        <f t="shared" si="26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27"/>
        <v>0</v>
      </c>
      <c r="W204" s="1" t="str">
        <f t="shared" si="28"/>
        <v>Gider|Telefon / İnternet|46245|800|Ofis Whatsapp Hattı Ağustos|</v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>Telefon / İnternet|15</v>
      </c>
    </row>
    <row r="205" spans="1:31" ht="18" hidden="1" customHeight="1" x14ac:dyDescent="0.3">
      <c r="A205" s="2"/>
      <c r="B205" s="65" t="str">
        <f t="shared" si="29"/>
        <v>GG00199</v>
      </c>
      <c r="C205" s="66">
        <v>46245</v>
      </c>
      <c r="D205" s="60" t="s">
        <v>769</v>
      </c>
      <c r="E205" s="61" t="s">
        <v>770</v>
      </c>
      <c r="F205" s="61" t="s">
        <v>950</v>
      </c>
      <c r="G205" s="67">
        <v>23000</v>
      </c>
      <c r="H205" s="60" t="s">
        <v>772</v>
      </c>
      <c r="I205" s="60" t="s">
        <v>773</v>
      </c>
      <c r="J205" s="61"/>
      <c r="K205" s="61"/>
      <c r="L205" s="60"/>
      <c r="M205" s="74" t="str">
        <f t="shared" si="30"/>
        <v>Diğer Gider</v>
      </c>
      <c r="N205" s="74" t="str">
        <f t="shared" si="31"/>
        <v>Merkez Kasa</v>
      </c>
      <c r="O205" s="73">
        <f t="shared" si="32"/>
        <v>46235</v>
      </c>
      <c r="P205" s="65" t="str">
        <f t="shared" ca="1" si="33"/>
        <v>UYGUN</v>
      </c>
      <c r="Q205" s="2"/>
      <c r="R205" s="2"/>
      <c r="S205" s="1" t="str">
        <f t="shared" si="26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27"/>
        <v>0</v>
      </c>
      <c r="W205" s="1" t="str">
        <f t="shared" si="28"/>
        <v>Gider|Diğer Gider|46245|23000|Arman Dik Vergi Telafisi|</v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>Diğer Gider|9</v>
      </c>
    </row>
    <row r="206" spans="1:31" ht="18" hidden="1" customHeight="1" x14ac:dyDescent="0.3">
      <c r="A206" s="2"/>
      <c r="B206" s="65" t="str">
        <f t="shared" si="29"/>
        <v>GG00200</v>
      </c>
      <c r="C206" s="66">
        <v>46249</v>
      </c>
      <c r="D206" s="60" t="s">
        <v>769</v>
      </c>
      <c r="E206" s="61" t="s">
        <v>788</v>
      </c>
      <c r="F206" s="61" t="s">
        <v>928</v>
      </c>
      <c r="G206" s="67">
        <v>2000</v>
      </c>
      <c r="H206" s="60" t="s">
        <v>772</v>
      </c>
      <c r="I206" s="60" t="s">
        <v>773</v>
      </c>
      <c r="J206" s="61"/>
      <c r="K206" s="61"/>
      <c r="L206" s="60"/>
      <c r="M206" s="74" t="str">
        <f t="shared" si="30"/>
        <v>Ulaşım</v>
      </c>
      <c r="N206" s="74" t="str">
        <f t="shared" si="31"/>
        <v>Merkez Kasa</v>
      </c>
      <c r="O206" s="73">
        <f t="shared" si="32"/>
        <v>46235</v>
      </c>
      <c r="P206" s="65" t="str">
        <f t="shared" ca="1" si="33"/>
        <v>UYGUN</v>
      </c>
      <c r="Q206" s="2"/>
      <c r="R206" s="2"/>
      <c r="S206" s="1" t="str">
        <f t="shared" si="26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27"/>
        <v>0</v>
      </c>
      <c r="W206" s="1" t="str">
        <f t="shared" si="28"/>
        <v>Gider|Ulaşım|46249|2000|Araç Yakıt|</v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>Ulaşım|28</v>
      </c>
    </row>
    <row r="207" spans="1:31" ht="18" hidden="1" customHeight="1" x14ac:dyDescent="0.3">
      <c r="A207" s="2"/>
      <c r="B207" s="65" t="str">
        <f t="shared" si="29"/>
        <v>GG00201</v>
      </c>
      <c r="C207" s="66">
        <v>46258</v>
      </c>
      <c r="D207" s="60" t="s">
        <v>769</v>
      </c>
      <c r="E207" s="61" t="s">
        <v>793</v>
      </c>
      <c r="F207" s="61" t="s">
        <v>951</v>
      </c>
      <c r="G207" s="67">
        <v>30000</v>
      </c>
      <c r="H207" s="60" t="s">
        <v>772</v>
      </c>
      <c r="I207" s="60" t="s">
        <v>773</v>
      </c>
      <c r="J207" s="61"/>
      <c r="K207" s="61"/>
      <c r="L207" s="60"/>
      <c r="M207" s="74" t="str">
        <f t="shared" si="30"/>
        <v>Mehmet Ali Kartal</v>
      </c>
      <c r="N207" s="74" t="str">
        <f t="shared" si="31"/>
        <v>Merkez Kasa</v>
      </c>
      <c r="O207" s="73">
        <f t="shared" si="32"/>
        <v>46235</v>
      </c>
      <c r="P207" s="65" t="str">
        <f t="shared" ca="1" si="33"/>
        <v>UYGUN</v>
      </c>
      <c r="Q207" s="2"/>
      <c r="R207" s="2"/>
      <c r="S207" s="1" t="str">
        <f t="shared" si="26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27"/>
        <v>0</v>
      </c>
      <c r="W207" s="1" t="str">
        <f t="shared" si="28"/>
        <v>Gider|Mehmet Ali Kartal|46258|30000|Temmuz Maaş Ödemesi|</v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>Mehmet Ali Kartal|10</v>
      </c>
    </row>
    <row r="208" spans="1:31" ht="18" hidden="1" customHeight="1" x14ac:dyDescent="0.3">
      <c r="A208" s="2"/>
      <c r="B208" s="65" t="str">
        <f t="shared" si="29"/>
        <v>GG00202</v>
      </c>
      <c r="C208" s="66">
        <v>46259</v>
      </c>
      <c r="D208" s="60" t="s">
        <v>769</v>
      </c>
      <c r="E208" s="61" t="s">
        <v>798</v>
      </c>
      <c r="F208" s="61" t="s">
        <v>929</v>
      </c>
      <c r="G208" s="67">
        <v>10000</v>
      </c>
      <c r="H208" s="60" t="s">
        <v>772</v>
      </c>
      <c r="I208" s="60" t="s">
        <v>773</v>
      </c>
      <c r="J208" s="61"/>
      <c r="K208" s="61"/>
      <c r="L208" s="60"/>
      <c r="M208" s="74" t="str">
        <f t="shared" si="30"/>
        <v>Personel</v>
      </c>
      <c r="N208" s="74" t="str">
        <f t="shared" si="31"/>
        <v>Merkez Kasa</v>
      </c>
      <c r="O208" s="73">
        <f t="shared" si="32"/>
        <v>46235</v>
      </c>
      <c r="P208" s="65" t="str">
        <f t="shared" ca="1" si="33"/>
        <v>UYGUN</v>
      </c>
      <c r="Q208" s="2"/>
      <c r="R208" s="2"/>
      <c r="S208" s="1" t="str">
        <f t="shared" si="26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27"/>
        <v>0</v>
      </c>
      <c r="W208" s="1" t="str">
        <f t="shared" si="28"/>
        <v>Gider|Personel|46259|10000|Irmak Maaş Ödemesi|</v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>Personel|20</v>
      </c>
    </row>
    <row r="209" spans="1:31" ht="18" hidden="1" customHeight="1" x14ac:dyDescent="0.3">
      <c r="A209" s="2"/>
      <c r="B209" s="65" t="str">
        <f t="shared" si="29"/>
        <v>GG00203</v>
      </c>
      <c r="C209" s="66">
        <v>46260</v>
      </c>
      <c r="D209" s="60" t="s">
        <v>769</v>
      </c>
      <c r="E209" s="61" t="s">
        <v>793</v>
      </c>
      <c r="F209" s="61" t="s">
        <v>1308</v>
      </c>
      <c r="G209" s="67">
        <v>17500</v>
      </c>
      <c r="H209" s="60" t="s">
        <v>772</v>
      </c>
      <c r="I209" s="60" t="s">
        <v>773</v>
      </c>
      <c r="J209" s="61"/>
      <c r="K209" s="61"/>
      <c r="L209" s="60"/>
      <c r="M209" s="74" t="str">
        <f t="shared" si="30"/>
        <v>Mehmet Ali Kartal</v>
      </c>
      <c r="N209" s="74" t="str">
        <f t="shared" si="31"/>
        <v>Merkez Kasa</v>
      </c>
      <c r="O209" s="73">
        <f t="shared" si="32"/>
        <v>46235</v>
      </c>
      <c r="P209" s="65" t="str">
        <f t="shared" ca="1" si="33"/>
        <v>UYGUN</v>
      </c>
      <c r="Q209" s="2"/>
      <c r="R209" s="2"/>
      <c r="S209" s="1" t="str">
        <f t="shared" si="26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27"/>
        <v>0</v>
      </c>
      <c r="W209" s="1" t="str">
        <f t="shared" si="28"/>
        <v>Gider|Mehmet Ali Kartal|46260|17500|Ağustos Bakiye Maaş Ödemesi|</v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>Mehmet Ali Kartal|11</v>
      </c>
    </row>
    <row r="210" spans="1:31" ht="18" customHeight="1" x14ac:dyDescent="0.3">
      <c r="A210" s="2"/>
      <c r="B210" s="65"/>
      <c r="C210" s="66">
        <v>46053</v>
      </c>
      <c r="D210" s="60" t="inlineStr">
        <is>
          <t>Gelir</t>
        </is>
      </c>
      <c r="E210" s="61" t="inlineStr">
        <is>
          <t>Beyanname / Bildirim Ücreti</t>
        </is>
      </c>
      <c r="F210" s="61" t="inlineStr">
        <is>
          <t>PARİS GAZİNOSU SGK'LAR — NAKİT YOK / ÖMER CARİ BORÇLANDI</t>
        </is>
      </c>
      <c r="G210" s="67">
        <v>12000.0</v>
      </c>
      <c r="H210" s="60"/>
      <c r="I210" s="60" t="inlineStr">
        <is>
          <t>Hayır</t>
        </is>
      </c>
      <c r="J210" s="61" t="inlineStr">
        <is>
          <t>MİG-V00002</t>
        </is>
      </c>
      <c r="K210" s="61"/>
      <c r="L210" s="60" t="inlineStr">
        <is>
          <t>ÖMER KARTAL</t>
        </is>
      </c>
      <c r="M210" s="74" t="str">
        <f>IF($C210="","",IF($D210="Gider",$E210,IF($L210&lt;&gt;"",$L210,$H210)))</f>
        <v>ÖMER KARTAL</v>
      </c>
      <c r="N210" s="74" t="str">
        <f>IF($C210="","",IF($D210="Gider",$H210,$E210))</f>
        <v>Beyanname / Bildirim Ücreti</v>
      </c>
      <c r="O210" s="73">
        <f>IF($C210="","",DATE(YEAR($C210),MONTH($C210),1))</f>
        <v/>
      </c>
      <c r="P210" s="65" t="str">
        <f>IF($C210="","",IF(AND($D210="Gelir",$L210&lt;&gt;"",NOT(OR($T210&lt;&gt;"",$L210=SISTEM!$C$9,$L210=SISTEM!$C$10))),"TANIMSIZ BORÇLU",IF(AND($D210="Gelir",$L210&lt;&gt;"",OR($T210&lt;&gt;"",$L210=SISTEM!$C$9,$L210=SISTEM!$C$10)),IF(OR($E210="",$G210&lt;=0),"EKSİK",IF($I210="Evet","TAHAKKUK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TARİH",IF(COUNTIF($W$7:$W$3001,$W210)&gt;1,"MÜKERRER?",IF($AD210&gt;0,"KAPALI DÖNEM",IF($I210="Hayır","ÖDENECEK","UYGUN")))),"EKSİK"))))</f>
        <v>TAHAKKUK</v>
      </c>
      <c r="Q210" s="2"/>
      <c r="R210" s="2"/>
      <c r="S210" s="1" t="str">
        <f t="shared" si="26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27"/>
        <v>1</v>
      </c>
      <c r="W210" s="1" t="str">
        <f t="shared" si="28"/>
        <v/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/>
      </c>
      <c r="AF210" s="1" t="str">
        <f t="shared" si="500"/>
        <v/>
      </c>
    </row>
    <row r="211" spans="1:31" ht="18" customHeight="1" x14ac:dyDescent="0.3">
      <c r="A211" s="2"/>
      <c r="B211" s="65" t="str">
        <f t="shared" si="29"/>
        <v/>
      </c>
      <c r="C211" s="66">
        <v>46053</v>
      </c>
      <c r="D211" s="60" t="inlineStr">
        <is>
          <t>Gelir</t>
        </is>
      </c>
      <c r="E211" s="61" t="inlineStr">
        <is>
          <t>Muhasebe Hizmet Geliri (sözleşme dışı)</t>
        </is>
      </c>
      <c r="F211" s="61" t="inlineStr">
        <is>
          <t>HÜSEYİN ŞİMŞEK MUHASEBE ÜCRETİ — NAKİT YOK / ÖMER CARİ BORÇLANDI</t>
        </is>
      </c>
      <c r="G211" s="67">
        <v>3000.0</v>
      </c>
      <c r="H211" s="60"/>
      <c r="I211" s="60" t="inlineStr">
        <is>
          <t>Hayır</t>
        </is>
      </c>
      <c r="J211" s="61" t="inlineStr">
        <is>
          <t>MİG-V00003</t>
        </is>
      </c>
      <c r="K211" s="61"/>
      <c r="L211" s="60" t="inlineStr">
        <is>
          <t>ÖMER KARTAL</t>
        </is>
      </c>
      <c r="M211" s="74" t="str">
        <f>IF($C211="","",IF($D211="Gider",$E211,IF($L211&lt;&gt;"",$L211,$H211)))</f>
        <v>ÖMER KARTAL</v>
      </c>
      <c r="N211" s="74" t="str">
        <f>IF($C211="","",IF($D211="Gider",$H211,$E211))</f>
        <v>Muhasebe Hizmet Geliri (sözleşme dışı)</v>
      </c>
      <c r="O211" s="73">
        <f>IF($C211="","",DATE(YEAR($C211),MONTH($C211),1))</f>
        <v/>
      </c>
      <c r="P211" s="65" t="str">
        <f>IF($C211="","",IF(AND($D211="Gelir",$L211&lt;&gt;"",NOT(OR($T211&lt;&gt;"",$L211=SISTEM!$C$9,$L211=SISTEM!$C$10))),"TANIMSIZ BORÇLU",IF(AND($D211="Gelir",$L211&lt;&gt;"",OR($T211&lt;&gt;"",$L211=SISTEM!$C$9,$L211=SISTEM!$C$10)),IF(OR($E211="",$G211&lt;=0),"EKSİK",IF($I211="Evet","TAHAKKUK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TARİH",IF(COUNTIF($W$7:$W$3001,$W211)&gt;1,"MÜKERRER?",IF($AD211&gt;0,"KAPALI DÖNEM",IF($I211="Hayır","ÖDENECEK","UYGUN")))),"EKSİK"))))</f>
        <v>TAHAKKUK</v>
      </c>
      <c r="Q211" s="2"/>
      <c r="R211" s="2"/>
      <c r="S211" s="1" t="str">
        <f t="shared" si="26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27"/>
        <v>1</v>
      </c>
      <c r="W211" s="1" t="str">
        <f t="shared" si="28"/>
        <v/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/>
      </c>
      <c r="AF211" s="1" t="str">
        <f t="shared" si="500"/>
        <v/>
      </c>
    </row>
    <row r="212" spans="1:31" ht="18" customHeight="1" x14ac:dyDescent="0.3">
      <c r="A212" s="2"/>
      <c r="B212" s="65" t="str">
        <f t="shared" si="29"/>
        <v/>
      </c>
      <c r="C212" s="66">
        <v>46053</v>
      </c>
      <c r="D212" s="60" t="inlineStr">
        <is>
          <t>Gelir</t>
        </is>
      </c>
      <c r="E212" s="61" t="inlineStr">
        <is>
          <t>Muhasebe Hizmet Geliri (sözleşme dışı)</t>
        </is>
      </c>
      <c r="F212" s="61" t="inlineStr">
        <is>
          <t>FADİME HORUZCU MUHASEBE ÜCRETİ — NAKİT YOK / ÖMER CARİ BORÇLANDI</t>
        </is>
      </c>
      <c r="G212" s="67">
        <v>2000.0</v>
      </c>
      <c r="H212" s="60"/>
      <c r="I212" s="60" t="inlineStr">
        <is>
          <t>Hayır</t>
        </is>
      </c>
      <c r="J212" s="61" t="inlineStr">
        <is>
          <t>MİG-V00004</t>
        </is>
      </c>
      <c r="K212" s="61"/>
      <c r="L212" s="60" t="inlineStr">
        <is>
          <t>ÖMER KARTAL</t>
        </is>
      </c>
      <c r="M212" s="74" t="str">
        <f>IF($C212="","",IF($D212="Gider",$E212,IF($L212&lt;&gt;"",$L212,$H212)))</f>
        <v>ÖMER KARTAL</v>
      </c>
      <c r="N212" s="74" t="str">
        <f>IF($C212="","",IF($D212="Gider",$H212,$E212))</f>
        <v>Muhasebe Hizmet Geliri (sözleşme dışı)</v>
      </c>
      <c r="O212" s="73">
        <f>IF($C212="","",DATE(YEAR($C212),MONTH($C212),1))</f>
        <v/>
      </c>
      <c r="P212" s="65" t="str">
        <f>IF($C212="","",IF(AND($D212="Gelir",$L212&lt;&gt;"",NOT(OR($T212&lt;&gt;"",$L212=SISTEM!$C$9,$L212=SISTEM!$C$10))),"TANIMSIZ BORÇLU",IF(AND($D212="Gelir",$L212&lt;&gt;"",OR($T212&lt;&gt;"",$L212=SISTEM!$C$9,$L212=SISTEM!$C$10)),IF(OR($E212="",$G212&lt;=0),"EKSİK",IF($I212="Evet","TAHAKKUK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TARİH",IF(COUNTIF($W$7:$W$3001,$W212)&gt;1,"MÜKERRER?",IF($AD212&gt;0,"KAPALI DÖNEM",IF($I212="Hayır","ÖDENECEK","UYGUN")))),"EKSİK"))))</f>
        <v>TAHAKKUK</v>
      </c>
      <c r="Q212" s="2"/>
      <c r="R212" s="2"/>
      <c r="S212" s="1" t="str">
        <f t="shared" si="26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27"/>
        <v>1</v>
      </c>
      <c r="W212" s="1" t="str">
        <f t="shared" si="28"/>
        <v/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/>
      </c>
      <c r="AF212" s="1" t="str">
        <f t="shared" si="500"/>
        <v/>
      </c>
    </row>
    <row r="213" spans="1:31" ht="18" customHeight="1" x14ac:dyDescent="0.3">
      <c r="A213" s="2"/>
      <c r="B213" s="65" t="str">
        <f t="shared" si="29"/>
        <v/>
      </c>
      <c r="C213" s="66">
        <v>46081</v>
      </c>
      <c r="D213" s="60" t="inlineStr">
        <is>
          <t>Gelir</t>
        </is>
      </c>
      <c r="E213" s="61" t="inlineStr">
        <is>
          <t>Beyanname / Bildirim Ücreti</t>
        </is>
      </c>
      <c r="F213" s="61" t="inlineStr">
        <is>
          <t>PARİS GAZİNOSU SGK'LAR — NAKİT YOK / ÖMER CARİ BORÇLANDI</t>
        </is>
      </c>
      <c r="G213" s="67">
        <v>12000.0</v>
      </c>
      <c r="H213" s="60"/>
      <c r="I213" s="60" t="inlineStr">
        <is>
          <t>Hayır</t>
        </is>
      </c>
      <c r="J213" s="61" t="inlineStr">
        <is>
          <t>MİG-V00007</t>
        </is>
      </c>
      <c r="K213" s="61"/>
      <c r="L213" s="60" t="inlineStr">
        <is>
          <t>ÖMER KARTAL</t>
        </is>
      </c>
      <c r="M213" s="74" t="str">
        <f>IF($C213="","",IF($D213="Gider",$E213,IF($L213&lt;&gt;"",$L213,$H213)))</f>
        <v>ÖMER KARTAL</v>
      </c>
      <c r="N213" s="74" t="str">
        <f>IF($C213="","",IF($D213="Gider",$H213,$E213))</f>
        <v>Beyanname / Bildirim Ücreti</v>
      </c>
      <c r="O213" s="73">
        <f>IF($C213="","",DATE(YEAR($C213),MONTH($C213),1))</f>
        <v/>
      </c>
      <c r="P213" s="65" t="str">
        <f>IF($C213="","",IF(AND($D213="Gelir",$L213&lt;&gt;"",NOT(OR($T213&lt;&gt;"",$L213=SISTEM!$C$9,$L213=SISTEM!$C$10))),"TANIMSIZ BORÇLU",IF(AND($D213="Gelir",$L213&lt;&gt;"",OR($T213&lt;&gt;"",$L213=SISTEM!$C$9,$L213=SISTEM!$C$10)),IF(OR($E213="",$G213&lt;=0),"EKSİK",IF($I213="Evet","TAHAKKUK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TARİH",IF(COUNTIF($W$7:$W$3001,$W213)&gt;1,"MÜKERRER?",IF($AD213&gt;0,"KAPALI DÖNEM",IF($I213="Hayır","ÖDENECEK","UYGUN")))),"EKSİK"))))</f>
        <v>TAHAKKUK</v>
      </c>
      <c r="Q213" s="2"/>
      <c r="R213" s="2"/>
      <c r="S213" s="1" t="str">
        <f t="shared" si="26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27"/>
        <v>1</v>
      </c>
      <c r="W213" s="1" t="str">
        <f t="shared" si="28"/>
        <v/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/>
      </c>
      <c r="AF213" s="1" t="str">
        <f t="shared" si="500"/>
        <v/>
      </c>
    </row>
    <row r="214" spans="1:31" ht="18" customHeight="1" x14ac:dyDescent="0.3">
      <c r="A214" s="2"/>
      <c r="B214" s="65" t="str">
        <f t="shared" si="29"/>
        <v/>
      </c>
      <c r="C214" s="66">
        <v>46081</v>
      </c>
      <c r="D214" s="60" t="inlineStr">
        <is>
          <t>Gelir</t>
        </is>
      </c>
      <c r="E214" s="61" t="inlineStr">
        <is>
          <t>Muhasebe Hizmet Geliri (sözleşme dışı)</t>
        </is>
      </c>
      <c r="F214" s="61" t="inlineStr">
        <is>
          <t>HÜSEYİN ŞİMŞEK MUHASEBE ÜCRETİ — NAKİT YOK / ÖMER CARİ BORÇLANDI</t>
        </is>
      </c>
      <c r="G214" s="67">
        <v>3000.0</v>
      </c>
      <c r="H214" s="60"/>
      <c r="I214" s="60" t="inlineStr">
        <is>
          <t>Hayır</t>
        </is>
      </c>
      <c r="J214" s="61" t="inlineStr">
        <is>
          <t>MİG-V00008</t>
        </is>
      </c>
      <c r="K214" s="61"/>
      <c r="L214" s="60" t="inlineStr">
        <is>
          <t>ÖMER KARTAL</t>
        </is>
      </c>
      <c r="M214" s="74" t="str">
        <f>IF($C214="","",IF($D214="Gider",$E214,IF($L214&lt;&gt;"",$L214,$H214)))</f>
        <v>ÖMER KARTAL</v>
      </c>
      <c r="N214" s="74" t="str">
        <f>IF($C214="","",IF($D214="Gider",$H214,$E214))</f>
        <v>Muhasebe Hizmet Geliri (sözleşme dışı)</v>
      </c>
      <c r="O214" s="73">
        <f>IF($C214="","",DATE(YEAR($C214),MONTH($C214),1))</f>
        <v/>
      </c>
      <c r="P214" s="65" t="str">
        <f>IF($C214="","",IF(AND($D214="Gelir",$L214&lt;&gt;"",NOT(OR($T214&lt;&gt;"",$L214=SISTEM!$C$9,$L214=SISTEM!$C$10))),"TANIMSIZ BORÇLU",IF(AND($D214="Gelir",$L214&lt;&gt;"",OR($T214&lt;&gt;"",$L214=SISTEM!$C$9,$L214=SISTEM!$C$10)),IF(OR($E214="",$G214&lt;=0),"EKSİK",IF($I214="Evet","TAHAKKUK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TARİH",IF(COUNTIF($W$7:$W$3001,$W214)&gt;1,"MÜKERRER?",IF($AD214&gt;0,"KAPALI DÖNEM",IF($I214="Hayır","ÖDENECEK","UYGUN")))),"EKSİK"))))</f>
        <v>TAHAKKUK</v>
      </c>
      <c r="Q214" s="2"/>
      <c r="R214" s="2"/>
      <c r="S214" s="1" t="str">
        <f t="shared" si="26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27"/>
        <v>1</v>
      </c>
      <c r="W214" s="1" t="str">
        <f t="shared" si="28"/>
        <v/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/>
      </c>
      <c r="AF214" s="1" t="str">
        <f t="shared" si="500"/>
        <v/>
      </c>
    </row>
    <row r="215" spans="1:31" ht="18" customHeight="1" x14ac:dyDescent="0.3">
      <c r="A215" s="2"/>
      <c r="B215" s="65" t="str">
        <f t="shared" si="29"/>
        <v/>
      </c>
      <c r="C215" s="66">
        <v>46081</v>
      </c>
      <c r="D215" s="60" t="inlineStr">
        <is>
          <t>Gelir</t>
        </is>
      </c>
      <c r="E215" s="61" t="inlineStr">
        <is>
          <t>Muhasebe Hizmet Geliri (sözleşme dışı)</t>
        </is>
      </c>
      <c r="F215" s="61" t="inlineStr">
        <is>
          <t>FADİME HORUZCU MUHASEBE ÜCRETİ — NAKİT YOK / ÖMER CARİ BORÇLANDI</t>
        </is>
      </c>
      <c r="G215" s="67">
        <v>2000.0</v>
      </c>
      <c r="H215" s="60"/>
      <c r="I215" s="60" t="inlineStr">
        <is>
          <t>Hayır</t>
        </is>
      </c>
      <c r="J215" s="61" t="inlineStr">
        <is>
          <t>MİG-V00009</t>
        </is>
      </c>
      <c r="K215" s="61"/>
      <c r="L215" s="60" t="inlineStr">
        <is>
          <t>ÖMER KARTAL</t>
        </is>
      </c>
      <c r="M215" s="74" t="str">
        <f>IF($C215="","",IF($D215="Gider",$E215,IF($L215&lt;&gt;"",$L215,$H215)))</f>
        <v>ÖMER KARTAL</v>
      </c>
      <c r="N215" s="74" t="str">
        <f>IF($C215="","",IF($D215="Gider",$H215,$E215))</f>
        <v>Muhasebe Hizmet Geliri (sözleşme dışı)</v>
      </c>
      <c r="O215" s="73">
        <f>IF($C215="","",DATE(YEAR($C215),MONTH($C215),1))</f>
        <v/>
      </c>
      <c r="P215" s="65" t="str">
        <f>IF($C215="","",IF(AND($D215="Gelir",$L215&lt;&gt;"",NOT(OR($T215&lt;&gt;"",$L215=SISTEM!$C$9,$L215=SISTEM!$C$10))),"TANIMSIZ BORÇLU",IF(AND($D215="Gelir",$L215&lt;&gt;"",OR($T215&lt;&gt;"",$L215=SISTEM!$C$9,$L215=SISTEM!$C$10)),IF(OR($E215="",$G215&lt;=0),"EKSİK",IF($I215="Evet","TAHAKKUK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TARİH",IF(COUNTIF($W$7:$W$3001,$W215)&gt;1,"MÜKERRER?",IF($AD215&gt;0,"KAPALI DÖNEM",IF($I215="Hayır","ÖDENECEK","UYGUN")))),"EKSİK"))))</f>
        <v>TAHAKKUK</v>
      </c>
      <c r="Q215" s="2"/>
      <c r="R215" s="2"/>
      <c r="S215" s="1" t="str">
        <f t="shared" si="26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27"/>
        <v>1</v>
      </c>
      <c r="W215" s="1" t="str">
        <f t="shared" si="28"/>
        <v/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/>
      </c>
      <c r="AF215" s="1" t="str">
        <f t="shared" si="500"/>
        <v/>
      </c>
    </row>
    <row r="216" spans="1:31" ht="18" customHeight="1" x14ac:dyDescent="0.3">
      <c r="A216" s="2"/>
      <c r="B216" s="65" t="str">
        <f t="shared" si="29"/>
        <v/>
      </c>
      <c r="C216" s="66">
        <v>46112</v>
      </c>
      <c r="D216" s="60" t="inlineStr">
        <is>
          <t>Gelir</t>
        </is>
      </c>
      <c r="E216" s="61" t="inlineStr">
        <is>
          <t>Beyanname / Bildirim Ücreti</t>
        </is>
      </c>
      <c r="F216" s="61" t="inlineStr">
        <is>
          <t>PARİS GAZİNOSU SGK'LAR — NAKİT YOK / ÖMER CARİ BORÇLANDI</t>
        </is>
      </c>
      <c r="G216" s="67">
        <v>12000.0</v>
      </c>
      <c r="H216" s="60"/>
      <c r="I216" s="60" t="inlineStr">
        <is>
          <t>Hayır</t>
        </is>
      </c>
      <c r="J216" s="61" t="inlineStr">
        <is>
          <t>MİG-V00011</t>
        </is>
      </c>
      <c r="K216" s="61"/>
      <c r="L216" s="60" t="inlineStr">
        <is>
          <t>ÖMER KARTAL</t>
        </is>
      </c>
      <c r="M216" s="74" t="str">
        <f>IF($C216="","",IF($D216="Gider",$E216,IF($L216&lt;&gt;"",$L216,$H216)))</f>
        <v>ÖMER KARTAL</v>
      </c>
      <c r="N216" s="74" t="str">
        <f>IF($C216="","",IF($D216="Gider",$H216,$E216))</f>
        <v>Beyanname / Bildirim Ücreti</v>
      </c>
      <c r="O216" s="73">
        <f>IF($C216="","",DATE(YEAR($C216),MONTH($C216),1))</f>
        <v/>
      </c>
      <c r="P216" s="65" t="str">
        <f>IF($C216="","",IF(AND($D216="Gelir",$L216&lt;&gt;"",NOT(OR($T216&lt;&gt;"",$L216=SISTEM!$C$9,$L216=SISTEM!$C$10))),"TANIMSIZ BORÇLU",IF(AND($D216="Gelir",$L216&lt;&gt;"",OR($T216&lt;&gt;"",$L216=SISTEM!$C$9,$L216=SISTEM!$C$10)),IF(OR($E216="",$G216&lt;=0),"EKSİK",IF($I216="Evet","TAHAKKUK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TARİH",IF(COUNTIF($W$7:$W$3001,$W216)&gt;1,"MÜKERRER?",IF($AD216&gt;0,"KAPALI DÖNEM",IF($I216="Hayır","ÖDENECEK","UYGUN")))),"EKSİK"))))</f>
        <v>TAHAKKUK</v>
      </c>
      <c r="Q216" s="2"/>
      <c r="R216" s="2"/>
      <c r="S216" s="1" t="str">
        <f t="shared" si="26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27"/>
        <v>1</v>
      </c>
      <c r="W216" s="1" t="str">
        <f t="shared" si="28"/>
        <v/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/>
      </c>
      <c r="AF216" s="1" t="str">
        <f t="shared" si="500"/>
        <v/>
      </c>
    </row>
    <row r="217" spans="1:31" ht="18" customHeight="1" x14ac:dyDescent="0.3">
      <c r="A217" s="2"/>
      <c r="B217" s="65" t="str">
        <f t="shared" si="29"/>
        <v/>
      </c>
      <c r="C217" s="66">
        <v>46112</v>
      </c>
      <c r="D217" s="60" t="inlineStr">
        <is>
          <t>Gelir</t>
        </is>
      </c>
      <c r="E217" s="61" t="inlineStr">
        <is>
          <t>Muhasebe Hizmet Geliri (sözleşme dışı)</t>
        </is>
      </c>
      <c r="F217" s="61" t="inlineStr">
        <is>
          <t>FADİME HORUZCU MUHASEBE ÜCRETİ — NAKİT YOK / ÖMER CARİ BORÇLANDI</t>
        </is>
      </c>
      <c r="G217" s="67">
        <v>2000.0</v>
      </c>
      <c r="H217" s="60"/>
      <c r="I217" s="60" t="inlineStr">
        <is>
          <t>Hayır</t>
        </is>
      </c>
      <c r="J217" s="61" t="inlineStr">
        <is>
          <t>MİG-V00012</t>
        </is>
      </c>
      <c r="K217" s="61"/>
      <c r="L217" s="60" t="inlineStr">
        <is>
          <t>ÖMER KARTAL</t>
        </is>
      </c>
      <c r="M217" s="74" t="str">
        <f>IF($C217="","",IF($D217="Gider",$E217,IF($L217&lt;&gt;"",$L217,$H217)))</f>
        <v>ÖMER KARTAL</v>
      </c>
      <c r="N217" s="74" t="str">
        <f>IF($C217="","",IF($D217="Gider",$H217,$E217))</f>
        <v>Muhasebe Hizmet Geliri (sözleşme dışı)</v>
      </c>
      <c r="O217" s="73">
        <f>IF($C217="","",DATE(YEAR($C217),MONTH($C217),1))</f>
        <v/>
      </c>
      <c r="P217" s="65" t="str">
        <f>IF($C217="","",IF(AND($D217="Gelir",$L217&lt;&gt;"",NOT(OR($T217&lt;&gt;"",$L217=SISTEM!$C$9,$L217=SISTEM!$C$10))),"TANIMSIZ BORÇLU",IF(AND($D217="Gelir",$L217&lt;&gt;"",OR($T217&lt;&gt;"",$L217=SISTEM!$C$9,$L217=SISTEM!$C$10)),IF(OR($E217="",$G217&lt;=0),"EKSİK",IF($I217="Evet","TAHAKKUK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TARİH",IF(COUNTIF($W$7:$W$3001,$W217)&gt;1,"MÜKERRER?",IF($AD217&gt;0,"KAPALI DÖNEM",IF($I217="Hayır","ÖDENECEK","UYGUN")))),"EKSİK"))))</f>
        <v>TAHAKKUK</v>
      </c>
      <c r="Q217" s="2"/>
      <c r="R217" s="2"/>
      <c r="S217" s="1" t="str">
        <f t="shared" si="26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27"/>
        <v>1</v>
      </c>
      <c r="W217" s="1" t="str">
        <f t="shared" si="28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  <c r="AF217" s="1" t="str">
        <f t="shared" si="500"/>
        <v/>
      </c>
    </row>
    <row r="218" spans="1:31" ht="18" customHeight="1" x14ac:dyDescent="0.3">
      <c r="A218" s="2"/>
      <c r="B218" s="65" t="str">
        <f t="shared" si="29"/>
        <v/>
      </c>
      <c r="C218" s="66">
        <v>46142</v>
      </c>
      <c r="D218" s="60" t="inlineStr">
        <is>
          <t>Gelir</t>
        </is>
      </c>
      <c r="E218" s="61" t="inlineStr">
        <is>
          <t>Beyanname / Bildirim Ücreti</t>
        </is>
      </c>
      <c r="F218" s="61" t="inlineStr">
        <is>
          <t>PARİS GAZİNOSU SGK'LAR — NAKİT YOK / ÖMER CARİ BORÇLANDI</t>
        </is>
      </c>
      <c r="G218" s="67">
        <v>12000.0</v>
      </c>
      <c r="H218" s="60"/>
      <c r="I218" s="60" t="inlineStr">
        <is>
          <t>Hayır</t>
        </is>
      </c>
      <c r="J218" s="61" t="inlineStr">
        <is>
          <t>MİG-V00014</t>
        </is>
      </c>
      <c r="K218" s="61"/>
      <c r="L218" s="60" t="inlineStr">
        <is>
          <t>ÖMER KARTAL</t>
        </is>
      </c>
      <c r="M218" s="74" t="str">
        <f>IF($C218="","",IF($D218="Gider",$E218,IF($L218&lt;&gt;"",$L218,$H218)))</f>
        <v>ÖMER KARTAL</v>
      </c>
      <c r="N218" s="74" t="str">
        <f>IF($C218="","",IF($D218="Gider",$H218,$E218))</f>
        <v>Beyanname / Bildirim Ücreti</v>
      </c>
      <c r="O218" s="73">
        <f>IF($C218="","",DATE(YEAR($C218),MONTH($C218),1))</f>
        <v/>
      </c>
      <c r="P218" s="65" t="str">
        <f>IF($C218="","",IF(AND($D218="Gelir",$L218&lt;&gt;"",NOT(OR($T218&lt;&gt;"",$L218=SISTEM!$C$9,$L218=SISTEM!$C$10))),"TANIMSIZ BORÇLU",IF(AND($D218="Gelir",$L218&lt;&gt;"",OR($T218&lt;&gt;"",$L218=SISTEM!$C$9,$L218=SISTEM!$C$10)),IF(OR($E218="",$G218&lt;=0),"EKSİK",IF($I218="Evet","TAHAKKUK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TARİH",IF(COUNTIF($W$7:$W$3001,$W218)&gt;1,"MÜKERRER?",IF($AD218&gt;0,"KAPALI DÖNEM",IF($I218="Hayır","ÖDENECEK","UYGUN")))),"EKSİK"))))</f>
        <v>TAHAKKUK</v>
      </c>
      <c r="Q218" s="2"/>
      <c r="R218" s="2"/>
      <c r="S218" s="1" t="str">
        <f t="shared" si="26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27"/>
        <v>1</v>
      </c>
      <c r="W218" s="1" t="str">
        <f t="shared" si="28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  <c r="AF218" s="1" t="str">
        <f t="shared" si="500"/>
        <v/>
      </c>
    </row>
    <row r="219" spans="1:31" ht="18" customHeight="1" x14ac:dyDescent="0.3">
      <c r="A219" s="2"/>
      <c r="B219" s="65" t="str">
        <f t="shared" si="29"/>
        <v/>
      </c>
      <c r="C219" s="66">
        <v>46142</v>
      </c>
      <c r="D219" s="60" t="inlineStr">
        <is>
          <t>Gelir</t>
        </is>
      </c>
      <c r="E219" s="61" t="inlineStr">
        <is>
          <t>Muhasebe Hizmet Geliri (sözleşme dışı)</t>
        </is>
      </c>
      <c r="F219" s="61" t="inlineStr">
        <is>
          <t>FADİME HORUZCU MUHASEBE ÜCRETİ — NAKİT YOK / ÖMER CARİ BORÇLANDI</t>
        </is>
      </c>
      <c r="G219" s="67">
        <v>2000.0</v>
      </c>
      <c r="H219" s="60"/>
      <c r="I219" s="60" t="inlineStr">
        <is>
          <t>Hayır</t>
        </is>
      </c>
      <c r="J219" s="61" t="inlineStr">
        <is>
          <t>MİG-V00015</t>
        </is>
      </c>
      <c r="K219" s="61"/>
      <c r="L219" s="60" t="inlineStr">
        <is>
          <t>ÖMER KARTAL</t>
        </is>
      </c>
      <c r="M219" s="74" t="str">
        <f>IF($C219="","",IF($D219="Gider",$E219,IF($L219&lt;&gt;"",$L219,$H219)))</f>
        <v>ÖMER KARTAL</v>
      </c>
      <c r="N219" s="74" t="str">
        <f>IF($C219="","",IF($D219="Gider",$H219,$E219))</f>
        <v>Muhasebe Hizmet Geliri (sözleşme dışı)</v>
      </c>
      <c r="O219" s="73">
        <f>IF($C219="","",DATE(YEAR($C219),MONTH($C219),1))</f>
        <v/>
      </c>
      <c r="P219" s="65" t="str">
        <f>IF($C219="","",IF(AND($D219="Gelir",$L219&lt;&gt;"",NOT(OR($T219&lt;&gt;"",$L219=SISTEM!$C$9,$L219=SISTEM!$C$10))),"TANIMSIZ BORÇLU",IF(AND($D219="Gelir",$L219&lt;&gt;"",OR($T219&lt;&gt;"",$L219=SISTEM!$C$9,$L219=SISTEM!$C$10)),IF(OR($E219="",$G219&lt;=0),"EKSİK",IF($I219="Evet","TAHAKKUK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TARİH",IF(COUNTIF($W$7:$W$3001,$W219)&gt;1,"MÜKERRER?",IF($AD219&gt;0,"KAPALI DÖNEM",IF($I219="Hayır","ÖDENECEK","UYGUN")))),"EKSİK"))))</f>
        <v>TAHAKKUK</v>
      </c>
      <c r="Q219" s="2"/>
      <c r="R219" s="2"/>
      <c r="S219" s="1" t="str">
        <f t="shared" si="26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27"/>
        <v>1</v>
      </c>
      <c r="W219" s="1" t="str">
        <f t="shared" si="28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  <c r="AF219" s="1" t="str">
        <f t="shared" si="500"/>
        <v/>
      </c>
    </row>
    <row r="220" spans="1:31" ht="18" customHeight="1" x14ac:dyDescent="0.3">
      <c r="A220" s="2"/>
      <c r="B220" s="65" t="str">
        <f t="shared" si="29"/>
        <v/>
      </c>
      <c r="C220" s="66">
        <v>46173</v>
      </c>
      <c r="D220" s="60" t="inlineStr">
        <is>
          <t>Gelir</t>
        </is>
      </c>
      <c r="E220" s="61" t="inlineStr">
        <is>
          <t>Beyanname / Bildirim Ücreti</t>
        </is>
      </c>
      <c r="F220" s="61" t="inlineStr">
        <is>
          <t>PARİS GAZİNOSU SGK'LAR — NAKİT YOK / ÖMER CARİ BORÇLANDI</t>
        </is>
      </c>
      <c r="G220" s="67">
        <v>12000.0</v>
      </c>
      <c r="H220" s="60"/>
      <c r="I220" s="60" t="inlineStr">
        <is>
          <t>Hayır</t>
        </is>
      </c>
      <c r="J220" s="61" t="inlineStr">
        <is>
          <t>MİG-V00019</t>
        </is>
      </c>
      <c r="K220" s="61"/>
      <c r="L220" s="60" t="inlineStr">
        <is>
          <t>ÖMER KARTAL</t>
        </is>
      </c>
      <c r="M220" s="74" t="str">
        <f>IF($C220="","",IF($D220="Gider",$E220,IF($L220&lt;&gt;"",$L220,$H220)))</f>
        <v>ÖMER KARTAL</v>
      </c>
      <c r="N220" s="74" t="str">
        <f>IF($C220="","",IF($D220="Gider",$H220,$E220))</f>
        <v>Beyanname / Bildirim Ücreti</v>
      </c>
      <c r="O220" s="73">
        <f>IF($C220="","",DATE(YEAR($C220),MONTH($C220),1))</f>
        <v/>
      </c>
      <c r="P220" s="65" t="str">
        <f>IF($C220="","",IF(AND($D220="Gelir",$L220&lt;&gt;"",NOT(OR($T220&lt;&gt;"",$L220=SISTEM!$C$9,$L220=SISTEM!$C$10))),"TANIMSIZ BORÇLU",IF(AND($D220="Gelir",$L220&lt;&gt;"",OR($T220&lt;&gt;"",$L220=SISTEM!$C$9,$L220=SISTEM!$C$10)),IF(OR($E220="",$G220&lt;=0),"EKSİK",IF($I220="Evet","TAHAKKUK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TARİH",IF(COUNTIF($W$7:$W$3001,$W220)&gt;1,"MÜKERRER?",IF($AD220&gt;0,"KAPALI DÖNEM",IF($I220="Hayır","ÖDENECEK","UYGUN")))),"EKSİK"))))</f>
        <v>TAHAKKUK</v>
      </c>
      <c r="Q220" s="2"/>
      <c r="R220" s="2"/>
      <c r="S220" s="1" t="str">
        <f t="shared" si="26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27"/>
        <v>1</v>
      </c>
      <c r="W220" s="1" t="str">
        <f t="shared" si="28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  <c r="AF220" s="1" t="str">
        <f t="shared" si="500"/>
        <v/>
      </c>
    </row>
    <row r="221" spans="1:31" ht="18" customHeight="1" x14ac:dyDescent="0.3">
      <c r="A221" s="2"/>
      <c r="B221" s="65" t="str">
        <f t="shared" si="29"/>
        <v/>
      </c>
      <c r="C221" s="66">
        <v>46173</v>
      </c>
      <c r="D221" s="60" t="inlineStr">
        <is>
          <t>Gelir</t>
        </is>
      </c>
      <c r="E221" s="61" t="inlineStr">
        <is>
          <t>Muhasebe Hizmet Geliri (sözleşme dışı)</t>
        </is>
      </c>
      <c r="F221" s="61" t="inlineStr">
        <is>
          <t>FADİME HORUZCU MUHASEBE ÜCRETİ — NAKİT YOK / ÖMER CARİ BORÇLANDI</t>
        </is>
      </c>
      <c r="G221" s="67">
        <v>2000.0</v>
      </c>
      <c r="H221" s="60"/>
      <c r="I221" s="60" t="inlineStr">
        <is>
          <t>Hayır</t>
        </is>
      </c>
      <c r="J221" s="61" t="inlineStr">
        <is>
          <t>MİG-V00020</t>
        </is>
      </c>
      <c r="K221" s="61"/>
      <c r="L221" s="60" t="inlineStr">
        <is>
          <t>ÖMER KARTAL</t>
        </is>
      </c>
      <c r="M221" s="74" t="str">
        <f>IF($C221="","",IF($D221="Gider",$E221,IF($L221&lt;&gt;"",$L221,$H221)))</f>
        <v>ÖMER KARTAL</v>
      </c>
      <c r="N221" s="74" t="str">
        <f>IF($C221="","",IF($D221="Gider",$H221,$E221))</f>
        <v>Muhasebe Hizmet Geliri (sözleşme dışı)</v>
      </c>
      <c r="O221" s="73">
        <f>IF($C221="","",DATE(YEAR($C221),MONTH($C221),1))</f>
        <v/>
      </c>
      <c r="P221" s="65" t="str">
        <f>IF($C221="","",IF(AND($D221="Gelir",$L221&lt;&gt;"",NOT(OR($T221&lt;&gt;"",$L221=SISTEM!$C$9,$L221=SISTEM!$C$10))),"TANIMSIZ BORÇLU",IF(AND($D221="Gelir",$L221&lt;&gt;"",OR($T221&lt;&gt;"",$L221=SISTEM!$C$9,$L221=SISTEM!$C$10)),IF(OR($E221="",$G221&lt;=0),"EKSİK",IF($I221="Evet","TAHAKKUK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TARİH",IF(COUNTIF($W$7:$W$3001,$W221)&gt;1,"MÜKERRER?",IF($AD221&gt;0,"KAPALI DÖNEM",IF($I221="Hayır","ÖDENECEK","UYGUN")))),"EKSİK"))))</f>
        <v>TAHAKKUK</v>
      </c>
      <c r="Q221" s="2"/>
      <c r="R221" s="2"/>
      <c r="S221" s="1" t="str">
        <f t="shared" si="26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27"/>
        <v>1</v>
      </c>
      <c r="W221" s="1" t="str">
        <f t="shared" si="28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  <c r="AF221" s="1" t="str">
        <f t="shared" si="500"/>
        <v/>
      </c>
    </row>
    <row r="222" spans="1:31" ht="18" customHeight="1" x14ac:dyDescent="0.3">
      <c r="A222" s="2"/>
      <c r="B222" s="65" t="str">
        <f t="shared" si="29"/>
        <v/>
      </c>
      <c r="C222" s="66">
        <v>46203</v>
      </c>
      <c r="D222" s="60" t="inlineStr">
        <is>
          <t>Gelir</t>
        </is>
      </c>
      <c r="E222" s="61" t="inlineStr">
        <is>
          <t>Beyanname / Bildirim Ücreti</t>
        </is>
      </c>
      <c r="F222" s="61" t="inlineStr">
        <is>
          <t>PARİS GAZİNOSU SGK'LAR — NAKİT YOK / ÖMER CARİ BORÇLANDI</t>
        </is>
      </c>
      <c r="G222" s="67">
        <v>12000.0</v>
      </c>
      <c r="H222" s="60"/>
      <c r="I222" s="60" t="inlineStr">
        <is>
          <t>Hayır</t>
        </is>
      </c>
      <c r="J222" s="61" t="inlineStr">
        <is>
          <t>MİG-V00021</t>
        </is>
      </c>
      <c r="K222" s="61"/>
      <c r="L222" s="60" t="inlineStr">
        <is>
          <t>ÖMER KARTAL</t>
        </is>
      </c>
      <c r="M222" s="74" t="str">
        <f>IF($C222="","",IF($D222="Gider",$E222,IF($L222&lt;&gt;"",$L222,$H222)))</f>
        <v>ÖMER KARTAL</v>
      </c>
      <c r="N222" s="74" t="str">
        <f>IF($C222="","",IF($D222="Gider",$H222,$E222))</f>
        <v>Beyanname / Bildirim Ücreti</v>
      </c>
      <c r="O222" s="73">
        <f>IF($C222="","",DATE(YEAR($C222),MONTH($C222),1))</f>
        <v/>
      </c>
      <c r="P222" s="65" t="str">
        <f>IF($C222="","",IF(AND($D222="Gelir",$L222&lt;&gt;"",NOT(OR($T222&lt;&gt;"",$L222=SISTEM!$C$9,$L222=SISTEM!$C$10))),"TANIMSIZ BORÇLU",IF(AND($D222="Gelir",$L222&lt;&gt;"",OR($T222&lt;&gt;"",$L222=SISTEM!$C$9,$L222=SISTEM!$C$10)),IF(OR($E222="",$G222&lt;=0),"EKSİK",IF($I222="Evet","TAHAKKUK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TARİH",IF(COUNTIF($W$7:$W$3001,$W222)&gt;1,"MÜKERRER?",IF($AD222&gt;0,"KAPALI DÖNEM",IF($I222="Hayır","ÖDENECEK","UYGUN")))),"EKSİK"))))</f>
        <v>TAHAKKUK</v>
      </c>
      <c r="Q222" s="2"/>
      <c r="R222" s="2"/>
      <c r="S222" s="1" t="str">
        <f t="shared" si="26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27"/>
        <v>1</v>
      </c>
      <c r="W222" s="1" t="str">
        <f t="shared" si="28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  <c r="AF222" s="1" t="str">
        <f t="shared" si="500"/>
        <v/>
      </c>
    </row>
    <row r="223" spans="1:31" ht="18" customHeight="1" x14ac:dyDescent="0.3">
      <c r="A223" s="2"/>
      <c r="B223" s="65" t="str">
        <f t="shared" si="29"/>
        <v/>
      </c>
      <c r="C223" s="66">
        <v>46203</v>
      </c>
      <c r="D223" s="60" t="inlineStr">
        <is>
          <t>Gelir</t>
        </is>
      </c>
      <c r="E223" s="61" t="inlineStr">
        <is>
          <t>Muhasebe Hizmet Geliri (sözleşme dışı)</t>
        </is>
      </c>
      <c r="F223" s="61" t="inlineStr">
        <is>
          <t>FADİME HORUZCU MUHASEBE ÜCRETİ — NAKİT YOK / ÖMER CARİ BORÇLANDI</t>
        </is>
      </c>
      <c r="G223" s="67">
        <v>2000.0</v>
      </c>
      <c r="H223" s="60"/>
      <c r="I223" s="60" t="inlineStr">
        <is>
          <t>Hayır</t>
        </is>
      </c>
      <c r="J223" s="61" t="inlineStr">
        <is>
          <t>MİG-V00022</t>
        </is>
      </c>
      <c r="K223" s="61"/>
      <c r="L223" s="60" t="inlineStr">
        <is>
          <t>ÖMER KARTAL</t>
        </is>
      </c>
      <c r="M223" s="74" t="str">
        <f>IF($C223="","",IF($D223="Gider",$E223,IF($L223&lt;&gt;"",$L223,$H223)))</f>
        <v>ÖMER KARTAL</v>
      </c>
      <c r="N223" s="74" t="str">
        <f>IF($C223="","",IF($D223="Gider",$H223,$E223))</f>
        <v>Muhasebe Hizmet Geliri (sözleşme dışı)</v>
      </c>
      <c r="O223" s="73">
        <f>IF($C223="","",DATE(YEAR($C223),MONTH($C223),1))</f>
        <v/>
      </c>
      <c r="P223" s="65" t="str">
        <f>IF($C223="","",IF(AND($D223="Gelir",$L223&lt;&gt;"",NOT(OR($T223&lt;&gt;"",$L223=SISTEM!$C$9,$L223=SISTEM!$C$10))),"TANIMSIZ BORÇLU",IF(AND($D223="Gelir",$L223&lt;&gt;"",OR($T223&lt;&gt;"",$L223=SISTEM!$C$9,$L223=SISTEM!$C$10)),IF(OR($E223="",$G223&lt;=0),"EKSİK",IF($I223="Evet","TAHAKKUK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TARİH",IF(COUNTIF($W$7:$W$3001,$W223)&gt;1,"MÜKERRER?",IF($AD223&gt;0,"KAPALI DÖNEM",IF($I223="Hayır","ÖDENECEK","UYGUN")))),"EKSİK"))))</f>
        <v>TAHAKKUK</v>
      </c>
      <c r="Q223" s="2"/>
      <c r="R223" s="2"/>
      <c r="S223" s="1" t="str">
        <f t="shared" si="26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27"/>
        <v>1</v>
      </c>
      <c r="W223" s="1" t="str">
        <f t="shared" si="28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  <c r="AF223" s="1" t="str">
        <f t="shared" si="500"/>
        <v/>
      </c>
    </row>
    <row r="224" spans="1:31" ht="18" customHeight="1" x14ac:dyDescent="0.3">
      <c r="A224" s="2"/>
      <c r="B224" s="65" t="str">
        <f t="shared" si="29"/>
        <v/>
      </c>
      <c r="C224" s="66">
        <v>46234</v>
      </c>
      <c r="D224" s="60" t="inlineStr">
        <is>
          <t>Gelir</t>
        </is>
      </c>
      <c r="E224" s="61" t="inlineStr">
        <is>
          <t>Beyanname / Bildirim Ücreti</t>
        </is>
      </c>
      <c r="F224" s="61" t="inlineStr">
        <is>
          <t>PARİS GAZİNOSU SGK'LAR — NAKİT YOK / ÖMER CARİ BORÇLANDI</t>
        </is>
      </c>
      <c r="G224" s="67">
        <v>12000.0</v>
      </c>
      <c r="H224" s="60"/>
      <c r="I224" s="60" t="inlineStr">
        <is>
          <t>Hayır</t>
        </is>
      </c>
      <c r="J224" s="61" t="inlineStr">
        <is>
          <t>MİG-V00027</t>
        </is>
      </c>
      <c r="K224" s="61"/>
      <c r="L224" s="60" t="inlineStr">
        <is>
          <t>ÖMER KARTAL</t>
        </is>
      </c>
      <c r="M224" s="74" t="str">
        <f>IF($C224="","",IF($D224="Gider",$E224,IF($L224&lt;&gt;"",$L224,$H224)))</f>
        <v>ÖMER KARTAL</v>
      </c>
      <c r="N224" s="74" t="str">
        <f>IF($C224="","",IF($D224="Gider",$H224,$E224))</f>
        <v>Beyanname / Bildirim Ücreti</v>
      </c>
      <c r="O224" s="73">
        <f>IF($C224="","",DATE(YEAR($C224),MONTH($C224),1))</f>
        <v/>
      </c>
      <c r="P224" s="65" t="str">
        <f>IF($C224="","",IF(AND($D224="Gelir",$L224&lt;&gt;"",NOT(OR($T224&lt;&gt;"",$L224=SISTEM!$C$9,$L224=SISTEM!$C$10))),"TANIMSIZ BORÇLU",IF(AND($D224="Gelir",$L224&lt;&gt;"",OR($T224&lt;&gt;"",$L224=SISTEM!$C$9,$L224=SISTEM!$C$10)),IF(OR($E224="",$G224&lt;=0),"EKSİK",IF($I224="Evet","TAHAKKUK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TARİH",IF(COUNTIF($W$7:$W$3001,$W224)&gt;1,"MÜKERRER?",IF($AD224&gt;0,"KAPALI DÖNEM",IF($I224="Hayır","ÖDENECEK","UYGUN")))),"EKSİK"))))</f>
        <v>TAHAKKUK</v>
      </c>
      <c r="Q224" s="2"/>
      <c r="R224" s="2"/>
      <c r="S224" s="1" t="str">
        <f t="shared" si="26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27"/>
        <v>1</v>
      </c>
      <c r="W224" s="1" t="str">
        <f t="shared" si="28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  <c r="AF224" s="1" t="str">
        <f t="shared" si="500"/>
        <v/>
      </c>
    </row>
    <row r="225" spans="1:31" ht="18" customHeight="1" x14ac:dyDescent="0.3">
      <c r="A225" s="2"/>
      <c r="B225" s="65" t="str">
        <f t="shared" si="29"/>
        <v/>
      </c>
      <c r="C225" s="66">
        <v>46265</v>
      </c>
      <c r="D225" s="60" t="inlineStr">
        <is>
          <t>Gelir</t>
        </is>
      </c>
      <c r="E225" s="61" t="inlineStr">
        <is>
          <t>Beyanname / Bildirim Ücreti</t>
        </is>
      </c>
      <c r="F225" s="61" t="inlineStr">
        <is>
          <t>PARİS GAZİNOSU SGK'LAR — NAKİT YOK / ÖMER CARİ BORÇLANDI</t>
        </is>
      </c>
      <c r="G225" s="67">
        <v>12000.0</v>
      </c>
      <c r="H225" s="60"/>
      <c r="I225" s="60" t="inlineStr">
        <is>
          <t>Hayır</t>
        </is>
      </c>
      <c r="J225" s="61" t="inlineStr">
        <is>
          <t>MİG-V00030</t>
        </is>
      </c>
      <c r="K225" s="61"/>
      <c r="L225" s="60" t="inlineStr">
        <is>
          <t>ÖMER KARTAL</t>
        </is>
      </c>
      <c r="M225" s="74" t="str">
        <f>IF($C225="","",IF($D225="Gider",$E225,IF($L225&lt;&gt;"",$L225,$H225)))</f>
        <v>ÖMER KARTAL</v>
      </c>
      <c r="N225" s="74" t="str">
        <f>IF($C225="","",IF($D225="Gider",$H225,$E225))</f>
        <v>Beyanname / Bildirim Ücreti</v>
      </c>
      <c r="O225" s="73">
        <f>IF($C225="","",DATE(YEAR($C225),MONTH($C225),1))</f>
        <v/>
      </c>
      <c r="P225" s="65" t="str">
        <f>IF($C225="","",IF(AND($D225="Gelir",$L225&lt;&gt;"",NOT(OR($T225&lt;&gt;"",$L225=SISTEM!$C$9,$L225=SISTEM!$C$10))),"TANIMSIZ BORÇLU",IF(AND($D225="Gelir",$L225&lt;&gt;"",OR($T225&lt;&gt;"",$L225=SISTEM!$C$9,$L225=SISTEM!$C$10)),IF(OR($E225="",$G225&lt;=0),"EKSİK",IF($I225="Evet","TAHAKKUK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TARİH",IF(COUNTIF($W$7:$W$3001,$W225)&gt;1,"MÜKERRER?",IF($AD225&gt;0,"KAPALI DÖNEM",IF($I225="Hayır","ÖDENECEK","UYGUN")))),"EKSİK"))))</f>
        <v>TAHAKKUK</v>
      </c>
      <c r="Q225" s="2"/>
      <c r="R225" s="2"/>
      <c r="S225" s="1" t="str">
        <f t="shared" si="26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27"/>
        <v>1</v>
      </c>
      <c r="W225" s="1" t="str">
        <f t="shared" si="28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  <c r="AF225" s="1" t="str">
        <f t="shared" si="500"/>
        <v/>
      </c>
    </row>
    <row r="226" spans="1:31" ht="18" customHeight="1" x14ac:dyDescent="0.3">
      <c r="A226" s="2"/>
      <c r="B226" s="65" t="str">
        <f t="shared" si="29"/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 t="shared" si="30"/>
        <v/>
      </c>
      <c r="N226" s="74" t="str">
        <f t="shared" si="31"/>
        <v/>
      </c>
      <c r="O226" s="73" t="str">
        <f t="shared" si="32"/>
        <v/>
      </c>
      <c r="P226" s="65" t="str">
        <f t="shared" ca="1" si="33"/>
        <v/>
      </c>
      <c r="Q226" s="2"/>
      <c r="R226" s="2"/>
      <c r="S226" s="1" t="str">
        <f t="shared" si="26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27"/>
        <v>0</v>
      </c>
      <c r="W226" s="1" t="str">
        <f t="shared" si="28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customHeight="1" x14ac:dyDescent="0.3">
      <c r="A227" s="2"/>
      <c r="B227" s="65" t="str">
        <f t="shared" si="29"/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 t="shared" si="30"/>
        <v/>
      </c>
      <c r="N227" s="74" t="str">
        <f t="shared" si="31"/>
        <v/>
      </c>
      <c r="O227" s="73" t="str">
        <f t="shared" si="32"/>
        <v/>
      </c>
      <c r="P227" s="65" t="str">
        <f t="shared" ca="1" si="33"/>
        <v/>
      </c>
      <c r="Q227" s="2"/>
      <c r="R227" s="2"/>
      <c r="S227" s="1" t="str">
        <f t="shared" si="26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27"/>
        <v>0</v>
      </c>
      <c r="W227" s="1" t="str">
        <f t="shared" si="28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customHeight="1" x14ac:dyDescent="0.3">
      <c r="A228" s="2"/>
      <c r="B228" s="65" t="str">
        <f t="shared" si="29"/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 t="shared" si="30"/>
        <v/>
      </c>
      <c r="N228" s="74" t="str">
        <f t="shared" si="31"/>
        <v/>
      </c>
      <c r="O228" s="73" t="str">
        <f t="shared" si="32"/>
        <v/>
      </c>
      <c r="P228" s="65" t="str">
        <f t="shared" ca="1" si="33"/>
        <v/>
      </c>
      <c r="Q228" s="2"/>
      <c r="R228" s="2"/>
      <c r="S228" s="1" t="str">
        <f t="shared" si="26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27"/>
        <v>0</v>
      </c>
      <c r="W228" s="1" t="str">
        <f t="shared" si="28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customHeight="1" x14ac:dyDescent="0.3">
      <c r="A229" s="2"/>
      <c r="B229" s="65" t="str">
        <f t="shared" si="29"/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 t="shared" si="30"/>
        <v/>
      </c>
      <c r="N229" s="74" t="str">
        <f t="shared" si="31"/>
        <v/>
      </c>
      <c r="O229" s="73" t="str">
        <f t="shared" si="32"/>
        <v/>
      </c>
      <c r="P229" s="65" t="str">
        <f t="shared" ca="1" si="33"/>
        <v/>
      </c>
      <c r="Q229" s="2"/>
      <c r="R229" s="2"/>
      <c r="S229" s="1" t="str">
        <f t="shared" si="26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27"/>
        <v>0</v>
      </c>
      <c r="W229" s="1" t="str">
        <f t="shared" si="28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customHeight="1" x14ac:dyDescent="0.3">
      <c r="A230" s="2"/>
      <c r="B230" s="65" t="str">
        <f t="shared" si="29"/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 t="shared" si="30"/>
        <v/>
      </c>
      <c r="N230" s="74" t="str">
        <f t="shared" si="31"/>
        <v/>
      </c>
      <c r="O230" s="73" t="str">
        <f t="shared" si="32"/>
        <v/>
      </c>
      <c r="P230" s="65" t="str">
        <f t="shared" ca="1" si="33"/>
        <v/>
      </c>
      <c r="Q230" s="2"/>
      <c r="R230" s="2"/>
      <c r="S230" s="1" t="str">
        <f t="shared" si="26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27"/>
        <v>0</v>
      </c>
      <c r="W230" s="1" t="str">
        <f t="shared" si="28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customHeight="1" x14ac:dyDescent="0.3">
      <c r="A231" s="2"/>
      <c r="B231" s="65" t="str">
        <f t="shared" si="29"/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 t="shared" si="30"/>
        <v/>
      </c>
      <c r="N231" s="74" t="str">
        <f t="shared" si="31"/>
        <v/>
      </c>
      <c r="O231" s="73" t="str">
        <f t="shared" si="32"/>
        <v/>
      </c>
      <c r="P231" s="65" t="str">
        <f t="shared" ca="1" si="33"/>
        <v/>
      </c>
      <c r="Q231" s="2"/>
      <c r="R231" s="2"/>
      <c r="S231" s="1" t="str">
        <f t="shared" si="26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27"/>
        <v>0</v>
      </c>
      <c r="W231" s="1" t="str">
        <f t="shared" si="28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customHeight="1" x14ac:dyDescent="0.3">
      <c r="A232" s="2"/>
      <c r="B232" s="65" t="str">
        <f t="shared" si="29"/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 t="shared" si="30"/>
        <v/>
      </c>
      <c r="N232" s="74" t="str">
        <f t="shared" si="31"/>
        <v/>
      </c>
      <c r="O232" s="73" t="str">
        <f t="shared" si="32"/>
        <v/>
      </c>
      <c r="P232" s="65" t="str">
        <f t="shared" ca="1" si="33"/>
        <v/>
      </c>
      <c r="Q232" s="2"/>
      <c r="R232" s="2"/>
      <c r="S232" s="1" t="str">
        <f t="shared" si="26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27"/>
        <v>0</v>
      </c>
      <c r="W232" s="1" t="str">
        <f t="shared" si="28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customHeight="1" x14ac:dyDescent="0.3">
      <c r="A233" s="2"/>
      <c r="B233" s="65" t="str">
        <f t="shared" si="29"/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 t="shared" si="30"/>
        <v/>
      </c>
      <c r="N233" s="74" t="str">
        <f t="shared" si="31"/>
        <v/>
      </c>
      <c r="O233" s="73" t="str">
        <f t="shared" si="32"/>
        <v/>
      </c>
      <c r="P233" s="65" t="str">
        <f t="shared" ca="1" si="33"/>
        <v/>
      </c>
      <c r="Q233" s="2"/>
      <c r="R233" s="2"/>
      <c r="S233" s="1" t="str">
        <f t="shared" si="26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27"/>
        <v>0</v>
      </c>
      <c r="W233" s="1" t="str">
        <f t="shared" si="28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customHeight="1" x14ac:dyDescent="0.3">
      <c r="A234" s="2"/>
      <c r="B234" s="65" t="str">
        <f t="shared" si="29"/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 t="shared" si="30"/>
        <v/>
      </c>
      <c r="N234" s="74" t="str">
        <f t="shared" si="31"/>
        <v/>
      </c>
      <c r="O234" s="73" t="str">
        <f t="shared" si="32"/>
        <v/>
      </c>
      <c r="P234" s="65" t="str">
        <f t="shared" ca="1" si="33"/>
        <v/>
      </c>
      <c r="Q234" s="2"/>
      <c r="R234" s="2"/>
      <c r="S234" s="1" t="str">
        <f t="shared" si="26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27"/>
        <v>0</v>
      </c>
      <c r="W234" s="1" t="str">
        <f t="shared" si="28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customHeight="1" x14ac:dyDescent="0.3">
      <c r="A235" s="2"/>
      <c r="B235" s="65" t="str">
        <f t="shared" si="29"/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 t="shared" si="30"/>
        <v/>
      </c>
      <c r="N235" s="74" t="str">
        <f t="shared" si="31"/>
        <v/>
      </c>
      <c r="O235" s="73" t="str">
        <f t="shared" si="32"/>
        <v/>
      </c>
      <c r="P235" s="65" t="str">
        <f t="shared" ca="1" si="33"/>
        <v/>
      </c>
      <c r="Q235" s="2"/>
      <c r="R235" s="2"/>
      <c r="S235" s="1" t="str">
        <f t="shared" si="26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27"/>
        <v>0</v>
      </c>
      <c r="W235" s="1" t="str">
        <f t="shared" si="28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customHeight="1" x14ac:dyDescent="0.3">
      <c r="A236" s="2"/>
      <c r="B236" s="65" t="str">
        <f t="shared" si="29"/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 t="shared" si="30"/>
        <v/>
      </c>
      <c r="N236" s="74" t="str">
        <f t="shared" si="31"/>
        <v/>
      </c>
      <c r="O236" s="73" t="str">
        <f t="shared" si="32"/>
        <v/>
      </c>
      <c r="P236" s="65" t="str">
        <f t="shared" ca="1" si="33"/>
        <v/>
      </c>
      <c r="Q236" s="2"/>
      <c r="R236" s="2"/>
      <c r="S236" s="1" t="str">
        <f t="shared" si="26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27"/>
        <v>0</v>
      </c>
      <c r="W236" s="1" t="str">
        <f t="shared" si="28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customHeight="1" x14ac:dyDescent="0.3">
      <c r="A237" s="2"/>
      <c r="B237" s="65" t="str">
        <f t="shared" si="29"/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 t="shared" si="30"/>
        <v/>
      </c>
      <c r="N237" s="74" t="str">
        <f t="shared" si="31"/>
        <v/>
      </c>
      <c r="O237" s="73" t="str">
        <f t="shared" si="32"/>
        <v/>
      </c>
      <c r="P237" s="65" t="str">
        <f t="shared" ca="1" si="33"/>
        <v/>
      </c>
      <c r="Q237" s="2"/>
      <c r="R237" s="2"/>
      <c r="S237" s="1" t="str">
        <f t="shared" si="26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27"/>
        <v>0</v>
      </c>
      <c r="W237" s="1" t="str">
        <f t="shared" si="28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customHeight="1" x14ac:dyDescent="0.3">
      <c r="A238" s="2"/>
      <c r="B238" s="65" t="str">
        <f t="shared" si="29"/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 t="shared" si="30"/>
        <v/>
      </c>
      <c r="N238" s="74" t="str">
        <f t="shared" si="31"/>
        <v/>
      </c>
      <c r="O238" s="73" t="str">
        <f t="shared" si="32"/>
        <v/>
      </c>
      <c r="P238" s="65" t="str">
        <f t="shared" ca="1" si="33"/>
        <v/>
      </c>
      <c r="Q238" s="2"/>
      <c r="R238" s="2"/>
      <c r="S238" s="1" t="str">
        <f t="shared" si="26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27"/>
        <v>0</v>
      </c>
      <c r="W238" s="1" t="str">
        <f t="shared" si="28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customHeight="1" x14ac:dyDescent="0.3">
      <c r="A239" s="2"/>
      <c r="B239" s="65" t="str">
        <f t="shared" si="29"/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 t="shared" si="30"/>
        <v/>
      </c>
      <c r="N239" s="74" t="str">
        <f t="shared" si="31"/>
        <v/>
      </c>
      <c r="O239" s="73" t="str">
        <f t="shared" si="32"/>
        <v/>
      </c>
      <c r="P239" s="65" t="str">
        <f t="shared" ca="1" si="33"/>
        <v/>
      </c>
      <c r="Q239" s="2"/>
      <c r="R239" s="2"/>
      <c r="S239" s="1" t="str">
        <f t="shared" si="26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27"/>
        <v>0</v>
      </c>
      <c r="W239" s="1" t="str">
        <f t="shared" si="28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customHeight="1" x14ac:dyDescent="0.3">
      <c r="A240" s="2"/>
      <c r="B240" s="65" t="str">
        <f t="shared" si="29"/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 t="shared" si="30"/>
        <v/>
      </c>
      <c r="N240" s="74" t="str">
        <f t="shared" si="31"/>
        <v/>
      </c>
      <c r="O240" s="73" t="str">
        <f t="shared" si="32"/>
        <v/>
      </c>
      <c r="P240" s="65" t="str">
        <f t="shared" ca="1" si="33"/>
        <v/>
      </c>
      <c r="Q240" s="2"/>
      <c r="R240" s="2"/>
      <c r="S240" s="1" t="str">
        <f t="shared" si="26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27"/>
        <v>0</v>
      </c>
      <c r="W240" s="1" t="str">
        <f t="shared" si="28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customHeight="1" x14ac:dyDescent="0.3">
      <c r="A241" s="2"/>
      <c r="B241" s="65" t="str">
        <f t="shared" si="29"/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 t="shared" si="30"/>
        <v/>
      </c>
      <c r="N241" s="74" t="str">
        <f t="shared" si="31"/>
        <v/>
      </c>
      <c r="O241" s="73" t="str">
        <f t="shared" si="32"/>
        <v/>
      </c>
      <c r="P241" s="65" t="str">
        <f t="shared" ca="1" si="33"/>
        <v/>
      </c>
      <c r="Q241" s="2"/>
      <c r="R241" s="2"/>
      <c r="S241" s="1" t="str">
        <f t="shared" si="26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27"/>
        <v>0</v>
      </c>
      <c r="W241" s="1" t="str">
        <f t="shared" si="28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customHeight="1" x14ac:dyDescent="0.3">
      <c r="A242" s="2"/>
      <c r="B242" s="65" t="str">
        <f t="shared" si="29"/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 t="shared" si="30"/>
        <v/>
      </c>
      <c r="N242" s="74" t="str">
        <f t="shared" si="31"/>
        <v/>
      </c>
      <c r="O242" s="73" t="str">
        <f t="shared" si="32"/>
        <v/>
      </c>
      <c r="P242" s="65" t="str">
        <f t="shared" ca="1" si="33"/>
        <v/>
      </c>
      <c r="Q242" s="2"/>
      <c r="R242" s="2"/>
      <c r="S242" s="1" t="str">
        <f t="shared" si="26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27"/>
        <v>0</v>
      </c>
      <c r="W242" s="1" t="str">
        <f t="shared" si="28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customHeight="1" x14ac:dyDescent="0.3">
      <c r="A243" s="2"/>
      <c r="B243" s="65" t="str">
        <f t="shared" si="29"/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 t="shared" si="30"/>
        <v/>
      </c>
      <c r="N243" s="74" t="str">
        <f t="shared" si="31"/>
        <v/>
      </c>
      <c r="O243" s="73" t="str">
        <f t="shared" si="32"/>
        <v/>
      </c>
      <c r="P243" s="65" t="str">
        <f t="shared" ca="1" si="33"/>
        <v/>
      </c>
      <c r="Q243" s="2"/>
      <c r="R243" s="2"/>
      <c r="S243" s="1" t="str">
        <f t="shared" si="26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27"/>
        <v>0</v>
      </c>
      <c r="W243" s="1" t="str">
        <f t="shared" si="28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customHeight="1" x14ac:dyDescent="0.3">
      <c r="A244" s="2"/>
      <c r="B244" s="65" t="str">
        <f t="shared" si="29"/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 t="shared" si="30"/>
        <v/>
      </c>
      <c r="N244" s="74" t="str">
        <f t="shared" si="31"/>
        <v/>
      </c>
      <c r="O244" s="73" t="str">
        <f t="shared" si="32"/>
        <v/>
      </c>
      <c r="P244" s="65" t="str">
        <f t="shared" ca="1" si="33"/>
        <v/>
      </c>
      <c r="Q244" s="2"/>
      <c r="R244" s="2"/>
      <c r="S244" s="1" t="str">
        <f t="shared" si="26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27"/>
        <v>0</v>
      </c>
      <c r="W244" s="1" t="str">
        <f t="shared" si="28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customHeight="1" x14ac:dyDescent="0.3">
      <c r="A245" s="2"/>
      <c r="B245" s="65" t="str">
        <f t="shared" si="29"/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 t="shared" si="30"/>
        <v/>
      </c>
      <c r="N245" s="74" t="str">
        <f t="shared" si="31"/>
        <v/>
      </c>
      <c r="O245" s="73" t="str">
        <f t="shared" si="32"/>
        <v/>
      </c>
      <c r="P245" s="65" t="str">
        <f t="shared" ca="1" si="33"/>
        <v/>
      </c>
      <c r="Q245" s="2"/>
      <c r="R245" s="2"/>
      <c r="S245" s="1" t="str">
        <f t="shared" si="26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27"/>
        <v>0</v>
      </c>
      <c r="W245" s="1" t="str">
        <f t="shared" si="28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customHeight="1" x14ac:dyDescent="0.3">
      <c r="A246" s="2"/>
      <c r="B246" s="65" t="str">
        <f t="shared" si="29"/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 t="shared" si="30"/>
        <v/>
      </c>
      <c r="N246" s="74" t="str">
        <f t="shared" si="31"/>
        <v/>
      </c>
      <c r="O246" s="73" t="str">
        <f t="shared" si="32"/>
        <v/>
      </c>
      <c r="P246" s="65" t="str">
        <f t="shared" ca="1" si="33"/>
        <v/>
      </c>
      <c r="Q246" s="2"/>
      <c r="R246" s="2"/>
      <c r="S246" s="1" t="str">
        <f t="shared" si="26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27"/>
        <v>0</v>
      </c>
      <c r="W246" s="1" t="str">
        <f t="shared" si="28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customHeight="1" x14ac:dyDescent="0.3">
      <c r="A247" s="2"/>
      <c r="B247" s="65" t="str">
        <f t="shared" si="29"/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 t="shared" si="30"/>
        <v/>
      </c>
      <c r="N247" s="74" t="str">
        <f t="shared" si="31"/>
        <v/>
      </c>
      <c r="O247" s="73" t="str">
        <f t="shared" si="32"/>
        <v/>
      </c>
      <c r="P247" s="65" t="str">
        <f t="shared" ca="1" si="33"/>
        <v/>
      </c>
      <c r="Q247" s="2"/>
      <c r="R247" s="2"/>
      <c r="S247" s="1" t="str">
        <f t="shared" si="26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27"/>
        <v>0</v>
      </c>
      <c r="W247" s="1" t="str">
        <f t="shared" si="28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customHeight="1" x14ac:dyDescent="0.3">
      <c r="A248" s="2"/>
      <c r="B248" s="65" t="str">
        <f t="shared" si="29"/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 t="shared" si="30"/>
        <v/>
      </c>
      <c r="N248" s="74" t="str">
        <f t="shared" si="31"/>
        <v/>
      </c>
      <c r="O248" s="73" t="str">
        <f t="shared" si="32"/>
        <v/>
      </c>
      <c r="P248" s="65" t="str">
        <f t="shared" ca="1" si="33"/>
        <v/>
      </c>
      <c r="Q248" s="2"/>
      <c r="R248" s="2"/>
      <c r="S248" s="1" t="str">
        <f t="shared" si="26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27"/>
        <v>0</v>
      </c>
      <c r="W248" s="1" t="str">
        <f t="shared" si="28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customHeight="1" x14ac:dyDescent="0.3">
      <c r="A249" s="2"/>
      <c r="B249" s="65" t="str">
        <f t="shared" si="29"/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 t="shared" si="30"/>
        <v/>
      </c>
      <c r="N249" s="74" t="str">
        <f t="shared" si="31"/>
        <v/>
      </c>
      <c r="O249" s="73" t="str">
        <f t="shared" si="32"/>
        <v/>
      </c>
      <c r="P249" s="65" t="str">
        <f t="shared" ca="1" si="33"/>
        <v/>
      </c>
      <c r="Q249" s="2"/>
      <c r="R249" s="2"/>
      <c r="S249" s="1" t="str">
        <f t="shared" si="26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27"/>
        <v>0</v>
      </c>
      <c r="W249" s="1" t="str">
        <f t="shared" si="28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customHeight="1" x14ac:dyDescent="0.3">
      <c r="A250" s="2"/>
      <c r="B250" s="65" t="str">
        <f t="shared" si="29"/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 t="shared" si="30"/>
        <v/>
      </c>
      <c r="N250" s="74" t="str">
        <f t="shared" si="31"/>
        <v/>
      </c>
      <c r="O250" s="73" t="str">
        <f t="shared" si="32"/>
        <v/>
      </c>
      <c r="P250" s="65" t="str">
        <f t="shared" ca="1" si="33"/>
        <v/>
      </c>
      <c r="Q250" s="2"/>
      <c r="R250" s="2"/>
      <c r="S250" s="1" t="str">
        <f t="shared" si="26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27"/>
        <v>0</v>
      </c>
      <c r="W250" s="1" t="str">
        <f t="shared" si="28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customHeight="1" x14ac:dyDescent="0.3">
      <c r="A251" s="2"/>
      <c r="B251" s="65" t="str">
        <f t="shared" si="29"/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 t="shared" si="30"/>
        <v/>
      </c>
      <c r="N251" s="74" t="str">
        <f t="shared" si="31"/>
        <v/>
      </c>
      <c r="O251" s="73" t="str">
        <f t="shared" si="32"/>
        <v/>
      </c>
      <c r="P251" s="65" t="str">
        <f t="shared" ca="1" si="33"/>
        <v/>
      </c>
      <c r="Q251" s="2"/>
      <c r="R251" s="2"/>
      <c r="S251" s="1" t="str">
        <f t="shared" si="26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27"/>
        <v>0</v>
      </c>
      <c r="W251" s="1" t="str">
        <f t="shared" si="28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customHeight="1" x14ac:dyDescent="0.3">
      <c r="A252" s="2"/>
      <c r="B252" s="65" t="str">
        <f t="shared" si="29"/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 t="shared" si="30"/>
        <v/>
      </c>
      <c r="N252" s="74" t="str">
        <f t="shared" si="31"/>
        <v/>
      </c>
      <c r="O252" s="73" t="str">
        <f t="shared" si="32"/>
        <v/>
      </c>
      <c r="P252" s="65" t="str">
        <f t="shared" ca="1" si="33"/>
        <v/>
      </c>
      <c r="Q252" s="2"/>
      <c r="R252" s="2"/>
      <c r="S252" s="1" t="str">
        <f t="shared" si="26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27"/>
        <v>0</v>
      </c>
      <c r="W252" s="1" t="str">
        <f t="shared" si="28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customHeight="1" x14ac:dyDescent="0.3">
      <c r="A253" s="2"/>
      <c r="B253" s="65" t="str">
        <f t="shared" si="29"/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 t="shared" si="30"/>
        <v/>
      </c>
      <c r="N253" s="74" t="str">
        <f t="shared" si="31"/>
        <v/>
      </c>
      <c r="O253" s="73" t="str">
        <f t="shared" si="32"/>
        <v/>
      </c>
      <c r="P253" s="65" t="str">
        <f t="shared" ca="1" si="33"/>
        <v/>
      </c>
      <c r="Q253" s="2"/>
      <c r="R253" s="2"/>
      <c r="S253" s="1" t="str">
        <f t="shared" si="26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27"/>
        <v>0</v>
      </c>
      <c r="W253" s="1" t="str">
        <f t="shared" si="28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customHeight="1" x14ac:dyDescent="0.3">
      <c r="A254" s="2"/>
      <c r="B254" s="65" t="str">
        <f t="shared" si="29"/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 t="shared" si="30"/>
        <v/>
      </c>
      <c r="N254" s="74" t="str">
        <f t="shared" si="31"/>
        <v/>
      </c>
      <c r="O254" s="73" t="str">
        <f t="shared" si="32"/>
        <v/>
      </c>
      <c r="P254" s="65" t="str">
        <f t="shared" ca="1" si="33"/>
        <v/>
      </c>
      <c r="Q254" s="2"/>
      <c r="R254" s="2"/>
      <c r="S254" s="1" t="str">
        <f t="shared" si="26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27"/>
        <v>0</v>
      </c>
      <c r="W254" s="1" t="str">
        <f t="shared" si="28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customHeight="1" x14ac:dyDescent="0.3">
      <c r="A255" s="2"/>
      <c r="B255" s="65" t="str">
        <f t="shared" si="29"/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 t="shared" si="30"/>
        <v/>
      </c>
      <c r="N255" s="74" t="str">
        <f t="shared" si="31"/>
        <v/>
      </c>
      <c r="O255" s="73" t="str">
        <f t="shared" si="32"/>
        <v/>
      </c>
      <c r="P255" s="65" t="str">
        <f t="shared" ca="1" si="33"/>
        <v/>
      </c>
      <c r="Q255" s="2"/>
      <c r="R255" s="2"/>
      <c r="S255" s="1" t="str">
        <f t="shared" si="26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27"/>
        <v>0</v>
      </c>
      <c r="W255" s="1" t="str">
        <f t="shared" si="28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customHeight="1" x14ac:dyDescent="0.3">
      <c r="A256" s="2"/>
      <c r="B256" s="65" t="str">
        <f t="shared" si="29"/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 t="shared" si="30"/>
        <v/>
      </c>
      <c r="N256" s="74" t="str">
        <f t="shared" si="31"/>
        <v/>
      </c>
      <c r="O256" s="73" t="str">
        <f t="shared" si="32"/>
        <v/>
      </c>
      <c r="P256" s="65" t="str">
        <f t="shared" ca="1" si="33"/>
        <v/>
      </c>
      <c r="Q256" s="2"/>
      <c r="R256" s="2"/>
      <c r="S256" s="1" t="str">
        <f t="shared" si="26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27"/>
        <v>0</v>
      </c>
      <c r="W256" s="1" t="str">
        <f t="shared" si="28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customHeight="1" x14ac:dyDescent="0.3">
      <c r="A257" s="2"/>
      <c r="B257" s="65" t="str">
        <f t="shared" si="29"/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 t="shared" si="30"/>
        <v/>
      </c>
      <c r="N257" s="74" t="str">
        <f t="shared" si="31"/>
        <v/>
      </c>
      <c r="O257" s="73" t="str">
        <f t="shared" si="32"/>
        <v/>
      </c>
      <c r="P257" s="65" t="str">
        <f t="shared" ca="1" si="33"/>
        <v/>
      </c>
      <c r="Q257" s="2"/>
      <c r="R257" s="2"/>
      <c r="S257" s="1" t="str">
        <f t="shared" si="26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27"/>
        <v>0</v>
      </c>
      <c r="W257" s="1" t="str">
        <f t="shared" si="28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customHeight="1" x14ac:dyDescent="0.3">
      <c r="A258" s="2"/>
      <c r="B258" s="65" t="str">
        <f t="shared" si="29"/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 t="shared" si="30"/>
        <v/>
      </c>
      <c r="N258" s="74" t="str">
        <f t="shared" si="31"/>
        <v/>
      </c>
      <c r="O258" s="73" t="str">
        <f t="shared" si="32"/>
        <v/>
      </c>
      <c r="P258" s="65" t="str">
        <f t="shared" ca="1" si="33"/>
        <v/>
      </c>
      <c r="Q258" s="2"/>
      <c r="R258" s="2"/>
      <c r="S258" s="1" t="str">
        <f t="shared" si="26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27"/>
        <v>0</v>
      </c>
      <c r="W258" s="1" t="str">
        <f t="shared" si="28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customHeight="1" x14ac:dyDescent="0.3">
      <c r="A259" s="2"/>
      <c r="B259" s="65" t="str">
        <f t="shared" si="29"/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 t="shared" si="30"/>
        <v/>
      </c>
      <c r="N259" s="74" t="str">
        <f t="shared" si="31"/>
        <v/>
      </c>
      <c r="O259" s="73" t="str">
        <f t="shared" si="32"/>
        <v/>
      </c>
      <c r="P259" s="65" t="str">
        <f t="shared" ca="1" si="33"/>
        <v/>
      </c>
      <c r="Q259" s="2"/>
      <c r="R259" s="2"/>
      <c r="S259" s="1" t="str">
        <f t="shared" si="26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27"/>
        <v>0</v>
      </c>
      <c r="W259" s="1" t="str">
        <f t="shared" si="28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customHeight="1" x14ac:dyDescent="0.3">
      <c r="A260" s="2"/>
      <c r="B260" s="65" t="str">
        <f t="shared" si="29"/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 t="shared" si="30"/>
        <v/>
      </c>
      <c r="N260" s="74" t="str">
        <f t="shared" si="31"/>
        <v/>
      </c>
      <c r="O260" s="73" t="str">
        <f t="shared" si="32"/>
        <v/>
      </c>
      <c r="P260" s="65" t="str">
        <f t="shared" ca="1" si="33"/>
        <v/>
      </c>
      <c r="Q260" s="2"/>
      <c r="R260" s="2"/>
      <c r="S260" s="1" t="str">
        <f t="shared" si="26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27"/>
        <v>0</v>
      </c>
      <c r="W260" s="1" t="str">
        <f t="shared" si="28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customHeight="1" x14ac:dyDescent="0.3">
      <c r="A261" s="2"/>
      <c r="B261" s="65" t="str">
        <f t="shared" si="29"/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 t="shared" si="30"/>
        <v/>
      </c>
      <c r="N261" s="74" t="str">
        <f t="shared" si="31"/>
        <v/>
      </c>
      <c r="O261" s="73" t="str">
        <f t="shared" si="32"/>
        <v/>
      </c>
      <c r="P261" s="65" t="str">
        <f t="shared" ca="1" si="33"/>
        <v/>
      </c>
      <c r="Q261" s="2"/>
      <c r="R261" s="2"/>
      <c r="S261" s="1" t="str">
        <f t="shared" ref="S261:S324" si="34"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ref="V261:V324" si="35">IF($T261="",0,1)</f>
        <v>0</v>
      </c>
      <c r="W261" s="1" t="str">
        <f t="shared" ref="W261:W324" si="36">IF($C261="","",$D261&amp;"|"&amp;$E261&amp;"|"&amp;TEXT($C261,"0")&amp;"|"&amp;TEXT($G261,"0")&amp;"|"&amp;$F261&amp;"|"&amp;$J261)</f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customHeight="1" x14ac:dyDescent="0.3">
      <c r="A262" s="2"/>
      <c r="B262" s="65" t="str">
        <f t="shared" si="29"/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 t="shared" si="30"/>
        <v/>
      </c>
      <c r="N262" s="74" t="str">
        <f t="shared" si="31"/>
        <v/>
      </c>
      <c r="O262" s="73" t="str">
        <f t="shared" si="32"/>
        <v/>
      </c>
      <c r="P262" s="65" t="str">
        <f t="shared" ca="1" si="33"/>
        <v/>
      </c>
      <c r="Q262" s="2"/>
      <c r="R262" s="2"/>
      <c r="S262" s="1" t="str">
        <f t="shared" si="34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35"/>
        <v>0</v>
      </c>
      <c r="W262" s="1" t="str">
        <f t="shared" si="36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customHeight="1" x14ac:dyDescent="0.3">
      <c r="A263" s="2"/>
      <c r="B263" s="65" t="str">
        <f t="shared" ref="B263:B326" si="37"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 t="shared" ref="M263:M326" si="38">IF($C263="","",IF($D263="Gider",$E263,IF($L263&lt;&gt;"",$L263,$H263)))</f>
        <v/>
      </c>
      <c r="N263" s="74" t="str">
        <f t="shared" ref="N263:N326" si="39">IF($C263="","",IF($D263="Gider",$H263,$E263))</f>
        <v/>
      </c>
      <c r="O263" s="73" t="str">
        <f t="shared" ref="O263:O326" si="40">IF($C263="","",DATE(YEAR($C263),MONTH($C263),1))</f>
        <v/>
      </c>
      <c r="P263" s="65" t="str">
        <f t="shared" ref="P263:P326" ca="1" si="41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TARİH",IF(COUNTIF($W$7:$W$3001,$W263)&gt;1,"MÜKERRER?",IF($AD263&gt;0,"KAPALI DÖNEM",IF($I263="Hayır","ÖDENECEK","UYGUN")))),"EKSİK"))))</f>
        <v/>
      </c>
      <c r="Q263" s="2"/>
      <c r="R263" s="2"/>
      <c r="S263" s="1" t="str">
        <f t="shared" si="34"/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si="35"/>
        <v>0</v>
      </c>
      <c r="W263" s="1" t="str">
        <f t="shared" si="36"/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customHeight="1" x14ac:dyDescent="0.3">
      <c r="A264" s="2"/>
      <c r="B264" s="65" t="str">
        <f t="shared" si="37"/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 t="shared" si="38"/>
        <v/>
      </c>
      <c r="N264" s="74" t="str">
        <f t="shared" si="39"/>
        <v/>
      </c>
      <c r="O264" s="73" t="str">
        <f t="shared" si="40"/>
        <v/>
      </c>
      <c r="P264" s="65" t="str">
        <f t="shared" ca="1" si="41"/>
        <v/>
      </c>
      <c r="Q264" s="2"/>
      <c r="R264" s="2"/>
      <c r="S264" s="1" t="str">
        <f t="shared" si="34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35"/>
        <v>0</v>
      </c>
      <c r="W264" s="1" t="str">
        <f t="shared" si="36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customHeight="1" x14ac:dyDescent="0.3">
      <c r="A265" s="2"/>
      <c r="B265" s="65" t="str">
        <f t="shared" si="37"/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 t="shared" si="38"/>
        <v/>
      </c>
      <c r="N265" s="74" t="str">
        <f t="shared" si="39"/>
        <v/>
      </c>
      <c r="O265" s="73" t="str">
        <f t="shared" si="40"/>
        <v/>
      </c>
      <c r="P265" s="65" t="str">
        <f t="shared" ca="1" si="41"/>
        <v/>
      </c>
      <c r="Q265" s="2"/>
      <c r="R265" s="2"/>
      <c r="S265" s="1" t="str">
        <f t="shared" si="34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35"/>
        <v>0</v>
      </c>
      <c r="W265" s="1" t="str">
        <f t="shared" si="36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customHeight="1" x14ac:dyDescent="0.3">
      <c r="A266" s="2"/>
      <c r="B266" s="65" t="str">
        <f t="shared" si="37"/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 t="shared" si="38"/>
        <v/>
      </c>
      <c r="N266" s="74" t="str">
        <f t="shared" si="39"/>
        <v/>
      </c>
      <c r="O266" s="73" t="str">
        <f t="shared" si="40"/>
        <v/>
      </c>
      <c r="P266" s="65" t="str">
        <f t="shared" ca="1" si="41"/>
        <v/>
      </c>
      <c r="Q266" s="2"/>
      <c r="R266" s="2"/>
      <c r="S266" s="1" t="str">
        <f t="shared" si="34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35"/>
        <v>0</v>
      </c>
      <c r="W266" s="1" t="str">
        <f t="shared" si="36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customHeight="1" x14ac:dyDescent="0.3">
      <c r="A267" s="2"/>
      <c r="B267" s="65" t="str">
        <f t="shared" si="37"/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 t="shared" si="38"/>
        <v/>
      </c>
      <c r="N267" s="74" t="str">
        <f t="shared" si="39"/>
        <v/>
      </c>
      <c r="O267" s="73" t="str">
        <f t="shared" si="40"/>
        <v/>
      </c>
      <c r="P267" s="65" t="str">
        <f t="shared" ca="1" si="41"/>
        <v/>
      </c>
      <c r="Q267" s="2"/>
      <c r="R267" s="2"/>
      <c r="S267" s="1" t="str">
        <f t="shared" si="34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35"/>
        <v>0</v>
      </c>
      <c r="W267" s="1" t="str">
        <f t="shared" si="36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customHeight="1" x14ac:dyDescent="0.3">
      <c r="A268" s="2"/>
      <c r="B268" s="65" t="str">
        <f t="shared" si="37"/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 t="shared" si="38"/>
        <v/>
      </c>
      <c r="N268" s="74" t="str">
        <f t="shared" si="39"/>
        <v/>
      </c>
      <c r="O268" s="73" t="str">
        <f t="shared" si="40"/>
        <v/>
      </c>
      <c r="P268" s="65" t="str">
        <f t="shared" ca="1" si="41"/>
        <v/>
      </c>
      <c r="Q268" s="2"/>
      <c r="R268" s="2"/>
      <c r="S268" s="1" t="str">
        <f t="shared" si="34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35"/>
        <v>0</v>
      </c>
      <c r="W268" s="1" t="str">
        <f t="shared" si="36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customHeight="1" x14ac:dyDescent="0.3">
      <c r="A269" s="2"/>
      <c r="B269" s="65" t="str">
        <f t="shared" si="37"/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 t="shared" si="38"/>
        <v/>
      </c>
      <c r="N269" s="74" t="str">
        <f t="shared" si="39"/>
        <v/>
      </c>
      <c r="O269" s="73" t="str">
        <f t="shared" si="40"/>
        <v/>
      </c>
      <c r="P269" s="65" t="str">
        <f t="shared" ca="1" si="41"/>
        <v/>
      </c>
      <c r="Q269" s="2"/>
      <c r="R269" s="2"/>
      <c r="S269" s="1" t="str">
        <f t="shared" si="34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35"/>
        <v>0</v>
      </c>
      <c r="W269" s="1" t="str">
        <f t="shared" si="36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customHeight="1" x14ac:dyDescent="0.3">
      <c r="A270" s="2"/>
      <c r="B270" s="65" t="str">
        <f t="shared" si="37"/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 t="shared" si="38"/>
        <v/>
      </c>
      <c r="N270" s="74" t="str">
        <f t="shared" si="39"/>
        <v/>
      </c>
      <c r="O270" s="73" t="str">
        <f t="shared" si="40"/>
        <v/>
      </c>
      <c r="P270" s="65" t="str">
        <f t="shared" ca="1" si="41"/>
        <v/>
      </c>
      <c r="Q270" s="2"/>
      <c r="R270" s="2"/>
      <c r="S270" s="1" t="str">
        <f t="shared" si="34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35"/>
        <v>0</v>
      </c>
      <c r="W270" s="1" t="str">
        <f t="shared" si="36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customHeight="1" x14ac:dyDescent="0.3">
      <c r="A271" s="2"/>
      <c r="B271" s="65" t="str">
        <f t="shared" si="37"/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 t="shared" si="38"/>
        <v/>
      </c>
      <c r="N271" s="74" t="str">
        <f t="shared" si="39"/>
        <v/>
      </c>
      <c r="O271" s="73" t="str">
        <f t="shared" si="40"/>
        <v/>
      </c>
      <c r="P271" s="65" t="str">
        <f t="shared" ca="1" si="41"/>
        <v/>
      </c>
      <c r="Q271" s="2"/>
      <c r="R271" s="2"/>
      <c r="S271" s="1" t="str">
        <f t="shared" si="34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35"/>
        <v>0</v>
      </c>
      <c r="W271" s="1" t="str">
        <f t="shared" si="36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customHeight="1" x14ac:dyDescent="0.3">
      <c r="A272" s="2"/>
      <c r="B272" s="65" t="str">
        <f t="shared" si="37"/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 t="shared" si="38"/>
        <v/>
      </c>
      <c r="N272" s="74" t="str">
        <f t="shared" si="39"/>
        <v/>
      </c>
      <c r="O272" s="73" t="str">
        <f t="shared" si="40"/>
        <v/>
      </c>
      <c r="P272" s="65" t="str">
        <f t="shared" ca="1" si="41"/>
        <v/>
      </c>
      <c r="Q272" s="2"/>
      <c r="R272" s="2"/>
      <c r="S272" s="1" t="str">
        <f t="shared" si="34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35"/>
        <v>0</v>
      </c>
      <c r="W272" s="1" t="str">
        <f t="shared" si="36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customHeight="1" x14ac:dyDescent="0.3">
      <c r="A273" s="2"/>
      <c r="B273" s="65" t="str">
        <f t="shared" si="37"/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 t="shared" si="38"/>
        <v/>
      </c>
      <c r="N273" s="74" t="str">
        <f t="shared" si="39"/>
        <v/>
      </c>
      <c r="O273" s="73" t="str">
        <f t="shared" si="40"/>
        <v/>
      </c>
      <c r="P273" s="65" t="str">
        <f t="shared" ca="1" si="41"/>
        <v/>
      </c>
      <c r="Q273" s="2"/>
      <c r="R273" s="2"/>
      <c r="S273" s="1" t="str">
        <f t="shared" si="34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35"/>
        <v>0</v>
      </c>
      <c r="W273" s="1" t="str">
        <f t="shared" si="36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customHeight="1" x14ac:dyDescent="0.3">
      <c r="A274" s="2"/>
      <c r="B274" s="65" t="str">
        <f t="shared" si="37"/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 t="shared" si="38"/>
        <v/>
      </c>
      <c r="N274" s="74" t="str">
        <f t="shared" si="39"/>
        <v/>
      </c>
      <c r="O274" s="73" t="str">
        <f t="shared" si="40"/>
        <v/>
      </c>
      <c r="P274" s="65" t="str">
        <f t="shared" ca="1" si="41"/>
        <v/>
      </c>
      <c r="Q274" s="2"/>
      <c r="R274" s="2"/>
      <c r="S274" s="1" t="str">
        <f t="shared" si="34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35"/>
        <v>0</v>
      </c>
      <c r="W274" s="1" t="str">
        <f t="shared" si="36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customHeight="1" x14ac:dyDescent="0.3">
      <c r="A275" s="2"/>
      <c r="B275" s="65" t="str">
        <f t="shared" si="37"/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 t="shared" si="38"/>
        <v/>
      </c>
      <c r="N275" s="74" t="str">
        <f t="shared" si="39"/>
        <v/>
      </c>
      <c r="O275" s="73" t="str">
        <f t="shared" si="40"/>
        <v/>
      </c>
      <c r="P275" s="65" t="str">
        <f t="shared" ca="1" si="41"/>
        <v/>
      </c>
      <c r="Q275" s="2"/>
      <c r="R275" s="2"/>
      <c r="S275" s="1" t="str">
        <f t="shared" si="34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35"/>
        <v>0</v>
      </c>
      <c r="W275" s="1" t="str">
        <f t="shared" si="36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customHeight="1" x14ac:dyDescent="0.3">
      <c r="A276" s="2"/>
      <c r="B276" s="65" t="str">
        <f t="shared" si="37"/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 t="shared" si="38"/>
        <v/>
      </c>
      <c r="N276" s="74" t="str">
        <f t="shared" si="39"/>
        <v/>
      </c>
      <c r="O276" s="73" t="str">
        <f t="shared" si="40"/>
        <v/>
      </c>
      <c r="P276" s="65" t="str">
        <f t="shared" ca="1" si="41"/>
        <v/>
      </c>
      <c r="Q276" s="2"/>
      <c r="R276" s="2"/>
      <c r="S276" s="1" t="str">
        <f t="shared" si="34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35"/>
        <v>0</v>
      </c>
      <c r="W276" s="1" t="str">
        <f t="shared" si="36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customHeight="1" x14ac:dyDescent="0.3">
      <c r="A277" s="2"/>
      <c r="B277" s="65" t="str">
        <f t="shared" si="37"/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 t="shared" si="38"/>
        <v/>
      </c>
      <c r="N277" s="74" t="str">
        <f t="shared" si="39"/>
        <v/>
      </c>
      <c r="O277" s="73" t="str">
        <f t="shared" si="40"/>
        <v/>
      </c>
      <c r="P277" s="65" t="str">
        <f t="shared" ca="1" si="41"/>
        <v/>
      </c>
      <c r="Q277" s="2"/>
      <c r="R277" s="2"/>
      <c r="S277" s="1" t="str">
        <f t="shared" si="34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35"/>
        <v>0</v>
      </c>
      <c r="W277" s="1" t="str">
        <f t="shared" si="36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customHeight="1" x14ac:dyDescent="0.3">
      <c r="A278" s="2"/>
      <c r="B278" s="65" t="str">
        <f t="shared" si="37"/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 t="shared" si="38"/>
        <v/>
      </c>
      <c r="N278" s="74" t="str">
        <f t="shared" si="39"/>
        <v/>
      </c>
      <c r="O278" s="73" t="str">
        <f t="shared" si="40"/>
        <v/>
      </c>
      <c r="P278" s="65" t="str">
        <f t="shared" ca="1" si="41"/>
        <v/>
      </c>
      <c r="Q278" s="2"/>
      <c r="R278" s="2"/>
      <c r="S278" s="1" t="str">
        <f t="shared" si="34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35"/>
        <v>0</v>
      </c>
      <c r="W278" s="1" t="str">
        <f t="shared" si="36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customHeight="1" x14ac:dyDescent="0.3">
      <c r="A279" s="2"/>
      <c r="B279" s="65" t="str">
        <f t="shared" si="37"/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 t="shared" si="38"/>
        <v/>
      </c>
      <c r="N279" s="74" t="str">
        <f t="shared" si="39"/>
        <v/>
      </c>
      <c r="O279" s="73" t="str">
        <f t="shared" si="40"/>
        <v/>
      </c>
      <c r="P279" s="65" t="str">
        <f t="shared" ca="1" si="41"/>
        <v/>
      </c>
      <c r="Q279" s="2"/>
      <c r="R279" s="2"/>
      <c r="S279" s="1" t="str">
        <f t="shared" si="34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35"/>
        <v>0</v>
      </c>
      <c r="W279" s="1" t="str">
        <f t="shared" si="36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customHeight="1" x14ac:dyDescent="0.3">
      <c r="A280" s="2"/>
      <c r="B280" s="65" t="str">
        <f t="shared" si="37"/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 t="shared" si="38"/>
        <v/>
      </c>
      <c r="N280" s="74" t="str">
        <f t="shared" si="39"/>
        <v/>
      </c>
      <c r="O280" s="73" t="str">
        <f t="shared" si="40"/>
        <v/>
      </c>
      <c r="P280" s="65" t="str">
        <f t="shared" ca="1" si="41"/>
        <v/>
      </c>
      <c r="Q280" s="2"/>
      <c r="R280" s="2"/>
      <c r="S280" s="1" t="str">
        <f t="shared" si="34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35"/>
        <v>0</v>
      </c>
      <c r="W280" s="1" t="str">
        <f t="shared" si="36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customHeight="1" x14ac:dyDescent="0.3">
      <c r="A281" s="2"/>
      <c r="B281" s="65" t="str">
        <f t="shared" si="37"/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 t="shared" si="38"/>
        <v/>
      </c>
      <c r="N281" s="74" t="str">
        <f t="shared" si="39"/>
        <v/>
      </c>
      <c r="O281" s="73" t="str">
        <f t="shared" si="40"/>
        <v/>
      </c>
      <c r="P281" s="65" t="str">
        <f t="shared" ca="1" si="41"/>
        <v/>
      </c>
      <c r="Q281" s="2"/>
      <c r="R281" s="2"/>
      <c r="S281" s="1" t="str">
        <f t="shared" si="34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35"/>
        <v>0</v>
      </c>
      <c r="W281" s="1" t="str">
        <f t="shared" si="36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customHeight="1" x14ac:dyDescent="0.3">
      <c r="A282" s="2"/>
      <c r="B282" s="65" t="str">
        <f t="shared" si="37"/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 t="shared" si="38"/>
        <v/>
      </c>
      <c r="N282" s="74" t="str">
        <f t="shared" si="39"/>
        <v/>
      </c>
      <c r="O282" s="73" t="str">
        <f t="shared" si="40"/>
        <v/>
      </c>
      <c r="P282" s="65" t="str">
        <f t="shared" ca="1" si="41"/>
        <v/>
      </c>
      <c r="Q282" s="2"/>
      <c r="R282" s="2"/>
      <c r="S282" s="1" t="str">
        <f t="shared" si="34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35"/>
        <v>0</v>
      </c>
      <c r="W282" s="1" t="str">
        <f t="shared" si="36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customHeight="1" x14ac:dyDescent="0.3">
      <c r="A283" s="2"/>
      <c r="B283" s="65" t="str">
        <f t="shared" si="37"/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 t="shared" si="38"/>
        <v/>
      </c>
      <c r="N283" s="74" t="str">
        <f t="shared" si="39"/>
        <v/>
      </c>
      <c r="O283" s="73" t="str">
        <f t="shared" si="40"/>
        <v/>
      </c>
      <c r="P283" s="65" t="str">
        <f t="shared" ca="1" si="41"/>
        <v/>
      </c>
      <c r="Q283" s="2"/>
      <c r="R283" s="2"/>
      <c r="S283" s="1" t="str">
        <f t="shared" si="34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35"/>
        <v>0</v>
      </c>
      <c r="W283" s="1" t="str">
        <f t="shared" si="36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customHeight="1" x14ac:dyDescent="0.3">
      <c r="A284" s="2"/>
      <c r="B284" s="65" t="str">
        <f t="shared" si="37"/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 t="shared" si="38"/>
        <v/>
      </c>
      <c r="N284" s="74" t="str">
        <f t="shared" si="39"/>
        <v/>
      </c>
      <c r="O284" s="73" t="str">
        <f t="shared" si="40"/>
        <v/>
      </c>
      <c r="P284" s="65" t="str">
        <f t="shared" ca="1" si="41"/>
        <v/>
      </c>
      <c r="Q284" s="2"/>
      <c r="R284" s="2"/>
      <c r="S284" s="1" t="str">
        <f t="shared" si="34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35"/>
        <v>0</v>
      </c>
      <c r="W284" s="1" t="str">
        <f t="shared" si="36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customHeight="1" x14ac:dyDescent="0.3">
      <c r="A285" s="2"/>
      <c r="B285" s="65" t="str">
        <f t="shared" si="37"/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 t="shared" si="38"/>
        <v/>
      </c>
      <c r="N285" s="74" t="str">
        <f t="shared" si="39"/>
        <v/>
      </c>
      <c r="O285" s="73" t="str">
        <f t="shared" si="40"/>
        <v/>
      </c>
      <c r="P285" s="65" t="str">
        <f t="shared" ca="1" si="41"/>
        <v/>
      </c>
      <c r="Q285" s="2"/>
      <c r="R285" s="2"/>
      <c r="S285" s="1" t="str">
        <f t="shared" si="34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35"/>
        <v>0</v>
      </c>
      <c r="W285" s="1" t="str">
        <f t="shared" si="36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customHeight="1" x14ac:dyDescent="0.3">
      <c r="A286" s="2"/>
      <c r="B286" s="65" t="str">
        <f t="shared" si="37"/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 t="shared" si="38"/>
        <v/>
      </c>
      <c r="N286" s="74" t="str">
        <f t="shared" si="39"/>
        <v/>
      </c>
      <c r="O286" s="73" t="str">
        <f t="shared" si="40"/>
        <v/>
      </c>
      <c r="P286" s="65" t="str">
        <f t="shared" ca="1" si="41"/>
        <v/>
      </c>
      <c r="Q286" s="2"/>
      <c r="R286" s="2"/>
      <c r="S286" s="1" t="str">
        <f t="shared" si="34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35"/>
        <v>0</v>
      </c>
      <c r="W286" s="1" t="str">
        <f t="shared" si="36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customHeight="1" x14ac:dyDescent="0.3">
      <c r="A287" s="2"/>
      <c r="B287" s="65" t="str">
        <f t="shared" si="37"/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 t="shared" si="38"/>
        <v/>
      </c>
      <c r="N287" s="74" t="str">
        <f t="shared" si="39"/>
        <v/>
      </c>
      <c r="O287" s="73" t="str">
        <f t="shared" si="40"/>
        <v/>
      </c>
      <c r="P287" s="65" t="str">
        <f t="shared" ca="1" si="41"/>
        <v/>
      </c>
      <c r="Q287" s="2"/>
      <c r="R287" s="2"/>
      <c r="S287" s="1" t="str">
        <f t="shared" si="34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35"/>
        <v>0</v>
      </c>
      <c r="W287" s="1" t="str">
        <f t="shared" si="36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customHeight="1" x14ac:dyDescent="0.3">
      <c r="A288" s="2"/>
      <c r="B288" s="65" t="str">
        <f t="shared" si="37"/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 t="shared" si="38"/>
        <v/>
      </c>
      <c r="N288" s="74" t="str">
        <f t="shared" si="39"/>
        <v/>
      </c>
      <c r="O288" s="73" t="str">
        <f t="shared" si="40"/>
        <v/>
      </c>
      <c r="P288" s="65" t="str">
        <f t="shared" ca="1" si="41"/>
        <v/>
      </c>
      <c r="Q288" s="2"/>
      <c r="R288" s="2"/>
      <c r="S288" s="1" t="str">
        <f t="shared" si="34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35"/>
        <v>0</v>
      </c>
      <c r="W288" s="1" t="str">
        <f t="shared" si="36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customHeight="1" x14ac:dyDescent="0.3">
      <c r="A289" s="2"/>
      <c r="B289" s="65" t="str">
        <f t="shared" si="37"/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 t="shared" si="38"/>
        <v/>
      </c>
      <c r="N289" s="74" t="str">
        <f t="shared" si="39"/>
        <v/>
      </c>
      <c r="O289" s="73" t="str">
        <f t="shared" si="40"/>
        <v/>
      </c>
      <c r="P289" s="65" t="str">
        <f t="shared" ca="1" si="41"/>
        <v/>
      </c>
      <c r="Q289" s="2"/>
      <c r="R289" s="2"/>
      <c r="S289" s="1" t="str">
        <f t="shared" si="34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35"/>
        <v>0</v>
      </c>
      <c r="W289" s="1" t="str">
        <f t="shared" si="36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customHeight="1" x14ac:dyDescent="0.3">
      <c r="A290" s="2"/>
      <c r="B290" s="65" t="str">
        <f t="shared" si="37"/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 t="shared" si="38"/>
        <v/>
      </c>
      <c r="N290" s="74" t="str">
        <f t="shared" si="39"/>
        <v/>
      </c>
      <c r="O290" s="73" t="str">
        <f t="shared" si="40"/>
        <v/>
      </c>
      <c r="P290" s="65" t="str">
        <f t="shared" ca="1" si="41"/>
        <v/>
      </c>
      <c r="Q290" s="2"/>
      <c r="R290" s="2"/>
      <c r="S290" s="1" t="str">
        <f t="shared" si="34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35"/>
        <v>0</v>
      </c>
      <c r="W290" s="1" t="str">
        <f t="shared" si="36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customHeight="1" x14ac:dyDescent="0.3">
      <c r="A291" s="2"/>
      <c r="B291" s="65" t="str">
        <f t="shared" si="37"/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 t="shared" si="38"/>
        <v/>
      </c>
      <c r="N291" s="74" t="str">
        <f t="shared" si="39"/>
        <v/>
      </c>
      <c r="O291" s="73" t="str">
        <f t="shared" si="40"/>
        <v/>
      </c>
      <c r="P291" s="65" t="str">
        <f t="shared" ca="1" si="41"/>
        <v/>
      </c>
      <c r="Q291" s="2"/>
      <c r="R291" s="2"/>
      <c r="S291" s="1" t="str">
        <f t="shared" si="34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35"/>
        <v>0</v>
      </c>
      <c r="W291" s="1" t="str">
        <f t="shared" si="36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customHeight="1" x14ac:dyDescent="0.3">
      <c r="A292" s="2"/>
      <c r="B292" s="65" t="str">
        <f t="shared" si="37"/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 t="shared" si="38"/>
        <v/>
      </c>
      <c r="N292" s="74" t="str">
        <f t="shared" si="39"/>
        <v/>
      </c>
      <c r="O292" s="73" t="str">
        <f t="shared" si="40"/>
        <v/>
      </c>
      <c r="P292" s="65" t="str">
        <f t="shared" ca="1" si="41"/>
        <v/>
      </c>
      <c r="Q292" s="2"/>
      <c r="R292" s="2"/>
      <c r="S292" s="1" t="str">
        <f t="shared" si="34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35"/>
        <v>0</v>
      </c>
      <c r="W292" s="1" t="str">
        <f t="shared" si="36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customHeight="1" x14ac:dyDescent="0.3">
      <c r="A293" s="2"/>
      <c r="B293" s="65" t="str">
        <f t="shared" si="37"/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 t="shared" si="38"/>
        <v/>
      </c>
      <c r="N293" s="74" t="str">
        <f t="shared" si="39"/>
        <v/>
      </c>
      <c r="O293" s="73" t="str">
        <f t="shared" si="40"/>
        <v/>
      </c>
      <c r="P293" s="65" t="str">
        <f t="shared" ca="1" si="41"/>
        <v/>
      </c>
      <c r="Q293" s="2"/>
      <c r="R293" s="2"/>
      <c r="S293" s="1" t="str">
        <f t="shared" si="34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35"/>
        <v>0</v>
      </c>
      <c r="W293" s="1" t="str">
        <f t="shared" si="36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customHeight="1" x14ac:dyDescent="0.3">
      <c r="A294" s="2"/>
      <c r="B294" s="65" t="str">
        <f t="shared" si="37"/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 t="shared" si="38"/>
        <v/>
      </c>
      <c r="N294" s="74" t="str">
        <f t="shared" si="39"/>
        <v/>
      </c>
      <c r="O294" s="73" t="str">
        <f t="shared" si="40"/>
        <v/>
      </c>
      <c r="P294" s="65" t="str">
        <f t="shared" ca="1" si="41"/>
        <v/>
      </c>
      <c r="Q294" s="2"/>
      <c r="R294" s="2"/>
      <c r="S294" s="1" t="str">
        <f t="shared" si="34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35"/>
        <v>0</v>
      </c>
      <c r="W294" s="1" t="str">
        <f t="shared" si="36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customHeight="1" x14ac:dyDescent="0.3">
      <c r="A295" s="2"/>
      <c r="B295" s="65" t="str">
        <f t="shared" si="37"/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 t="shared" si="38"/>
        <v/>
      </c>
      <c r="N295" s="74" t="str">
        <f t="shared" si="39"/>
        <v/>
      </c>
      <c r="O295" s="73" t="str">
        <f t="shared" si="40"/>
        <v/>
      </c>
      <c r="P295" s="65" t="str">
        <f t="shared" ca="1" si="41"/>
        <v/>
      </c>
      <c r="Q295" s="2"/>
      <c r="R295" s="2"/>
      <c r="S295" s="1" t="str">
        <f t="shared" si="34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35"/>
        <v>0</v>
      </c>
      <c r="W295" s="1" t="str">
        <f t="shared" si="36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customHeight="1" x14ac:dyDescent="0.3">
      <c r="A296" s="2"/>
      <c r="B296" s="65" t="str">
        <f t="shared" si="37"/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 t="shared" si="38"/>
        <v/>
      </c>
      <c r="N296" s="74" t="str">
        <f t="shared" si="39"/>
        <v/>
      </c>
      <c r="O296" s="73" t="str">
        <f t="shared" si="40"/>
        <v/>
      </c>
      <c r="P296" s="65" t="str">
        <f t="shared" ca="1" si="41"/>
        <v/>
      </c>
      <c r="Q296" s="2"/>
      <c r="R296" s="2"/>
      <c r="S296" s="1" t="str">
        <f t="shared" si="34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35"/>
        <v>0</v>
      </c>
      <c r="W296" s="1" t="str">
        <f t="shared" si="36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customHeight="1" x14ac:dyDescent="0.3">
      <c r="A297" s="2"/>
      <c r="B297" s="65" t="str">
        <f t="shared" si="37"/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 t="shared" si="38"/>
        <v/>
      </c>
      <c r="N297" s="74" t="str">
        <f t="shared" si="39"/>
        <v/>
      </c>
      <c r="O297" s="73" t="str">
        <f t="shared" si="40"/>
        <v/>
      </c>
      <c r="P297" s="65" t="str">
        <f t="shared" ca="1" si="41"/>
        <v/>
      </c>
      <c r="Q297" s="2"/>
      <c r="R297" s="2"/>
      <c r="S297" s="1" t="str">
        <f t="shared" si="34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35"/>
        <v>0</v>
      </c>
      <c r="W297" s="1" t="str">
        <f t="shared" si="36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customHeight="1" x14ac:dyDescent="0.3">
      <c r="A298" s="2"/>
      <c r="B298" s="65" t="str">
        <f t="shared" si="37"/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 t="shared" si="38"/>
        <v/>
      </c>
      <c r="N298" s="74" t="str">
        <f t="shared" si="39"/>
        <v/>
      </c>
      <c r="O298" s="73" t="str">
        <f t="shared" si="40"/>
        <v/>
      </c>
      <c r="P298" s="65" t="str">
        <f t="shared" ca="1" si="41"/>
        <v/>
      </c>
      <c r="Q298" s="2"/>
      <c r="R298" s="2"/>
      <c r="S298" s="1" t="str">
        <f t="shared" si="34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35"/>
        <v>0</v>
      </c>
      <c r="W298" s="1" t="str">
        <f t="shared" si="36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customHeight="1" x14ac:dyDescent="0.3">
      <c r="A299" s="2"/>
      <c r="B299" s="65" t="str">
        <f t="shared" si="37"/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 t="shared" si="38"/>
        <v/>
      </c>
      <c r="N299" s="74" t="str">
        <f t="shared" si="39"/>
        <v/>
      </c>
      <c r="O299" s="73" t="str">
        <f t="shared" si="40"/>
        <v/>
      </c>
      <c r="P299" s="65" t="str">
        <f t="shared" ca="1" si="41"/>
        <v/>
      </c>
      <c r="Q299" s="2"/>
      <c r="R299" s="2"/>
      <c r="S299" s="1" t="str">
        <f t="shared" si="34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35"/>
        <v>0</v>
      </c>
      <c r="W299" s="1" t="str">
        <f t="shared" si="36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customHeight="1" x14ac:dyDescent="0.3">
      <c r="A300" s="2"/>
      <c r="B300" s="65" t="str">
        <f t="shared" si="37"/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 t="shared" si="38"/>
        <v/>
      </c>
      <c r="N300" s="74" t="str">
        <f t="shared" si="39"/>
        <v/>
      </c>
      <c r="O300" s="73" t="str">
        <f t="shared" si="40"/>
        <v/>
      </c>
      <c r="P300" s="65" t="str">
        <f t="shared" ca="1" si="41"/>
        <v/>
      </c>
      <c r="Q300" s="2"/>
      <c r="R300" s="2"/>
      <c r="S300" s="1" t="str">
        <f t="shared" si="34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35"/>
        <v>0</v>
      </c>
      <c r="W300" s="1" t="str">
        <f t="shared" si="36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customHeight="1" x14ac:dyDescent="0.3">
      <c r="A301" s="2"/>
      <c r="B301" s="65" t="str">
        <f t="shared" si="37"/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 t="shared" si="38"/>
        <v/>
      </c>
      <c r="N301" s="74" t="str">
        <f t="shared" si="39"/>
        <v/>
      </c>
      <c r="O301" s="73" t="str">
        <f t="shared" si="40"/>
        <v/>
      </c>
      <c r="P301" s="65" t="str">
        <f t="shared" ca="1" si="41"/>
        <v/>
      </c>
      <c r="Q301" s="2"/>
      <c r="R301" s="2"/>
      <c r="S301" s="1" t="str">
        <f t="shared" si="34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35"/>
        <v>0</v>
      </c>
      <c r="W301" s="1" t="str">
        <f t="shared" si="36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customHeight="1" x14ac:dyDescent="0.3">
      <c r="A302" s="2"/>
      <c r="B302" s="65" t="str">
        <f t="shared" si="37"/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 t="shared" si="38"/>
        <v/>
      </c>
      <c r="N302" s="74" t="str">
        <f t="shared" si="39"/>
        <v/>
      </c>
      <c r="O302" s="73" t="str">
        <f t="shared" si="40"/>
        <v/>
      </c>
      <c r="P302" s="65" t="str">
        <f t="shared" ca="1" si="41"/>
        <v/>
      </c>
      <c r="Q302" s="2"/>
      <c r="R302" s="2"/>
      <c r="S302" s="1" t="str">
        <f t="shared" si="34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35"/>
        <v>0</v>
      </c>
      <c r="W302" s="1" t="str">
        <f t="shared" si="36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customHeight="1" x14ac:dyDescent="0.3">
      <c r="A303" s="2"/>
      <c r="B303" s="65" t="str">
        <f t="shared" si="37"/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 t="shared" si="38"/>
        <v/>
      </c>
      <c r="N303" s="74" t="str">
        <f t="shared" si="39"/>
        <v/>
      </c>
      <c r="O303" s="73" t="str">
        <f t="shared" si="40"/>
        <v/>
      </c>
      <c r="P303" s="65" t="str">
        <f t="shared" ca="1" si="41"/>
        <v/>
      </c>
      <c r="Q303" s="2"/>
      <c r="R303" s="2"/>
      <c r="S303" s="1" t="str">
        <f t="shared" si="34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35"/>
        <v>0</v>
      </c>
      <c r="W303" s="1" t="str">
        <f t="shared" si="36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customHeight="1" x14ac:dyDescent="0.3">
      <c r="A304" s="2"/>
      <c r="B304" s="65" t="str">
        <f t="shared" si="37"/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 t="shared" si="38"/>
        <v/>
      </c>
      <c r="N304" s="74" t="str">
        <f t="shared" si="39"/>
        <v/>
      </c>
      <c r="O304" s="73" t="str">
        <f t="shared" si="40"/>
        <v/>
      </c>
      <c r="P304" s="65" t="str">
        <f t="shared" ca="1" si="41"/>
        <v/>
      </c>
      <c r="Q304" s="2"/>
      <c r="R304" s="2"/>
      <c r="S304" s="1" t="str">
        <f t="shared" si="34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35"/>
        <v>0</v>
      </c>
      <c r="W304" s="1" t="str">
        <f t="shared" si="36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customHeight="1" x14ac:dyDescent="0.3">
      <c r="A305" s="2"/>
      <c r="B305" s="65" t="str">
        <f t="shared" si="37"/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 t="shared" si="38"/>
        <v/>
      </c>
      <c r="N305" s="74" t="str">
        <f t="shared" si="39"/>
        <v/>
      </c>
      <c r="O305" s="73" t="str">
        <f t="shared" si="40"/>
        <v/>
      </c>
      <c r="P305" s="65" t="str">
        <f t="shared" ca="1" si="41"/>
        <v/>
      </c>
      <c r="Q305" s="2"/>
      <c r="R305" s="2"/>
      <c r="S305" s="1" t="str">
        <f t="shared" si="34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35"/>
        <v>0</v>
      </c>
      <c r="W305" s="1" t="str">
        <f t="shared" si="36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customHeight="1" x14ac:dyDescent="0.3">
      <c r="A306" s="2"/>
      <c r="B306" s="65" t="str">
        <f t="shared" si="37"/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 t="shared" si="38"/>
        <v/>
      </c>
      <c r="N306" s="74" t="str">
        <f t="shared" si="39"/>
        <v/>
      </c>
      <c r="O306" s="73" t="str">
        <f t="shared" si="40"/>
        <v/>
      </c>
      <c r="P306" s="65" t="str">
        <f t="shared" ca="1" si="41"/>
        <v/>
      </c>
      <c r="Q306" s="2"/>
      <c r="R306" s="2"/>
      <c r="S306" s="1" t="str">
        <f t="shared" si="34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35"/>
        <v>0</v>
      </c>
      <c r="W306" s="1" t="str">
        <f t="shared" si="36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customHeight="1" x14ac:dyDescent="0.3">
      <c r="A307" s="2"/>
      <c r="B307" s="65" t="str">
        <f t="shared" si="37"/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 t="shared" si="38"/>
        <v/>
      </c>
      <c r="N307" s="74" t="str">
        <f t="shared" si="39"/>
        <v/>
      </c>
      <c r="O307" s="73" t="str">
        <f t="shared" si="40"/>
        <v/>
      </c>
      <c r="P307" s="65" t="str">
        <f t="shared" ca="1" si="41"/>
        <v/>
      </c>
      <c r="Q307" s="2"/>
      <c r="R307" s="2"/>
      <c r="S307" s="1" t="str">
        <f t="shared" si="34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35"/>
        <v>0</v>
      </c>
      <c r="W307" s="1" t="str">
        <f t="shared" si="36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customHeight="1" x14ac:dyDescent="0.3">
      <c r="A308" s="2"/>
      <c r="B308" s="65" t="str">
        <f t="shared" si="37"/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 t="shared" si="38"/>
        <v/>
      </c>
      <c r="N308" s="74" t="str">
        <f t="shared" si="39"/>
        <v/>
      </c>
      <c r="O308" s="73" t="str">
        <f t="shared" si="40"/>
        <v/>
      </c>
      <c r="P308" s="65" t="str">
        <f t="shared" ca="1" si="41"/>
        <v/>
      </c>
      <c r="Q308" s="2"/>
      <c r="R308" s="2"/>
      <c r="S308" s="1" t="str">
        <f t="shared" si="34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35"/>
        <v>0</v>
      </c>
      <c r="W308" s="1" t="str">
        <f t="shared" si="36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customHeight="1" x14ac:dyDescent="0.3">
      <c r="A309" s="2"/>
      <c r="B309" s="65" t="str">
        <f t="shared" si="37"/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 t="shared" si="38"/>
        <v/>
      </c>
      <c r="N309" s="74" t="str">
        <f t="shared" si="39"/>
        <v/>
      </c>
      <c r="O309" s="73" t="str">
        <f t="shared" si="40"/>
        <v/>
      </c>
      <c r="P309" s="65" t="str">
        <f t="shared" ca="1" si="41"/>
        <v/>
      </c>
      <c r="Q309" s="2"/>
      <c r="R309" s="2"/>
      <c r="S309" s="1" t="str">
        <f t="shared" si="34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35"/>
        <v>0</v>
      </c>
      <c r="W309" s="1" t="str">
        <f t="shared" si="36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customHeight="1" x14ac:dyDescent="0.3">
      <c r="A310" s="2"/>
      <c r="B310" s="65" t="str">
        <f t="shared" si="37"/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 t="shared" si="38"/>
        <v/>
      </c>
      <c r="N310" s="74" t="str">
        <f t="shared" si="39"/>
        <v/>
      </c>
      <c r="O310" s="73" t="str">
        <f t="shared" si="40"/>
        <v/>
      </c>
      <c r="P310" s="65" t="str">
        <f t="shared" ca="1" si="41"/>
        <v/>
      </c>
      <c r="Q310" s="2"/>
      <c r="R310" s="2"/>
      <c r="S310" s="1" t="str">
        <f t="shared" si="34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35"/>
        <v>0</v>
      </c>
      <c r="W310" s="1" t="str">
        <f t="shared" si="36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customHeight="1" x14ac:dyDescent="0.3">
      <c r="A311" s="2"/>
      <c r="B311" s="65" t="str">
        <f t="shared" si="37"/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 t="shared" si="38"/>
        <v/>
      </c>
      <c r="N311" s="74" t="str">
        <f t="shared" si="39"/>
        <v/>
      </c>
      <c r="O311" s="73" t="str">
        <f t="shared" si="40"/>
        <v/>
      </c>
      <c r="P311" s="65" t="str">
        <f t="shared" ca="1" si="41"/>
        <v/>
      </c>
      <c r="Q311" s="2"/>
      <c r="R311" s="2"/>
      <c r="S311" s="1" t="str">
        <f t="shared" si="34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35"/>
        <v>0</v>
      </c>
      <c r="W311" s="1" t="str">
        <f t="shared" si="36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customHeight="1" x14ac:dyDescent="0.3">
      <c r="A312" s="2"/>
      <c r="B312" s="65" t="str">
        <f t="shared" si="37"/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 t="shared" si="38"/>
        <v/>
      </c>
      <c r="N312" s="74" t="str">
        <f t="shared" si="39"/>
        <v/>
      </c>
      <c r="O312" s="73" t="str">
        <f t="shared" si="40"/>
        <v/>
      </c>
      <c r="P312" s="65" t="str">
        <f t="shared" ca="1" si="41"/>
        <v/>
      </c>
      <c r="Q312" s="2"/>
      <c r="R312" s="2"/>
      <c r="S312" s="1" t="str">
        <f t="shared" si="34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35"/>
        <v>0</v>
      </c>
      <c r="W312" s="1" t="str">
        <f t="shared" si="36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customHeight="1" x14ac:dyDescent="0.3">
      <c r="A313" s="2"/>
      <c r="B313" s="65" t="str">
        <f t="shared" si="37"/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 t="shared" si="38"/>
        <v/>
      </c>
      <c r="N313" s="74" t="str">
        <f t="shared" si="39"/>
        <v/>
      </c>
      <c r="O313" s="73" t="str">
        <f t="shared" si="40"/>
        <v/>
      </c>
      <c r="P313" s="65" t="str">
        <f t="shared" ca="1" si="41"/>
        <v/>
      </c>
      <c r="Q313" s="2"/>
      <c r="R313" s="2"/>
      <c r="S313" s="1" t="str">
        <f t="shared" si="34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35"/>
        <v>0</v>
      </c>
      <c r="W313" s="1" t="str">
        <f t="shared" si="36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customHeight="1" x14ac:dyDescent="0.3">
      <c r="A314" s="2"/>
      <c r="B314" s="65" t="str">
        <f t="shared" si="37"/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 t="shared" si="38"/>
        <v/>
      </c>
      <c r="N314" s="74" t="str">
        <f t="shared" si="39"/>
        <v/>
      </c>
      <c r="O314" s="73" t="str">
        <f t="shared" si="40"/>
        <v/>
      </c>
      <c r="P314" s="65" t="str">
        <f t="shared" ca="1" si="41"/>
        <v/>
      </c>
      <c r="Q314" s="2"/>
      <c r="R314" s="2"/>
      <c r="S314" s="1" t="str">
        <f t="shared" si="34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35"/>
        <v>0</v>
      </c>
      <c r="W314" s="1" t="str">
        <f t="shared" si="36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customHeight="1" x14ac:dyDescent="0.3">
      <c r="A315" s="2"/>
      <c r="B315" s="65" t="str">
        <f t="shared" si="37"/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 t="shared" si="38"/>
        <v/>
      </c>
      <c r="N315" s="74" t="str">
        <f t="shared" si="39"/>
        <v/>
      </c>
      <c r="O315" s="73" t="str">
        <f t="shared" si="40"/>
        <v/>
      </c>
      <c r="P315" s="65" t="str">
        <f t="shared" ca="1" si="41"/>
        <v/>
      </c>
      <c r="Q315" s="2"/>
      <c r="R315" s="2"/>
      <c r="S315" s="1" t="str">
        <f t="shared" si="34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35"/>
        <v>0</v>
      </c>
      <c r="W315" s="1" t="str">
        <f t="shared" si="36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customHeight="1" x14ac:dyDescent="0.3">
      <c r="A316" s="2"/>
      <c r="B316" s="65" t="str">
        <f t="shared" si="37"/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 t="shared" si="38"/>
        <v/>
      </c>
      <c r="N316" s="74" t="str">
        <f t="shared" si="39"/>
        <v/>
      </c>
      <c r="O316" s="73" t="str">
        <f t="shared" si="40"/>
        <v/>
      </c>
      <c r="P316" s="65" t="str">
        <f t="shared" ca="1" si="41"/>
        <v/>
      </c>
      <c r="Q316" s="2"/>
      <c r="R316" s="2"/>
      <c r="S316" s="1" t="str">
        <f t="shared" si="34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35"/>
        <v>0</v>
      </c>
      <c r="W316" s="1" t="str">
        <f t="shared" si="36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customHeight="1" x14ac:dyDescent="0.3">
      <c r="A317" s="2"/>
      <c r="B317" s="65" t="str">
        <f t="shared" si="37"/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 t="shared" si="38"/>
        <v/>
      </c>
      <c r="N317" s="74" t="str">
        <f t="shared" si="39"/>
        <v/>
      </c>
      <c r="O317" s="73" t="str">
        <f t="shared" si="40"/>
        <v/>
      </c>
      <c r="P317" s="65" t="str">
        <f t="shared" ca="1" si="41"/>
        <v/>
      </c>
      <c r="Q317" s="2"/>
      <c r="R317" s="2"/>
      <c r="S317" s="1" t="str">
        <f t="shared" si="34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35"/>
        <v>0</v>
      </c>
      <c r="W317" s="1" t="str">
        <f t="shared" si="36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customHeight="1" x14ac:dyDescent="0.3">
      <c r="A318" s="2"/>
      <c r="B318" s="65" t="str">
        <f t="shared" si="37"/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 t="shared" si="38"/>
        <v/>
      </c>
      <c r="N318" s="74" t="str">
        <f t="shared" si="39"/>
        <v/>
      </c>
      <c r="O318" s="73" t="str">
        <f t="shared" si="40"/>
        <v/>
      </c>
      <c r="P318" s="65" t="str">
        <f t="shared" ca="1" si="41"/>
        <v/>
      </c>
      <c r="Q318" s="2"/>
      <c r="R318" s="2"/>
      <c r="S318" s="1" t="str">
        <f t="shared" si="34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35"/>
        <v>0</v>
      </c>
      <c r="W318" s="1" t="str">
        <f t="shared" si="36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customHeight="1" x14ac:dyDescent="0.3">
      <c r="A319" s="2"/>
      <c r="B319" s="65" t="str">
        <f t="shared" si="37"/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 t="shared" si="38"/>
        <v/>
      </c>
      <c r="N319" s="74" t="str">
        <f t="shared" si="39"/>
        <v/>
      </c>
      <c r="O319" s="73" t="str">
        <f t="shared" si="40"/>
        <v/>
      </c>
      <c r="P319" s="65" t="str">
        <f t="shared" ca="1" si="41"/>
        <v/>
      </c>
      <c r="Q319" s="2"/>
      <c r="R319" s="2"/>
      <c r="S319" s="1" t="str">
        <f t="shared" si="34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35"/>
        <v>0</v>
      </c>
      <c r="W319" s="1" t="str">
        <f t="shared" si="36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customHeight="1" x14ac:dyDescent="0.3">
      <c r="A320" s="2"/>
      <c r="B320" s="65" t="str">
        <f t="shared" si="37"/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 t="shared" si="38"/>
        <v/>
      </c>
      <c r="N320" s="74" t="str">
        <f t="shared" si="39"/>
        <v/>
      </c>
      <c r="O320" s="73" t="str">
        <f t="shared" si="40"/>
        <v/>
      </c>
      <c r="P320" s="65" t="str">
        <f t="shared" ca="1" si="41"/>
        <v/>
      </c>
      <c r="Q320" s="2"/>
      <c r="R320" s="2"/>
      <c r="S320" s="1" t="str">
        <f t="shared" si="34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35"/>
        <v>0</v>
      </c>
      <c r="W320" s="1" t="str">
        <f t="shared" si="36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customHeight="1" x14ac:dyDescent="0.3">
      <c r="A321" s="2"/>
      <c r="B321" s="65" t="str">
        <f t="shared" si="37"/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 t="shared" si="38"/>
        <v/>
      </c>
      <c r="N321" s="74" t="str">
        <f t="shared" si="39"/>
        <v/>
      </c>
      <c r="O321" s="73" t="str">
        <f t="shared" si="40"/>
        <v/>
      </c>
      <c r="P321" s="65" t="str">
        <f t="shared" ca="1" si="41"/>
        <v/>
      </c>
      <c r="Q321" s="2"/>
      <c r="R321" s="2"/>
      <c r="S321" s="1" t="str">
        <f t="shared" si="34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35"/>
        <v>0</v>
      </c>
      <c r="W321" s="1" t="str">
        <f t="shared" si="36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customHeight="1" x14ac:dyDescent="0.3">
      <c r="A322" s="2"/>
      <c r="B322" s="65" t="str">
        <f t="shared" si="37"/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 t="shared" si="38"/>
        <v/>
      </c>
      <c r="N322" s="74" t="str">
        <f t="shared" si="39"/>
        <v/>
      </c>
      <c r="O322" s="73" t="str">
        <f t="shared" si="40"/>
        <v/>
      </c>
      <c r="P322" s="65" t="str">
        <f t="shared" ca="1" si="41"/>
        <v/>
      </c>
      <c r="Q322" s="2"/>
      <c r="R322" s="2"/>
      <c r="S322" s="1" t="str">
        <f t="shared" si="34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35"/>
        <v>0</v>
      </c>
      <c r="W322" s="1" t="str">
        <f t="shared" si="36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customHeight="1" x14ac:dyDescent="0.3">
      <c r="A323" s="2"/>
      <c r="B323" s="65" t="str">
        <f t="shared" si="37"/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 t="shared" si="38"/>
        <v/>
      </c>
      <c r="N323" s="74" t="str">
        <f t="shared" si="39"/>
        <v/>
      </c>
      <c r="O323" s="73" t="str">
        <f t="shared" si="40"/>
        <v/>
      </c>
      <c r="P323" s="65" t="str">
        <f t="shared" ca="1" si="41"/>
        <v/>
      </c>
      <c r="Q323" s="2"/>
      <c r="R323" s="2"/>
      <c r="S323" s="1" t="str">
        <f t="shared" si="34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35"/>
        <v>0</v>
      </c>
      <c r="W323" s="1" t="str">
        <f t="shared" si="36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customHeight="1" x14ac:dyDescent="0.3">
      <c r="A324" s="2"/>
      <c r="B324" s="65" t="str">
        <f t="shared" si="37"/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 t="shared" si="38"/>
        <v/>
      </c>
      <c r="N324" s="74" t="str">
        <f t="shared" si="39"/>
        <v/>
      </c>
      <c r="O324" s="73" t="str">
        <f t="shared" si="40"/>
        <v/>
      </c>
      <c r="P324" s="65" t="str">
        <f t="shared" ca="1" si="41"/>
        <v/>
      </c>
      <c r="Q324" s="2"/>
      <c r="R324" s="2"/>
      <c r="S324" s="1" t="str">
        <f t="shared" si="34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35"/>
        <v>0</v>
      </c>
      <c r="W324" s="1" t="str">
        <f t="shared" si="36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customHeight="1" x14ac:dyDescent="0.3">
      <c r="A325" s="2"/>
      <c r="B325" s="65" t="str">
        <f t="shared" si="37"/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 t="shared" si="38"/>
        <v/>
      </c>
      <c r="N325" s="74" t="str">
        <f t="shared" si="39"/>
        <v/>
      </c>
      <c r="O325" s="73" t="str">
        <f t="shared" si="40"/>
        <v/>
      </c>
      <c r="P325" s="65" t="str">
        <f t="shared" ca="1" si="41"/>
        <v/>
      </c>
      <c r="Q325" s="2"/>
      <c r="R325" s="2"/>
      <c r="S325" s="1" t="str">
        <f t="shared" ref="S325:S388" si="42"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ref="V325:V388" si="43">IF($T325="",0,1)</f>
        <v>0</v>
      </c>
      <c r="W325" s="1" t="str">
        <f t="shared" ref="W325:W388" si="44">IF($C325="","",$D325&amp;"|"&amp;$E325&amp;"|"&amp;TEXT($C325,"0")&amp;"|"&amp;TEXT($G325,"0")&amp;"|"&amp;$F325&amp;"|"&amp;$J325)</f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customHeight="1" x14ac:dyDescent="0.3">
      <c r="A326" s="2"/>
      <c r="B326" s="65" t="str">
        <f t="shared" si="37"/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 t="shared" si="38"/>
        <v/>
      </c>
      <c r="N326" s="74" t="str">
        <f t="shared" si="39"/>
        <v/>
      </c>
      <c r="O326" s="73" t="str">
        <f t="shared" si="40"/>
        <v/>
      </c>
      <c r="P326" s="65" t="str">
        <f t="shared" ca="1" si="41"/>
        <v/>
      </c>
      <c r="Q326" s="2"/>
      <c r="R326" s="2"/>
      <c r="S326" s="1" t="str">
        <f t="shared" si="42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43"/>
        <v>0</v>
      </c>
      <c r="W326" s="1" t="str">
        <f t="shared" si="44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customHeight="1" x14ac:dyDescent="0.3">
      <c r="A327" s="2"/>
      <c r="B327" s="65" t="str">
        <f t="shared" ref="B327:B390" si="45"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 t="shared" ref="M327:M390" si="46">IF($C327="","",IF($D327="Gider",$E327,IF($L327&lt;&gt;"",$L327,$H327)))</f>
        <v/>
      </c>
      <c r="N327" s="74" t="str">
        <f t="shared" ref="N327:N390" si="47">IF($C327="","",IF($D327="Gider",$H327,$E327))</f>
        <v/>
      </c>
      <c r="O327" s="73" t="str">
        <f t="shared" ref="O327:O390" si="48">IF($C327="","",DATE(YEAR($C327),MONTH($C327),1))</f>
        <v/>
      </c>
      <c r="P327" s="65" t="str">
        <f t="shared" ref="P327:P390" ca="1" si="49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TARİH",IF(COUNTIF($W$7:$W$3001,$W327)&gt;1,"MÜKERRER?",IF($AD327&gt;0,"KAPALI DÖNEM",IF($I327="Hayır","ÖDENECEK","UYGUN")))),"EKSİK"))))</f>
        <v/>
      </c>
      <c r="Q327" s="2"/>
      <c r="R327" s="2"/>
      <c r="S327" s="1" t="str">
        <f t="shared" si="42"/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si="43"/>
        <v>0</v>
      </c>
      <c r="W327" s="1" t="str">
        <f t="shared" si="44"/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customHeight="1" x14ac:dyDescent="0.3">
      <c r="A328" s="2"/>
      <c r="B328" s="65" t="str">
        <f t="shared" si="45"/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 t="shared" si="46"/>
        <v/>
      </c>
      <c r="N328" s="74" t="str">
        <f t="shared" si="47"/>
        <v/>
      </c>
      <c r="O328" s="73" t="str">
        <f t="shared" si="48"/>
        <v/>
      </c>
      <c r="P328" s="65" t="str">
        <f t="shared" ca="1" si="49"/>
        <v/>
      </c>
      <c r="Q328" s="2"/>
      <c r="R328" s="2"/>
      <c r="S328" s="1" t="str">
        <f t="shared" si="42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43"/>
        <v>0</v>
      </c>
      <c r="W328" s="1" t="str">
        <f t="shared" si="44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customHeight="1" x14ac:dyDescent="0.3">
      <c r="A329" s="2"/>
      <c r="B329" s="65" t="str">
        <f t="shared" si="45"/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 t="shared" si="46"/>
        <v/>
      </c>
      <c r="N329" s="74" t="str">
        <f t="shared" si="47"/>
        <v/>
      </c>
      <c r="O329" s="73" t="str">
        <f t="shared" si="48"/>
        <v/>
      </c>
      <c r="P329" s="65" t="str">
        <f t="shared" ca="1" si="49"/>
        <v/>
      </c>
      <c r="Q329" s="2"/>
      <c r="R329" s="2"/>
      <c r="S329" s="1" t="str">
        <f t="shared" si="42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43"/>
        <v>0</v>
      </c>
      <c r="W329" s="1" t="str">
        <f t="shared" si="44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customHeight="1" x14ac:dyDescent="0.3">
      <c r="A330" s="2"/>
      <c r="B330" s="65" t="str">
        <f t="shared" si="45"/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 t="shared" si="46"/>
        <v/>
      </c>
      <c r="N330" s="74" t="str">
        <f t="shared" si="47"/>
        <v/>
      </c>
      <c r="O330" s="73" t="str">
        <f t="shared" si="48"/>
        <v/>
      </c>
      <c r="P330" s="65" t="str">
        <f t="shared" ca="1" si="49"/>
        <v/>
      </c>
      <c r="Q330" s="2"/>
      <c r="R330" s="2"/>
      <c r="S330" s="1" t="str">
        <f t="shared" si="42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43"/>
        <v>0</v>
      </c>
      <c r="W330" s="1" t="str">
        <f t="shared" si="44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customHeight="1" x14ac:dyDescent="0.3">
      <c r="A331" s="2"/>
      <c r="B331" s="65" t="str">
        <f t="shared" si="45"/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 t="shared" si="46"/>
        <v/>
      </c>
      <c r="N331" s="74" t="str">
        <f t="shared" si="47"/>
        <v/>
      </c>
      <c r="O331" s="73" t="str">
        <f t="shared" si="48"/>
        <v/>
      </c>
      <c r="P331" s="65" t="str">
        <f t="shared" ca="1" si="49"/>
        <v/>
      </c>
      <c r="Q331" s="2"/>
      <c r="R331" s="2"/>
      <c r="S331" s="1" t="str">
        <f t="shared" si="42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43"/>
        <v>0</v>
      </c>
      <c r="W331" s="1" t="str">
        <f t="shared" si="44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customHeight="1" x14ac:dyDescent="0.3">
      <c r="A332" s="2"/>
      <c r="B332" s="65" t="str">
        <f t="shared" si="45"/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 t="shared" si="46"/>
        <v/>
      </c>
      <c r="N332" s="74" t="str">
        <f t="shared" si="47"/>
        <v/>
      </c>
      <c r="O332" s="73" t="str">
        <f t="shared" si="48"/>
        <v/>
      </c>
      <c r="P332" s="65" t="str">
        <f t="shared" ca="1" si="49"/>
        <v/>
      </c>
      <c r="Q332" s="2"/>
      <c r="R332" s="2"/>
      <c r="S332" s="1" t="str">
        <f t="shared" si="42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43"/>
        <v>0</v>
      </c>
      <c r="W332" s="1" t="str">
        <f t="shared" si="44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customHeight="1" x14ac:dyDescent="0.3">
      <c r="A333" s="2"/>
      <c r="B333" s="65" t="str">
        <f t="shared" si="45"/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 t="shared" si="46"/>
        <v/>
      </c>
      <c r="N333" s="74" t="str">
        <f t="shared" si="47"/>
        <v/>
      </c>
      <c r="O333" s="73" t="str">
        <f t="shared" si="48"/>
        <v/>
      </c>
      <c r="P333" s="65" t="str">
        <f t="shared" ca="1" si="49"/>
        <v/>
      </c>
      <c r="Q333" s="2"/>
      <c r="R333" s="2"/>
      <c r="S333" s="1" t="str">
        <f t="shared" si="42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43"/>
        <v>0</v>
      </c>
      <c r="W333" s="1" t="str">
        <f t="shared" si="44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customHeight="1" x14ac:dyDescent="0.3">
      <c r="A334" s="2"/>
      <c r="B334" s="65" t="str">
        <f t="shared" si="45"/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 t="shared" si="46"/>
        <v/>
      </c>
      <c r="N334" s="74" t="str">
        <f t="shared" si="47"/>
        <v/>
      </c>
      <c r="O334" s="73" t="str">
        <f t="shared" si="48"/>
        <v/>
      </c>
      <c r="P334" s="65" t="str">
        <f t="shared" ca="1" si="49"/>
        <v/>
      </c>
      <c r="Q334" s="2"/>
      <c r="R334" s="2"/>
      <c r="S334" s="1" t="str">
        <f t="shared" si="42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43"/>
        <v>0</v>
      </c>
      <c r="W334" s="1" t="str">
        <f t="shared" si="44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customHeight="1" x14ac:dyDescent="0.3">
      <c r="A335" s="2"/>
      <c r="B335" s="65" t="str">
        <f t="shared" si="45"/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 t="shared" si="46"/>
        <v/>
      </c>
      <c r="N335" s="74" t="str">
        <f t="shared" si="47"/>
        <v/>
      </c>
      <c r="O335" s="73" t="str">
        <f t="shared" si="48"/>
        <v/>
      </c>
      <c r="P335" s="65" t="str">
        <f t="shared" ca="1" si="49"/>
        <v/>
      </c>
      <c r="Q335" s="2"/>
      <c r="R335" s="2"/>
      <c r="S335" s="1" t="str">
        <f t="shared" si="42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43"/>
        <v>0</v>
      </c>
      <c r="W335" s="1" t="str">
        <f t="shared" si="44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customHeight="1" x14ac:dyDescent="0.3">
      <c r="A336" s="2"/>
      <c r="B336" s="65" t="str">
        <f t="shared" si="45"/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 t="shared" si="46"/>
        <v/>
      </c>
      <c r="N336" s="74" t="str">
        <f t="shared" si="47"/>
        <v/>
      </c>
      <c r="O336" s="73" t="str">
        <f t="shared" si="48"/>
        <v/>
      </c>
      <c r="P336" s="65" t="str">
        <f t="shared" ca="1" si="49"/>
        <v/>
      </c>
      <c r="Q336" s="2"/>
      <c r="R336" s="2"/>
      <c r="S336" s="1" t="str">
        <f t="shared" si="42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43"/>
        <v>0</v>
      </c>
      <c r="W336" s="1" t="str">
        <f t="shared" si="44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customHeight="1" x14ac:dyDescent="0.3">
      <c r="A337" s="2"/>
      <c r="B337" s="65" t="str">
        <f t="shared" si="45"/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 t="shared" si="46"/>
        <v/>
      </c>
      <c r="N337" s="74" t="str">
        <f t="shared" si="47"/>
        <v/>
      </c>
      <c r="O337" s="73" t="str">
        <f t="shared" si="48"/>
        <v/>
      </c>
      <c r="P337" s="65" t="str">
        <f t="shared" ca="1" si="49"/>
        <v/>
      </c>
      <c r="Q337" s="2"/>
      <c r="R337" s="2"/>
      <c r="S337" s="1" t="str">
        <f t="shared" si="42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43"/>
        <v>0</v>
      </c>
      <c r="W337" s="1" t="str">
        <f t="shared" si="44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customHeight="1" x14ac:dyDescent="0.3">
      <c r="A338" s="2"/>
      <c r="B338" s="65" t="str">
        <f t="shared" si="45"/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 t="shared" si="46"/>
        <v/>
      </c>
      <c r="N338" s="74" t="str">
        <f t="shared" si="47"/>
        <v/>
      </c>
      <c r="O338" s="73" t="str">
        <f t="shared" si="48"/>
        <v/>
      </c>
      <c r="P338" s="65" t="str">
        <f t="shared" ca="1" si="49"/>
        <v/>
      </c>
      <c r="Q338" s="2"/>
      <c r="R338" s="2"/>
      <c r="S338" s="1" t="str">
        <f t="shared" si="42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43"/>
        <v>0</v>
      </c>
      <c r="W338" s="1" t="str">
        <f t="shared" si="44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customHeight="1" x14ac:dyDescent="0.3">
      <c r="A339" s="2"/>
      <c r="B339" s="65" t="str">
        <f t="shared" si="45"/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 t="shared" si="46"/>
        <v/>
      </c>
      <c r="N339" s="74" t="str">
        <f t="shared" si="47"/>
        <v/>
      </c>
      <c r="O339" s="73" t="str">
        <f t="shared" si="48"/>
        <v/>
      </c>
      <c r="P339" s="65" t="str">
        <f t="shared" ca="1" si="49"/>
        <v/>
      </c>
      <c r="Q339" s="2"/>
      <c r="R339" s="2"/>
      <c r="S339" s="1" t="str">
        <f t="shared" si="42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43"/>
        <v>0</v>
      </c>
      <c r="W339" s="1" t="str">
        <f t="shared" si="44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customHeight="1" x14ac:dyDescent="0.3">
      <c r="A340" s="2"/>
      <c r="B340" s="65" t="str">
        <f t="shared" si="45"/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 t="shared" si="46"/>
        <v/>
      </c>
      <c r="N340" s="74" t="str">
        <f t="shared" si="47"/>
        <v/>
      </c>
      <c r="O340" s="73" t="str">
        <f t="shared" si="48"/>
        <v/>
      </c>
      <c r="P340" s="65" t="str">
        <f t="shared" ca="1" si="49"/>
        <v/>
      </c>
      <c r="Q340" s="2"/>
      <c r="R340" s="2"/>
      <c r="S340" s="1" t="str">
        <f t="shared" si="42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43"/>
        <v>0</v>
      </c>
      <c r="W340" s="1" t="str">
        <f t="shared" si="44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customHeight="1" x14ac:dyDescent="0.3">
      <c r="A341" s="2"/>
      <c r="B341" s="65" t="str">
        <f t="shared" si="45"/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 t="shared" si="46"/>
        <v/>
      </c>
      <c r="N341" s="74" t="str">
        <f t="shared" si="47"/>
        <v/>
      </c>
      <c r="O341" s="73" t="str">
        <f t="shared" si="48"/>
        <v/>
      </c>
      <c r="P341" s="65" t="str">
        <f t="shared" ca="1" si="49"/>
        <v/>
      </c>
      <c r="Q341" s="2"/>
      <c r="R341" s="2"/>
      <c r="S341" s="1" t="str">
        <f t="shared" si="42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43"/>
        <v>0</v>
      </c>
      <c r="W341" s="1" t="str">
        <f t="shared" si="44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customHeight="1" x14ac:dyDescent="0.3">
      <c r="A342" s="2"/>
      <c r="B342" s="65" t="str">
        <f t="shared" si="45"/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 t="shared" si="46"/>
        <v/>
      </c>
      <c r="N342" s="74" t="str">
        <f t="shared" si="47"/>
        <v/>
      </c>
      <c r="O342" s="73" t="str">
        <f t="shared" si="48"/>
        <v/>
      </c>
      <c r="P342" s="65" t="str">
        <f t="shared" ca="1" si="49"/>
        <v/>
      </c>
      <c r="Q342" s="2"/>
      <c r="R342" s="2"/>
      <c r="S342" s="1" t="str">
        <f t="shared" si="42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43"/>
        <v>0</v>
      </c>
      <c r="W342" s="1" t="str">
        <f t="shared" si="44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customHeight="1" x14ac:dyDescent="0.3">
      <c r="A343" s="2"/>
      <c r="B343" s="65" t="str">
        <f t="shared" si="45"/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 t="shared" si="46"/>
        <v/>
      </c>
      <c r="N343" s="74" t="str">
        <f t="shared" si="47"/>
        <v/>
      </c>
      <c r="O343" s="73" t="str">
        <f t="shared" si="48"/>
        <v/>
      </c>
      <c r="P343" s="65" t="str">
        <f t="shared" ca="1" si="49"/>
        <v/>
      </c>
      <c r="Q343" s="2"/>
      <c r="R343" s="2"/>
      <c r="S343" s="1" t="str">
        <f t="shared" si="42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43"/>
        <v>0</v>
      </c>
      <c r="W343" s="1" t="str">
        <f t="shared" si="44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customHeight="1" x14ac:dyDescent="0.3">
      <c r="A344" s="2"/>
      <c r="B344" s="65" t="str">
        <f t="shared" si="45"/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 t="shared" si="46"/>
        <v/>
      </c>
      <c r="N344" s="74" t="str">
        <f t="shared" si="47"/>
        <v/>
      </c>
      <c r="O344" s="73" t="str">
        <f t="shared" si="48"/>
        <v/>
      </c>
      <c r="P344" s="65" t="str">
        <f t="shared" ca="1" si="49"/>
        <v/>
      </c>
      <c r="Q344" s="2"/>
      <c r="R344" s="2"/>
      <c r="S344" s="1" t="str">
        <f t="shared" si="42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43"/>
        <v>0</v>
      </c>
      <c r="W344" s="1" t="str">
        <f t="shared" si="44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customHeight="1" x14ac:dyDescent="0.3">
      <c r="A345" s="2"/>
      <c r="B345" s="65" t="str">
        <f t="shared" si="45"/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 t="shared" si="46"/>
        <v/>
      </c>
      <c r="N345" s="74" t="str">
        <f t="shared" si="47"/>
        <v/>
      </c>
      <c r="O345" s="73" t="str">
        <f t="shared" si="48"/>
        <v/>
      </c>
      <c r="P345" s="65" t="str">
        <f t="shared" ca="1" si="49"/>
        <v/>
      </c>
      <c r="Q345" s="2"/>
      <c r="R345" s="2"/>
      <c r="S345" s="1" t="str">
        <f t="shared" si="42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43"/>
        <v>0</v>
      </c>
      <c r="W345" s="1" t="str">
        <f t="shared" si="44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customHeight="1" x14ac:dyDescent="0.3">
      <c r="A346" s="2"/>
      <c r="B346" s="65" t="str">
        <f t="shared" si="45"/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 t="shared" si="46"/>
        <v/>
      </c>
      <c r="N346" s="74" t="str">
        <f t="shared" si="47"/>
        <v/>
      </c>
      <c r="O346" s="73" t="str">
        <f t="shared" si="48"/>
        <v/>
      </c>
      <c r="P346" s="65" t="str">
        <f t="shared" ca="1" si="49"/>
        <v/>
      </c>
      <c r="Q346" s="2"/>
      <c r="R346" s="2"/>
      <c r="S346" s="1" t="str">
        <f t="shared" si="42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43"/>
        <v>0</v>
      </c>
      <c r="W346" s="1" t="str">
        <f t="shared" si="44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customHeight="1" x14ac:dyDescent="0.3">
      <c r="A347" s="2"/>
      <c r="B347" s="65" t="str">
        <f t="shared" si="45"/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 t="shared" si="46"/>
        <v/>
      </c>
      <c r="N347" s="74" t="str">
        <f t="shared" si="47"/>
        <v/>
      </c>
      <c r="O347" s="73" t="str">
        <f t="shared" si="48"/>
        <v/>
      </c>
      <c r="P347" s="65" t="str">
        <f t="shared" ca="1" si="49"/>
        <v/>
      </c>
      <c r="Q347" s="2"/>
      <c r="R347" s="2"/>
      <c r="S347" s="1" t="str">
        <f t="shared" si="42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43"/>
        <v>0</v>
      </c>
      <c r="W347" s="1" t="str">
        <f t="shared" si="44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customHeight="1" x14ac:dyDescent="0.3">
      <c r="A348" s="2"/>
      <c r="B348" s="65" t="str">
        <f t="shared" si="45"/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 t="shared" si="46"/>
        <v/>
      </c>
      <c r="N348" s="74" t="str">
        <f t="shared" si="47"/>
        <v/>
      </c>
      <c r="O348" s="73" t="str">
        <f t="shared" si="48"/>
        <v/>
      </c>
      <c r="P348" s="65" t="str">
        <f t="shared" ca="1" si="49"/>
        <v/>
      </c>
      <c r="Q348" s="2"/>
      <c r="R348" s="2"/>
      <c r="S348" s="1" t="str">
        <f t="shared" si="42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43"/>
        <v>0</v>
      </c>
      <c r="W348" s="1" t="str">
        <f t="shared" si="44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customHeight="1" x14ac:dyDescent="0.3">
      <c r="A349" s="2"/>
      <c r="B349" s="65" t="str">
        <f t="shared" si="45"/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 t="shared" si="46"/>
        <v/>
      </c>
      <c r="N349" s="74" t="str">
        <f t="shared" si="47"/>
        <v/>
      </c>
      <c r="O349" s="73" t="str">
        <f t="shared" si="48"/>
        <v/>
      </c>
      <c r="P349" s="65" t="str">
        <f t="shared" ca="1" si="49"/>
        <v/>
      </c>
      <c r="Q349" s="2"/>
      <c r="R349" s="2"/>
      <c r="S349" s="1" t="str">
        <f t="shared" si="42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43"/>
        <v>0</v>
      </c>
      <c r="W349" s="1" t="str">
        <f t="shared" si="44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customHeight="1" x14ac:dyDescent="0.3">
      <c r="A350" s="2"/>
      <c r="B350" s="65" t="str">
        <f t="shared" si="45"/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 t="shared" si="46"/>
        <v/>
      </c>
      <c r="N350" s="74" t="str">
        <f t="shared" si="47"/>
        <v/>
      </c>
      <c r="O350" s="73" t="str">
        <f t="shared" si="48"/>
        <v/>
      </c>
      <c r="P350" s="65" t="str">
        <f t="shared" ca="1" si="49"/>
        <v/>
      </c>
      <c r="Q350" s="2"/>
      <c r="R350" s="2"/>
      <c r="S350" s="1" t="str">
        <f t="shared" si="42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43"/>
        <v>0</v>
      </c>
      <c r="W350" s="1" t="str">
        <f t="shared" si="44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customHeight="1" x14ac:dyDescent="0.3">
      <c r="A351" s="2"/>
      <c r="B351" s="65" t="str">
        <f t="shared" si="45"/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 t="shared" si="46"/>
        <v/>
      </c>
      <c r="N351" s="74" t="str">
        <f t="shared" si="47"/>
        <v/>
      </c>
      <c r="O351" s="73" t="str">
        <f t="shared" si="48"/>
        <v/>
      </c>
      <c r="P351" s="65" t="str">
        <f t="shared" ca="1" si="49"/>
        <v/>
      </c>
      <c r="Q351" s="2"/>
      <c r="R351" s="2"/>
      <c r="S351" s="1" t="str">
        <f t="shared" si="42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43"/>
        <v>0</v>
      </c>
      <c r="W351" s="1" t="str">
        <f t="shared" si="44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customHeight="1" x14ac:dyDescent="0.3">
      <c r="A352" s="2"/>
      <c r="B352" s="65" t="str">
        <f t="shared" si="45"/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 t="shared" si="46"/>
        <v/>
      </c>
      <c r="N352" s="74" t="str">
        <f t="shared" si="47"/>
        <v/>
      </c>
      <c r="O352" s="73" t="str">
        <f t="shared" si="48"/>
        <v/>
      </c>
      <c r="P352" s="65" t="str">
        <f t="shared" ca="1" si="49"/>
        <v/>
      </c>
      <c r="Q352" s="2"/>
      <c r="R352" s="2"/>
      <c r="S352" s="1" t="str">
        <f t="shared" si="42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43"/>
        <v>0</v>
      </c>
      <c r="W352" s="1" t="str">
        <f t="shared" si="44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customHeight="1" x14ac:dyDescent="0.3">
      <c r="A353" s="2"/>
      <c r="B353" s="65" t="str">
        <f t="shared" si="45"/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 t="shared" si="46"/>
        <v/>
      </c>
      <c r="N353" s="74" t="str">
        <f t="shared" si="47"/>
        <v/>
      </c>
      <c r="O353" s="73" t="str">
        <f t="shared" si="48"/>
        <v/>
      </c>
      <c r="P353" s="65" t="str">
        <f t="shared" ca="1" si="49"/>
        <v/>
      </c>
      <c r="Q353" s="2"/>
      <c r="R353" s="2"/>
      <c r="S353" s="1" t="str">
        <f t="shared" si="42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43"/>
        <v>0</v>
      </c>
      <c r="W353" s="1" t="str">
        <f t="shared" si="44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customHeight="1" x14ac:dyDescent="0.3">
      <c r="A354" s="2"/>
      <c r="B354" s="65" t="str">
        <f t="shared" si="45"/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 t="shared" si="46"/>
        <v/>
      </c>
      <c r="N354" s="74" t="str">
        <f t="shared" si="47"/>
        <v/>
      </c>
      <c r="O354" s="73" t="str">
        <f t="shared" si="48"/>
        <v/>
      </c>
      <c r="P354" s="65" t="str">
        <f t="shared" ca="1" si="49"/>
        <v/>
      </c>
      <c r="Q354" s="2"/>
      <c r="R354" s="2"/>
      <c r="S354" s="1" t="str">
        <f t="shared" si="42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43"/>
        <v>0</v>
      </c>
      <c r="W354" s="1" t="str">
        <f t="shared" si="44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customHeight="1" x14ac:dyDescent="0.3">
      <c r="A355" s="2"/>
      <c r="B355" s="65" t="str">
        <f t="shared" si="45"/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 t="shared" si="46"/>
        <v/>
      </c>
      <c r="N355" s="74" t="str">
        <f t="shared" si="47"/>
        <v/>
      </c>
      <c r="O355" s="73" t="str">
        <f t="shared" si="48"/>
        <v/>
      </c>
      <c r="P355" s="65" t="str">
        <f t="shared" ca="1" si="49"/>
        <v/>
      </c>
      <c r="Q355" s="2"/>
      <c r="R355" s="2"/>
      <c r="S355" s="1" t="str">
        <f t="shared" si="42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43"/>
        <v>0</v>
      </c>
      <c r="W355" s="1" t="str">
        <f t="shared" si="44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customHeight="1" x14ac:dyDescent="0.3">
      <c r="A356" s="2"/>
      <c r="B356" s="65" t="str">
        <f t="shared" si="45"/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 t="shared" si="46"/>
        <v/>
      </c>
      <c r="N356" s="74" t="str">
        <f t="shared" si="47"/>
        <v/>
      </c>
      <c r="O356" s="73" t="str">
        <f t="shared" si="48"/>
        <v/>
      </c>
      <c r="P356" s="65" t="str">
        <f t="shared" ca="1" si="49"/>
        <v/>
      </c>
      <c r="Q356" s="2"/>
      <c r="R356" s="2"/>
      <c r="S356" s="1" t="str">
        <f t="shared" si="42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43"/>
        <v>0</v>
      </c>
      <c r="W356" s="1" t="str">
        <f t="shared" si="44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customHeight="1" x14ac:dyDescent="0.3">
      <c r="A357" s="2"/>
      <c r="B357" s="65" t="str">
        <f t="shared" si="45"/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 t="shared" si="46"/>
        <v/>
      </c>
      <c r="N357" s="74" t="str">
        <f t="shared" si="47"/>
        <v/>
      </c>
      <c r="O357" s="73" t="str">
        <f t="shared" si="48"/>
        <v/>
      </c>
      <c r="P357" s="65" t="str">
        <f t="shared" ca="1" si="49"/>
        <v/>
      </c>
      <c r="Q357" s="2"/>
      <c r="R357" s="2"/>
      <c r="S357" s="1" t="str">
        <f t="shared" si="42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43"/>
        <v>0</v>
      </c>
      <c r="W357" s="1" t="str">
        <f t="shared" si="44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customHeight="1" x14ac:dyDescent="0.3">
      <c r="A358" s="2"/>
      <c r="B358" s="65" t="str">
        <f t="shared" si="45"/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 t="shared" si="46"/>
        <v/>
      </c>
      <c r="N358" s="74" t="str">
        <f t="shared" si="47"/>
        <v/>
      </c>
      <c r="O358" s="73" t="str">
        <f t="shared" si="48"/>
        <v/>
      </c>
      <c r="P358" s="65" t="str">
        <f t="shared" ca="1" si="49"/>
        <v/>
      </c>
      <c r="Q358" s="2"/>
      <c r="R358" s="2"/>
      <c r="S358" s="1" t="str">
        <f t="shared" si="42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43"/>
        <v>0</v>
      </c>
      <c r="W358" s="1" t="str">
        <f t="shared" si="44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customHeight="1" x14ac:dyDescent="0.3">
      <c r="A359" s="2"/>
      <c r="B359" s="65" t="str">
        <f t="shared" si="45"/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 t="shared" si="46"/>
        <v/>
      </c>
      <c r="N359" s="74" t="str">
        <f t="shared" si="47"/>
        <v/>
      </c>
      <c r="O359" s="73" t="str">
        <f t="shared" si="48"/>
        <v/>
      </c>
      <c r="P359" s="65" t="str">
        <f t="shared" ca="1" si="49"/>
        <v/>
      </c>
      <c r="Q359" s="2"/>
      <c r="R359" s="2"/>
      <c r="S359" s="1" t="str">
        <f t="shared" si="42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43"/>
        <v>0</v>
      </c>
      <c r="W359" s="1" t="str">
        <f t="shared" si="44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customHeight="1" x14ac:dyDescent="0.3">
      <c r="A360" s="2"/>
      <c r="B360" s="65" t="str">
        <f t="shared" si="45"/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 t="shared" si="46"/>
        <v/>
      </c>
      <c r="N360" s="74" t="str">
        <f t="shared" si="47"/>
        <v/>
      </c>
      <c r="O360" s="73" t="str">
        <f t="shared" si="48"/>
        <v/>
      </c>
      <c r="P360" s="65" t="str">
        <f t="shared" ca="1" si="49"/>
        <v/>
      </c>
      <c r="Q360" s="2"/>
      <c r="R360" s="2"/>
      <c r="S360" s="1" t="str">
        <f t="shared" si="42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43"/>
        <v>0</v>
      </c>
      <c r="W360" s="1" t="str">
        <f t="shared" si="44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customHeight="1" x14ac:dyDescent="0.3">
      <c r="A361" s="2"/>
      <c r="B361" s="65" t="str">
        <f t="shared" si="45"/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 t="shared" si="46"/>
        <v/>
      </c>
      <c r="N361" s="74" t="str">
        <f t="shared" si="47"/>
        <v/>
      </c>
      <c r="O361" s="73" t="str">
        <f t="shared" si="48"/>
        <v/>
      </c>
      <c r="P361" s="65" t="str">
        <f t="shared" ca="1" si="49"/>
        <v/>
      </c>
      <c r="Q361" s="2"/>
      <c r="R361" s="2"/>
      <c r="S361" s="1" t="str">
        <f t="shared" si="42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43"/>
        <v>0</v>
      </c>
      <c r="W361" s="1" t="str">
        <f t="shared" si="44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customHeight="1" x14ac:dyDescent="0.3">
      <c r="A362" s="2"/>
      <c r="B362" s="65" t="str">
        <f t="shared" si="45"/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 t="shared" si="46"/>
        <v/>
      </c>
      <c r="N362" s="74" t="str">
        <f t="shared" si="47"/>
        <v/>
      </c>
      <c r="O362" s="73" t="str">
        <f t="shared" si="48"/>
        <v/>
      </c>
      <c r="P362" s="65" t="str">
        <f t="shared" ca="1" si="49"/>
        <v/>
      </c>
      <c r="Q362" s="2"/>
      <c r="R362" s="2"/>
      <c r="S362" s="1" t="str">
        <f t="shared" si="42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43"/>
        <v>0</v>
      </c>
      <c r="W362" s="1" t="str">
        <f t="shared" si="44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customHeight="1" x14ac:dyDescent="0.3">
      <c r="A363" s="2"/>
      <c r="B363" s="65" t="str">
        <f t="shared" si="45"/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 t="shared" si="46"/>
        <v/>
      </c>
      <c r="N363" s="74" t="str">
        <f t="shared" si="47"/>
        <v/>
      </c>
      <c r="O363" s="73" t="str">
        <f t="shared" si="48"/>
        <v/>
      </c>
      <c r="P363" s="65" t="str">
        <f t="shared" ca="1" si="49"/>
        <v/>
      </c>
      <c r="Q363" s="2"/>
      <c r="R363" s="2"/>
      <c r="S363" s="1" t="str">
        <f t="shared" si="42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43"/>
        <v>0</v>
      </c>
      <c r="W363" s="1" t="str">
        <f t="shared" si="44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customHeight="1" x14ac:dyDescent="0.3">
      <c r="A364" s="2"/>
      <c r="B364" s="65" t="str">
        <f t="shared" si="45"/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 t="shared" si="46"/>
        <v/>
      </c>
      <c r="N364" s="74" t="str">
        <f t="shared" si="47"/>
        <v/>
      </c>
      <c r="O364" s="73" t="str">
        <f t="shared" si="48"/>
        <v/>
      </c>
      <c r="P364" s="65" t="str">
        <f t="shared" ca="1" si="49"/>
        <v/>
      </c>
      <c r="Q364" s="2"/>
      <c r="R364" s="2"/>
      <c r="S364" s="1" t="str">
        <f t="shared" si="42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43"/>
        <v>0</v>
      </c>
      <c r="W364" s="1" t="str">
        <f t="shared" si="44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customHeight="1" x14ac:dyDescent="0.3">
      <c r="A365" s="2"/>
      <c r="B365" s="65" t="str">
        <f t="shared" si="45"/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 t="shared" si="46"/>
        <v/>
      </c>
      <c r="N365" s="74" t="str">
        <f t="shared" si="47"/>
        <v/>
      </c>
      <c r="O365" s="73" t="str">
        <f t="shared" si="48"/>
        <v/>
      </c>
      <c r="P365" s="65" t="str">
        <f t="shared" ca="1" si="49"/>
        <v/>
      </c>
      <c r="Q365" s="2"/>
      <c r="R365" s="2"/>
      <c r="S365" s="1" t="str">
        <f t="shared" si="42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43"/>
        <v>0</v>
      </c>
      <c r="W365" s="1" t="str">
        <f t="shared" si="44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customHeight="1" x14ac:dyDescent="0.3">
      <c r="A366" s="2"/>
      <c r="B366" s="65" t="str">
        <f t="shared" si="45"/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 t="shared" si="46"/>
        <v/>
      </c>
      <c r="N366" s="74" t="str">
        <f t="shared" si="47"/>
        <v/>
      </c>
      <c r="O366" s="73" t="str">
        <f t="shared" si="48"/>
        <v/>
      </c>
      <c r="P366" s="65" t="str">
        <f t="shared" ca="1" si="49"/>
        <v/>
      </c>
      <c r="Q366" s="2"/>
      <c r="R366" s="2"/>
      <c r="S366" s="1" t="str">
        <f t="shared" si="42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43"/>
        <v>0</v>
      </c>
      <c r="W366" s="1" t="str">
        <f t="shared" si="44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customHeight="1" x14ac:dyDescent="0.3">
      <c r="A367" s="2"/>
      <c r="B367" s="65" t="str">
        <f t="shared" si="45"/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 t="shared" si="46"/>
        <v/>
      </c>
      <c r="N367" s="74" t="str">
        <f t="shared" si="47"/>
        <v/>
      </c>
      <c r="O367" s="73" t="str">
        <f t="shared" si="48"/>
        <v/>
      </c>
      <c r="P367" s="65" t="str">
        <f t="shared" ca="1" si="49"/>
        <v/>
      </c>
      <c r="Q367" s="2"/>
      <c r="R367" s="2"/>
      <c r="S367" s="1" t="str">
        <f t="shared" si="42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43"/>
        <v>0</v>
      </c>
      <c r="W367" s="1" t="str">
        <f t="shared" si="44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customHeight="1" x14ac:dyDescent="0.3">
      <c r="A368" s="2"/>
      <c r="B368" s="65" t="str">
        <f t="shared" si="45"/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 t="shared" si="46"/>
        <v/>
      </c>
      <c r="N368" s="74" t="str">
        <f t="shared" si="47"/>
        <v/>
      </c>
      <c r="O368" s="73" t="str">
        <f t="shared" si="48"/>
        <v/>
      </c>
      <c r="P368" s="65" t="str">
        <f t="shared" ca="1" si="49"/>
        <v/>
      </c>
      <c r="Q368" s="2"/>
      <c r="R368" s="2"/>
      <c r="S368" s="1" t="str">
        <f t="shared" si="42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43"/>
        <v>0</v>
      </c>
      <c r="W368" s="1" t="str">
        <f t="shared" si="44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customHeight="1" x14ac:dyDescent="0.3">
      <c r="A369" s="2"/>
      <c r="B369" s="65" t="str">
        <f t="shared" si="45"/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 t="shared" si="46"/>
        <v/>
      </c>
      <c r="N369" s="74" t="str">
        <f t="shared" si="47"/>
        <v/>
      </c>
      <c r="O369" s="73" t="str">
        <f t="shared" si="48"/>
        <v/>
      </c>
      <c r="P369" s="65" t="str">
        <f t="shared" ca="1" si="49"/>
        <v/>
      </c>
      <c r="Q369" s="2"/>
      <c r="R369" s="2"/>
      <c r="S369" s="1" t="str">
        <f t="shared" si="42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43"/>
        <v>0</v>
      </c>
      <c r="W369" s="1" t="str">
        <f t="shared" si="44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customHeight="1" x14ac:dyDescent="0.3">
      <c r="A370" s="2"/>
      <c r="B370" s="65" t="str">
        <f t="shared" si="45"/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 t="shared" si="46"/>
        <v/>
      </c>
      <c r="N370" s="74" t="str">
        <f t="shared" si="47"/>
        <v/>
      </c>
      <c r="O370" s="73" t="str">
        <f t="shared" si="48"/>
        <v/>
      </c>
      <c r="P370" s="65" t="str">
        <f t="shared" ca="1" si="49"/>
        <v/>
      </c>
      <c r="Q370" s="2"/>
      <c r="R370" s="2"/>
      <c r="S370" s="1" t="str">
        <f t="shared" si="42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43"/>
        <v>0</v>
      </c>
      <c r="W370" s="1" t="str">
        <f t="shared" si="44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customHeight="1" x14ac:dyDescent="0.3">
      <c r="A371" s="2"/>
      <c r="B371" s="65" t="str">
        <f t="shared" si="45"/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 t="shared" si="46"/>
        <v/>
      </c>
      <c r="N371" s="74" t="str">
        <f t="shared" si="47"/>
        <v/>
      </c>
      <c r="O371" s="73" t="str">
        <f t="shared" si="48"/>
        <v/>
      </c>
      <c r="P371" s="65" t="str">
        <f t="shared" ca="1" si="49"/>
        <v/>
      </c>
      <c r="Q371" s="2"/>
      <c r="R371" s="2"/>
      <c r="S371" s="1" t="str">
        <f t="shared" si="42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43"/>
        <v>0</v>
      </c>
      <c r="W371" s="1" t="str">
        <f t="shared" si="44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customHeight="1" x14ac:dyDescent="0.3">
      <c r="A372" s="2"/>
      <c r="B372" s="65" t="str">
        <f t="shared" si="45"/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 t="shared" si="46"/>
        <v/>
      </c>
      <c r="N372" s="74" t="str">
        <f t="shared" si="47"/>
        <v/>
      </c>
      <c r="O372" s="73" t="str">
        <f t="shared" si="48"/>
        <v/>
      </c>
      <c r="P372" s="65" t="str">
        <f t="shared" ca="1" si="49"/>
        <v/>
      </c>
      <c r="Q372" s="2"/>
      <c r="R372" s="2"/>
      <c r="S372" s="1" t="str">
        <f t="shared" si="42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43"/>
        <v>0</v>
      </c>
      <c r="W372" s="1" t="str">
        <f t="shared" si="44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customHeight="1" x14ac:dyDescent="0.3">
      <c r="A373" s="2"/>
      <c r="B373" s="65" t="str">
        <f t="shared" si="45"/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 t="shared" si="46"/>
        <v/>
      </c>
      <c r="N373" s="74" t="str">
        <f t="shared" si="47"/>
        <v/>
      </c>
      <c r="O373" s="73" t="str">
        <f t="shared" si="48"/>
        <v/>
      </c>
      <c r="P373" s="65" t="str">
        <f t="shared" ca="1" si="49"/>
        <v/>
      </c>
      <c r="Q373" s="2"/>
      <c r="R373" s="2"/>
      <c r="S373" s="1" t="str">
        <f t="shared" si="42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43"/>
        <v>0</v>
      </c>
      <c r="W373" s="1" t="str">
        <f t="shared" si="44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customHeight="1" x14ac:dyDescent="0.3">
      <c r="A374" s="2"/>
      <c r="B374" s="65" t="str">
        <f t="shared" si="45"/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 t="shared" si="46"/>
        <v/>
      </c>
      <c r="N374" s="74" t="str">
        <f t="shared" si="47"/>
        <v/>
      </c>
      <c r="O374" s="73" t="str">
        <f t="shared" si="48"/>
        <v/>
      </c>
      <c r="P374" s="65" t="str">
        <f t="shared" ca="1" si="49"/>
        <v/>
      </c>
      <c r="Q374" s="2"/>
      <c r="R374" s="2"/>
      <c r="S374" s="1" t="str">
        <f t="shared" si="42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43"/>
        <v>0</v>
      </c>
      <c r="W374" s="1" t="str">
        <f t="shared" si="44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customHeight="1" x14ac:dyDescent="0.3">
      <c r="A375" s="2"/>
      <c r="B375" s="65" t="str">
        <f t="shared" si="45"/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 t="shared" si="46"/>
        <v/>
      </c>
      <c r="N375" s="74" t="str">
        <f t="shared" si="47"/>
        <v/>
      </c>
      <c r="O375" s="73" t="str">
        <f t="shared" si="48"/>
        <v/>
      </c>
      <c r="P375" s="65" t="str">
        <f t="shared" ca="1" si="49"/>
        <v/>
      </c>
      <c r="Q375" s="2"/>
      <c r="R375" s="2"/>
      <c r="S375" s="1" t="str">
        <f t="shared" si="42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43"/>
        <v>0</v>
      </c>
      <c r="W375" s="1" t="str">
        <f t="shared" si="44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customHeight="1" x14ac:dyDescent="0.3">
      <c r="A376" s="2"/>
      <c r="B376" s="65" t="str">
        <f t="shared" si="45"/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 t="shared" si="46"/>
        <v/>
      </c>
      <c r="N376" s="74" t="str">
        <f t="shared" si="47"/>
        <v/>
      </c>
      <c r="O376" s="73" t="str">
        <f t="shared" si="48"/>
        <v/>
      </c>
      <c r="P376" s="65" t="str">
        <f t="shared" ca="1" si="49"/>
        <v/>
      </c>
      <c r="Q376" s="2"/>
      <c r="R376" s="2"/>
      <c r="S376" s="1" t="str">
        <f t="shared" si="42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43"/>
        <v>0</v>
      </c>
      <c r="W376" s="1" t="str">
        <f t="shared" si="44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customHeight="1" x14ac:dyDescent="0.3">
      <c r="A377" s="2"/>
      <c r="B377" s="65" t="str">
        <f t="shared" si="45"/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 t="shared" si="46"/>
        <v/>
      </c>
      <c r="N377" s="74" t="str">
        <f t="shared" si="47"/>
        <v/>
      </c>
      <c r="O377" s="73" t="str">
        <f t="shared" si="48"/>
        <v/>
      </c>
      <c r="P377" s="65" t="str">
        <f t="shared" ca="1" si="49"/>
        <v/>
      </c>
      <c r="Q377" s="2"/>
      <c r="R377" s="2"/>
      <c r="S377" s="1" t="str">
        <f t="shared" si="42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43"/>
        <v>0</v>
      </c>
      <c r="W377" s="1" t="str">
        <f t="shared" si="44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customHeight="1" x14ac:dyDescent="0.3">
      <c r="A378" s="2"/>
      <c r="B378" s="65" t="str">
        <f t="shared" si="45"/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 t="shared" si="46"/>
        <v/>
      </c>
      <c r="N378" s="74" t="str">
        <f t="shared" si="47"/>
        <v/>
      </c>
      <c r="O378" s="73" t="str">
        <f t="shared" si="48"/>
        <v/>
      </c>
      <c r="P378" s="65" t="str">
        <f t="shared" ca="1" si="49"/>
        <v/>
      </c>
      <c r="Q378" s="2"/>
      <c r="R378" s="2"/>
      <c r="S378" s="1" t="str">
        <f t="shared" si="42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43"/>
        <v>0</v>
      </c>
      <c r="W378" s="1" t="str">
        <f t="shared" si="44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customHeight="1" x14ac:dyDescent="0.3">
      <c r="A379" s="2"/>
      <c r="B379" s="65" t="str">
        <f t="shared" si="45"/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 t="shared" si="46"/>
        <v/>
      </c>
      <c r="N379" s="74" t="str">
        <f t="shared" si="47"/>
        <v/>
      </c>
      <c r="O379" s="73" t="str">
        <f t="shared" si="48"/>
        <v/>
      </c>
      <c r="P379" s="65" t="str">
        <f t="shared" ca="1" si="49"/>
        <v/>
      </c>
      <c r="Q379" s="2"/>
      <c r="R379" s="2"/>
      <c r="S379" s="1" t="str">
        <f t="shared" si="42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43"/>
        <v>0</v>
      </c>
      <c r="W379" s="1" t="str">
        <f t="shared" si="44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customHeight="1" x14ac:dyDescent="0.3">
      <c r="A380" s="2"/>
      <c r="B380" s="65" t="str">
        <f t="shared" si="45"/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 t="shared" si="46"/>
        <v/>
      </c>
      <c r="N380" s="74" t="str">
        <f t="shared" si="47"/>
        <v/>
      </c>
      <c r="O380" s="73" t="str">
        <f t="shared" si="48"/>
        <v/>
      </c>
      <c r="P380" s="65" t="str">
        <f t="shared" ca="1" si="49"/>
        <v/>
      </c>
      <c r="Q380" s="2"/>
      <c r="R380" s="2"/>
      <c r="S380" s="1" t="str">
        <f t="shared" si="42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43"/>
        <v>0</v>
      </c>
      <c r="W380" s="1" t="str">
        <f t="shared" si="44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customHeight="1" x14ac:dyDescent="0.3">
      <c r="A381" s="2"/>
      <c r="B381" s="65" t="str">
        <f t="shared" si="45"/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 t="shared" si="46"/>
        <v/>
      </c>
      <c r="N381" s="74" t="str">
        <f t="shared" si="47"/>
        <v/>
      </c>
      <c r="O381" s="73" t="str">
        <f t="shared" si="48"/>
        <v/>
      </c>
      <c r="P381" s="65" t="str">
        <f t="shared" ca="1" si="49"/>
        <v/>
      </c>
      <c r="Q381" s="2"/>
      <c r="R381" s="2"/>
      <c r="S381" s="1" t="str">
        <f t="shared" si="42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43"/>
        <v>0</v>
      </c>
      <c r="W381" s="1" t="str">
        <f t="shared" si="44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customHeight="1" x14ac:dyDescent="0.3">
      <c r="A382" s="2"/>
      <c r="B382" s="65" t="str">
        <f t="shared" si="45"/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 t="shared" si="46"/>
        <v/>
      </c>
      <c r="N382" s="74" t="str">
        <f t="shared" si="47"/>
        <v/>
      </c>
      <c r="O382" s="73" t="str">
        <f t="shared" si="48"/>
        <v/>
      </c>
      <c r="P382" s="65" t="str">
        <f t="shared" ca="1" si="49"/>
        <v/>
      </c>
      <c r="Q382" s="2"/>
      <c r="R382" s="2"/>
      <c r="S382" s="1" t="str">
        <f t="shared" si="42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43"/>
        <v>0</v>
      </c>
      <c r="W382" s="1" t="str">
        <f t="shared" si="44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customHeight="1" x14ac:dyDescent="0.3">
      <c r="A383" s="2"/>
      <c r="B383" s="65" t="str">
        <f t="shared" si="45"/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 t="shared" si="46"/>
        <v/>
      </c>
      <c r="N383" s="74" t="str">
        <f t="shared" si="47"/>
        <v/>
      </c>
      <c r="O383" s="73" t="str">
        <f t="shared" si="48"/>
        <v/>
      </c>
      <c r="P383" s="65" t="str">
        <f t="shared" ca="1" si="49"/>
        <v/>
      </c>
      <c r="Q383" s="2"/>
      <c r="R383" s="2"/>
      <c r="S383" s="1" t="str">
        <f t="shared" si="42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43"/>
        <v>0</v>
      </c>
      <c r="W383" s="1" t="str">
        <f t="shared" si="44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customHeight="1" x14ac:dyDescent="0.3">
      <c r="A384" s="2"/>
      <c r="B384" s="65" t="str">
        <f t="shared" si="45"/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 t="shared" si="46"/>
        <v/>
      </c>
      <c r="N384" s="74" t="str">
        <f t="shared" si="47"/>
        <v/>
      </c>
      <c r="O384" s="73" t="str">
        <f t="shared" si="48"/>
        <v/>
      </c>
      <c r="P384" s="65" t="str">
        <f t="shared" ca="1" si="49"/>
        <v/>
      </c>
      <c r="Q384" s="2"/>
      <c r="R384" s="2"/>
      <c r="S384" s="1" t="str">
        <f t="shared" si="42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43"/>
        <v>0</v>
      </c>
      <c r="W384" s="1" t="str">
        <f t="shared" si="44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customHeight="1" x14ac:dyDescent="0.3">
      <c r="A385" s="2"/>
      <c r="B385" s="65" t="str">
        <f t="shared" si="45"/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 t="shared" si="46"/>
        <v/>
      </c>
      <c r="N385" s="74" t="str">
        <f t="shared" si="47"/>
        <v/>
      </c>
      <c r="O385" s="73" t="str">
        <f t="shared" si="48"/>
        <v/>
      </c>
      <c r="P385" s="65" t="str">
        <f t="shared" ca="1" si="49"/>
        <v/>
      </c>
      <c r="Q385" s="2"/>
      <c r="R385" s="2"/>
      <c r="S385" s="1" t="str">
        <f t="shared" si="42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43"/>
        <v>0</v>
      </c>
      <c r="W385" s="1" t="str">
        <f t="shared" si="44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customHeight="1" x14ac:dyDescent="0.3">
      <c r="A386" s="2"/>
      <c r="B386" s="65" t="str">
        <f t="shared" si="45"/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 t="shared" si="46"/>
        <v/>
      </c>
      <c r="N386" s="74" t="str">
        <f t="shared" si="47"/>
        <v/>
      </c>
      <c r="O386" s="73" t="str">
        <f t="shared" si="48"/>
        <v/>
      </c>
      <c r="P386" s="65" t="str">
        <f t="shared" ca="1" si="49"/>
        <v/>
      </c>
      <c r="Q386" s="2"/>
      <c r="R386" s="2"/>
      <c r="S386" s="1" t="str">
        <f t="shared" si="42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43"/>
        <v>0</v>
      </c>
      <c r="W386" s="1" t="str">
        <f t="shared" si="44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customHeight="1" x14ac:dyDescent="0.3">
      <c r="A387" s="2"/>
      <c r="B387" s="65" t="str">
        <f t="shared" si="45"/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 t="shared" si="46"/>
        <v/>
      </c>
      <c r="N387" s="74" t="str">
        <f t="shared" si="47"/>
        <v/>
      </c>
      <c r="O387" s="73" t="str">
        <f t="shared" si="48"/>
        <v/>
      </c>
      <c r="P387" s="65" t="str">
        <f t="shared" ca="1" si="49"/>
        <v/>
      </c>
      <c r="Q387" s="2"/>
      <c r="R387" s="2"/>
      <c r="S387" s="1" t="str">
        <f t="shared" si="42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43"/>
        <v>0</v>
      </c>
      <c r="W387" s="1" t="str">
        <f t="shared" si="44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customHeight="1" x14ac:dyDescent="0.3">
      <c r="A388" s="2"/>
      <c r="B388" s="65" t="str">
        <f t="shared" si="45"/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 t="shared" si="46"/>
        <v/>
      </c>
      <c r="N388" s="74" t="str">
        <f t="shared" si="47"/>
        <v/>
      </c>
      <c r="O388" s="73" t="str">
        <f t="shared" si="48"/>
        <v/>
      </c>
      <c r="P388" s="65" t="str">
        <f t="shared" ca="1" si="49"/>
        <v/>
      </c>
      <c r="Q388" s="2"/>
      <c r="R388" s="2"/>
      <c r="S388" s="1" t="str">
        <f t="shared" si="42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43"/>
        <v>0</v>
      </c>
      <c r="W388" s="1" t="str">
        <f t="shared" si="44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customHeight="1" x14ac:dyDescent="0.3">
      <c r="A389" s="2"/>
      <c r="B389" s="65" t="str">
        <f t="shared" si="45"/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 t="shared" si="46"/>
        <v/>
      </c>
      <c r="N389" s="74" t="str">
        <f t="shared" si="47"/>
        <v/>
      </c>
      <c r="O389" s="73" t="str">
        <f t="shared" si="48"/>
        <v/>
      </c>
      <c r="P389" s="65" t="str">
        <f t="shared" ca="1" si="49"/>
        <v/>
      </c>
      <c r="Q389" s="2"/>
      <c r="R389" s="2"/>
      <c r="S389" s="1" t="str">
        <f t="shared" ref="S389:S452" si="50"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ref="V389:V452" si="51">IF($T389="",0,1)</f>
        <v>0</v>
      </c>
      <c r="W389" s="1" t="str">
        <f t="shared" ref="W389:W452" si="52">IF($C389="","",$D389&amp;"|"&amp;$E389&amp;"|"&amp;TEXT($C389,"0")&amp;"|"&amp;TEXT($G389,"0")&amp;"|"&amp;$F389&amp;"|"&amp;$J389)</f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customHeight="1" x14ac:dyDescent="0.3">
      <c r="A390" s="2"/>
      <c r="B390" s="65" t="str">
        <f t="shared" si="45"/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 t="shared" si="46"/>
        <v/>
      </c>
      <c r="N390" s="74" t="str">
        <f t="shared" si="47"/>
        <v/>
      </c>
      <c r="O390" s="73" t="str">
        <f t="shared" si="48"/>
        <v/>
      </c>
      <c r="P390" s="65" t="str">
        <f t="shared" ca="1" si="49"/>
        <v/>
      </c>
      <c r="Q390" s="2"/>
      <c r="R390" s="2"/>
      <c r="S390" s="1" t="str">
        <f t="shared" si="50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51"/>
        <v>0</v>
      </c>
      <c r="W390" s="1" t="str">
        <f t="shared" si="52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customHeight="1" x14ac:dyDescent="0.3">
      <c r="A391" s="2"/>
      <c r="B391" s="65" t="str">
        <f t="shared" ref="B391:B454" si="53"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 t="shared" ref="M391:M454" si="54">IF($C391="","",IF($D391="Gider",$E391,IF($L391&lt;&gt;"",$L391,$H391)))</f>
        <v/>
      </c>
      <c r="N391" s="74" t="str">
        <f t="shared" ref="N391:N454" si="55">IF($C391="","",IF($D391="Gider",$H391,$E391))</f>
        <v/>
      </c>
      <c r="O391" s="73" t="str">
        <f t="shared" ref="O391:O454" si="56">IF($C391="","",DATE(YEAR($C391),MONTH($C391),1))</f>
        <v/>
      </c>
      <c r="P391" s="65" t="str">
        <f t="shared" ref="P391:P454" ca="1" si="57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TARİH",IF(COUNTIF($W$7:$W$3001,$W391)&gt;1,"MÜKERRER?",IF($AD391&gt;0,"KAPALI DÖNEM",IF($I391="Hayır","ÖDENECEK","UYGUN")))),"EKSİK"))))</f>
        <v/>
      </c>
      <c r="Q391" s="2"/>
      <c r="R391" s="2"/>
      <c r="S391" s="1" t="str">
        <f t="shared" si="50"/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si="51"/>
        <v>0</v>
      </c>
      <c r="W391" s="1" t="str">
        <f t="shared" si="52"/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customHeight="1" x14ac:dyDescent="0.3">
      <c r="A392" s="2"/>
      <c r="B392" s="65" t="str">
        <f t="shared" si="53"/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 t="shared" si="54"/>
        <v/>
      </c>
      <c r="N392" s="74" t="str">
        <f t="shared" si="55"/>
        <v/>
      </c>
      <c r="O392" s="73" t="str">
        <f t="shared" si="56"/>
        <v/>
      </c>
      <c r="P392" s="65" t="str">
        <f t="shared" ca="1" si="57"/>
        <v/>
      </c>
      <c r="Q392" s="2"/>
      <c r="R392" s="2"/>
      <c r="S392" s="1" t="str">
        <f t="shared" si="50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51"/>
        <v>0</v>
      </c>
      <c r="W392" s="1" t="str">
        <f t="shared" si="52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customHeight="1" x14ac:dyDescent="0.3">
      <c r="A393" s="2"/>
      <c r="B393" s="65" t="str">
        <f t="shared" si="53"/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 t="shared" si="54"/>
        <v/>
      </c>
      <c r="N393" s="74" t="str">
        <f t="shared" si="55"/>
        <v/>
      </c>
      <c r="O393" s="73" t="str">
        <f t="shared" si="56"/>
        <v/>
      </c>
      <c r="P393" s="65" t="str">
        <f t="shared" ca="1" si="57"/>
        <v/>
      </c>
      <c r="Q393" s="2"/>
      <c r="R393" s="2"/>
      <c r="S393" s="1" t="str">
        <f t="shared" si="50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51"/>
        <v>0</v>
      </c>
      <c r="W393" s="1" t="str">
        <f t="shared" si="52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customHeight="1" x14ac:dyDescent="0.3">
      <c r="A394" s="2"/>
      <c r="B394" s="65" t="str">
        <f t="shared" si="53"/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 t="shared" si="54"/>
        <v/>
      </c>
      <c r="N394" s="74" t="str">
        <f t="shared" si="55"/>
        <v/>
      </c>
      <c r="O394" s="73" t="str">
        <f t="shared" si="56"/>
        <v/>
      </c>
      <c r="P394" s="65" t="str">
        <f t="shared" ca="1" si="57"/>
        <v/>
      </c>
      <c r="Q394" s="2"/>
      <c r="R394" s="2"/>
      <c r="S394" s="1" t="str">
        <f t="shared" si="50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51"/>
        <v>0</v>
      </c>
      <c r="W394" s="1" t="str">
        <f t="shared" si="52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customHeight="1" x14ac:dyDescent="0.3">
      <c r="A395" s="2"/>
      <c r="B395" s="65" t="str">
        <f t="shared" si="53"/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 t="shared" si="54"/>
        <v/>
      </c>
      <c r="N395" s="74" t="str">
        <f t="shared" si="55"/>
        <v/>
      </c>
      <c r="O395" s="73" t="str">
        <f t="shared" si="56"/>
        <v/>
      </c>
      <c r="P395" s="65" t="str">
        <f t="shared" ca="1" si="57"/>
        <v/>
      </c>
      <c r="Q395" s="2"/>
      <c r="R395" s="2"/>
      <c r="S395" s="1" t="str">
        <f t="shared" si="50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51"/>
        <v>0</v>
      </c>
      <c r="W395" s="1" t="str">
        <f t="shared" si="52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customHeight="1" x14ac:dyDescent="0.3">
      <c r="A396" s="2"/>
      <c r="B396" s="65" t="str">
        <f t="shared" si="53"/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 t="shared" si="54"/>
        <v/>
      </c>
      <c r="N396" s="74" t="str">
        <f t="shared" si="55"/>
        <v/>
      </c>
      <c r="O396" s="73" t="str">
        <f t="shared" si="56"/>
        <v/>
      </c>
      <c r="P396" s="65" t="str">
        <f t="shared" ca="1" si="57"/>
        <v/>
      </c>
      <c r="Q396" s="2"/>
      <c r="R396" s="2"/>
      <c r="S396" s="1" t="str">
        <f t="shared" si="50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51"/>
        <v>0</v>
      </c>
      <c r="W396" s="1" t="str">
        <f t="shared" si="52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customHeight="1" x14ac:dyDescent="0.3">
      <c r="A397" s="2"/>
      <c r="B397" s="65" t="str">
        <f t="shared" si="53"/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 t="shared" si="54"/>
        <v/>
      </c>
      <c r="N397" s="74" t="str">
        <f t="shared" si="55"/>
        <v/>
      </c>
      <c r="O397" s="73" t="str">
        <f t="shared" si="56"/>
        <v/>
      </c>
      <c r="P397" s="65" t="str">
        <f t="shared" ca="1" si="57"/>
        <v/>
      </c>
      <c r="Q397" s="2"/>
      <c r="R397" s="2"/>
      <c r="S397" s="1" t="str">
        <f t="shared" si="50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51"/>
        <v>0</v>
      </c>
      <c r="W397" s="1" t="str">
        <f t="shared" si="52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customHeight="1" x14ac:dyDescent="0.3">
      <c r="A398" s="2"/>
      <c r="B398" s="65" t="str">
        <f t="shared" si="53"/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 t="shared" si="54"/>
        <v/>
      </c>
      <c r="N398" s="74" t="str">
        <f t="shared" si="55"/>
        <v/>
      </c>
      <c r="O398" s="73" t="str">
        <f t="shared" si="56"/>
        <v/>
      </c>
      <c r="P398" s="65" t="str">
        <f t="shared" ca="1" si="57"/>
        <v/>
      </c>
      <c r="Q398" s="2"/>
      <c r="R398" s="2"/>
      <c r="S398" s="1" t="str">
        <f t="shared" si="50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51"/>
        <v>0</v>
      </c>
      <c r="W398" s="1" t="str">
        <f t="shared" si="52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customHeight="1" x14ac:dyDescent="0.3">
      <c r="A399" s="2"/>
      <c r="B399" s="65" t="str">
        <f t="shared" si="53"/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 t="shared" si="54"/>
        <v/>
      </c>
      <c r="N399" s="74" t="str">
        <f t="shared" si="55"/>
        <v/>
      </c>
      <c r="O399" s="73" t="str">
        <f t="shared" si="56"/>
        <v/>
      </c>
      <c r="P399" s="65" t="str">
        <f t="shared" ca="1" si="57"/>
        <v/>
      </c>
      <c r="Q399" s="2"/>
      <c r="R399" s="2"/>
      <c r="S399" s="1" t="str">
        <f t="shared" si="50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51"/>
        <v>0</v>
      </c>
      <c r="W399" s="1" t="str">
        <f t="shared" si="52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customHeight="1" x14ac:dyDescent="0.3">
      <c r="A400" s="2"/>
      <c r="B400" s="65" t="str">
        <f t="shared" si="53"/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 t="shared" si="54"/>
        <v/>
      </c>
      <c r="N400" s="74" t="str">
        <f t="shared" si="55"/>
        <v/>
      </c>
      <c r="O400" s="73" t="str">
        <f t="shared" si="56"/>
        <v/>
      </c>
      <c r="P400" s="65" t="str">
        <f t="shared" ca="1" si="57"/>
        <v/>
      </c>
      <c r="Q400" s="2"/>
      <c r="R400" s="2"/>
      <c r="S400" s="1" t="str">
        <f t="shared" si="50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51"/>
        <v>0</v>
      </c>
      <c r="W400" s="1" t="str">
        <f t="shared" si="52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customHeight="1" x14ac:dyDescent="0.3">
      <c r="A401" s="2"/>
      <c r="B401" s="65" t="str">
        <f t="shared" si="53"/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 t="shared" si="54"/>
        <v/>
      </c>
      <c r="N401" s="74" t="str">
        <f t="shared" si="55"/>
        <v/>
      </c>
      <c r="O401" s="73" t="str">
        <f t="shared" si="56"/>
        <v/>
      </c>
      <c r="P401" s="65" t="str">
        <f t="shared" ca="1" si="57"/>
        <v/>
      </c>
      <c r="Q401" s="2"/>
      <c r="R401" s="2"/>
      <c r="S401" s="1" t="str">
        <f t="shared" si="50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51"/>
        <v>0</v>
      </c>
      <c r="W401" s="1" t="str">
        <f t="shared" si="52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customHeight="1" x14ac:dyDescent="0.3">
      <c r="A402" s="2"/>
      <c r="B402" s="65" t="str">
        <f t="shared" si="53"/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 t="shared" si="54"/>
        <v/>
      </c>
      <c r="N402" s="74" t="str">
        <f t="shared" si="55"/>
        <v/>
      </c>
      <c r="O402" s="73" t="str">
        <f t="shared" si="56"/>
        <v/>
      </c>
      <c r="P402" s="65" t="str">
        <f t="shared" ca="1" si="57"/>
        <v/>
      </c>
      <c r="Q402" s="2"/>
      <c r="R402" s="2"/>
      <c r="S402" s="1" t="str">
        <f t="shared" si="50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51"/>
        <v>0</v>
      </c>
      <c r="W402" s="1" t="str">
        <f t="shared" si="52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customHeight="1" x14ac:dyDescent="0.3">
      <c r="A403" s="2"/>
      <c r="B403" s="65" t="str">
        <f t="shared" si="53"/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 t="shared" si="54"/>
        <v/>
      </c>
      <c r="N403" s="74" t="str">
        <f t="shared" si="55"/>
        <v/>
      </c>
      <c r="O403" s="73" t="str">
        <f t="shared" si="56"/>
        <v/>
      </c>
      <c r="P403" s="65" t="str">
        <f t="shared" ca="1" si="57"/>
        <v/>
      </c>
      <c r="Q403" s="2"/>
      <c r="R403" s="2"/>
      <c r="S403" s="1" t="str">
        <f t="shared" si="50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51"/>
        <v>0</v>
      </c>
      <c r="W403" s="1" t="str">
        <f t="shared" si="52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customHeight="1" x14ac:dyDescent="0.3">
      <c r="A404" s="2"/>
      <c r="B404" s="65" t="str">
        <f t="shared" si="53"/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 t="shared" si="54"/>
        <v/>
      </c>
      <c r="N404" s="74" t="str">
        <f t="shared" si="55"/>
        <v/>
      </c>
      <c r="O404" s="73" t="str">
        <f t="shared" si="56"/>
        <v/>
      </c>
      <c r="P404" s="65" t="str">
        <f t="shared" ca="1" si="57"/>
        <v/>
      </c>
      <c r="Q404" s="2"/>
      <c r="R404" s="2"/>
      <c r="S404" s="1" t="str">
        <f t="shared" si="50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51"/>
        <v>0</v>
      </c>
      <c r="W404" s="1" t="str">
        <f t="shared" si="52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customHeight="1" x14ac:dyDescent="0.3">
      <c r="A405" s="2"/>
      <c r="B405" s="65" t="str">
        <f t="shared" si="53"/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 t="shared" si="54"/>
        <v/>
      </c>
      <c r="N405" s="74" t="str">
        <f t="shared" si="55"/>
        <v/>
      </c>
      <c r="O405" s="73" t="str">
        <f t="shared" si="56"/>
        <v/>
      </c>
      <c r="P405" s="65" t="str">
        <f t="shared" ca="1" si="57"/>
        <v/>
      </c>
      <c r="Q405" s="2"/>
      <c r="R405" s="2"/>
      <c r="S405" s="1" t="str">
        <f t="shared" si="50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51"/>
        <v>0</v>
      </c>
      <c r="W405" s="1" t="str">
        <f t="shared" si="52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customHeight="1" x14ac:dyDescent="0.3">
      <c r="A406" s="2"/>
      <c r="B406" s="65" t="str">
        <f t="shared" si="53"/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 t="shared" si="54"/>
        <v/>
      </c>
      <c r="N406" s="74" t="str">
        <f t="shared" si="55"/>
        <v/>
      </c>
      <c r="O406" s="73" t="str">
        <f t="shared" si="56"/>
        <v/>
      </c>
      <c r="P406" s="65" t="str">
        <f t="shared" ca="1" si="57"/>
        <v/>
      </c>
      <c r="Q406" s="2"/>
      <c r="R406" s="2"/>
      <c r="S406" s="1" t="str">
        <f t="shared" si="50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51"/>
        <v>0</v>
      </c>
      <c r="W406" s="1" t="str">
        <f t="shared" si="52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customHeight="1" x14ac:dyDescent="0.3">
      <c r="A407" s="2"/>
      <c r="B407" s="65" t="str">
        <f t="shared" si="53"/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 t="shared" si="54"/>
        <v/>
      </c>
      <c r="N407" s="74" t="str">
        <f t="shared" si="55"/>
        <v/>
      </c>
      <c r="O407" s="73" t="str">
        <f t="shared" si="56"/>
        <v/>
      </c>
      <c r="P407" s="65" t="str">
        <f t="shared" ca="1" si="57"/>
        <v/>
      </c>
      <c r="Q407" s="2"/>
      <c r="R407" s="2"/>
      <c r="S407" s="1" t="str">
        <f t="shared" si="50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51"/>
        <v>0</v>
      </c>
      <c r="W407" s="1" t="str">
        <f t="shared" si="52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customHeight="1" x14ac:dyDescent="0.3">
      <c r="A408" s="2"/>
      <c r="B408" s="65" t="str">
        <f t="shared" si="53"/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 t="shared" si="54"/>
        <v/>
      </c>
      <c r="N408" s="74" t="str">
        <f t="shared" si="55"/>
        <v/>
      </c>
      <c r="O408" s="73" t="str">
        <f t="shared" si="56"/>
        <v/>
      </c>
      <c r="P408" s="65" t="str">
        <f t="shared" ca="1" si="57"/>
        <v/>
      </c>
      <c r="Q408" s="2"/>
      <c r="R408" s="2"/>
      <c r="S408" s="1" t="str">
        <f t="shared" si="50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51"/>
        <v>0</v>
      </c>
      <c r="W408" s="1" t="str">
        <f t="shared" si="52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customHeight="1" x14ac:dyDescent="0.3">
      <c r="A409" s="2"/>
      <c r="B409" s="65" t="str">
        <f t="shared" si="53"/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 t="shared" si="54"/>
        <v/>
      </c>
      <c r="N409" s="74" t="str">
        <f t="shared" si="55"/>
        <v/>
      </c>
      <c r="O409" s="73" t="str">
        <f t="shared" si="56"/>
        <v/>
      </c>
      <c r="P409" s="65" t="str">
        <f t="shared" ca="1" si="57"/>
        <v/>
      </c>
      <c r="Q409" s="2"/>
      <c r="R409" s="2"/>
      <c r="S409" s="1" t="str">
        <f t="shared" si="50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51"/>
        <v>0</v>
      </c>
      <c r="W409" s="1" t="str">
        <f t="shared" si="52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customHeight="1" x14ac:dyDescent="0.3">
      <c r="A410" s="2"/>
      <c r="B410" s="65" t="str">
        <f t="shared" si="53"/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 t="shared" si="54"/>
        <v/>
      </c>
      <c r="N410" s="74" t="str">
        <f t="shared" si="55"/>
        <v/>
      </c>
      <c r="O410" s="73" t="str">
        <f t="shared" si="56"/>
        <v/>
      </c>
      <c r="P410" s="65" t="str">
        <f t="shared" ca="1" si="57"/>
        <v/>
      </c>
      <c r="Q410" s="2"/>
      <c r="R410" s="2"/>
      <c r="S410" s="1" t="str">
        <f t="shared" si="50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51"/>
        <v>0</v>
      </c>
      <c r="W410" s="1" t="str">
        <f t="shared" si="52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customHeight="1" x14ac:dyDescent="0.3">
      <c r="A411" s="2"/>
      <c r="B411" s="65" t="str">
        <f t="shared" si="53"/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 t="shared" si="54"/>
        <v/>
      </c>
      <c r="N411" s="74" t="str">
        <f t="shared" si="55"/>
        <v/>
      </c>
      <c r="O411" s="73" t="str">
        <f t="shared" si="56"/>
        <v/>
      </c>
      <c r="P411" s="65" t="str">
        <f t="shared" ca="1" si="57"/>
        <v/>
      </c>
      <c r="Q411" s="2"/>
      <c r="R411" s="2"/>
      <c r="S411" s="1" t="str">
        <f t="shared" si="50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51"/>
        <v>0</v>
      </c>
      <c r="W411" s="1" t="str">
        <f t="shared" si="52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customHeight="1" x14ac:dyDescent="0.3">
      <c r="A412" s="2"/>
      <c r="B412" s="65" t="str">
        <f t="shared" si="53"/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 t="shared" si="54"/>
        <v/>
      </c>
      <c r="N412" s="74" t="str">
        <f t="shared" si="55"/>
        <v/>
      </c>
      <c r="O412" s="73" t="str">
        <f t="shared" si="56"/>
        <v/>
      </c>
      <c r="P412" s="65" t="str">
        <f t="shared" ca="1" si="57"/>
        <v/>
      </c>
      <c r="Q412" s="2"/>
      <c r="R412" s="2"/>
      <c r="S412" s="1" t="str">
        <f t="shared" si="50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51"/>
        <v>0</v>
      </c>
      <c r="W412" s="1" t="str">
        <f t="shared" si="52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customHeight="1" x14ac:dyDescent="0.3">
      <c r="A413" s="2"/>
      <c r="B413" s="65" t="str">
        <f t="shared" si="53"/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 t="shared" si="54"/>
        <v/>
      </c>
      <c r="N413" s="74" t="str">
        <f t="shared" si="55"/>
        <v/>
      </c>
      <c r="O413" s="73" t="str">
        <f t="shared" si="56"/>
        <v/>
      </c>
      <c r="P413" s="65" t="str">
        <f t="shared" ca="1" si="57"/>
        <v/>
      </c>
      <c r="Q413" s="2"/>
      <c r="R413" s="2"/>
      <c r="S413" s="1" t="str">
        <f t="shared" si="50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51"/>
        <v>0</v>
      </c>
      <c r="W413" s="1" t="str">
        <f t="shared" si="52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customHeight="1" x14ac:dyDescent="0.3">
      <c r="A414" s="2"/>
      <c r="B414" s="65" t="str">
        <f t="shared" si="53"/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 t="shared" si="54"/>
        <v/>
      </c>
      <c r="N414" s="74" t="str">
        <f t="shared" si="55"/>
        <v/>
      </c>
      <c r="O414" s="73" t="str">
        <f t="shared" si="56"/>
        <v/>
      </c>
      <c r="P414" s="65" t="str">
        <f t="shared" ca="1" si="57"/>
        <v/>
      </c>
      <c r="Q414" s="2"/>
      <c r="R414" s="2"/>
      <c r="S414" s="1" t="str">
        <f t="shared" si="50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51"/>
        <v>0</v>
      </c>
      <c r="W414" s="1" t="str">
        <f t="shared" si="52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customHeight="1" x14ac:dyDescent="0.3">
      <c r="A415" s="2"/>
      <c r="B415" s="65" t="str">
        <f t="shared" si="53"/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 t="shared" si="54"/>
        <v/>
      </c>
      <c r="N415" s="74" t="str">
        <f t="shared" si="55"/>
        <v/>
      </c>
      <c r="O415" s="73" t="str">
        <f t="shared" si="56"/>
        <v/>
      </c>
      <c r="P415" s="65" t="str">
        <f t="shared" ca="1" si="57"/>
        <v/>
      </c>
      <c r="Q415" s="2"/>
      <c r="R415" s="2"/>
      <c r="S415" s="1" t="str">
        <f t="shared" si="50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51"/>
        <v>0</v>
      </c>
      <c r="W415" s="1" t="str">
        <f t="shared" si="52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customHeight="1" x14ac:dyDescent="0.3">
      <c r="A416" s="2"/>
      <c r="B416" s="65" t="str">
        <f t="shared" si="53"/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 t="shared" si="54"/>
        <v/>
      </c>
      <c r="N416" s="74" t="str">
        <f t="shared" si="55"/>
        <v/>
      </c>
      <c r="O416" s="73" t="str">
        <f t="shared" si="56"/>
        <v/>
      </c>
      <c r="P416" s="65" t="str">
        <f t="shared" ca="1" si="57"/>
        <v/>
      </c>
      <c r="Q416" s="2"/>
      <c r="R416" s="2"/>
      <c r="S416" s="1" t="str">
        <f t="shared" si="50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51"/>
        <v>0</v>
      </c>
      <c r="W416" s="1" t="str">
        <f t="shared" si="52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customHeight="1" x14ac:dyDescent="0.3">
      <c r="A417" s="2"/>
      <c r="B417" s="65" t="str">
        <f t="shared" si="53"/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 t="shared" si="54"/>
        <v/>
      </c>
      <c r="N417" s="74" t="str">
        <f t="shared" si="55"/>
        <v/>
      </c>
      <c r="O417" s="73" t="str">
        <f t="shared" si="56"/>
        <v/>
      </c>
      <c r="P417" s="65" t="str">
        <f t="shared" ca="1" si="57"/>
        <v/>
      </c>
      <c r="Q417" s="2"/>
      <c r="R417" s="2"/>
      <c r="S417" s="1" t="str">
        <f t="shared" si="50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51"/>
        <v>0</v>
      </c>
      <c r="W417" s="1" t="str">
        <f t="shared" si="52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customHeight="1" x14ac:dyDescent="0.3">
      <c r="A418" s="2"/>
      <c r="B418" s="65" t="str">
        <f t="shared" si="53"/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 t="shared" si="54"/>
        <v/>
      </c>
      <c r="N418" s="74" t="str">
        <f t="shared" si="55"/>
        <v/>
      </c>
      <c r="O418" s="73" t="str">
        <f t="shared" si="56"/>
        <v/>
      </c>
      <c r="P418" s="65" t="str">
        <f t="shared" ca="1" si="57"/>
        <v/>
      </c>
      <c r="Q418" s="2"/>
      <c r="R418" s="2"/>
      <c r="S418" s="1" t="str">
        <f t="shared" si="50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51"/>
        <v>0</v>
      </c>
      <c r="W418" s="1" t="str">
        <f t="shared" si="52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customHeight="1" x14ac:dyDescent="0.3">
      <c r="A419" s="2"/>
      <c r="B419" s="65" t="str">
        <f t="shared" si="53"/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 t="shared" si="54"/>
        <v/>
      </c>
      <c r="N419" s="74" t="str">
        <f t="shared" si="55"/>
        <v/>
      </c>
      <c r="O419" s="73" t="str">
        <f t="shared" si="56"/>
        <v/>
      </c>
      <c r="P419" s="65" t="str">
        <f t="shared" ca="1" si="57"/>
        <v/>
      </c>
      <c r="Q419" s="2"/>
      <c r="R419" s="2"/>
      <c r="S419" s="1" t="str">
        <f t="shared" si="50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51"/>
        <v>0</v>
      </c>
      <c r="W419" s="1" t="str">
        <f t="shared" si="52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customHeight="1" x14ac:dyDescent="0.3">
      <c r="A420" s="2"/>
      <c r="B420" s="65" t="str">
        <f t="shared" si="53"/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 t="shared" si="54"/>
        <v/>
      </c>
      <c r="N420" s="74" t="str">
        <f t="shared" si="55"/>
        <v/>
      </c>
      <c r="O420" s="73" t="str">
        <f t="shared" si="56"/>
        <v/>
      </c>
      <c r="P420" s="65" t="str">
        <f t="shared" ca="1" si="57"/>
        <v/>
      </c>
      <c r="Q420" s="2"/>
      <c r="R420" s="2"/>
      <c r="S420" s="1" t="str">
        <f t="shared" si="50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51"/>
        <v>0</v>
      </c>
      <c r="W420" s="1" t="str">
        <f t="shared" si="52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customHeight="1" x14ac:dyDescent="0.3">
      <c r="A421" s="2"/>
      <c r="B421" s="65" t="str">
        <f t="shared" si="53"/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 t="shared" si="54"/>
        <v/>
      </c>
      <c r="N421" s="74" t="str">
        <f t="shared" si="55"/>
        <v/>
      </c>
      <c r="O421" s="73" t="str">
        <f t="shared" si="56"/>
        <v/>
      </c>
      <c r="P421" s="65" t="str">
        <f t="shared" ca="1" si="57"/>
        <v/>
      </c>
      <c r="Q421" s="2"/>
      <c r="R421" s="2"/>
      <c r="S421" s="1" t="str">
        <f t="shared" si="50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51"/>
        <v>0</v>
      </c>
      <c r="W421" s="1" t="str">
        <f t="shared" si="52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customHeight="1" x14ac:dyDescent="0.3">
      <c r="A422" s="2"/>
      <c r="B422" s="65" t="str">
        <f t="shared" si="53"/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 t="shared" si="54"/>
        <v/>
      </c>
      <c r="N422" s="74" t="str">
        <f t="shared" si="55"/>
        <v/>
      </c>
      <c r="O422" s="73" t="str">
        <f t="shared" si="56"/>
        <v/>
      </c>
      <c r="P422" s="65" t="str">
        <f t="shared" ca="1" si="57"/>
        <v/>
      </c>
      <c r="Q422" s="2"/>
      <c r="R422" s="2"/>
      <c r="S422" s="1" t="str">
        <f t="shared" si="50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51"/>
        <v>0</v>
      </c>
      <c r="W422" s="1" t="str">
        <f t="shared" si="52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customHeight="1" x14ac:dyDescent="0.3">
      <c r="A423" s="2"/>
      <c r="B423" s="65" t="str">
        <f t="shared" si="53"/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 t="shared" si="54"/>
        <v/>
      </c>
      <c r="N423" s="74" t="str">
        <f t="shared" si="55"/>
        <v/>
      </c>
      <c r="O423" s="73" t="str">
        <f t="shared" si="56"/>
        <v/>
      </c>
      <c r="P423" s="65" t="str">
        <f t="shared" ca="1" si="57"/>
        <v/>
      </c>
      <c r="Q423" s="2"/>
      <c r="R423" s="2"/>
      <c r="S423" s="1" t="str">
        <f t="shared" si="50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51"/>
        <v>0</v>
      </c>
      <c r="W423" s="1" t="str">
        <f t="shared" si="52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customHeight="1" x14ac:dyDescent="0.3">
      <c r="A424" s="2"/>
      <c r="B424" s="65" t="str">
        <f t="shared" si="53"/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 t="shared" si="54"/>
        <v/>
      </c>
      <c r="N424" s="74" t="str">
        <f t="shared" si="55"/>
        <v/>
      </c>
      <c r="O424" s="73" t="str">
        <f t="shared" si="56"/>
        <v/>
      </c>
      <c r="P424" s="65" t="str">
        <f t="shared" ca="1" si="57"/>
        <v/>
      </c>
      <c r="Q424" s="2"/>
      <c r="R424" s="2"/>
      <c r="S424" s="1" t="str">
        <f t="shared" si="50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51"/>
        <v>0</v>
      </c>
      <c r="W424" s="1" t="str">
        <f t="shared" si="52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customHeight="1" x14ac:dyDescent="0.3">
      <c r="A425" s="2"/>
      <c r="B425" s="65" t="str">
        <f t="shared" si="53"/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 t="shared" si="54"/>
        <v/>
      </c>
      <c r="N425" s="74" t="str">
        <f t="shared" si="55"/>
        <v/>
      </c>
      <c r="O425" s="73" t="str">
        <f t="shared" si="56"/>
        <v/>
      </c>
      <c r="P425" s="65" t="str">
        <f t="shared" ca="1" si="57"/>
        <v/>
      </c>
      <c r="Q425" s="2"/>
      <c r="R425" s="2"/>
      <c r="S425" s="1" t="str">
        <f t="shared" si="50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51"/>
        <v>0</v>
      </c>
      <c r="W425" s="1" t="str">
        <f t="shared" si="52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customHeight="1" x14ac:dyDescent="0.3">
      <c r="A426" s="2"/>
      <c r="B426" s="65" t="str">
        <f t="shared" si="53"/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 t="shared" si="54"/>
        <v/>
      </c>
      <c r="N426" s="74" t="str">
        <f t="shared" si="55"/>
        <v/>
      </c>
      <c r="O426" s="73" t="str">
        <f t="shared" si="56"/>
        <v/>
      </c>
      <c r="P426" s="65" t="str">
        <f t="shared" ca="1" si="57"/>
        <v/>
      </c>
      <c r="Q426" s="2"/>
      <c r="R426" s="2"/>
      <c r="S426" s="1" t="str">
        <f t="shared" si="50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51"/>
        <v>0</v>
      </c>
      <c r="W426" s="1" t="str">
        <f t="shared" si="52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customHeight="1" x14ac:dyDescent="0.3">
      <c r="A427" s="2"/>
      <c r="B427" s="65" t="str">
        <f t="shared" si="53"/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 t="shared" si="54"/>
        <v/>
      </c>
      <c r="N427" s="74" t="str">
        <f t="shared" si="55"/>
        <v/>
      </c>
      <c r="O427" s="73" t="str">
        <f t="shared" si="56"/>
        <v/>
      </c>
      <c r="P427" s="65" t="str">
        <f t="shared" ca="1" si="57"/>
        <v/>
      </c>
      <c r="Q427" s="2"/>
      <c r="R427" s="2"/>
      <c r="S427" s="1" t="str">
        <f t="shared" si="50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51"/>
        <v>0</v>
      </c>
      <c r="W427" s="1" t="str">
        <f t="shared" si="52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customHeight="1" x14ac:dyDescent="0.3">
      <c r="A428" s="2"/>
      <c r="B428" s="65" t="str">
        <f t="shared" si="53"/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 t="shared" si="54"/>
        <v/>
      </c>
      <c r="N428" s="74" t="str">
        <f t="shared" si="55"/>
        <v/>
      </c>
      <c r="O428" s="73" t="str">
        <f t="shared" si="56"/>
        <v/>
      </c>
      <c r="P428" s="65" t="str">
        <f t="shared" ca="1" si="57"/>
        <v/>
      </c>
      <c r="Q428" s="2"/>
      <c r="R428" s="2"/>
      <c r="S428" s="1" t="str">
        <f t="shared" si="50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51"/>
        <v>0</v>
      </c>
      <c r="W428" s="1" t="str">
        <f t="shared" si="52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customHeight="1" x14ac:dyDescent="0.3">
      <c r="A429" s="2"/>
      <c r="B429" s="65" t="str">
        <f t="shared" si="53"/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 t="shared" si="54"/>
        <v/>
      </c>
      <c r="N429" s="74" t="str">
        <f t="shared" si="55"/>
        <v/>
      </c>
      <c r="O429" s="73" t="str">
        <f t="shared" si="56"/>
        <v/>
      </c>
      <c r="P429" s="65" t="str">
        <f t="shared" ca="1" si="57"/>
        <v/>
      </c>
      <c r="Q429" s="2"/>
      <c r="R429" s="2"/>
      <c r="S429" s="1" t="str">
        <f t="shared" si="50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51"/>
        <v>0</v>
      </c>
      <c r="W429" s="1" t="str">
        <f t="shared" si="52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customHeight="1" x14ac:dyDescent="0.3">
      <c r="A430" s="2"/>
      <c r="B430" s="65" t="str">
        <f t="shared" si="53"/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 t="shared" si="54"/>
        <v/>
      </c>
      <c r="N430" s="74" t="str">
        <f t="shared" si="55"/>
        <v/>
      </c>
      <c r="O430" s="73" t="str">
        <f t="shared" si="56"/>
        <v/>
      </c>
      <c r="P430" s="65" t="str">
        <f t="shared" ca="1" si="57"/>
        <v/>
      </c>
      <c r="Q430" s="2"/>
      <c r="R430" s="2"/>
      <c r="S430" s="1" t="str">
        <f t="shared" si="50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51"/>
        <v>0</v>
      </c>
      <c r="W430" s="1" t="str">
        <f t="shared" si="52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customHeight="1" x14ac:dyDescent="0.3">
      <c r="A431" s="2"/>
      <c r="B431" s="65" t="str">
        <f t="shared" si="53"/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 t="shared" si="54"/>
        <v/>
      </c>
      <c r="N431" s="74" t="str">
        <f t="shared" si="55"/>
        <v/>
      </c>
      <c r="O431" s="73" t="str">
        <f t="shared" si="56"/>
        <v/>
      </c>
      <c r="P431" s="65" t="str">
        <f t="shared" ca="1" si="57"/>
        <v/>
      </c>
      <c r="Q431" s="2"/>
      <c r="R431" s="2"/>
      <c r="S431" s="1" t="str">
        <f t="shared" si="50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51"/>
        <v>0</v>
      </c>
      <c r="W431" s="1" t="str">
        <f t="shared" si="52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customHeight="1" x14ac:dyDescent="0.3">
      <c r="A432" s="2"/>
      <c r="B432" s="65" t="str">
        <f t="shared" si="53"/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 t="shared" si="54"/>
        <v/>
      </c>
      <c r="N432" s="74" t="str">
        <f t="shared" si="55"/>
        <v/>
      </c>
      <c r="O432" s="73" t="str">
        <f t="shared" si="56"/>
        <v/>
      </c>
      <c r="P432" s="65" t="str">
        <f t="shared" ca="1" si="57"/>
        <v/>
      </c>
      <c r="Q432" s="2"/>
      <c r="R432" s="2"/>
      <c r="S432" s="1" t="str">
        <f t="shared" si="50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51"/>
        <v>0</v>
      </c>
      <c r="W432" s="1" t="str">
        <f t="shared" si="52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customHeight="1" x14ac:dyDescent="0.3">
      <c r="A433" s="2"/>
      <c r="B433" s="65" t="str">
        <f t="shared" si="53"/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 t="shared" si="54"/>
        <v/>
      </c>
      <c r="N433" s="74" t="str">
        <f t="shared" si="55"/>
        <v/>
      </c>
      <c r="O433" s="73" t="str">
        <f t="shared" si="56"/>
        <v/>
      </c>
      <c r="P433" s="65" t="str">
        <f t="shared" ca="1" si="57"/>
        <v/>
      </c>
      <c r="Q433" s="2"/>
      <c r="R433" s="2"/>
      <c r="S433" s="1" t="str">
        <f t="shared" si="50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51"/>
        <v>0</v>
      </c>
      <c r="W433" s="1" t="str">
        <f t="shared" si="52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customHeight="1" x14ac:dyDescent="0.3">
      <c r="A434" s="2"/>
      <c r="B434" s="65" t="str">
        <f t="shared" si="53"/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 t="shared" si="54"/>
        <v/>
      </c>
      <c r="N434" s="74" t="str">
        <f t="shared" si="55"/>
        <v/>
      </c>
      <c r="O434" s="73" t="str">
        <f t="shared" si="56"/>
        <v/>
      </c>
      <c r="P434" s="65" t="str">
        <f t="shared" ca="1" si="57"/>
        <v/>
      </c>
      <c r="Q434" s="2"/>
      <c r="R434" s="2"/>
      <c r="S434" s="1" t="str">
        <f t="shared" si="50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51"/>
        <v>0</v>
      </c>
      <c r="W434" s="1" t="str">
        <f t="shared" si="52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customHeight="1" x14ac:dyDescent="0.3">
      <c r="A435" s="2"/>
      <c r="B435" s="65" t="str">
        <f t="shared" si="53"/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 t="shared" si="54"/>
        <v/>
      </c>
      <c r="N435" s="74" t="str">
        <f t="shared" si="55"/>
        <v/>
      </c>
      <c r="O435" s="73" t="str">
        <f t="shared" si="56"/>
        <v/>
      </c>
      <c r="P435" s="65" t="str">
        <f t="shared" ca="1" si="57"/>
        <v/>
      </c>
      <c r="Q435" s="2"/>
      <c r="R435" s="2"/>
      <c r="S435" s="1" t="str">
        <f t="shared" si="50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51"/>
        <v>0</v>
      </c>
      <c r="W435" s="1" t="str">
        <f t="shared" si="52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customHeight="1" x14ac:dyDescent="0.3">
      <c r="A436" s="2"/>
      <c r="B436" s="65" t="str">
        <f t="shared" si="53"/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 t="shared" si="54"/>
        <v/>
      </c>
      <c r="N436" s="74" t="str">
        <f t="shared" si="55"/>
        <v/>
      </c>
      <c r="O436" s="73" t="str">
        <f t="shared" si="56"/>
        <v/>
      </c>
      <c r="P436" s="65" t="str">
        <f t="shared" ca="1" si="57"/>
        <v/>
      </c>
      <c r="Q436" s="2"/>
      <c r="R436" s="2"/>
      <c r="S436" s="1" t="str">
        <f t="shared" si="50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51"/>
        <v>0</v>
      </c>
      <c r="W436" s="1" t="str">
        <f t="shared" si="52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customHeight="1" x14ac:dyDescent="0.3">
      <c r="A437" s="2"/>
      <c r="B437" s="65" t="str">
        <f t="shared" si="53"/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 t="shared" si="54"/>
        <v/>
      </c>
      <c r="N437" s="74" t="str">
        <f t="shared" si="55"/>
        <v/>
      </c>
      <c r="O437" s="73" t="str">
        <f t="shared" si="56"/>
        <v/>
      </c>
      <c r="P437" s="65" t="str">
        <f t="shared" ca="1" si="57"/>
        <v/>
      </c>
      <c r="Q437" s="2"/>
      <c r="R437" s="2"/>
      <c r="S437" s="1" t="str">
        <f t="shared" si="50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51"/>
        <v>0</v>
      </c>
      <c r="W437" s="1" t="str">
        <f t="shared" si="52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customHeight="1" x14ac:dyDescent="0.3">
      <c r="A438" s="2"/>
      <c r="B438" s="65" t="str">
        <f t="shared" si="53"/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 t="shared" si="54"/>
        <v/>
      </c>
      <c r="N438" s="74" t="str">
        <f t="shared" si="55"/>
        <v/>
      </c>
      <c r="O438" s="73" t="str">
        <f t="shared" si="56"/>
        <v/>
      </c>
      <c r="P438" s="65" t="str">
        <f t="shared" ca="1" si="57"/>
        <v/>
      </c>
      <c r="Q438" s="2"/>
      <c r="R438" s="2"/>
      <c r="S438" s="1" t="str">
        <f t="shared" si="50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51"/>
        <v>0</v>
      </c>
      <c r="W438" s="1" t="str">
        <f t="shared" si="52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customHeight="1" x14ac:dyDescent="0.3">
      <c r="A439" s="2"/>
      <c r="B439" s="65" t="str">
        <f t="shared" si="53"/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 t="shared" si="54"/>
        <v/>
      </c>
      <c r="N439" s="74" t="str">
        <f t="shared" si="55"/>
        <v/>
      </c>
      <c r="O439" s="73" t="str">
        <f t="shared" si="56"/>
        <v/>
      </c>
      <c r="P439" s="65" t="str">
        <f t="shared" ca="1" si="57"/>
        <v/>
      </c>
      <c r="Q439" s="2"/>
      <c r="R439" s="2"/>
      <c r="S439" s="1" t="str">
        <f t="shared" si="50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51"/>
        <v>0</v>
      </c>
      <c r="W439" s="1" t="str">
        <f t="shared" si="52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customHeight="1" x14ac:dyDescent="0.3">
      <c r="A440" s="2"/>
      <c r="B440" s="65" t="str">
        <f t="shared" si="53"/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 t="shared" si="54"/>
        <v/>
      </c>
      <c r="N440" s="74" t="str">
        <f t="shared" si="55"/>
        <v/>
      </c>
      <c r="O440" s="73" t="str">
        <f t="shared" si="56"/>
        <v/>
      </c>
      <c r="P440" s="65" t="str">
        <f t="shared" ca="1" si="57"/>
        <v/>
      </c>
      <c r="Q440" s="2"/>
      <c r="R440" s="2"/>
      <c r="S440" s="1" t="str">
        <f t="shared" si="50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51"/>
        <v>0</v>
      </c>
      <c r="W440" s="1" t="str">
        <f t="shared" si="52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customHeight="1" x14ac:dyDescent="0.3">
      <c r="A441" s="2"/>
      <c r="B441" s="65" t="str">
        <f t="shared" si="53"/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 t="shared" si="54"/>
        <v/>
      </c>
      <c r="N441" s="74" t="str">
        <f t="shared" si="55"/>
        <v/>
      </c>
      <c r="O441" s="73" t="str">
        <f t="shared" si="56"/>
        <v/>
      </c>
      <c r="P441" s="65" t="str">
        <f t="shared" ca="1" si="57"/>
        <v/>
      </c>
      <c r="Q441" s="2"/>
      <c r="R441" s="2"/>
      <c r="S441" s="1" t="str">
        <f t="shared" si="50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51"/>
        <v>0</v>
      </c>
      <c r="W441" s="1" t="str">
        <f t="shared" si="52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customHeight="1" x14ac:dyDescent="0.3">
      <c r="A442" s="2"/>
      <c r="B442" s="65" t="str">
        <f t="shared" si="53"/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 t="shared" si="54"/>
        <v/>
      </c>
      <c r="N442" s="74" t="str">
        <f t="shared" si="55"/>
        <v/>
      </c>
      <c r="O442" s="73" t="str">
        <f t="shared" si="56"/>
        <v/>
      </c>
      <c r="P442" s="65" t="str">
        <f t="shared" ca="1" si="57"/>
        <v/>
      </c>
      <c r="Q442" s="2"/>
      <c r="R442" s="2"/>
      <c r="S442" s="1" t="str">
        <f t="shared" si="50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51"/>
        <v>0</v>
      </c>
      <c r="W442" s="1" t="str">
        <f t="shared" si="52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customHeight="1" x14ac:dyDescent="0.3">
      <c r="A443" s="2"/>
      <c r="B443" s="65" t="str">
        <f t="shared" si="53"/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 t="shared" si="54"/>
        <v/>
      </c>
      <c r="N443" s="74" t="str">
        <f t="shared" si="55"/>
        <v/>
      </c>
      <c r="O443" s="73" t="str">
        <f t="shared" si="56"/>
        <v/>
      </c>
      <c r="P443" s="65" t="str">
        <f t="shared" ca="1" si="57"/>
        <v/>
      </c>
      <c r="Q443" s="2"/>
      <c r="R443" s="2"/>
      <c r="S443" s="1" t="str">
        <f t="shared" si="50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51"/>
        <v>0</v>
      </c>
      <c r="W443" s="1" t="str">
        <f t="shared" si="52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customHeight="1" x14ac:dyDescent="0.3">
      <c r="A444" s="2"/>
      <c r="B444" s="65" t="str">
        <f t="shared" si="53"/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 t="shared" si="54"/>
        <v/>
      </c>
      <c r="N444" s="74" t="str">
        <f t="shared" si="55"/>
        <v/>
      </c>
      <c r="O444" s="73" t="str">
        <f t="shared" si="56"/>
        <v/>
      </c>
      <c r="P444" s="65" t="str">
        <f t="shared" ca="1" si="57"/>
        <v/>
      </c>
      <c r="Q444" s="2"/>
      <c r="R444" s="2"/>
      <c r="S444" s="1" t="str">
        <f t="shared" si="50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51"/>
        <v>0</v>
      </c>
      <c r="W444" s="1" t="str">
        <f t="shared" si="52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customHeight="1" x14ac:dyDescent="0.3">
      <c r="A445" s="2"/>
      <c r="B445" s="65" t="str">
        <f t="shared" si="53"/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 t="shared" si="54"/>
        <v/>
      </c>
      <c r="N445" s="74" t="str">
        <f t="shared" si="55"/>
        <v/>
      </c>
      <c r="O445" s="73" t="str">
        <f t="shared" si="56"/>
        <v/>
      </c>
      <c r="P445" s="65" t="str">
        <f t="shared" ca="1" si="57"/>
        <v/>
      </c>
      <c r="Q445" s="2"/>
      <c r="R445" s="2"/>
      <c r="S445" s="1" t="str">
        <f t="shared" si="50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51"/>
        <v>0</v>
      </c>
      <c r="W445" s="1" t="str">
        <f t="shared" si="52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customHeight="1" x14ac:dyDescent="0.3">
      <c r="A446" s="2"/>
      <c r="B446" s="65" t="str">
        <f t="shared" si="53"/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 t="shared" si="54"/>
        <v/>
      </c>
      <c r="N446" s="74" t="str">
        <f t="shared" si="55"/>
        <v/>
      </c>
      <c r="O446" s="73" t="str">
        <f t="shared" si="56"/>
        <v/>
      </c>
      <c r="P446" s="65" t="str">
        <f t="shared" ca="1" si="57"/>
        <v/>
      </c>
      <c r="Q446" s="2"/>
      <c r="R446" s="2"/>
      <c r="S446" s="1" t="str">
        <f t="shared" si="50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51"/>
        <v>0</v>
      </c>
      <c r="W446" s="1" t="str">
        <f t="shared" si="52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customHeight="1" x14ac:dyDescent="0.3">
      <c r="A447" s="2"/>
      <c r="B447" s="65" t="str">
        <f t="shared" si="53"/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 t="shared" si="54"/>
        <v/>
      </c>
      <c r="N447" s="74" t="str">
        <f t="shared" si="55"/>
        <v/>
      </c>
      <c r="O447" s="73" t="str">
        <f t="shared" si="56"/>
        <v/>
      </c>
      <c r="P447" s="65" t="str">
        <f t="shared" ca="1" si="57"/>
        <v/>
      </c>
      <c r="Q447" s="2"/>
      <c r="R447" s="2"/>
      <c r="S447" s="1" t="str">
        <f t="shared" si="50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51"/>
        <v>0</v>
      </c>
      <c r="W447" s="1" t="str">
        <f t="shared" si="52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customHeight="1" x14ac:dyDescent="0.3">
      <c r="A448" s="2"/>
      <c r="B448" s="65" t="str">
        <f t="shared" si="53"/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 t="shared" si="54"/>
        <v/>
      </c>
      <c r="N448" s="74" t="str">
        <f t="shared" si="55"/>
        <v/>
      </c>
      <c r="O448" s="73" t="str">
        <f t="shared" si="56"/>
        <v/>
      </c>
      <c r="P448" s="65" t="str">
        <f t="shared" ca="1" si="57"/>
        <v/>
      </c>
      <c r="Q448" s="2"/>
      <c r="R448" s="2"/>
      <c r="S448" s="1" t="str">
        <f t="shared" si="50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51"/>
        <v>0</v>
      </c>
      <c r="W448" s="1" t="str">
        <f t="shared" si="52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customHeight="1" x14ac:dyDescent="0.3">
      <c r="A449" s="2"/>
      <c r="B449" s="65" t="str">
        <f t="shared" si="53"/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 t="shared" si="54"/>
        <v/>
      </c>
      <c r="N449" s="74" t="str">
        <f t="shared" si="55"/>
        <v/>
      </c>
      <c r="O449" s="73" t="str">
        <f t="shared" si="56"/>
        <v/>
      </c>
      <c r="P449" s="65" t="str">
        <f t="shared" ca="1" si="57"/>
        <v/>
      </c>
      <c r="Q449" s="2"/>
      <c r="R449" s="2"/>
      <c r="S449" s="1" t="str">
        <f t="shared" si="50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51"/>
        <v>0</v>
      </c>
      <c r="W449" s="1" t="str">
        <f t="shared" si="52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customHeight="1" x14ac:dyDescent="0.3">
      <c r="A450" s="2"/>
      <c r="B450" s="65" t="str">
        <f t="shared" si="53"/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 t="shared" si="54"/>
        <v/>
      </c>
      <c r="N450" s="74" t="str">
        <f t="shared" si="55"/>
        <v/>
      </c>
      <c r="O450" s="73" t="str">
        <f t="shared" si="56"/>
        <v/>
      </c>
      <c r="P450" s="65" t="str">
        <f t="shared" ca="1" si="57"/>
        <v/>
      </c>
      <c r="Q450" s="2"/>
      <c r="R450" s="2"/>
      <c r="S450" s="1" t="str">
        <f t="shared" si="50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51"/>
        <v>0</v>
      </c>
      <c r="W450" s="1" t="str">
        <f t="shared" si="52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customHeight="1" x14ac:dyDescent="0.3">
      <c r="A451" s="2"/>
      <c r="B451" s="65" t="str">
        <f t="shared" si="53"/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 t="shared" si="54"/>
        <v/>
      </c>
      <c r="N451" s="74" t="str">
        <f t="shared" si="55"/>
        <v/>
      </c>
      <c r="O451" s="73" t="str">
        <f t="shared" si="56"/>
        <v/>
      </c>
      <c r="P451" s="65" t="str">
        <f t="shared" ca="1" si="57"/>
        <v/>
      </c>
      <c r="Q451" s="2"/>
      <c r="R451" s="2"/>
      <c r="S451" s="1" t="str">
        <f t="shared" si="50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51"/>
        <v>0</v>
      </c>
      <c r="W451" s="1" t="str">
        <f t="shared" si="52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customHeight="1" x14ac:dyDescent="0.3">
      <c r="A452" s="2"/>
      <c r="B452" s="65" t="str">
        <f t="shared" si="53"/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 t="shared" si="54"/>
        <v/>
      </c>
      <c r="N452" s="74" t="str">
        <f t="shared" si="55"/>
        <v/>
      </c>
      <c r="O452" s="73" t="str">
        <f t="shared" si="56"/>
        <v/>
      </c>
      <c r="P452" s="65" t="str">
        <f t="shared" ca="1" si="57"/>
        <v/>
      </c>
      <c r="Q452" s="2"/>
      <c r="R452" s="2"/>
      <c r="S452" s="1" t="str">
        <f t="shared" si="50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51"/>
        <v>0</v>
      </c>
      <c r="W452" s="1" t="str">
        <f t="shared" si="52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customHeight="1" x14ac:dyDescent="0.3">
      <c r="A453" s="2"/>
      <c r="B453" s="65" t="str">
        <f t="shared" si="53"/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 t="shared" si="54"/>
        <v/>
      </c>
      <c r="N453" s="74" t="str">
        <f t="shared" si="55"/>
        <v/>
      </c>
      <c r="O453" s="73" t="str">
        <f t="shared" si="56"/>
        <v/>
      </c>
      <c r="P453" s="65" t="str">
        <f t="shared" ca="1" si="57"/>
        <v/>
      </c>
      <c r="Q453" s="2"/>
      <c r="R453" s="2"/>
      <c r="S453" s="1" t="str">
        <f t="shared" ref="S453:S516" si="58"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ref="V453:V516" si="59">IF($T453="",0,1)</f>
        <v>0</v>
      </c>
      <c r="W453" s="1" t="str">
        <f t="shared" ref="W453:W516" si="60">IF($C453="","",$D453&amp;"|"&amp;$E453&amp;"|"&amp;TEXT($C453,"0")&amp;"|"&amp;TEXT($G453,"0")&amp;"|"&amp;$F453&amp;"|"&amp;$J453)</f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customHeight="1" x14ac:dyDescent="0.3">
      <c r="A454" s="2"/>
      <c r="B454" s="65" t="str">
        <f t="shared" si="53"/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 t="shared" si="54"/>
        <v/>
      </c>
      <c r="N454" s="74" t="str">
        <f t="shared" si="55"/>
        <v/>
      </c>
      <c r="O454" s="73" t="str">
        <f t="shared" si="56"/>
        <v/>
      </c>
      <c r="P454" s="65" t="str">
        <f t="shared" ca="1" si="57"/>
        <v/>
      </c>
      <c r="Q454" s="2"/>
      <c r="R454" s="2"/>
      <c r="S454" s="1" t="str">
        <f t="shared" si="58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59"/>
        <v>0</v>
      </c>
      <c r="W454" s="1" t="str">
        <f t="shared" si="60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customHeight="1" x14ac:dyDescent="0.3">
      <c r="A455" s="2"/>
      <c r="B455" s="65" t="str">
        <f t="shared" ref="B455:B518" si="61"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 t="shared" ref="M455:M518" si="62">IF($C455="","",IF($D455="Gider",$E455,IF($L455&lt;&gt;"",$L455,$H455)))</f>
        <v/>
      </c>
      <c r="N455" s="74" t="str">
        <f t="shared" ref="N455:N518" si="63">IF($C455="","",IF($D455="Gider",$H455,$E455))</f>
        <v/>
      </c>
      <c r="O455" s="73" t="str">
        <f t="shared" ref="O455:O518" si="64">IF($C455="","",DATE(YEAR($C455),MONTH($C455),1))</f>
        <v/>
      </c>
      <c r="P455" s="65" t="str">
        <f t="shared" ref="P455:P518" ca="1" si="65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TARİH",IF(COUNTIF($W$7:$W$3001,$W455)&gt;1,"MÜKERRER?",IF($AD455&gt;0,"KAPALI DÖNEM",IF($I455="Hayır","ÖDENECEK","UYGUN")))),"EKSİK"))))</f>
        <v/>
      </c>
      <c r="Q455" s="2"/>
      <c r="R455" s="2"/>
      <c r="S455" s="1" t="str">
        <f t="shared" si="58"/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si="59"/>
        <v>0</v>
      </c>
      <c r="W455" s="1" t="str">
        <f t="shared" si="60"/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customHeight="1" x14ac:dyDescent="0.3">
      <c r="A456" s="2"/>
      <c r="B456" s="65" t="str">
        <f t="shared" si="61"/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 t="shared" si="62"/>
        <v/>
      </c>
      <c r="N456" s="74" t="str">
        <f t="shared" si="63"/>
        <v/>
      </c>
      <c r="O456" s="73" t="str">
        <f t="shared" si="64"/>
        <v/>
      </c>
      <c r="P456" s="65" t="str">
        <f t="shared" ca="1" si="65"/>
        <v/>
      </c>
      <c r="Q456" s="2"/>
      <c r="R456" s="2"/>
      <c r="S456" s="1" t="str">
        <f t="shared" si="58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59"/>
        <v>0</v>
      </c>
      <c r="W456" s="1" t="str">
        <f t="shared" si="60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customHeight="1" x14ac:dyDescent="0.3">
      <c r="A457" s="2"/>
      <c r="B457" s="65" t="str">
        <f t="shared" si="61"/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 t="shared" si="62"/>
        <v/>
      </c>
      <c r="N457" s="74" t="str">
        <f t="shared" si="63"/>
        <v/>
      </c>
      <c r="O457" s="73" t="str">
        <f t="shared" si="64"/>
        <v/>
      </c>
      <c r="P457" s="65" t="str">
        <f t="shared" ca="1" si="65"/>
        <v/>
      </c>
      <c r="Q457" s="2"/>
      <c r="R457" s="2"/>
      <c r="S457" s="1" t="str">
        <f t="shared" si="58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59"/>
        <v>0</v>
      </c>
      <c r="W457" s="1" t="str">
        <f t="shared" si="60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customHeight="1" x14ac:dyDescent="0.3">
      <c r="A458" s="2"/>
      <c r="B458" s="65" t="str">
        <f t="shared" si="61"/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 t="shared" si="62"/>
        <v/>
      </c>
      <c r="N458" s="74" t="str">
        <f t="shared" si="63"/>
        <v/>
      </c>
      <c r="O458" s="73" t="str">
        <f t="shared" si="64"/>
        <v/>
      </c>
      <c r="P458" s="65" t="str">
        <f t="shared" ca="1" si="65"/>
        <v/>
      </c>
      <c r="Q458" s="2"/>
      <c r="R458" s="2"/>
      <c r="S458" s="1" t="str">
        <f t="shared" si="58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59"/>
        <v>0</v>
      </c>
      <c r="W458" s="1" t="str">
        <f t="shared" si="60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customHeight="1" x14ac:dyDescent="0.3">
      <c r="A459" s="2"/>
      <c r="B459" s="65" t="str">
        <f t="shared" si="61"/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 t="shared" si="62"/>
        <v/>
      </c>
      <c r="N459" s="74" t="str">
        <f t="shared" si="63"/>
        <v/>
      </c>
      <c r="O459" s="73" t="str">
        <f t="shared" si="64"/>
        <v/>
      </c>
      <c r="P459" s="65" t="str">
        <f t="shared" ca="1" si="65"/>
        <v/>
      </c>
      <c r="Q459" s="2"/>
      <c r="R459" s="2"/>
      <c r="S459" s="1" t="str">
        <f t="shared" si="58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59"/>
        <v>0</v>
      </c>
      <c r="W459" s="1" t="str">
        <f t="shared" si="60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customHeight="1" x14ac:dyDescent="0.3">
      <c r="A460" s="2"/>
      <c r="B460" s="65" t="str">
        <f t="shared" si="61"/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 t="shared" si="62"/>
        <v/>
      </c>
      <c r="N460" s="74" t="str">
        <f t="shared" si="63"/>
        <v/>
      </c>
      <c r="O460" s="73" t="str">
        <f t="shared" si="64"/>
        <v/>
      </c>
      <c r="P460" s="65" t="str">
        <f t="shared" ca="1" si="65"/>
        <v/>
      </c>
      <c r="Q460" s="2"/>
      <c r="R460" s="2"/>
      <c r="S460" s="1" t="str">
        <f t="shared" si="58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59"/>
        <v>0</v>
      </c>
      <c r="W460" s="1" t="str">
        <f t="shared" si="60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customHeight="1" x14ac:dyDescent="0.3">
      <c r="A461" s="2"/>
      <c r="B461" s="65" t="str">
        <f t="shared" si="61"/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 t="shared" si="62"/>
        <v/>
      </c>
      <c r="N461" s="74" t="str">
        <f t="shared" si="63"/>
        <v/>
      </c>
      <c r="O461" s="73" t="str">
        <f t="shared" si="64"/>
        <v/>
      </c>
      <c r="P461" s="65" t="str">
        <f t="shared" ca="1" si="65"/>
        <v/>
      </c>
      <c r="Q461" s="2"/>
      <c r="R461" s="2"/>
      <c r="S461" s="1" t="str">
        <f t="shared" si="58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59"/>
        <v>0</v>
      </c>
      <c r="W461" s="1" t="str">
        <f t="shared" si="60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customHeight="1" x14ac:dyDescent="0.3">
      <c r="A462" s="2"/>
      <c r="B462" s="65" t="str">
        <f t="shared" si="61"/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 t="shared" si="62"/>
        <v/>
      </c>
      <c r="N462" s="74" t="str">
        <f t="shared" si="63"/>
        <v/>
      </c>
      <c r="O462" s="73" t="str">
        <f t="shared" si="64"/>
        <v/>
      </c>
      <c r="P462" s="65" t="str">
        <f t="shared" ca="1" si="65"/>
        <v/>
      </c>
      <c r="Q462" s="2"/>
      <c r="R462" s="2"/>
      <c r="S462" s="1" t="str">
        <f t="shared" si="58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59"/>
        <v>0</v>
      </c>
      <c r="W462" s="1" t="str">
        <f t="shared" si="60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customHeight="1" x14ac:dyDescent="0.3">
      <c r="A463" s="2"/>
      <c r="B463" s="65" t="str">
        <f t="shared" si="61"/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 t="shared" si="62"/>
        <v/>
      </c>
      <c r="N463" s="74" t="str">
        <f t="shared" si="63"/>
        <v/>
      </c>
      <c r="O463" s="73" t="str">
        <f t="shared" si="64"/>
        <v/>
      </c>
      <c r="P463" s="65" t="str">
        <f t="shared" ca="1" si="65"/>
        <v/>
      </c>
      <c r="Q463" s="2"/>
      <c r="R463" s="2"/>
      <c r="S463" s="1" t="str">
        <f t="shared" si="58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59"/>
        <v>0</v>
      </c>
      <c r="W463" s="1" t="str">
        <f t="shared" si="60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customHeight="1" x14ac:dyDescent="0.3">
      <c r="A464" s="2"/>
      <c r="B464" s="65" t="str">
        <f t="shared" si="61"/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 t="shared" si="62"/>
        <v/>
      </c>
      <c r="N464" s="74" t="str">
        <f t="shared" si="63"/>
        <v/>
      </c>
      <c r="O464" s="73" t="str">
        <f t="shared" si="64"/>
        <v/>
      </c>
      <c r="P464" s="65" t="str">
        <f t="shared" ca="1" si="65"/>
        <v/>
      </c>
      <c r="Q464" s="2"/>
      <c r="R464" s="2"/>
      <c r="S464" s="1" t="str">
        <f t="shared" si="58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59"/>
        <v>0</v>
      </c>
      <c r="W464" s="1" t="str">
        <f t="shared" si="60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customHeight="1" x14ac:dyDescent="0.3">
      <c r="A465" s="2"/>
      <c r="B465" s="65" t="str">
        <f t="shared" si="61"/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 t="shared" si="62"/>
        <v/>
      </c>
      <c r="N465" s="74" t="str">
        <f t="shared" si="63"/>
        <v/>
      </c>
      <c r="O465" s="73" t="str">
        <f t="shared" si="64"/>
        <v/>
      </c>
      <c r="P465" s="65" t="str">
        <f t="shared" ca="1" si="65"/>
        <v/>
      </c>
      <c r="Q465" s="2"/>
      <c r="R465" s="2"/>
      <c r="S465" s="1" t="str">
        <f t="shared" si="58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59"/>
        <v>0</v>
      </c>
      <c r="W465" s="1" t="str">
        <f t="shared" si="60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customHeight="1" x14ac:dyDescent="0.3">
      <c r="A466" s="2"/>
      <c r="B466" s="65" t="str">
        <f t="shared" si="61"/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 t="shared" si="62"/>
        <v/>
      </c>
      <c r="N466" s="74" t="str">
        <f t="shared" si="63"/>
        <v/>
      </c>
      <c r="O466" s="73" t="str">
        <f t="shared" si="64"/>
        <v/>
      </c>
      <c r="P466" s="65" t="str">
        <f t="shared" ca="1" si="65"/>
        <v/>
      </c>
      <c r="Q466" s="2"/>
      <c r="R466" s="2"/>
      <c r="S466" s="1" t="str">
        <f t="shared" si="58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59"/>
        <v>0</v>
      </c>
      <c r="W466" s="1" t="str">
        <f t="shared" si="60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customHeight="1" x14ac:dyDescent="0.3">
      <c r="A467" s="2"/>
      <c r="B467" s="65" t="str">
        <f t="shared" si="61"/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 t="shared" si="62"/>
        <v/>
      </c>
      <c r="N467" s="74" t="str">
        <f t="shared" si="63"/>
        <v/>
      </c>
      <c r="O467" s="73" t="str">
        <f t="shared" si="64"/>
        <v/>
      </c>
      <c r="P467" s="65" t="str">
        <f t="shared" ca="1" si="65"/>
        <v/>
      </c>
      <c r="Q467" s="2"/>
      <c r="R467" s="2"/>
      <c r="S467" s="1" t="str">
        <f t="shared" si="58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59"/>
        <v>0</v>
      </c>
      <c r="W467" s="1" t="str">
        <f t="shared" si="60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customHeight="1" x14ac:dyDescent="0.3">
      <c r="A468" s="2"/>
      <c r="B468" s="65" t="str">
        <f t="shared" si="61"/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 t="shared" si="62"/>
        <v/>
      </c>
      <c r="N468" s="74" t="str">
        <f t="shared" si="63"/>
        <v/>
      </c>
      <c r="O468" s="73" t="str">
        <f t="shared" si="64"/>
        <v/>
      </c>
      <c r="P468" s="65" t="str">
        <f t="shared" ca="1" si="65"/>
        <v/>
      </c>
      <c r="Q468" s="2"/>
      <c r="R468" s="2"/>
      <c r="S468" s="1" t="str">
        <f t="shared" si="58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59"/>
        <v>0</v>
      </c>
      <c r="W468" s="1" t="str">
        <f t="shared" si="60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customHeight="1" x14ac:dyDescent="0.3">
      <c r="A469" s="2"/>
      <c r="B469" s="65" t="str">
        <f t="shared" si="61"/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 t="shared" si="62"/>
        <v/>
      </c>
      <c r="N469" s="74" t="str">
        <f t="shared" si="63"/>
        <v/>
      </c>
      <c r="O469" s="73" t="str">
        <f t="shared" si="64"/>
        <v/>
      </c>
      <c r="P469" s="65" t="str">
        <f t="shared" ca="1" si="65"/>
        <v/>
      </c>
      <c r="Q469" s="2"/>
      <c r="R469" s="2"/>
      <c r="S469" s="1" t="str">
        <f t="shared" si="58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59"/>
        <v>0</v>
      </c>
      <c r="W469" s="1" t="str">
        <f t="shared" si="60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customHeight="1" x14ac:dyDescent="0.3">
      <c r="A470" s="2"/>
      <c r="B470" s="65" t="str">
        <f t="shared" si="61"/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 t="shared" si="62"/>
        <v/>
      </c>
      <c r="N470" s="74" t="str">
        <f t="shared" si="63"/>
        <v/>
      </c>
      <c r="O470" s="73" t="str">
        <f t="shared" si="64"/>
        <v/>
      </c>
      <c r="P470" s="65" t="str">
        <f t="shared" ca="1" si="65"/>
        <v/>
      </c>
      <c r="Q470" s="2"/>
      <c r="R470" s="2"/>
      <c r="S470" s="1" t="str">
        <f t="shared" si="58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59"/>
        <v>0</v>
      </c>
      <c r="W470" s="1" t="str">
        <f t="shared" si="60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customHeight="1" x14ac:dyDescent="0.3">
      <c r="A471" s="2"/>
      <c r="B471" s="65" t="str">
        <f t="shared" si="61"/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 t="shared" si="62"/>
        <v/>
      </c>
      <c r="N471" s="74" t="str">
        <f t="shared" si="63"/>
        <v/>
      </c>
      <c r="O471" s="73" t="str">
        <f t="shared" si="64"/>
        <v/>
      </c>
      <c r="P471" s="65" t="str">
        <f t="shared" ca="1" si="65"/>
        <v/>
      </c>
      <c r="Q471" s="2"/>
      <c r="R471" s="2"/>
      <c r="S471" s="1" t="str">
        <f t="shared" si="58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59"/>
        <v>0</v>
      </c>
      <c r="W471" s="1" t="str">
        <f t="shared" si="60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customHeight="1" x14ac:dyDescent="0.3">
      <c r="A472" s="2"/>
      <c r="B472" s="65" t="str">
        <f t="shared" si="61"/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 t="shared" si="62"/>
        <v/>
      </c>
      <c r="N472" s="74" t="str">
        <f t="shared" si="63"/>
        <v/>
      </c>
      <c r="O472" s="73" t="str">
        <f t="shared" si="64"/>
        <v/>
      </c>
      <c r="P472" s="65" t="str">
        <f t="shared" ca="1" si="65"/>
        <v/>
      </c>
      <c r="Q472" s="2"/>
      <c r="R472" s="2"/>
      <c r="S472" s="1" t="str">
        <f t="shared" si="58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59"/>
        <v>0</v>
      </c>
      <c r="W472" s="1" t="str">
        <f t="shared" si="60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customHeight="1" x14ac:dyDescent="0.3">
      <c r="A473" s="2"/>
      <c r="B473" s="65" t="str">
        <f t="shared" si="61"/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 t="shared" si="62"/>
        <v/>
      </c>
      <c r="N473" s="74" t="str">
        <f t="shared" si="63"/>
        <v/>
      </c>
      <c r="O473" s="73" t="str">
        <f t="shared" si="64"/>
        <v/>
      </c>
      <c r="P473" s="65" t="str">
        <f t="shared" ca="1" si="65"/>
        <v/>
      </c>
      <c r="Q473" s="2"/>
      <c r="R473" s="2"/>
      <c r="S473" s="1" t="str">
        <f t="shared" si="58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59"/>
        <v>0</v>
      </c>
      <c r="W473" s="1" t="str">
        <f t="shared" si="60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customHeight="1" x14ac:dyDescent="0.3">
      <c r="A474" s="2"/>
      <c r="B474" s="65" t="str">
        <f t="shared" si="61"/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 t="shared" si="62"/>
        <v/>
      </c>
      <c r="N474" s="74" t="str">
        <f t="shared" si="63"/>
        <v/>
      </c>
      <c r="O474" s="73" t="str">
        <f t="shared" si="64"/>
        <v/>
      </c>
      <c r="P474" s="65" t="str">
        <f t="shared" ca="1" si="65"/>
        <v/>
      </c>
      <c r="Q474" s="2"/>
      <c r="R474" s="2"/>
      <c r="S474" s="1" t="str">
        <f t="shared" si="58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59"/>
        <v>0</v>
      </c>
      <c r="W474" s="1" t="str">
        <f t="shared" si="60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customHeight="1" x14ac:dyDescent="0.3">
      <c r="A475" s="2"/>
      <c r="B475" s="65" t="str">
        <f t="shared" si="61"/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 t="shared" si="62"/>
        <v/>
      </c>
      <c r="N475" s="74" t="str">
        <f t="shared" si="63"/>
        <v/>
      </c>
      <c r="O475" s="73" t="str">
        <f t="shared" si="64"/>
        <v/>
      </c>
      <c r="P475" s="65" t="str">
        <f t="shared" ca="1" si="65"/>
        <v/>
      </c>
      <c r="Q475" s="2"/>
      <c r="R475" s="2"/>
      <c r="S475" s="1" t="str">
        <f t="shared" si="58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59"/>
        <v>0</v>
      </c>
      <c r="W475" s="1" t="str">
        <f t="shared" si="60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customHeight="1" x14ac:dyDescent="0.3">
      <c r="A476" s="2"/>
      <c r="B476" s="65" t="str">
        <f t="shared" si="61"/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 t="shared" si="62"/>
        <v/>
      </c>
      <c r="N476" s="74" t="str">
        <f t="shared" si="63"/>
        <v/>
      </c>
      <c r="O476" s="73" t="str">
        <f t="shared" si="64"/>
        <v/>
      </c>
      <c r="P476" s="65" t="str">
        <f t="shared" ca="1" si="65"/>
        <v/>
      </c>
      <c r="Q476" s="2"/>
      <c r="R476" s="2"/>
      <c r="S476" s="1" t="str">
        <f t="shared" si="58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59"/>
        <v>0</v>
      </c>
      <c r="W476" s="1" t="str">
        <f t="shared" si="60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customHeight="1" x14ac:dyDescent="0.3">
      <c r="A477" s="2"/>
      <c r="B477" s="65" t="str">
        <f t="shared" si="61"/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 t="shared" si="62"/>
        <v/>
      </c>
      <c r="N477" s="74" t="str">
        <f t="shared" si="63"/>
        <v/>
      </c>
      <c r="O477" s="73" t="str">
        <f t="shared" si="64"/>
        <v/>
      </c>
      <c r="P477" s="65" t="str">
        <f t="shared" ca="1" si="65"/>
        <v/>
      </c>
      <c r="Q477" s="2"/>
      <c r="R477" s="2"/>
      <c r="S477" s="1" t="str">
        <f t="shared" si="58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59"/>
        <v>0</v>
      </c>
      <c r="W477" s="1" t="str">
        <f t="shared" si="60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customHeight="1" x14ac:dyDescent="0.3">
      <c r="A478" s="2"/>
      <c r="B478" s="65" t="str">
        <f t="shared" si="61"/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 t="shared" si="62"/>
        <v/>
      </c>
      <c r="N478" s="74" t="str">
        <f t="shared" si="63"/>
        <v/>
      </c>
      <c r="O478" s="73" t="str">
        <f t="shared" si="64"/>
        <v/>
      </c>
      <c r="P478" s="65" t="str">
        <f t="shared" ca="1" si="65"/>
        <v/>
      </c>
      <c r="Q478" s="2"/>
      <c r="R478" s="2"/>
      <c r="S478" s="1" t="str">
        <f t="shared" si="58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59"/>
        <v>0</v>
      </c>
      <c r="W478" s="1" t="str">
        <f t="shared" si="60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customHeight="1" x14ac:dyDescent="0.3">
      <c r="A479" s="2"/>
      <c r="B479" s="65" t="str">
        <f t="shared" si="61"/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 t="shared" si="62"/>
        <v/>
      </c>
      <c r="N479" s="74" t="str">
        <f t="shared" si="63"/>
        <v/>
      </c>
      <c r="O479" s="73" t="str">
        <f t="shared" si="64"/>
        <v/>
      </c>
      <c r="P479" s="65" t="str">
        <f t="shared" ca="1" si="65"/>
        <v/>
      </c>
      <c r="Q479" s="2"/>
      <c r="R479" s="2"/>
      <c r="S479" s="1" t="str">
        <f t="shared" si="58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59"/>
        <v>0</v>
      </c>
      <c r="W479" s="1" t="str">
        <f t="shared" si="60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customHeight="1" x14ac:dyDescent="0.3">
      <c r="A480" s="2"/>
      <c r="B480" s="65" t="str">
        <f t="shared" si="61"/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 t="shared" si="62"/>
        <v/>
      </c>
      <c r="N480" s="74" t="str">
        <f t="shared" si="63"/>
        <v/>
      </c>
      <c r="O480" s="73" t="str">
        <f t="shared" si="64"/>
        <v/>
      </c>
      <c r="P480" s="65" t="str">
        <f t="shared" ca="1" si="65"/>
        <v/>
      </c>
      <c r="Q480" s="2"/>
      <c r="R480" s="2"/>
      <c r="S480" s="1" t="str">
        <f t="shared" si="58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59"/>
        <v>0</v>
      </c>
      <c r="W480" s="1" t="str">
        <f t="shared" si="60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customHeight="1" x14ac:dyDescent="0.3">
      <c r="A481" s="2"/>
      <c r="B481" s="65" t="str">
        <f t="shared" si="61"/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 t="shared" si="62"/>
        <v/>
      </c>
      <c r="N481" s="74" t="str">
        <f t="shared" si="63"/>
        <v/>
      </c>
      <c r="O481" s="73" t="str">
        <f t="shared" si="64"/>
        <v/>
      </c>
      <c r="P481" s="65" t="str">
        <f t="shared" ca="1" si="65"/>
        <v/>
      </c>
      <c r="Q481" s="2"/>
      <c r="R481" s="2"/>
      <c r="S481" s="1" t="str">
        <f t="shared" si="58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59"/>
        <v>0</v>
      </c>
      <c r="W481" s="1" t="str">
        <f t="shared" si="60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customHeight="1" x14ac:dyDescent="0.3">
      <c r="A482" s="2"/>
      <c r="B482" s="65" t="str">
        <f t="shared" si="61"/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 t="shared" si="62"/>
        <v/>
      </c>
      <c r="N482" s="74" t="str">
        <f t="shared" si="63"/>
        <v/>
      </c>
      <c r="O482" s="73" t="str">
        <f t="shared" si="64"/>
        <v/>
      </c>
      <c r="P482" s="65" t="str">
        <f t="shared" ca="1" si="65"/>
        <v/>
      </c>
      <c r="Q482" s="2"/>
      <c r="R482" s="2"/>
      <c r="S482" s="1" t="str">
        <f t="shared" si="58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59"/>
        <v>0</v>
      </c>
      <c r="W482" s="1" t="str">
        <f t="shared" si="60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customHeight="1" x14ac:dyDescent="0.3">
      <c r="A483" s="2"/>
      <c r="B483" s="65" t="str">
        <f t="shared" si="61"/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 t="shared" si="62"/>
        <v/>
      </c>
      <c r="N483" s="74" t="str">
        <f t="shared" si="63"/>
        <v/>
      </c>
      <c r="O483" s="73" t="str">
        <f t="shared" si="64"/>
        <v/>
      </c>
      <c r="P483" s="65" t="str">
        <f t="shared" ca="1" si="65"/>
        <v/>
      </c>
      <c r="Q483" s="2"/>
      <c r="R483" s="2"/>
      <c r="S483" s="1" t="str">
        <f t="shared" si="58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59"/>
        <v>0</v>
      </c>
      <c r="W483" s="1" t="str">
        <f t="shared" si="60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customHeight="1" x14ac:dyDescent="0.3">
      <c r="A484" s="2"/>
      <c r="B484" s="65" t="str">
        <f t="shared" si="61"/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 t="shared" si="62"/>
        <v/>
      </c>
      <c r="N484" s="74" t="str">
        <f t="shared" si="63"/>
        <v/>
      </c>
      <c r="O484" s="73" t="str">
        <f t="shared" si="64"/>
        <v/>
      </c>
      <c r="P484" s="65" t="str">
        <f t="shared" ca="1" si="65"/>
        <v/>
      </c>
      <c r="Q484" s="2"/>
      <c r="R484" s="2"/>
      <c r="S484" s="1" t="str">
        <f t="shared" si="58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59"/>
        <v>0</v>
      </c>
      <c r="W484" s="1" t="str">
        <f t="shared" si="60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customHeight="1" x14ac:dyDescent="0.3">
      <c r="A485" s="2"/>
      <c r="B485" s="65" t="str">
        <f t="shared" si="61"/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 t="shared" si="62"/>
        <v/>
      </c>
      <c r="N485" s="74" t="str">
        <f t="shared" si="63"/>
        <v/>
      </c>
      <c r="O485" s="73" t="str">
        <f t="shared" si="64"/>
        <v/>
      </c>
      <c r="P485" s="65" t="str">
        <f t="shared" ca="1" si="65"/>
        <v/>
      </c>
      <c r="Q485" s="2"/>
      <c r="R485" s="2"/>
      <c r="S485" s="1" t="str">
        <f t="shared" si="58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59"/>
        <v>0</v>
      </c>
      <c r="W485" s="1" t="str">
        <f t="shared" si="60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customHeight="1" x14ac:dyDescent="0.3">
      <c r="A486" s="2"/>
      <c r="B486" s="65" t="str">
        <f t="shared" si="61"/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 t="shared" si="62"/>
        <v/>
      </c>
      <c r="N486" s="74" t="str">
        <f t="shared" si="63"/>
        <v/>
      </c>
      <c r="O486" s="73" t="str">
        <f t="shared" si="64"/>
        <v/>
      </c>
      <c r="P486" s="65" t="str">
        <f t="shared" ca="1" si="65"/>
        <v/>
      </c>
      <c r="Q486" s="2"/>
      <c r="R486" s="2"/>
      <c r="S486" s="1" t="str">
        <f t="shared" si="58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59"/>
        <v>0</v>
      </c>
      <c r="W486" s="1" t="str">
        <f t="shared" si="60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customHeight="1" x14ac:dyDescent="0.3">
      <c r="A487" s="2"/>
      <c r="B487" s="65" t="str">
        <f t="shared" si="61"/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 t="shared" si="62"/>
        <v/>
      </c>
      <c r="N487" s="74" t="str">
        <f t="shared" si="63"/>
        <v/>
      </c>
      <c r="O487" s="73" t="str">
        <f t="shared" si="64"/>
        <v/>
      </c>
      <c r="P487" s="65" t="str">
        <f t="shared" ca="1" si="65"/>
        <v/>
      </c>
      <c r="Q487" s="2"/>
      <c r="R487" s="2"/>
      <c r="S487" s="1" t="str">
        <f t="shared" si="58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59"/>
        <v>0</v>
      </c>
      <c r="W487" s="1" t="str">
        <f t="shared" si="60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customHeight="1" x14ac:dyDescent="0.3">
      <c r="A488" s="2"/>
      <c r="B488" s="65" t="str">
        <f t="shared" si="61"/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 t="shared" si="62"/>
        <v/>
      </c>
      <c r="N488" s="74" t="str">
        <f t="shared" si="63"/>
        <v/>
      </c>
      <c r="O488" s="73" t="str">
        <f t="shared" si="64"/>
        <v/>
      </c>
      <c r="P488" s="65" t="str">
        <f t="shared" ca="1" si="65"/>
        <v/>
      </c>
      <c r="Q488" s="2"/>
      <c r="R488" s="2"/>
      <c r="S488" s="1" t="str">
        <f t="shared" si="58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59"/>
        <v>0</v>
      </c>
      <c r="W488" s="1" t="str">
        <f t="shared" si="60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customHeight="1" x14ac:dyDescent="0.3">
      <c r="A489" s="2"/>
      <c r="B489" s="65" t="str">
        <f t="shared" si="61"/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 t="shared" si="62"/>
        <v/>
      </c>
      <c r="N489" s="74" t="str">
        <f t="shared" si="63"/>
        <v/>
      </c>
      <c r="O489" s="73" t="str">
        <f t="shared" si="64"/>
        <v/>
      </c>
      <c r="P489" s="65" t="str">
        <f t="shared" ca="1" si="65"/>
        <v/>
      </c>
      <c r="Q489" s="2"/>
      <c r="R489" s="2"/>
      <c r="S489" s="1" t="str">
        <f t="shared" si="58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59"/>
        <v>0</v>
      </c>
      <c r="W489" s="1" t="str">
        <f t="shared" si="60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customHeight="1" x14ac:dyDescent="0.3">
      <c r="A490" s="2"/>
      <c r="B490" s="65" t="str">
        <f t="shared" si="61"/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 t="shared" si="62"/>
        <v/>
      </c>
      <c r="N490" s="74" t="str">
        <f t="shared" si="63"/>
        <v/>
      </c>
      <c r="O490" s="73" t="str">
        <f t="shared" si="64"/>
        <v/>
      </c>
      <c r="P490" s="65" t="str">
        <f t="shared" ca="1" si="65"/>
        <v/>
      </c>
      <c r="Q490" s="2"/>
      <c r="R490" s="2"/>
      <c r="S490" s="1" t="str">
        <f t="shared" si="58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59"/>
        <v>0</v>
      </c>
      <c r="W490" s="1" t="str">
        <f t="shared" si="60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customHeight="1" x14ac:dyDescent="0.3">
      <c r="A491" s="2"/>
      <c r="B491" s="65" t="str">
        <f t="shared" si="61"/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 t="shared" si="62"/>
        <v/>
      </c>
      <c r="N491" s="74" t="str">
        <f t="shared" si="63"/>
        <v/>
      </c>
      <c r="O491" s="73" t="str">
        <f t="shared" si="64"/>
        <v/>
      </c>
      <c r="P491" s="65" t="str">
        <f t="shared" ca="1" si="65"/>
        <v/>
      </c>
      <c r="Q491" s="2"/>
      <c r="R491" s="2"/>
      <c r="S491" s="1" t="str">
        <f t="shared" si="58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59"/>
        <v>0</v>
      </c>
      <c r="W491" s="1" t="str">
        <f t="shared" si="60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customHeight="1" x14ac:dyDescent="0.3">
      <c r="A492" s="2"/>
      <c r="B492" s="65" t="str">
        <f t="shared" si="61"/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 t="shared" si="62"/>
        <v/>
      </c>
      <c r="N492" s="74" t="str">
        <f t="shared" si="63"/>
        <v/>
      </c>
      <c r="O492" s="73" t="str">
        <f t="shared" si="64"/>
        <v/>
      </c>
      <c r="P492" s="65" t="str">
        <f t="shared" ca="1" si="65"/>
        <v/>
      </c>
      <c r="Q492" s="2"/>
      <c r="R492" s="2"/>
      <c r="S492" s="1" t="str">
        <f t="shared" si="58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59"/>
        <v>0</v>
      </c>
      <c r="W492" s="1" t="str">
        <f t="shared" si="60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customHeight="1" x14ac:dyDescent="0.3">
      <c r="A493" s="2"/>
      <c r="B493" s="65" t="str">
        <f t="shared" si="61"/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 t="shared" si="62"/>
        <v/>
      </c>
      <c r="N493" s="74" t="str">
        <f t="shared" si="63"/>
        <v/>
      </c>
      <c r="O493" s="73" t="str">
        <f t="shared" si="64"/>
        <v/>
      </c>
      <c r="P493" s="65" t="str">
        <f t="shared" ca="1" si="65"/>
        <v/>
      </c>
      <c r="Q493" s="2"/>
      <c r="R493" s="2"/>
      <c r="S493" s="1" t="str">
        <f t="shared" si="58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59"/>
        <v>0</v>
      </c>
      <c r="W493" s="1" t="str">
        <f t="shared" si="60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customHeight="1" x14ac:dyDescent="0.3">
      <c r="A494" s="2"/>
      <c r="B494" s="65" t="str">
        <f t="shared" si="61"/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 t="shared" si="62"/>
        <v/>
      </c>
      <c r="N494" s="74" t="str">
        <f t="shared" si="63"/>
        <v/>
      </c>
      <c r="O494" s="73" t="str">
        <f t="shared" si="64"/>
        <v/>
      </c>
      <c r="P494" s="65" t="str">
        <f t="shared" ca="1" si="65"/>
        <v/>
      </c>
      <c r="Q494" s="2"/>
      <c r="R494" s="2"/>
      <c r="S494" s="1" t="str">
        <f t="shared" si="58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59"/>
        <v>0</v>
      </c>
      <c r="W494" s="1" t="str">
        <f t="shared" si="60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customHeight="1" x14ac:dyDescent="0.3">
      <c r="A495" s="2"/>
      <c r="B495" s="65" t="str">
        <f t="shared" si="61"/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 t="shared" si="62"/>
        <v/>
      </c>
      <c r="N495" s="74" t="str">
        <f t="shared" si="63"/>
        <v/>
      </c>
      <c r="O495" s="73" t="str">
        <f t="shared" si="64"/>
        <v/>
      </c>
      <c r="P495" s="65" t="str">
        <f t="shared" ca="1" si="65"/>
        <v/>
      </c>
      <c r="Q495" s="2"/>
      <c r="R495" s="2"/>
      <c r="S495" s="1" t="str">
        <f t="shared" si="58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59"/>
        <v>0</v>
      </c>
      <c r="W495" s="1" t="str">
        <f t="shared" si="60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customHeight="1" x14ac:dyDescent="0.3">
      <c r="A496" s="2"/>
      <c r="B496" s="65" t="str">
        <f t="shared" si="61"/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 t="shared" si="62"/>
        <v/>
      </c>
      <c r="N496" s="74" t="str">
        <f t="shared" si="63"/>
        <v/>
      </c>
      <c r="O496" s="73" t="str">
        <f t="shared" si="64"/>
        <v/>
      </c>
      <c r="P496" s="65" t="str">
        <f t="shared" ca="1" si="65"/>
        <v/>
      </c>
      <c r="Q496" s="2"/>
      <c r="R496" s="2"/>
      <c r="S496" s="1" t="str">
        <f t="shared" si="58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59"/>
        <v>0</v>
      </c>
      <c r="W496" s="1" t="str">
        <f t="shared" si="60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customHeight="1" x14ac:dyDescent="0.3">
      <c r="A497" s="2"/>
      <c r="B497" s="65" t="str">
        <f t="shared" si="61"/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 t="shared" si="62"/>
        <v/>
      </c>
      <c r="N497" s="74" t="str">
        <f t="shared" si="63"/>
        <v/>
      </c>
      <c r="O497" s="73" t="str">
        <f t="shared" si="64"/>
        <v/>
      </c>
      <c r="P497" s="65" t="str">
        <f t="shared" ca="1" si="65"/>
        <v/>
      </c>
      <c r="Q497" s="2"/>
      <c r="R497" s="2"/>
      <c r="S497" s="1" t="str">
        <f t="shared" si="58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59"/>
        <v>0</v>
      </c>
      <c r="W497" s="1" t="str">
        <f t="shared" si="60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customHeight="1" x14ac:dyDescent="0.3">
      <c r="A498" s="2"/>
      <c r="B498" s="65" t="str">
        <f t="shared" si="61"/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 t="shared" si="62"/>
        <v/>
      </c>
      <c r="N498" s="74" t="str">
        <f t="shared" si="63"/>
        <v/>
      </c>
      <c r="O498" s="73" t="str">
        <f t="shared" si="64"/>
        <v/>
      </c>
      <c r="P498" s="65" t="str">
        <f t="shared" ca="1" si="65"/>
        <v/>
      </c>
      <c r="Q498" s="2"/>
      <c r="R498" s="2"/>
      <c r="S498" s="1" t="str">
        <f t="shared" si="58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59"/>
        <v>0</v>
      </c>
      <c r="W498" s="1" t="str">
        <f t="shared" si="60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customHeight="1" x14ac:dyDescent="0.3">
      <c r="A499" s="2"/>
      <c r="B499" s="65" t="str">
        <f t="shared" si="61"/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 t="shared" si="62"/>
        <v/>
      </c>
      <c r="N499" s="74" t="str">
        <f t="shared" si="63"/>
        <v/>
      </c>
      <c r="O499" s="73" t="str">
        <f t="shared" si="64"/>
        <v/>
      </c>
      <c r="P499" s="65" t="str">
        <f t="shared" ca="1" si="65"/>
        <v/>
      </c>
      <c r="Q499" s="2"/>
      <c r="R499" s="2"/>
      <c r="S499" s="1" t="str">
        <f t="shared" si="58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59"/>
        <v>0</v>
      </c>
      <c r="W499" s="1" t="str">
        <f t="shared" si="60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customHeight="1" x14ac:dyDescent="0.3">
      <c r="A500" s="2"/>
      <c r="B500" s="65" t="str">
        <f t="shared" si="61"/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 t="shared" si="62"/>
        <v/>
      </c>
      <c r="N500" s="74" t="str">
        <f t="shared" si="63"/>
        <v/>
      </c>
      <c r="O500" s="73" t="str">
        <f t="shared" si="64"/>
        <v/>
      </c>
      <c r="P500" s="65" t="str">
        <f t="shared" ca="1" si="65"/>
        <v/>
      </c>
      <c r="Q500" s="2"/>
      <c r="R500" s="2"/>
      <c r="S500" s="1" t="str">
        <f t="shared" si="58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59"/>
        <v>0</v>
      </c>
      <c r="W500" s="1" t="str">
        <f t="shared" si="60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customHeight="1" x14ac:dyDescent="0.3">
      <c r="A501" s="2"/>
      <c r="B501" s="65" t="str">
        <f t="shared" si="61"/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 t="shared" si="62"/>
        <v/>
      </c>
      <c r="N501" s="74" t="str">
        <f t="shared" si="63"/>
        <v/>
      </c>
      <c r="O501" s="73" t="str">
        <f t="shared" si="64"/>
        <v/>
      </c>
      <c r="P501" s="65" t="str">
        <f t="shared" ca="1" si="65"/>
        <v/>
      </c>
      <c r="Q501" s="2"/>
      <c r="R501" s="2"/>
      <c r="S501" s="1" t="str">
        <f t="shared" si="58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59"/>
        <v>0</v>
      </c>
      <c r="W501" s="1" t="str">
        <f t="shared" si="60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customHeight="1" x14ac:dyDescent="0.3">
      <c r="A502" s="2"/>
      <c r="B502" s="65" t="str">
        <f t="shared" si="61"/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 t="shared" si="62"/>
        <v/>
      </c>
      <c r="N502" s="74" t="str">
        <f t="shared" si="63"/>
        <v/>
      </c>
      <c r="O502" s="73" t="str">
        <f t="shared" si="64"/>
        <v/>
      </c>
      <c r="P502" s="65" t="str">
        <f t="shared" ca="1" si="65"/>
        <v/>
      </c>
      <c r="Q502" s="2"/>
      <c r="R502" s="2"/>
      <c r="S502" s="1" t="str">
        <f t="shared" si="58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59"/>
        <v>0</v>
      </c>
      <c r="W502" s="1" t="str">
        <f t="shared" si="60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customHeight="1" x14ac:dyDescent="0.3">
      <c r="A503" s="2"/>
      <c r="B503" s="65" t="str">
        <f t="shared" si="61"/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 t="shared" si="62"/>
        <v/>
      </c>
      <c r="N503" s="74" t="str">
        <f t="shared" si="63"/>
        <v/>
      </c>
      <c r="O503" s="73" t="str">
        <f t="shared" si="64"/>
        <v/>
      </c>
      <c r="P503" s="65" t="str">
        <f t="shared" ca="1" si="65"/>
        <v/>
      </c>
      <c r="Q503" s="2"/>
      <c r="R503" s="2"/>
      <c r="S503" s="1" t="str">
        <f t="shared" si="58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59"/>
        <v>0</v>
      </c>
      <c r="W503" s="1" t="str">
        <f t="shared" si="60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customHeight="1" x14ac:dyDescent="0.3">
      <c r="A504" s="2"/>
      <c r="B504" s="65" t="str">
        <f t="shared" si="61"/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 t="shared" si="62"/>
        <v/>
      </c>
      <c r="N504" s="74" t="str">
        <f t="shared" si="63"/>
        <v/>
      </c>
      <c r="O504" s="73" t="str">
        <f t="shared" si="64"/>
        <v/>
      </c>
      <c r="P504" s="65" t="str">
        <f t="shared" ca="1" si="65"/>
        <v/>
      </c>
      <c r="Q504" s="2"/>
      <c r="R504" s="2"/>
      <c r="S504" s="1" t="str">
        <f t="shared" si="58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59"/>
        <v>0</v>
      </c>
      <c r="W504" s="1" t="str">
        <f t="shared" si="60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customHeight="1" x14ac:dyDescent="0.3">
      <c r="A505" s="2"/>
      <c r="B505" s="65" t="str">
        <f t="shared" si="61"/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 t="shared" si="62"/>
        <v/>
      </c>
      <c r="N505" s="74" t="str">
        <f t="shared" si="63"/>
        <v/>
      </c>
      <c r="O505" s="73" t="str">
        <f t="shared" si="64"/>
        <v/>
      </c>
      <c r="P505" s="65" t="str">
        <f t="shared" ca="1" si="65"/>
        <v/>
      </c>
      <c r="Q505" s="2"/>
      <c r="R505" s="2"/>
      <c r="S505" s="1" t="str">
        <f t="shared" si="58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59"/>
        <v>0</v>
      </c>
      <c r="W505" s="1" t="str">
        <f t="shared" si="60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customHeight="1" x14ac:dyDescent="0.3">
      <c r="A506" s="2"/>
      <c r="B506" s="65" t="str">
        <f t="shared" si="61"/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 t="shared" si="62"/>
        <v/>
      </c>
      <c r="N506" s="74" t="str">
        <f t="shared" si="63"/>
        <v/>
      </c>
      <c r="O506" s="73" t="str">
        <f t="shared" si="64"/>
        <v/>
      </c>
      <c r="P506" s="65" t="str">
        <f t="shared" ca="1" si="65"/>
        <v/>
      </c>
      <c r="Q506" s="2"/>
      <c r="R506" s="2"/>
      <c r="S506" s="1" t="str">
        <f t="shared" si="58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59"/>
        <v>0</v>
      </c>
      <c r="W506" s="1" t="str">
        <f t="shared" si="60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customHeight="1" x14ac:dyDescent="0.3">
      <c r="A507" s="2"/>
      <c r="B507" s="65" t="str">
        <f t="shared" si="61"/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 t="shared" si="62"/>
        <v/>
      </c>
      <c r="N507" s="74" t="str">
        <f t="shared" si="63"/>
        <v/>
      </c>
      <c r="O507" s="73" t="str">
        <f t="shared" si="64"/>
        <v/>
      </c>
      <c r="P507" s="65" t="str">
        <f t="shared" ca="1" si="65"/>
        <v/>
      </c>
      <c r="Q507" s="2"/>
      <c r="R507" s="2"/>
      <c r="S507" s="1" t="str">
        <f t="shared" si="58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59"/>
        <v>0</v>
      </c>
      <c r="W507" s="1" t="str">
        <f t="shared" si="60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customHeight="1" x14ac:dyDescent="0.3">
      <c r="A508" s="2"/>
      <c r="B508" s="65" t="str">
        <f t="shared" si="61"/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 t="shared" si="62"/>
        <v/>
      </c>
      <c r="N508" s="74" t="str">
        <f t="shared" si="63"/>
        <v/>
      </c>
      <c r="O508" s="73" t="str">
        <f t="shared" si="64"/>
        <v/>
      </c>
      <c r="P508" s="65" t="str">
        <f t="shared" ca="1" si="65"/>
        <v/>
      </c>
      <c r="Q508" s="2"/>
      <c r="R508" s="2"/>
      <c r="S508" s="1" t="str">
        <f t="shared" si="58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59"/>
        <v>0</v>
      </c>
      <c r="W508" s="1" t="str">
        <f t="shared" si="60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customHeight="1" x14ac:dyDescent="0.3">
      <c r="A509" s="2"/>
      <c r="B509" s="65" t="str">
        <f t="shared" si="61"/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 t="shared" si="62"/>
        <v/>
      </c>
      <c r="N509" s="74" t="str">
        <f t="shared" si="63"/>
        <v/>
      </c>
      <c r="O509" s="73" t="str">
        <f t="shared" si="64"/>
        <v/>
      </c>
      <c r="P509" s="65" t="str">
        <f t="shared" ca="1" si="65"/>
        <v/>
      </c>
      <c r="Q509" s="2"/>
      <c r="R509" s="2"/>
      <c r="S509" s="1" t="str">
        <f t="shared" si="58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59"/>
        <v>0</v>
      </c>
      <c r="W509" s="1" t="str">
        <f t="shared" si="60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customHeight="1" x14ac:dyDescent="0.3">
      <c r="A510" s="2"/>
      <c r="B510" s="65" t="str">
        <f t="shared" si="61"/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 t="shared" si="62"/>
        <v/>
      </c>
      <c r="N510" s="74" t="str">
        <f t="shared" si="63"/>
        <v/>
      </c>
      <c r="O510" s="73" t="str">
        <f t="shared" si="64"/>
        <v/>
      </c>
      <c r="P510" s="65" t="str">
        <f t="shared" ca="1" si="65"/>
        <v/>
      </c>
      <c r="Q510" s="2"/>
      <c r="R510" s="2"/>
      <c r="S510" s="1" t="str">
        <f t="shared" si="58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59"/>
        <v>0</v>
      </c>
      <c r="W510" s="1" t="str">
        <f t="shared" si="60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customHeight="1" x14ac:dyDescent="0.3">
      <c r="A511" s="2"/>
      <c r="B511" s="65" t="str">
        <f t="shared" si="61"/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 t="shared" si="62"/>
        <v/>
      </c>
      <c r="N511" s="74" t="str">
        <f t="shared" si="63"/>
        <v/>
      </c>
      <c r="O511" s="73" t="str">
        <f t="shared" si="64"/>
        <v/>
      </c>
      <c r="P511" s="65" t="str">
        <f t="shared" ca="1" si="65"/>
        <v/>
      </c>
      <c r="Q511" s="2"/>
      <c r="R511" s="2"/>
      <c r="S511" s="1" t="str">
        <f t="shared" si="58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59"/>
        <v>0</v>
      </c>
      <c r="W511" s="1" t="str">
        <f t="shared" si="60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customHeight="1" x14ac:dyDescent="0.3">
      <c r="A512" s="2"/>
      <c r="B512" s="65" t="str">
        <f t="shared" si="61"/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 t="shared" si="62"/>
        <v/>
      </c>
      <c r="N512" s="74" t="str">
        <f t="shared" si="63"/>
        <v/>
      </c>
      <c r="O512" s="73" t="str">
        <f t="shared" si="64"/>
        <v/>
      </c>
      <c r="P512" s="65" t="str">
        <f t="shared" ca="1" si="65"/>
        <v/>
      </c>
      <c r="Q512" s="2"/>
      <c r="R512" s="2"/>
      <c r="S512" s="1" t="str">
        <f t="shared" si="58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59"/>
        <v>0</v>
      </c>
      <c r="W512" s="1" t="str">
        <f t="shared" si="60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customHeight="1" x14ac:dyDescent="0.3">
      <c r="A513" s="2"/>
      <c r="B513" s="65" t="str">
        <f t="shared" si="61"/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 t="shared" si="62"/>
        <v/>
      </c>
      <c r="N513" s="74" t="str">
        <f t="shared" si="63"/>
        <v/>
      </c>
      <c r="O513" s="73" t="str">
        <f t="shared" si="64"/>
        <v/>
      </c>
      <c r="P513" s="65" t="str">
        <f t="shared" ca="1" si="65"/>
        <v/>
      </c>
      <c r="Q513" s="2"/>
      <c r="R513" s="2"/>
      <c r="S513" s="1" t="str">
        <f t="shared" si="58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59"/>
        <v>0</v>
      </c>
      <c r="W513" s="1" t="str">
        <f t="shared" si="60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customHeight="1" x14ac:dyDescent="0.3">
      <c r="A514" s="2"/>
      <c r="B514" s="65" t="str">
        <f t="shared" si="61"/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 t="shared" si="62"/>
        <v/>
      </c>
      <c r="N514" s="74" t="str">
        <f t="shared" si="63"/>
        <v/>
      </c>
      <c r="O514" s="73" t="str">
        <f t="shared" si="64"/>
        <v/>
      </c>
      <c r="P514" s="65" t="str">
        <f t="shared" ca="1" si="65"/>
        <v/>
      </c>
      <c r="Q514" s="2"/>
      <c r="R514" s="2"/>
      <c r="S514" s="1" t="str">
        <f t="shared" si="58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59"/>
        <v>0</v>
      </c>
      <c r="W514" s="1" t="str">
        <f t="shared" si="60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customHeight="1" x14ac:dyDescent="0.3">
      <c r="A515" s="2"/>
      <c r="B515" s="65" t="str">
        <f t="shared" si="61"/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 t="shared" si="62"/>
        <v/>
      </c>
      <c r="N515" s="74" t="str">
        <f t="shared" si="63"/>
        <v/>
      </c>
      <c r="O515" s="73" t="str">
        <f t="shared" si="64"/>
        <v/>
      </c>
      <c r="P515" s="65" t="str">
        <f t="shared" ca="1" si="65"/>
        <v/>
      </c>
      <c r="Q515" s="2"/>
      <c r="R515" s="2"/>
      <c r="S515" s="1" t="str">
        <f t="shared" si="58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59"/>
        <v>0</v>
      </c>
      <c r="W515" s="1" t="str">
        <f t="shared" si="60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customHeight="1" x14ac:dyDescent="0.3">
      <c r="A516" s="2"/>
      <c r="B516" s="65" t="str">
        <f t="shared" si="61"/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 t="shared" si="62"/>
        <v/>
      </c>
      <c r="N516" s="74" t="str">
        <f t="shared" si="63"/>
        <v/>
      </c>
      <c r="O516" s="73" t="str">
        <f t="shared" si="64"/>
        <v/>
      </c>
      <c r="P516" s="65" t="str">
        <f t="shared" ca="1" si="65"/>
        <v/>
      </c>
      <c r="Q516" s="2"/>
      <c r="R516" s="2"/>
      <c r="S516" s="1" t="str">
        <f t="shared" si="58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59"/>
        <v>0</v>
      </c>
      <c r="W516" s="1" t="str">
        <f t="shared" si="60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customHeight="1" x14ac:dyDescent="0.3">
      <c r="A517" s="2"/>
      <c r="B517" s="65" t="str">
        <f t="shared" si="61"/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 t="shared" si="62"/>
        <v/>
      </c>
      <c r="N517" s="74" t="str">
        <f t="shared" si="63"/>
        <v/>
      </c>
      <c r="O517" s="73" t="str">
        <f t="shared" si="64"/>
        <v/>
      </c>
      <c r="P517" s="65" t="str">
        <f t="shared" ca="1" si="65"/>
        <v/>
      </c>
      <c r="Q517" s="2"/>
      <c r="R517" s="2"/>
      <c r="S517" s="1" t="str">
        <f t="shared" ref="S517:S580" si="66"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ref="V517:V580" si="67">IF($T517="",0,1)</f>
        <v>0</v>
      </c>
      <c r="W517" s="1" t="str">
        <f t="shared" ref="W517:W580" si="68">IF($C517="","",$D517&amp;"|"&amp;$E517&amp;"|"&amp;TEXT($C517,"0")&amp;"|"&amp;TEXT($G517,"0")&amp;"|"&amp;$F517&amp;"|"&amp;$J517)</f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customHeight="1" x14ac:dyDescent="0.3">
      <c r="A518" s="2"/>
      <c r="B518" s="65" t="str">
        <f t="shared" si="61"/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 t="shared" si="62"/>
        <v/>
      </c>
      <c r="N518" s="74" t="str">
        <f t="shared" si="63"/>
        <v/>
      </c>
      <c r="O518" s="73" t="str">
        <f t="shared" si="64"/>
        <v/>
      </c>
      <c r="P518" s="65" t="str">
        <f t="shared" ca="1" si="65"/>
        <v/>
      </c>
      <c r="Q518" s="2"/>
      <c r="R518" s="2"/>
      <c r="S518" s="1" t="str">
        <f t="shared" si="66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67"/>
        <v>0</v>
      </c>
      <c r="W518" s="1" t="str">
        <f t="shared" si="68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customHeight="1" x14ac:dyDescent="0.3">
      <c r="A519" s="2"/>
      <c r="B519" s="65" t="str">
        <f t="shared" ref="B519:B582" si="69"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 t="shared" ref="M519:M582" si="70">IF($C519="","",IF($D519="Gider",$E519,IF($L519&lt;&gt;"",$L519,$H519)))</f>
        <v/>
      </c>
      <c r="N519" s="74" t="str">
        <f t="shared" ref="N519:N582" si="71">IF($C519="","",IF($D519="Gider",$H519,$E519))</f>
        <v/>
      </c>
      <c r="O519" s="73" t="str">
        <f t="shared" ref="O519:O582" si="72">IF($C519="","",DATE(YEAR($C519),MONTH($C519),1))</f>
        <v/>
      </c>
      <c r="P519" s="65" t="str">
        <f t="shared" ref="P519:P582" ca="1" si="73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TARİH",IF(COUNTIF($W$7:$W$3001,$W519)&gt;1,"MÜKERRER?",IF($AD519&gt;0,"KAPALI DÖNEM",IF($I519="Hayır","ÖDENECEK","UYGUN")))),"EKSİK"))))</f>
        <v/>
      </c>
      <c r="Q519" s="2"/>
      <c r="R519" s="2"/>
      <c r="S519" s="1" t="str">
        <f t="shared" si="66"/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si="67"/>
        <v>0</v>
      </c>
      <c r="W519" s="1" t="str">
        <f t="shared" si="68"/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customHeight="1" x14ac:dyDescent="0.3">
      <c r="A520" s="2"/>
      <c r="B520" s="65" t="str">
        <f t="shared" si="69"/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 t="shared" si="70"/>
        <v/>
      </c>
      <c r="N520" s="74" t="str">
        <f t="shared" si="71"/>
        <v/>
      </c>
      <c r="O520" s="73" t="str">
        <f t="shared" si="72"/>
        <v/>
      </c>
      <c r="P520" s="65" t="str">
        <f t="shared" ca="1" si="73"/>
        <v/>
      </c>
      <c r="Q520" s="2"/>
      <c r="R520" s="2"/>
      <c r="S520" s="1" t="str">
        <f t="shared" si="66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67"/>
        <v>0</v>
      </c>
      <c r="W520" s="1" t="str">
        <f t="shared" si="68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customHeight="1" x14ac:dyDescent="0.3">
      <c r="A521" s="2"/>
      <c r="B521" s="65" t="str">
        <f t="shared" si="69"/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 t="shared" si="70"/>
        <v/>
      </c>
      <c r="N521" s="74" t="str">
        <f t="shared" si="71"/>
        <v/>
      </c>
      <c r="O521" s="73" t="str">
        <f t="shared" si="72"/>
        <v/>
      </c>
      <c r="P521" s="65" t="str">
        <f t="shared" ca="1" si="73"/>
        <v/>
      </c>
      <c r="Q521" s="2"/>
      <c r="R521" s="2"/>
      <c r="S521" s="1" t="str">
        <f t="shared" si="66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67"/>
        <v>0</v>
      </c>
      <c r="W521" s="1" t="str">
        <f t="shared" si="68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customHeight="1" x14ac:dyDescent="0.3">
      <c r="A522" s="2"/>
      <c r="B522" s="65" t="str">
        <f t="shared" si="69"/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 t="shared" si="70"/>
        <v/>
      </c>
      <c r="N522" s="74" t="str">
        <f t="shared" si="71"/>
        <v/>
      </c>
      <c r="O522" s="73" t="str">
        <f t="shared" si="72"/>
        <v/>
      </c>
      <c r="P522" s="65" t="str">
        <f t="shared" ca="1" si="73"/>
        <v/>
      </c>
      <c r="Q522" s="2"/>
      <c r="R522" s="2"/>
      <c r="S522" s="1" t="str">
        <f t="shared" si="66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67"/>
        <v>0</v>
      </c>
      <c r="W522" s="1" t="str">
        <f t="shared" si="68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customHeight="1" x14ac:dyDescent="0.3">
      <c r="A523" s="2"/>
      <c r="B523" s="65" t="str">
        <f t="shared" si="69"/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 t="shared" si="70"/>
        <v/>
      </c>
      <c r="N523" s="74" t="str">
        <f t="shared" si="71"/>
        <v/>
      </c>
      <c r="O523" s="73" t="str">
        <f t="shared" si="72"/>
        <v/>
      </c>
      <c r="P523" s="65" t="str">
        <f t="shared" ca="1" si="73"/>
        <v/>
      </c>
      <c r="Q523" s="2"/>
      <c r="R523" s="2"/>
      <c r="S523" s="1" t="str">
        <f t="shared" si="66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67"/>
        <v>0</v>
      </c>
      <c r="W523" s="1" t="str">
        <f t="shared" si="68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customHeight="1" x14ac:dyDescent="0.3">
      <c r="A524" s="2"/>
      <c r="B524" s="65" t="str">
        <f t="shared" si="69"/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 t="shared" si="70"/>
        <v/>
      </c>
      <c r="N524" s="74" t="str">
        <f t="shared" si="71"/>
        <v/>
      </c>
      <c r="O524" s="73" t="str">
        <f t="shared" si="72"/>
        <v/>
      </c>
      <c r="P524" s="65" t="str">
        <f t="shared" ca="1" si="73"/>
        <v/>
      </c>
      <c r="Q524" s="2"/>
      <c r="R524" s="2"/>
      <c r="S524" s="1" t="str">
        <f t="shared" si="66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67"/>
        <v>0</v>
      </c>
      <c r="W524" s="1" t="str">
        <f t="shared" si="68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customHeight="1" x14ac:dyDescent="0.3">
      <c r="A525" s="2"/>
      <c r="B525" s="65" t="str">
        <f t="shared" si="69"/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 t="shared" si="70"/>
        <v/>
      </c>
      <c r="N525" s="74" t="str">
        <f t="shared" si="71"/>
        <v/>
      </c>
      <c r="O525" s="73" t="str">
        <f t="shared" si="72"/>
        <v/>
      </c>
      <c r="P525" s="65" t="str">
        <f t="shared" ca="1" si="73"/>
        <v/>
      </c>
      <c r="Q525" s="2"/>
      <c r="R525" s="2"/>
      <c r="S525" s="1" t="str">
        <f t="shared" si="66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67"/>
        <v>0</v>
      </c>
      <c r="W525" s="1" t="str">
        <f t="shared" si="68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customHeight="1" x14ac:dyDescent="0.3">
      <c r="A526" s="2"/>
      <c r="B526" s="65" t="str">
        <f t="shared" si="69"/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 t="shared" si="70"/>
        <v/>
      </c>
      <c r="N526" s="74" t="str">
        <f t="shared" si="71"/>
        <v/>
      </c>
      <c r="O526" s="73" t="str">
        <f t="shared" si="72"/>
        <v/>
      </c>
      <c r="P526" s="65" t="str">
        <f t="shared" ca="1" si="73"/>
        <v/>
      </c>
      <c r="Q526" s="2"/>
      <c r="R526" s="2"/>
      <c r="S526" s="1" t="str">
        <f t="shared" si="66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67"/>
        <v>0</v>
      </c>
      <c r="W526" s="1" t="str">
        <f t="shared" si="68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customHeight="1" x14ac:dyDescent="0.3">
      <c r="A527" s="2"/>
      <c r="B527" s="65" t="str">
        <f t="shared" si="69"/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 t="shared" si="70"/>
        <v/>
      </c>
      <c r="N527" s="74" t="str">
        <f t="shared" si="71"/>
        <v/>
      </c>
      <c r="O527" s="73" t="str">
        <f t="shared" si="72"/>
        <v/>
      </c>
      <c r="P527" s="65" t="str">
        <f t="shared" ca="1" si="73"/>
        <v/>
      </c>
      <c r="Q527" s="2"/>
      <c r="R527" s="2"/>
      <c r="S527" s="1" t="str">
        <f t="shared" si="66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67"/>
        <v>0</v>
      </c>
      <c r="W527" s="1" t="str">
        <f t="shared" si="68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customHeight="1" x14ac:dyDescent="0.3">
      <c r="A528" s="2"/>
      <c r="B528" s="65" t="str">
        <f t="shared" si="69"/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 t="shared" si="70"/>
        <v/>
      </c>
      <c r="N528" s="74" t="str">
        <f t="shared" si="71"/>
        <v/>
      </c>
      <c r="O528" s="73" t="str">
        <f t="shared" si="72"/>
        <v/>
      </c>
      <c r="P528" s="65" t="str">
        <f t="shared" ca="1" si="73"/>
        <v/>
      </c>
      <c r="Q528" s="2"/>
      <c r="R528" s="2"/>
      <c r="S528" s="1" t="str">
        <f t="shared" si="66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67"/>
        <v>0</v>
      </c>
      <c r="W528" s="1" t="str">
        <f t="shared" si="68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customHeight="1" x14ac:dyDescent="0.3">
      <c r="A529" s="2"/>
      <c r="B529" s="65" t="str">
        <f t="shared" si="69"/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 t="shared" si="70"/>
        <v/>
      </c>
      <c r="N529" s="74" t="str">
        <f t="shared" si="71"/>
        <v/>
      </c>
      <c r="O529" s="73" t="str">
        <f t="shared" si="72"/>
        <v/>
      </c>
      <c r="P529" s="65" t="str">
        <f t="shared" ca="1" si="73"/>
        <v/>
      </c>
      <c r="Q529" s="2"/>
      <c r="R529" s="2"/>
      <c r="S529" s="1" t="str">
        <f t="shared" si="66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67"/>
        <v>0</v>
      </c>
      <c r="W529" s="1" t="str">
        <f t="shared" si="68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customHeight="1" x14ac:dyDescent="0.3">
      <c r="A530" s="2"/>
      <c r="B530" s="65" t="str">
        <f t="shared" si="69"/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 t="shared" si="70"/>
        <v/>
      </c>
      <c r="N530" s="74" t="str">
        <f t="shared" si="71"/>
        <v/>
      </c>
      <c r="O530" s="73" t="str">
        <f t="shared" si="72"/>
        <v/>
      </c>
      <c r="P530" s="65" t="str">
        <f t="shared" ca="1" si="73"/>
        <v/>
      </c>
      <c r="Q530" s="2"/>
      <c r="R530" s="2"/>
      <c r="S530" s="1" t="str">
        <f t="shared" si="66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67"/>
        <v>0</v>
      </c>
      <c r="W530" s="1" t="str">
        <f t="shared" si="68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customHeight="1" x14ac:dyDescent="0.3">
      <c r="A531" s="2"/>
      <c r="B531" s="65" t="str">
        <f t="shared" si="69"/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 t="shared" si="70"/>
        <v/>
      </c>
      <c r="N531" s="74" t="str">
        <f t="shared" si="71"/>
        <v/>
      </c>
      <c r="O531" s="73" t="str">
        <f t="shared" si="72"/>
        <v/>
      </c>
      <c r="P531" s="65" t="str">
        <f t="shared" ca="1" si="73"/>
        <v/>
      </c>
      <c r="Q531" s="2"/>
      <c r="R531" s="2"/>
      <c r="S531" s="1" t="str">
        <f t="shared" si="66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67"/>
        <v>0</v>
      </c>
      <c r="W531" s="1" t="str">
        <f t="shared" si="68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customHeight="1" x14ac:dyDescent="0.3">
      <c r="A532" s="2"/>
      <c r="B532" s="65" t="str">
        <f t="shared" si="69"/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 t="shared" si="70"/>
        <v/>
      </c>
      <c r="N532" s="74" t="str">
        <f t="shared" si="71"/>
        <v/>
      </c>
      <c r="O532" s="73" t="str">
        <f t="shared" si="72"/>
        <v/>
      </c>
      <c r="P532" s="65" t="str">
        <f t="shared" ca="1" si="73"/>
        <v/>
      </c>
      <c r="Q532" s="2"/>
      <c r="R532" s="2"/>
      <c r="S532" s="1" t="str">
        <f t="shared" si="66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67"/>
        <v>0</v>
      </c>
      <c r="W532" s="1" t="str">
        <f t="shared" si="68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customHeight="1" x14ac:dyDescent="0.3">
      <c r="A533" s="2"/>
      <c r="B533" s="65" t="str">
        <f t="shared" si="69"/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 t="shared" si="70"/>
        <v/>
      </c>
      <c r="N533" s="74" t="str">
        <f t="shared" si="71"/>
        <v/>
      </c>
      <c r="O533" s="73" t="str">
        <f t="shared" si="72"/>
        <v/>
      </c>
      <c r="P533" s="65" t="str">
        <f t="shared" ca="1" si="73"/>
        <v/>
      </c>
      <c r="Q533" s="2"/>
      <c r="R533" s="2"/>
      <c r="S533" s="1" t="str">
        <f t="shared" si="66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67"/>
        <v>0</v>
      </c>
      <c r="W533" s="1" t="str">
        <f t="shared" si="68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customHeight="1" x14ac:dyDescent="0.3">
      <c r="A534" s="2"/>
      <c r="B534" s="65" t="str">
        <f t="shared" si="69"/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 t="shared" si="70"/>
        <v/>
      </c>
      <c r="N534" s="74" t="str">
        <f t="shared" si="71"/>
        <v/>
      </c>
      <c r="O534" s="73" t="str">
        <f t="shared" si="72"/>
        <v/>
      </c>
      <c r="P534" s="65" t="str">
        <f t="shared" ca="1" si="73"/>
        <v/>
      </c>
      <c r="Q534" s="2"/>
      <c r="R534" s="2"/>
      <c r="S534" s="1" t="str">
        <f t="shared" si="66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67"/>
        <v>0</v>
      </c>
      <c r="W534" s="1" t="str">
        <f t="shared" si="68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customHeight="1" x14ac:dyDescent="0.3">
      <c r="A535" s="2"/>
      <c r="B535" s="65" t="str">
        <f t="shared" si="69"/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 t="shared" si="70"/>
        <v/>
      </c>
      <c r="N535" s="74" t="str">
        <f t="shared" si="71"/>
        <v/>
      </c>
      <c r="O535" s="73" t="str">
        <f t="shared" si="72"/>
        <v/>
      </c>
      <c r="P535" s="65" t="str">
        <f t="shared" ca="1" si="73"/>
        <v/>
      </c>
      <c r="Q535" s="2"/>
      <c r="R535" s="2"/>
      <c r="S535" s="1" t="str">
        <f t="shared" si="66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67"/>
        <v>0</v>
      </c>
      <c r="W535" s="1" t="str">
        <f t="shared" si="68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customHeight="1" x14ac:dyDescent="0.3">
      <c r="A536" s="2"/>
      <c r="B536" s="65" t="str">
        <f t="shared" si="69"/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 t="shared" si="70"/>
        <v/>
      </c>
      <c r="N536" s="74" t="str">
        <f t="shared" si="71"/>
        <v/>
      </c>
      <c r="O536" s="73" t="str">
        <f t="shared" si="72"/>
        <v/>
      </c>
      <c r="P536" s="65" t="str">
        <f t="shared" ca="1" si="73"/>
        <v/>
      </c>
      <c r="Q536" s="2"/>
      <c r="R536" s="2"/>
      <c r="S536" s="1" t="str">
        <f t="shared" si="66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67"/>
        <v>0</v>
      </c>
      <c r="W536" s="1" t="str">
        <f t="shared" si="68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customHeight="1" x14ac:dyDescent="0.3">
      <c r="A537" s="2"/>
      <c r="B537" s="65" t="str">
        <f t="shared" si="69"/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 t="shared" si="70"/>
        <v/>
      </c>
      <c r="N537" s="74" t="str">
        <f t="shared" si="71"/>
        <v/>
      </c>
      <c r="O537" s="73" t="str">
        <f t="shared" si="72"/>
        <v/>
      </c>
      <c r="P537" s="65" t="str">
        <f t="shared" ca="1" si="73"/>
        <v/>
      </c>
      <c r="Q537" s="2"/>
      <c r="R537" s="2"/>
      <c r="S537" s="1" t="str">
        <f t="shared" si="66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67"/>
        <v>0</v>
      </c>
      <c r="W537" s="1" t="str">
        <f t="shared" si="68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customHeight="1" x14ac:dyDescent="0.3">
      <c r="A538" s="2"/>
      <c r="B538" s="65" t="str">
        <f t="shared" si="69"/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 t="shared" si="70"/>
        <v/>
      </c>
      <c r="N538" s="74" t="str">
        <f t="shared" si="71"/>
        <v/>
      </c>
      <c r="O538" s="73" t="str">
        <f t="shared" si="72"/>
        <v/>
      </c>
      <c r="P538" s="65" t="str">
        <f t="shared" ca="1" si="73"/>
        <v/>
      </c>
      <c r="Q538" s="2"/>
      <c r="R538" s="2"/>
      <c r="S538" s="1" t="str">
        <f t="shared" si="66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67"/>
        <v>0</v>
      </c>
      <c r="W538" s="1" t="str">
        <f t="shared" si="68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customHeight="1" x14ac:dyDescent="0.3">
      <c r="A539" s="2"/>
      <c r="B539" s="65" t="str">
        <f t="shared" si="69"/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 t="shared" si="70"/>
        <v/>
      </c>
      <c r="N539" s="74" t="str">
        <f t="shared" si="71"/>
        <v/>
      </c>
      <c r="O539" s="73" t="str">
        <f t="shared" si="72"/>
        <v/>
      </c>
      <c r="P539" s="65" t="str">
        <f t="shared" ca="1" si="73"/>
        <v/>
      </c>
      <c r="Q539" s="2"/>
      <c r="R539" s="2"/>
      <c r="S539" s="1" t="str">
        <f t="shared" si="66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67"/>
        <v>0</v>
      </c>
      <c r="W539" s="1" t="str">
        <f t="shared" si="68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customHeight="1" x14ac:dyDescent="0.3">
      <c r="A540" s="2"/>
      <c r="B540" s="65" t="str">
        <f t="shared" si="69"/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 t="shared" si="70"/>
        <v/>
      </c>
      <c r="N540" s="74" t="str">
        <f t="shared" si="71"/>
        <v/>
      </c>
      <c r="O540" s="73" t="str">
        <f t="shared" si="72"/>
        <v/>
      </c>
      <c r="P540" s="65" t="str">
        <f t="shared" ca="1" si="73"/>
        <v/>
      </c>
      <c r="Q540" s="2"/>
      <c r="R540" s="2"/>
      <c r="S540" s="1" t="str">
        <f t="shared" si="66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67"/>
        <v>0</v>
      </c>
      <c r="W540" s="1" t="str">
        <f t="shared" si="68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customHeight="1" x14ac:dyDescent="0.3">
      <c r="A541" s="2"/>
      <c r="B541" s="65" t="str">
        <f t="shared" si="69"/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 t="shared" si="70"/>
        <v/>
      </c>
      <c r="N541" s="74" t="str">
        <f t="shared" si="71"/>
        <v/>
      </c>
      <c r="O541" s="73" t="str">
        <f t="shared" si="72"/>
        <v/>
      </c>
      <c r="P541" s="65" t="str">
        <f t="shared" ca="1" si="73"/>
        <v/>
      </c>
      <c r="Q541" s="2"/>
      <c r="R541" s="2"/>
      <c r="S541" s="1" t="str">
        <f t="shared" si="66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67"/>
        <v>0</v>
      </c>
      <c r="W541" s="1" t="str">
        <f t="shared" si="68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customHeight="1" x14ac:dyDescent="0.3">
      <c r="A542" s="2"/>
      <c r="B542" s="65" t="str">
        <f t="shared" si="69"/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 t="shared" si="70"/>
        <v/>
      </c>
      <c r="N542" s="74" t="str">
        <f t="shared" si="71"/>
        <v/>
      </c>
      <c r="O542" s="73" t="str">
        <f t="shared" si="72"/>
        <v/>
      </c>
      <c r="P542" s="65" t="str">
        <f t="shared" ca="1" si="73"/>
        <v/>
      </c>
      <c r="Q542" s="2"/>
      <c r="R542" s="2"/>
      <c r="S542" s="1" t="str">
        <f t="shared" si="66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67"/>
        <v>0</v>
      </c>
      <c r="W542" s="1" t="str">
        <f t="shared" si="68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customHeight="1" x14ac:dyDescent="0.3">
      <c r="A543" s="2"/>
      <c r="B543" s="65" t="str">
        <f t="shared" si="69"/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 t="shared" si="70"/>
        <v/>
      </c>
      <c r="N543" s="74" t="str">
        <f t="shared" si="71"/>
        <v/>
      </c>
      <c r="O543" s="73" t="str">
        <f t="shared" si="72"/>
        <v/>
      </c>
      <c r="P543" s="65" t="str">
        <f t="shared" ca="1" si="73"/>
        <v/>
      </c>
      <c r="Q543" s="2"/>
      <c r="R543" s="2"/>
      <c r="S543" s="1" t="str">
        <f t="shared" si="66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67"/>
        <v>0</v>
      </c>
      <c r="W543" s="1" t="str">
        <f t="shared" si="68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customHeight="1" x14ac:dyDescent="0.3">
      <c r="A544" s="2"/>
      <c r="B544" s="65" t="str">
        <f t="shared" si="69"/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 t="shared" si="70"/>
        <v/>
      </c>
      <c r="N544" s="74" t="str">
        <f t="shared" si="71"/>
        <v/>
      </c>
      <c r="O544" s="73" t="str">
        <f t="shared" si="72"/>
        <v/>
      </c>
      <c r="P544" s="65" t="str">
        <f t="shared" ca="1" si="73"/>
        <v/>
      </c>
      <c r="Q544" s="2"/>
      <c r="R544" s="2"/>
      <c r="S544" s="1" t="str">
        <f t="shared" si="66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67"/>
        <v>0</v>
      </c>
      <c r="W544" s="1" t="str">
        <f t="shared" si="68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customHeight="1" x14ac:dyDescent="0.3">
      <c r="A545" s="2"/>
      <c r="B545" s="65" t="str">
        <f t="shared" si="69"/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 t="shared" si="70"/>
        <v/>
      </c>
      <c r="N545" s="74" t="str">
        <f t="shared" si="71"/>
        <v/>
      </c>
      <c r="O545" s="73" t="str">
        <f t="shared" si="72"/>
        <v/>
      </c>
      <c r="P545" s="65" t="str">
        <f t="shared" ca="1" si="73"/>
        <v/>
      </c>
      <c r="Q545" s="2"/>
      <c r="R545" s="2"/>
      <c r="S545" s="1" t="str">
        <f t="shared" si="66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67"/>
        <v>0</v>
      </c>
      <c r="W545" s="1" t="str">
        <f t="shared" si="68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customHeight="1" x14ac:dyDescent="0.3">
      <c r="A546" s="2"/>
      <c r="B546" s="65" t="str">
        <f t="shared" si="69"/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 t="shared" si="70"/>
        <v/>
      </c>
      <c r="N546" s="74" t="str">
        <f t="shared" si="71"/>
        <v/>
      </c>
      <c r="O546" s="73" t="str">
        <f t="shared" si="72"/>
        <v/>
      </c>
      <c r="P546" s="65" t="str">
        <f t="shared" ca="1" si="73"/>
        <v/>
      </c>
      <c r="Q546" s="2"/>
      <c r="R546" s="2"/>
      <c r="S546" s="1" t="str">
        <f t="shared" si="66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67"/>
        <v>0</v>
      </c>
      <c r="W546" s="1" t="str">
        <f t="shared" si="68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customHeight="1" x14ac:dyDescent="0.3">
      <c r="A547" s="2"/>
      <c r="B547" s="65" t="str">
        <f t="shared" si="69"/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 t="shared" si="70"/>
        <v/>
      </c>
      <c r="N547" s="74" t="str">
        <f t="shared" si="71"/>
        <v/>
      </c>
      <c r="O547" s="73" t="str">
        <f t="shared" si="72"/>
        <v/>
      </c>
      <c r="P547" s="65" t="str">
        <f t="shared" ca="1" si="73"/>
        <v/>
      </c>
      <c r="Q547" s="2"/>
      <c r="R547" s="2"/>
      <c r="S547" s="1" t="str">
        <f t="shared" si="66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67"/>
        <v>0</v>
      </c>
      <c r="W547" s="1" t="str">
        <f t="shared" si="68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customHeight="1" x14ac:dyDescent="0.3">
      <c r="A548" s="2"/>
      <c r="B548" s="65" t="str">
        <f t="shared" si="69"/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 t="shared" si="70"/>
        <v/>
      </c>
      <c r="N548" s="74" t="str">
        <f t="shared" si="71"/>
        <v/>
      </c>
      <c r="O548" s="73" t="str">
        <f t="shared" si="72"/>
        <v/>
      </c>
      <c r="P548" s="65" t="str">
        <f t="shared" ca="1" si="73"/>
        <v/>
      </c>
      <c r="Q548" s="2"/>
      <c r="R548" s="2"/>
      <c r="S548" s="1" t="str">
        <f t="shared" si="66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67"/>
        <v>0</v>
      </c>
      <c r="W548" s="1" t="str">
        <f t="shared" si="68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customHeight="1" x14ac:dyDescent="0.3">
      <c r="A549" s="2"/>
      <c r="B549" s="65" t="str">
        <f t="shared" si="69"/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 t="shared" si="70"/>
        <v/>
      </c>
      <c r="N549" s="74" t="str">
        <f t="shared" si="71"/>
        <v/>
      </c>
      <c r="O549" s="73" t="str">
        <f t="shared" si="72"/>
        <v/>
      </c>
      <c r="P549" s="65" t="str">
        <f t="shared" ca="1" si="73"/>
        <v/>
      </c>
      <c r="Q549" s="2"/>
      <c r="R549" s="2"/>
      <c r="S549" s="1" t="str">
        <f t="shared" si="66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67"/>
        <v>0</v>
      </c>
      <c r="W549" s="1" t="str">
        <f t="shared" si="68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customHeight="1" x14ac:dyDescent="0.3">
      <c r="A550" s="2"/>
      <c r="B550" s="65" t="str">
        <f t="shared" si="69"/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 t="shared" si="70"/>
        <v/>
      </c>
      <c r="N550" s="74" t="str">
        <f t="shared" si="71"/>
        <v/>
      </c>
      <c r="O550" s="73" t="str">
        <f t="shared" si="72"/>
        <v/>
      </c>
      <c r="P550" s="65" t="str">
        <f t="shared" ca="1" si="73"/>
        <v/>
      </c>
      <c r="Q550" s="2"/>
      <c r="R550" s="2"/>
      <c r="S550" s="1" t="str">
        <f t="shared" si="66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67"/>
        <v>0</v>
      </c>
      <c r="W550" s="1" t="str">
        <f t="shared" si="68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customHeight="1" x14ac:dyDescent="0.3">
      <c r="A551" s="2"/>
      <c r="B551" s="65" t="str">
        <f t="shared" si="69"/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 t="shared" si="70"/>
        <v/>
      </c>
      <c r="N551" s="74" t="str">
        <f t="shared" si="71"/>
        <v/>
      </c>
      <c r="O551" s="73" t="str">
        <f t="shared" si="72"/>
        <v/>
      </c>
      <c r="P551" s="65" t="str">
        <f t="shared" ca="1" si="73"/>
        <v/>
      </c>
      <c r="Q551" s="2"/>
      <c r="R551" s="2"/>
      <c r="S551" s="1" t="str">
        <f t="shared" si="66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67"/>
        <v>0</v>
      </c>
      <c r="W551" s="1" t="str">
        <f t="shared" si="68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customHeight="1" x14ac:dyDescent="0.3">
      <c r="A552" s="2"/>
      <c r="B552" s="65" t="str">
        <f t="shared" si="69"/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 t="shared" si="70"/>
        <v/>
      </c>
      <c r="N552" s="74" t="str">
        <f t="shared" si="71"/>
        <v/>
      </c>
      <c r="O552" s="73" t="str">
        <f t="shared" si="72"/>
        <v/>
      </c>
      <c r="P552" s="65" t="str">
        <f t="shared" ca="1" si="73"/>
        <v/>
      </c>
      <c r="Q552" s="2"/>
      <c r="R552" s="2"/>
      <c r="S552" s="1" t="str">
        <f t="shared" si="66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67"/>
        <v>0</v>
      </c>
      <c r="W552" s="1" t="str">
        <f t="shared" si="68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customHeight="1" x14ac:dyDescent="0.3">
      <c r="A553" s="2"/>
      <c r="B553" s="65" t="str">
        <f t="shared" si="69"/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 t="shared" si="70"/>
        <v/>
      </c>
      <c r="N553" s="74" t="str">
        <f t="shared" si="71"/>
        <v/>
      </c>
      <c r="O553" s="73" t="str">
        <f t="shared" si="72"/>
        <v/>
      </c>
      <c r="P553" s="65" t="str">
        <f t="shared" ca="1" si="73"/>
        <v/>
      </c>
      <c r="Q553" s="2"/>
      <c r="R553" s="2"/>
      <c r="S553" s="1" t="str">
        <f t="shared" si="66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67"/>
        <v>0</v>
      </c>
      <c r="W553" s="1" t="str">
        <f t="shared" si="68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customHeight="1" x14ac:dyDescent="0.3">
      <c r="A554" s="2"/>
      <c r="B554" s="65" t="str">
        <f t="shared" si="69"/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 t="shared" si="70"/>
        <v/>
      </c>
      <c r="N554" s="74" t="str">
        <f t="shared" si="71"/>
        <v/>
      </c>
      <c r="O554" s="73" t="str">
        <f t="shared" si="72"/>
        <v/>
      </c>
      <c r="P554" s="65" t="str">
        <f t="shared" ca="1" si="73"/>
        <v/>
      </c>
      <c r="Q554" s="2"/>
      <c r="R554" s="2"/>
      <c r="S554" s="1" t="str">
        <f t="shared" si="66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67"/>
        <v>0</v>
      </c>
      <c r="W554" s="1" t="str">
        <f t="shared" si="68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customHeight="1" x14ac:dyDescent="0.3">
      <c r="A555" s="2"/>
      <c r="B555" s="65" t="str">
        <f t="shared" si="69"/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 t="shared" si="70"/>
        <v/>
      </c>
      <c r="N555" s="74" t="str">
        <f t="shared" si="71"/>
        <v/>
      </c>
      <c r="O555" s="73" t="str">
        <f t="shared" si="72"/>
        <v/>
      </c>
      <c r="P555" s="65" t="str">
        <f t="shared" ca="1" si="73"/>
        <v/>
      </c>
      <c r="Q555" s="2"/>
      <c r="R555" s="2"/>
      <c r="S555" s="1" t="str">
        <f t="shared" si="66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67"/>
        <v>0</v>
      </c>
      <c r="W555" s="1" t="str">
        <f t="shared" si="68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customHeight="1" x14ac:dyDescent="0.3">
      <c r="A556" s="2"/>
      <c r="B556" s="65" t="str">
        <f t="shared" si="69"/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 t="shared" si="70"/>
        <v/>
      </c>
      <c r="N556" s="74" t="str">
        <f t="shared" si="71"/>
        <v/>
      </c>
      <c r="O556" s="73" t="str">
        <f t="shared" si="72"/>
        <v/>
      </c>
      <c r="P556" s="65" t="str">
        <f t="shared" ca="1" si="73"/>
        <v/>
      </c>
      <c r="Q556" s="2"/>
      <c r="R556" s="2"/>
      <c r="S556" s="1" t="str">
        <f t="shared" si="66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67"/>
        <v>0</v>
      </c>
      <c r="W556" s="1" t="str">
        <f t="shared" si="68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customHeight="1" x14ac:dyDescent="0.3">
      <c r="A557" s="2"/>
      <c r="B557" s="65" t="str">
        <f t="shared" si="69"/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 t="shared" si="70"/>
        <v/>
      </c>
      <c r="N557" s="74" t="str">
        <f t="shared" si="71"/>
        <v/>
      </c>
      <c r="O557" s="73" t="str">
        <f t="shared" si="72"/>
        <v/>
      </c>
      <c r="P557" s="65" t="str">
        <f t="shared" ca="1" si="73"/>
        <v/>
      </c>
      <c r="Q557" s="2"/>
      <c r="R557" s="2"/>
      <c r="S557" s="1" t="str">
        <f t="shared" si="66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67"/>
        <v>0</v>
      </c>
      <c r="W557" s="1" t="str">
        <f t="shared" si="68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customHeight="1" x14ac:dyDescent="0.3">
      <c r="A558" s="2"/>
      <c r="B558" s="65" t="str">
        <f t="shared" si="69"/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 t="shared" si="70"/>
        <v/>
      </c>
      <c r="N558" s="74" t="str">
        <f t="shared" si="71"/>
        <v/>
      </c>
      <c r="O558" s="73" t="str">
        <f t="shared" si="72"/>
        <v/>
      </c>
      <c r="P558" s="65" t="str">
        <f t="shared" ca="1" si="73"/>
        <v/>
      </c>
      <c r="Q558" s="2"/>
      <c r="R558" s="2"/>
      <c r="S558" s="1" t="str">
        <f t="shared" si="66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67"/>
        <v>0</v>
      </c>
      <c r="W558" s="1" t="str">
        <f t="shared" si="68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customHeight="1" x14ac:dyDescent="0.3">
      <c r="A559" s="2"/>
      <c r="B559" s="65" t="str">
        <f t="shared" si="69"/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 t="shared" si="70"/>
        <v/>
      </c>
      <c r="N559" s="74" t="str">
        <f t="shared" si="71"/>
        <v/>
      </c>
      <c r="O559" s="73" t="str">
        <f t="shared" si="72"/>
        <v/>
      </c>
      <c r="P559" s="65" t="str">
        <f t="shared" ca="1" si="73"/>
        <v/>
      </c>
      <c r="Q559" s="2"/>
      <c r="R559" s="2"/>
      <c r="S559" s="1" t="str">
        <f t="shared" si="66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67"/>
        <v>0</v>
      </c>
      <c r="W559" s="1" t="str">
        <f t="shared" si="68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customHeight="1" x14ac:dyDescent="0.3">
      <c r="A560" s="2"/>
      <c r="B560" s="65" t="str">
        <f t="shared" si="69"/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 t="shared" si="70"/>
        <v/>
      </c>
      <c r="N560" s="74" t="str">
        <f t="shared" si="71"/>
        <v/>
      </c>
      <c r="O560" s="73" t="str">
        <f t="shared" si="72"/>
        <v/>
      </c>
      <c r="P560" s="65" t="str">
        <f t="shared" ca="1" si="73"/>
        <v/>
      </c>
      <c r="Q560" s="2"/>
      <c r="R560" s="2"/>
      <c r="S560" s="1" t="str">
        <f t="shared" si="66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67"/>
        <v>0</v>
      </c>
      <c r="W560" s="1" t="str">
        <f t="shared" si="68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customHeight="1" x14ac:dyDescent="0.3">
      <c r="A561" s="2"/>
      <c r="B561" s="65" t="str">
        <f t="shared" si="69"/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 t="shared" si="70"/>
        <v/>
      </c>
      <c r="N561" s="74" t="str">
        <f t="shared" si="71"/>
        <v/>
      </c>
      <c r="O561" s="73" t="str">
        <f t="shared" si="72"/>
        <v/>
      </c>
      <c r="P561" s="65" t="str">
        <f t="shared" ca="1" si="73"/>
        <v/>
      </c>
      <c r="Q561" s="2"/>
      <c r="R561" s="2"/>
      <c r="S561" s="1" t="str">
        <f t="shared" si="66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67"/>
        <v>0</v>
      </c>
      <c r="W561" s="1" t="str">
        <f t="shared" si="68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customHeight="1" x14ac:dyDescent="0.3">
      <c r="A562" s="2"/>
      <c r="B562" s="65" t="str">
        <f t="shared" si="69"/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 t="shared" si="70"/>
        <v/>
      </c>
      <c r="N562" s="74" t="str">
        <f t="shared" si="71"/>
        <v/>
      </c>
      <c r="O562" s="73" t="str">
        <f t="shared" si="72"/>
        <v/>
      </c>
      <c r="P562" s="65" t="str">
        <f t="shared" ca="1" si="73"/>
        <v/>
      </c>
      <c r="Q562" s="2"/>
      <c r="R562" s="2"/>
      <c r="S562" s="1" t="str">
        <f t="shared" si="66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67"/>
        <v>0</v>
      </c>
      <c r="W562" s="1" t="str">
        <f t="shared" si="68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customHeight="1" x14ac:dyDescent="0.3">
      <c r="A563" s="2"/>
      <c r="B563" s="65" t="str">
        <f t="shared" si="69"/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 t="shared" si="70"/>
        <v/>
      </c>
      <c r="N563" s="74" t="str">
        <f t="shared" si="71"/>
        <v/>
      </c>
      <c r="O563" s="73" t="str">
        <f t="shared" si="72"/>
        <v/>
      </c>
      <c r="P563" s="65" t="str">
        <f t="shared" ca="1" si="73"/>
        <v/>
      </c>
      <c r="Q563" s="2"/>
      <c r="R563" s="2"/>
      <c r="S563" s="1" t="str">
        <f t="shared" si="66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67"/>
        <v>0</v>
      </c>
      <c r="W563" s="1" t="str">
        <f t="shared" si="68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customHeight="1" x14ac:dyDescent="0.3">
      <c r="A564" s="2"/>
      <c r="B564" s="65" t="str">
        <f t="shared" si="69"/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 t="shared" si="70"/>
        <v/>
      </c>
      <c r="N564" s="74" t="str">
        <f t="shared" si="71"/>
        <v/>
      </c>
      <c r="O564" s="73" t="str">
        <f t="shared" si="72"/>
        <v/>
      </c>
      <c r="P564" s="65" t="str">
        <f t="shared" ca="1" si="73"/>
        <v/>
      </c>
      <c r="Q564" s="2"/>
      <c r="R564" s="2"/>
      <c r="S564" s="1" t="str">
        <f t="shared" si="66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67"/>
        <v>0</v>
      </c>
      <c r="W564" s="1" t="str">
        <f t="shared" si="68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customHeight="1" x14ac:dyDescent="0.3">
      <c r="A565" s="2"/>
      <c r="B565" s="65" t="str">
        <f t="shared" si="69"/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 t="shared" si="70"/>
        <v/>
      </c>
      <c r="N565" s="74" t="str">
        <f t="shared" si="71"/>
        <v/>
      </c>
      <c r="O565" s="73" t="str">
        <f t="shared" si="72"/>
        <v/>
      </c>
      <c r="P565" s="65" t="str">
        <f t="shared" ca="1" si="73"/>
        <v/>
      </c>
      <c r="Q565" s="2"/>
      <c r="R565" s="2"/>
      <c r="S565" s="1" t="str">
        <f t="shared" si="66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67"/>
        <v>0</v>
      </c>
      <c r="W565" s="1" t="str">
        <f t="shared" si="68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customHeight="1" x14ac:dyDescent="0.3">
      <c r="A566" s="2"/>
      <c r="B566" s="65" t="str">
        <f t="shared" si="69"/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 t="shared" si="70"/>
        <v/>
      </c>
      <c r="N566" s="74" t="str">
        <f t="shared" si="71"/>
        <v/>
      </c>
      <c r="O566" s="73" t="str">
        <f t="shared" si="72"/>
        <v/>
      </c>
      <c r="P566" s="65" t="str">
        <f t="shared" ca="1" si="73"/>
        <v/>
      </c>
      <c r="Q566" s="2"/>
      <c r="R566" s="2"/>
      <c r="S566" s="1" t="str">
        <f t="shared" si="66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67"/>
        <v>0</v>
      </c>
      <c r="W566" s="1" t="str">
        <f t="shared" si="68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customHeight="1" x14ac:dyDescent="0.3">
      <c r="A567" s="2"/>
      <c r="B567" s="65" t="str">
        <f t="shared" si="69"/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 t="shared" si="70"/>
        <v/>
      </c>
      <c r="N567" s="74" t="str">
        <f t="shared" si="71"/>
        <v/>
      </c>
      <c r="O567" s="73" t="str">
        <f t="shared" si="72"/>
        <v/>
      </c>
      <c r="P567" s="65" t="str">
        <f t="shared" ca="1" si="73"/>
        <v/>
      </c>
      <c r="Q567" s="2"/>
      <c r="R567" s="2"/>
      <c r="S567" s="1" t="str">
        <f t="shared" si="66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67"/>
        <v>0</v>
      </c>
      <c r="W567" s="1" t="str">
        <f t="shared" si="68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customHeight="1" x14ac:dyDescent="0.3">
      <c r="A568" s="2"/>
      <c r="B568" s="65" t="str">
        <f t="shared" si="69"/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 t="shared" si="70"/>
        <v/>
      </c>
      <c r="N568" s="74" t="str">
        <f t="shared" si="71"/>
        <v/>
      </c>
      <c r="O568" s="73" t="str">
        <f t="shared" si="72"/>
        <v/>
      </c>
      <c r="P568" s="65" t="str">
        <f t="shared" ca="1" si="73"/>
        <v/>
      </c>
      <c r="Q568" s="2"/>
      <c r="R568" s="2"/>
      <c r="S568" s="1" t="str">
        <f t="shared" si="66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67"/>
        <v>0</v>
      </c>
      <c r="W568" s="1" t="str">
        <f t="shared" si="68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customHeight="1" x14ac:dyDescent="0.3">
      <c r="A569" s="2"/>
      <c r="B569" s="65" t="str">
        <f t="shared" si="69"/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 t="shared" si="70"/>
        <v/>
      </c>
      <c r="N569" s="74" t="str">
        <f t="shared" si="71"/>
        <v/>
      </c>
      <c r="O569" s="73" t="str">
        <f t="shared" si="72"/>
        <v/>
      </c>
      <c r="P569" s="65" t="str">
        <f t="shared" ca="1" si="73"/>
        <v/>
      </c>
      <c r="Q569" s="2"/>
      <c r="R569" s="2"/>
      <c r="S569" s="1" t="str">
        <f t="shared" si="66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67"/>
        <v>0</v>
      </c>
      <c r="W569" s="1" t="str">
        <f t="shared" si="68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customHeight="1" x14ac:dyDescent="0.3">
      <c r="A570" s="2"/>
      <c r="B570" s="65" t="str">
        <f t="shared" si="69"/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 t="shared" si="70"/>
        <v/>
      </c>
      <c r="N570" s="74" t="str">
        <f t="shared" si="71"/>
        <v/>
      </c>
      <c r="O570" s="73" t="str">
        <f t="shared" si="72"/>
        <v/>
      </c>
      <c r="P570" s="65" t="str">
        <f t="shared" ca="1" si="73"/>
        <v/>
      </c>
      <c r="Q570" s="2"/>
      <c r="R570" s="2"/>
      <c r="S570" s="1" t="str">
        <f t="shared" si="66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67"/>
        <v>0</v>
      </c>
      <c r="W570" s="1" t="str">
        <f t="shared" si="68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customHeight="1" x14ac:dyDescent="0.3">
      <c r="A571" s="2"/>
      <c r="B571" s="65" t="str">
        <f t="shared" si="69"/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 t="shared" si="70"/>
        <v/>
      </c>
      <c r="N571" s="74" t="str">
        <f t="shared" si="71"/>
        <v/>
      </c>
      <c r="O571" s="73" t="str">
        <f t="shared" si="72"/>
        <v/>
      </c>
      <c r="P571" s="65" t="str">
        <f t="shared" ca="1" si="73"/>
        <v/>
      </c>
      <c r="Q571" s="2"/>
      <c r="R571" s="2"/>
      <c r="S571" s="1" t="str">
        <f t="shared" si="66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67"/>
        <v>0</v>
      </c>
      <c r="W571" s="1" t="str">
        <f t="shared" si="68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customHeight="1" x14ac:dyDescent="0.3">
      <c r="A572" s="2"/>
      <c r="B572" s="65" t="str">
        <f t="shared" si="69"/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 t="shared" si="70"/>
        <v/>
      </c>
      <c r="N572" s="74" t="str">
        <f t="shared" si="71"/>
        <v/>
      </c>
      <c r="O572" s="73" t="str">
        <f t="shared" si="72"/>
        <v/>
      </c>
      <c r="P572" s="65" t="str">
        <f t="shared" ca="1" si="73"/>
        <v/>
      </c>
      <c r="Q572" s="2"/>
      <c r="R572" s="2"/>
      <c r="S572" s="1" t="str">
        <f t="shared" si="66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67"/>
        <v>0</v>
      </c>
      <c r="W572" s="1" t="str">
        <f t="shared" si="68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customHeight="1" x14ac:dyDescent="0.3">
      <c r="A573" s="2"/>
      <c r="B573" s="65" t="str">
        <f t="shared" si="69"/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 t="shared" si="70"/>
        <v/>
      </c>
      <c r="N573" s="74" t="str">
        <f t="shared" si="71"/>
        <v/>
      </c>
      <c r="O573" s="73" t="str">
        <f t="shared" si="72"/>
        <v/>
      </c>
      <c r="P573" s="65" t="str">
        <f t="shared" ca="1" si="73"/>
        <v/>
      </c>
      <c r="Q573" s="2"/>
      <c r="R573" s="2"/>
      <c r="S573" s="1" t="str">
        <f t="shared" si="66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67"/>
        <v>0</v>
      </c>
      <c r="W573" s="1" t="str">
        <f t="shared" si="68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customHeight="1" x14ac:dyDescent="0.3">
      <c r="A574" s="2"/>
      <c r="B574" s="65" t="str">
        <f t="shared" si="69"/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 t="shared" si="70"/>
        <v/>
      </c>
      <c r="N574" s="74" t="str">
        <f t="shared" si="71"/>
        <v/>
      </c>
      <c r="O574" s="73" t="str">
        <f t="shared" si="72"/>
        <v/>
      </c>
      <c r="P574" s="65" t="str">
        <f t="shared" ca="1" si="73"/>
        <v/>
      </c>
      <c r="Q574" s="2"/>
      <c r="R574" s="2"/>
      <c r="S574" s="1" t="str">
        <f t="shared" si="66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67"/>
        <v>0</v>
      </c>
      <c r="W574" s="1" t="str">
        <f t="shared" si="68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customHeight="1" x14ac:dyDescent="0.3">
      <c r="A575" s="2"/>
      <c r="B575" s="65" t="str">
        <f t="shared" si="69"/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 t="shared" si="70"/>
        <v/>
      </c>
      <c r="N575" s="74" t="str">
        <f t="shared" si="71"/>
        <v/>
      </c>
      <c r="O575" s="73" t="str">
        <f t="shared" si="72"/>
        <v/>
      </c>
      <c r="P575" s="65" t="str">
        <f t="shared" ca="1" si="73"/>
        <v/>
      </c>
      <c r="Q575" s="2"/>
      <c r="R575" s="2"/>
      <c r="S575" s="1" t="str">
        <f t="shared" si="66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67"/>
        <v>0</v>
      </c>
      <c r="W575" s="1" t="str">
        <f t="shared" si="68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customHeight="1" x14ac:dyDescent="0.3">
      <c r="A576" s="2"/>
      <c r="B576" s="65" t="str">
        <f t="shared" si="69"/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 t="shared" si="70"/>
        <v/>
      </c>
      <c r="N576" s="74" t="str">
        <f t="shared" si="71"/>
        <v/>
      </c>
      <c r="O576" s="73" t="str">
        <f t="shared" si="72"/>
        <v/>
      </c>
      <c r="P576" s="65" t="str">
        <f t="shared" ca="1" si="73"/>
        <v/>
      </c>
      <c r="Q576" s="2"/>
      <c r="R576" s="2"/>
      <c r="S576" s="1" t="str">
        <f t="shared" si="66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67"/>
        <v>0</v>
      </c>
      <c r="W576" s="1" t="str">
        <f t="shared" si="68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customHeight="1" x14ac:dyDescent="0.3">
      <c r="A577" s="2"/>
      <c r="B577" s="65" t="str">
        <f t="shared" si="69"/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 t="shared" si="70"/>
        <v/>
      </c>
      <c r="N577" s="74" t="str">
        <f t="shared" si="71"/>
        <v/>
      </c>
      <c r="O577" s="73" t="str">
        <f t="shared" si="72"/>
        <v/>
      </c>
      <c r="P577" s="65" t="str">
        <f t="shared" ca="1" si="73"/>
        <v/>
      </c>
      <c r="Q577" s="2"/>
      <c r="R577" s="2"/>
      <c r="S577" s="1" t="str">
        <f t="shared" si="66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67"/>
        <v>0</v>
      </c>
      <c r="W577" s="1" t="str">
        <f t="shared" si="68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customHeight="1" x14ac:dyDescent="0.3">
      <c r="A578" s="2"/>
      <c r="B578" s="65" t="str">
        <f t="shared" si="69"/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 t="shared" si="70"/>
        <v/>
      </c>
      <c r="N578" s="74" t="str">
        <f t="shared" si="71"/>
        <v/>
      </c>
      <c r="O578" s="73" t="str">
        <f t="shared" si="72"/>
        <v/>
      </c>
      <c r="P578" s="65" t="str">
        <f t="shared" ca="1" si="73"/>
        <v/>
      </c>
      <c r="Q578" s="2"/>
      <c r="R578" s="2"/>
      <c r="S578" s="1" t="str">
        <f t="shared" si="66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67"/>
        <v>0</v>
      </c>
      <c r="W578" s="1" t="str">
        <f t="shared" si="68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customHeight="1" x14ac:dyDescent="0.3">
      <c r="A579" s="2"/>
      <c r="B579" s="65" t="str">
        <f t="shared" si="69"/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 t="shared" si="70"/>
        <v/>
      </c>
      <c r="N579" s="74" t="str">
        <f t="shared" si="71"/>
        <v/>
      </c>
      <c r="O579" s="73" t="str">
        <f t="shared" si="72"/>
        <v/>
      </c>
      <c r="P579" s="65" t="str">
        <f t="shared" ca="1" si="73"/>
        <v/>
      </c>
      <c r="Q579" s="2"/>
      <c r="R579" s="2"/>
      <c r="S579" s="1" t="str">
        <f t="shared" si="66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67"/>
        <v>0</v>
      </c>
      <c r="W579" s="1" t="str">
        <f t="shared" si="68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customHeight="1" x14ac:dyDescent="0.3">
      <c r="A580" s="2"/>
      <c r="B580" s="65" t="str">
        <f t="shared" si="69"/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 t="shared" si="70"/>
        <v/>
      </c>
      <c r="N580" s="74" t="str">
        <f t="shared" si="71"/>
        <v/>
      </c>
      <c r="O580" s="73" t="str">
        <f t="shared" si="72"/>
        <v/>
      </c>
      <c r="P580" s="65" t="str">
        <f t="shared" ca="1" si="73"/>
        <v/>
      </c>
      <c r="Q580" s="2"/>
      <c r="R580" s="2"/>
      <c r="S580" s="1" t="str">
        <f t="shared" si="66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67"/>
        <v>0</v>
      </c>
      <c r="W580" s="1" t="str">
        <f t="shared" si="68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customHeight="1" x14ac:dyDescent="0.3">
      <c r="A581" s="2"/>
      <c r="B581" s="65" t="str">
        <f t="shared" si="69"/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 t="shared" si="70"/>
        <v/>
      </c>
      <c r="N581" s="74" t="str">
        <f t="shared" si="71"/>
        <v/>
      </c>
      <c r="O581" s="73" t="str">
        <f t="shared" si="72"/>
        <v/>
      </c>
      <c r="P581" s="65" t="str">
        <f t="shared" ca="1" si="73"/>
        <v/>
      </c>
      <c r="Q581" s="2"/>
      <c r="R581" s="2"/>
      <c r="S581" s="1" t="str">
        <f t="shared" ref="S581:S644" si="74"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ref="V581:V644" si="75">IF($T581="",0,1)</f>
        <v>0</v>
      </c>
      <c r="W581" s="1" t="str">
        <f t="shared" ref="W581:W644" si="76">IF($C581="","",$D581&amp;"|"&amp;$E581&amp;"|"&amp;TEXT($C581,"0")&amp;"|"&amp;TEXT($G581,"0")&amp;"|"&amp;$F581&amp;"|"&amp;$J581)</f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customHeight="1" x14ac:dyDescent="0.3">
      <c r="A582" s="2"/>
      <c r="B582" s="65" t="str">
        <f t="shared" si="69"/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 t="shared" si="70"/>
        <v/>
      </c>
      <c r="N582" s="74" t="str">
        <f t="shared" si="71"/>
        <v/>
      </c>
      <c r="O582" s="73" t="str">
        <f t="shared" si="72"/>
        <v/>
      </c>
      <c r="P582" s="65" t="str">
        <f t="shared" ca="1" si="73"/>
        <v/>
      </c>
      <c r="Q582" s="2"/>
      <c r="R582" s="2"/>
      <c r="S582" s="1" t="str">
        <f t="shared" si="74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75"/>
        <v>0</v>
      </c>
      <c r="W582" s="1" t="str">
        <f t="shared" si="76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customHeight="1" x14ac:dyDescent="0.3">
      <c r="A583" s="2"/>
      <c r="B583" s="65" t="str">
        <f t="shared" ref="B583:B646" si="77"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 t="shared" ref="M583:M646" si="78">IF($C583="","",IF($D583="Gider",$E583,IF($L583&lt;&gt;"",$L583,$H583)))</f>
        <v/>
      </c>
      <c r="N583" s="74" t="str">
        <f t="shared" ref="N583:N646" si="79">IF($C583="","",IF($D583="Gider",$H583,$E583))</f>
        <v/>
      </c>
      <c r="O583" s="73" t="str">
        <f t="shared" ref="O583:O646" si="80">IF($C583="","",DATE(YEAR($C583),MONTH($C583),1))</f>
        <v/>
      </c>
      <c r="P583" s="65" t="str">
        <f t="shared" ref="P583:P646" ca="1" si="81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TARİH",IF(COUNTIF($W$7:$W$3001,$W583)&gt;1,"MÜKERRER?",IF($AD583&gt;0,"KAPALI DÖNEM",IF($I583="Hayır","ÖDENECEK","UYGUN")))),"EKSİK"))))</f>
        <v/>
      </c>
      <c r="Q583" s="2"/>
      <c r="R583" s="2"/>
      <c r="S583" s="1" t="str">
        <f t="shared" si="74"/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si="75"/>
        <v>0</v>
      </c>
      <c r="W583" s="1" t="str">
        <f t="shared" si="76"/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customHeight="1" x14ac:dyDescent="0.3">
      <c r="A584" s="2"/>
      <c r="B584" s="65" t="str">
        <f t="shared" si="77"/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 t="shared" si="78"/>
        <v/>
      </c>
      <c r="N584" s="74" t="str">
        <f t="shared" si="79"/>
        <v/>
      </c>
      <c r="O584" s="73" t="str">
        <f t="shared" si="80"/>
        <v/>
      </c>
      <c r="P584" s="65" t="str">
        <f t="shared" ca="1" si="81"/>
        <v/>
      </c>
      <c r="Q584" s="2"/>
      <c r="R584" s="2"/>
      <c r="S584" s="1" t="str">
        <f t="shared" si="74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75"/>
        <v>0</v>
      </c>
      <c r="W584" s="1" t="str">
        <f t="shared" si="76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customHeight="1" x14ac:dyDescent="0.3">
      <c r="A585" s="2"/>
      <c r="B585" s="65" t="str">
        <f t="shared" si="77"/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 t="shared" si="78"/>
        <v/>
      </c>
      <c r="N585" s="74" t="str">
        <f t="shared" si="79"/>
        <v/>
      </c>
      <c r="O585" s="73" t="str">
        <f t="shared" si="80"/>
        <v/>
      </c>
      <c r="P585" s="65" t="str">
        <f t="shared" ca="1" si="81"/>
        <v/>
      </c>
      <c r="Q585" s="2"/>
      <c r="R585" s="2"/>
      <c r="S585" s="1" t="str">
        <f t="shared" si="74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75"/>
        <v>0</v>
      </c>
      <c r="W585" s="1" t="str">
        <f t="shared" si="76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customHeight="1" x14ac:dyDescent="0.3">
      <c r="A586" s="2"/>
      <c r="B586" s="65" t="str">
        <f t="shared" si="77"/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 t="shared" si="78"/>
        <v/>
      </c>
      <c r="N586" s="74" t="str">
        <f t="shared" si="79"/>
        <v/>
      </c>
      <c r="O586" s="73" t="str">
        <f t="shared" si="80"/>
        <v/>
      </c>
      <c r="P586" s="65" t="str">
        <f t="shared" ca="1" si="81"/>
        <v/>
      </c>
      <c r="Q586" s="2"/>
      <c r="R586" s="2"/>
      <c r="S586" s="1" t="str">
        <f t="shared" si="74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75"/>
        <v>0</v>
      </c>
      <c r="W586" s="1" t="str">
        <f t="shared" si="76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customHeight="1" x14ac:dyDescent="0.3">
      <c r="A587" s="2"/>
      <c r="B587" s="65" t="str">
        <f t="shared" si="77"/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 t="shared" si="78"/>
        <v/>
      </c>
      <c r="N587" s="74" t="str">
        <f t="shared" si="79"/>
        <v/>
      </c>
      <c r="O587" s="73" t="str">
        <f t="shared" si="80"/>
        <v/>
      </c>
      <c r="P587" s="65" t="str">
        <f t="shared" ca="1" si="81"/>
        <v/>
      </c>
      <c r="Q587" s="2"/>
      <c r="R587" s="2"/>
      <c r="S587" s="1" t="str">
        <f t="shared" si="74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75"/>
        <v>0</v>
      </c>
      <c r="W587" s="1" t="str">
        <f t="shared" si="76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customHeight="1" x14ac:dyDescent="0.3">
      <c r="A588" s="2"/>
      <c r="B588" s="65" t="str">
        <f t="shared" si="77"/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 t="shared" si="78"/>
        <v/>
      </c>
      <c r="N588" s="74" t="str">
        <f t="shared" si="79"/>
        <v/>
      </c>
      <c r="O588" s="73" t="str">
        <f t="shared" si="80"/>
        <v/>
      </c>
      <c r="P588" s="65" t="str">
        <f t="shared" ca="1" si="81"/>
        <v/>
      </c>
      <c r="Q588" s="2"/>
      <c r="R588" s="2"/>
      <c r="S588" s="1" t="str">
        <f t="shared" si="74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75"/>
        <v>0</v>
      </c>
      <c r="W588" s="1" t="str">
        <f t="shared" si="76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customHeight="1" x14ac:dyDescent="0.3">
      <c r="A589" s="2"/>
      <c r="B589" s="65" t="str">
        <f t="shared" si="77"/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 t="shared" si="78"/>
        <v/>
      </c>
      <c r="N589" s="74" t="str">
        <f t="shared" si="79"/>
        <v/>
      </c>
      <c r="O589" s="73" t="str">
        <f t="shared" si="80"/>
        <v/>
      </c>
      <c r="P589" s="65" t="str">
        <f t="shared" ca="1" si="81"/>
        <v/>
      </c>
      <c r="Q589" s="2"/>
      <c r="R589" s="2"/>
      <c r="S589" s="1" t="str">
        <f t="shared" si="74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75"/>
        <v>0</v>
      </c>
      <c r="W589" s="1" t="str">
        <f t="shared" si="76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customHeight="1" x14ac:dyDescent="0.3">
      <c r="A590" s="2"/>
      <c r="B590" s="65" t="str">
        <f t="shared" si="77"/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 t="shared" si="78"/>
        <v/>
      </c>
      <c r="N590" s="74" t="str">
        <f t="shared" si="79"/>
        <v/>
      </c>
      <c r="O590" s="73" t="str">
        <f t="shared" si="80"/>
        <v/>
      </c>
      <c r="P590" s="65" t="str">
        <f t="shared" ca="1" si="81"/>
        <v/>
      </c>
      <c r="Q590" s="2"/>
      <c r="R590" s="2"/>
      <c r="S590" s="1" t="str">
        <f t="shared" si="74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75"/>
        <v>0</v>
      </c>
      <c r="W590" s="1" t="str">
        <f t="shared" si="76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customHeight="1" x14ac:dyDescent="0.3">
      <c r="A591" s="2"/>
      <c r="B591" s="65" t="str">
        <f t="shared" si="77"/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 t="shared" si="78"/>
        <v/>
      </c>
      <c r="N591" s="74" t="str">
        <f t="shared" si="79"/>
        <v/>
      </c>
      <c r="O591" s="73" t="str">
        <f t="shared" si="80"/>
        <v/>
      </c>
      <c r="P591" s="65" t="str">
        <f t="shared" ca="1" si="81"/>
        <v/>
      </c>
      <c r="Q591" s="2"/>
      <c r="R591" s="2"/>
      <c r="S591" s="1" t="str">
        <f t="shared" si="74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75"/>
        <v>0</v>
      </c>
      <c r="W591" s="1" t="str">
        <f t="shared" si="76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customHeight="1" x14ac:dyDescent="0.3">
      <c r="A592" s="2"/>
      <c r="B592" s="65" t="str">
        <f t="shared" si="77"/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 t="shared" si="78"/>
        <v/>
      </c>
      <c r="N592" s="74" t="str">
        <f t="shared" si="79"/>
        <v/>
      </c>
      <c r="O592" s="73" t="str">
        <f t="shared" si="80"/>
        <v/>
      </c>
      <c r="P592" s="65" t="str">
        <f t="shared" ca="1" si="81"/>
        <v/>
      </c>
      <c r="Q592" s="2"/>
      <c r="R592" s="2"/>
      <c r="S592" s="1" t="str">
        <f t="shared" si="74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75"/>
        <v>0</v>
      </c>
      <c r="W592" s="1" t="str">
        <f t="shared" si="76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customHeight="1" x14ac:dyDescent="0.3">
      <c r="A593" s="2"/>
      <c r="B593" s="65" t="str">
        <f t="shared" si="77"/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 t="shared" si="78"/>
        <v/>
      </c>
      <c r="N593" s="74" t="str">
        <f t="shared" si="79"/>
        <v/>
      </c>
      <c r="O593" s="73" t="str">
        <f t="shared" si="80"/>
        <v/>
      </c>
      <c r="P593" s="65" t="str">
        <f t="shared" ca="1" si="81"/>
        <v/>
      </c>
      <c r="Q593" s="2"/>
      <c r="R593" s="2"/>
      <c r="S593" s="1" t="str">
        <f t="shared" si="74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75"/>
        <v>0</v>
      </c>
      <c r="W593" s="1" t="str">
        <f t="shared" si="76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customHeight="1" x14ac:dyDescent="0.3">
      <c r="A594" s="2"/>
      <c r="B594" s="65" t="str">
        <f t="shared" si="77"/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 t="shared" si="78"/>
        <v/>
      </c>
      <c r="N594" s="74" t="str">
        <f t="shared" si="79"/>
        <v/>
      </c>
      <c r="O594" s="73" t="str">
        <f t="shared" si="80"/>
        <v/>
      </c>
      <c r="P594" s="65" t="str">
        <f t="shared" ca="1" si="81"/>
        <v/>
      </c>
      <c r="Q594" s="2"/>
      <c r="R594" s="2"/>
      <c r="S594" s="1" t="str">
        <f t="shared" si="74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75"/>
        <v>0</v>
      </c>
      <c r="W594" s="1" t="str">
        <f t="shared" si="76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customHeight="1" x14ac:dyDescent="0.3">
      <c r="A595" s="2"/>
      <c r="B595" s="65" t="str">
        <f t="shared" si="77"/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 t="shared" si="78"/>
        <v/>
      </c>
      <c r="N595" s="74" t="str">
        <f t="shared" si="79"/>
        <v/>
      </c>
      <c r="O595" s="73" t="str">
        <f t="shared" si="80"/>
        <v/>
      </c>
      <c r="P595" s="65" t="str">
        <f t="shared" ca="1" si="81"/>
        <v/>
      </c>
      <c r="Q595" s="2"/>
      <c r="R595" s="2"/>
      <c r="S595" s="1" t="str">
        <f t="shared" si="74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75"/>
        <v>0</v>
      </c>
      <c r="W595" s="1" t="str">
        <f t="shared" si="76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customHeight="1" x14ac:dyDescent="0.3">
      <c r="A596" s="2"/>
      <c r="B596" s="65" t="str">
        <f t="shared" si="77"/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 t="shared" si="78"/>
        <v/>
      </c>
      <c r="N596" s="74" t="str">
        <f t="shared" si="79"/>
        <v/>
      </c>
      <c r="O596" s="73" t="str">
        <f t="shared" si="80"/>
        <v/>
      </c>
      <c r="P596" s="65" t="str">
        <f t="shared" ca="1" si="81"/>
        <v/>
      </c>
      <c r="Q596" s="2"/>
      <c r="R596" s="2"/>
      <c r="S596" s="1" t="str">
        <f t="shared" si="74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75"/>
        <v>0</v>
      </c>
      <c r="W596" s="1" t="str">
        <f t="shared" si="76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customHeight="1" x14ac:dyDescent="0.3">
      <c r="A597" s="2"/>
      <c r="B597" s="65" t="str">
        <f t="shared" si="77"/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 t="shared" si="78"/>
        <v/>
      </c>
      <c r="N597" s="74" t="str">
        <f t="shared" si="79"/>
        <v/>
      </c>
      <c r="O597" s="73" t="str">
        <f t="shared" si="80"/>
        <v/>
      </c>
      <c r="P597" s="65" t="str">
        <f t="shared" ca="1" si="81"/>
        <v/>
      </c>
      <c r="Q597" s="2"/>
      <c r="R597" s="2"/>
      <c r="S597" s="1" t="str">
        <f t="shared" si="74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75"/>
        <v>0</v>
      </c>
      <c r="W597" s="1" t="str">
        <f t="shared" si="76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customHeight="1" x14ac:dyDescent="0.3">
      <c r="A598" s="2"/>
      <c r="B598" s="65" t="str">
        <f t="shared" si="77"/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 t="shared" si="78"/>
        <v/>
      </c>
      <c r="N598" s="74" t="str">
        <f t="shared" si="79"/>
        <v/>
      </c>
      <c r="O598" s="73" t="str">
        <f t="shared" si="80"/>
        <v/>
      </c>
      <c r="P598" s="65" t="str">
        <f t="shared" ca="1" si="81"/>
        <v/>
      </c>
      <c r="Q598" s="2"/>
      <c r="R598" s="2"/>
      <c r="S598" s="1" t="str">
        <f t="shared" si="74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75"/>
        <v>0</v>
      </c>
      <c r="W598" s="1" t="str">
        <f t="shared" si="76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customHeight="1" x14ac:dyDescent="0.3">
      <c r="A599" s="2"/>
      <c r="B599" s="65" t="str">
        <f t="shared" si="77"/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 t="shared" si="78"/>
        <v/>
      </c>
      <c r="N599" s="74" t="str">
        <f t="shared" si="79"/>
        <v/>
      </c>
      <c r="O599" s="73" t="str">
        <f t="shared" si="80"/>
        <v/>
      </c>
      <c r="P599" s="65" t="str">
        <f t="shared" ca="1" si="81"/>
        <v/>
      </c>
      <c r="Q599" s="2"/>
      <c r="R599" s="2"/>
      <c r="S599" s="1" t="str">
        <f t="shared" si="74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75"/>
        <v>0</v>
      </c>
      <c r="W599" s="1" t="str">
        <f t="shared" si="76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customHeight="1" x14ac:dyDescent="0.3">
      <c r="A600" s="2"/>
      <c r="B600" s="65" t="str">
        <f t="shared" si="77"/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 t="shared" si="78"/>
        <v/>
      </c>
      <c r="N600" s="74" t="str">
        <f t="shared" si="79"/>
        <v/>
      </c>
      <c r="O600" s="73" t="str">
        <f t="shared" si="80"/>
        <v/>
      </c>
      <c r="P600" s="65" t="str">
        <f t="shared" ca="1" si="81"/>
        <v/>
      </c>
      <c r="Q600" s="2"/>
      <c r="R600" s="2"/>
      <c r="S600" s="1" t="str">
        <f t="shared" si="74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75"/>
        <v>0</v>
      </c>
      <c r="W600" s="1" t="str">
        <f t="shared" si="76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customHeight="1" x14ac:dyDescent="0.3">
      <c r="A601" s="2"/>
      <c r="B601" s="65" t="str">
        <f t="shared" si="77"/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 t="shared" si="78"/>
        <v/>
      </c>
      <c r="N601" s="74" t="str">
        <f t="shared" si="79"/>
        <v/>
      </c>
      <c r="O601" s="73" t="str">
        <f t="shared" si="80"/>
        <v/>
      </c>
      <c r="P601" s="65" t="str">
        <f t="shared" ca="1" si="81"/>
        <v/>
      </c>
      <c r="Q601" s="2"/>
      <c r="R601" s="2"/>
      <c r="S601" s="1" t="str">
        <f t="shared" si="74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75"/>
        <v>0</v>
      </c>
      <c r="W601" s="1" t="str">
        <f t="shared" si="76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customHeight="1" x14ac:dyDescent="0.3">
      <c r="A602" s="2"/>
      <c r="B602" s="65" t="str">
        <f t="shared" si="77"/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 t="shared" si="78"/>
        <v/>
      </c>
      <c r="N602" s="74" t="str">
        <f t="shared" si="79"/>
        <v/>
      </c>
      <c r="O602" s="73" t="str">
        <f t="shared" si="80"/>
        <v/>
      </c>
      <c r="P602" s="65" t="str">
        <f t="shared" ca="1" si="81"/>
        <v/>
      </c>
      <c r="Q602" s="2"/>
      <c r="R602" s="2"/>
      <c r="S602" s="1" t="str">
        <f t="shared" si="74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75"/>
        <v>0</v>
      </c>
      <c r="W602" s="1" t="str">
        <f t="shared" si="76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customHeight="1" x14ac:dyDescent="0.3">
      <c r="A603" s="2"/>
      <c r="B603" s="65" t="str">
        <f t="shared" si="77"/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 t="shared" si="78"/>
        <v/>
      </c>
      <c r="N603" s="74" t="str">
        <f t="shared" si="79"/>
        <v/>
      </c>
      <c r="O603" s="73" t="str">
        <f t="shared" si="80"/>
        <v/>
      </c>
      <c r="P603" s="65" t="str">
        <f t="shared" ca="1" si="81"/>
        <v/>
      </c>
      <c r="Q603" s="2"/>
      <c r="R603" s="2"/>
      <c r="S603" s="1" t="str">
        <f t="shared" si="74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75"/>
        <v>0</v>
      </c>
      <c r="W603" s="1" t="str">
        <f t="shared" si="76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customHeight="1" x14ac:dyDescent="0.3">
      <c r="A604" s="2"/>
      <c r="B604" s="65" t="str">
        <f t="shared" si="77"/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 t="shared" si="78"/>
        <v/>
      </c>
      <c r="N604" s="74" t="str">
        <f t="shared" si="79"/>
        <v/>
      </c>
      <c r="O604" s="73" t="str">
        <f t="shared" si="80"/>
        <v/>
      </c>
      <c r="P604" s="65" t="str">
        <f t="shared" ca="1" si="81"/>
        <v/>
      </c>
      <c r="Q604" s="2"/>
      <c r="R604" s="2"/>
      <c r="S604" s="1" t="str">
        <f t="shared" si="74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75"/>
        <v>0</v>
      </c>
      <c r="W604" s="1" t="str">
        <f t="shared" si="76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customHeight="1" x14ac:dyDescent="0.3">
      <c r="A605" s="2"/>
      <c r="B605" s="65" t="str">
        <f t="shared" si="77"/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 t="shared" si="78"/>
        <v/>
      </c>
      <c r="N605" s="74" t="str">
        <f t="shared" si="79"/>
        <v/>
      </c>
      <c r="O605" s="73" t="str">
        <f t="shared" si="80"/>
        <v/>
      </c>
      <c r="P605" s="65" t="str">
        <f t="shared" ca="1" si="81"/>
        <v/>
      </c>
      <c r="Q605" s="2"/>
      <c r="R605" s="2"/>
      <c r="S605" s="1" t="str">
        <f t="shared" si="74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75"/>
        <v>0</v>
      </c>
      <c r="W605" s="1" t="str">
        <f t="shared" si="76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customHeight="1" x14ac:dyDescent="0.3">
      <c r="A606" s="2"/>
      <c r="B606" s="65" t="str">
        <f t="shared" si="77"/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 t="shared" si="78"/>
        <v/>
      </c>
      <c r="N606" s="74" t="str">
        <f t="shared" si="79"/>
        <v/>
      </c>
      <c r="O606" s="73" t="str">
        <f t="shared" si="80"/>
        <v/>
      </c>
      <c r="P606" s="65" t="str">
        <f t="shared" ca="1" si="81"/>
        <v/>
      </c>
      <c r="Q606" s="2"/>
      <c r="R606" s="2"/>
      <c r="S606" s="1" t="str">
        <f t="shared" si="74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75"/>
        <v>0</v>
      </c>
      <c r="W606" s="1" t="str">
        <f t="shared" si="76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customHeight="1" x14ac:dyDescent="0.3">
      <c r="A607" s="2"/>
      <c r="B607" s="65" t="str">
        <f t="shared" si="77"/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 t="shared" si="78"/>
        <v/>
      </c>
      <c r="N607" s="74" t="str">
        <f t="shared" si="79"/>
        <v/>
      </c>
      <c r="O607" s="73" t="str">
        <f t="shared" si="80"/>
        <v/>
      </c>
      <c r="P607" s="65" t="str">
        <f t="shared" ca="1" si="81"/>
        <v/>
      </c>
      <c r="Q607" s="2"/>
      <c r="R607" s="2"/>
      <c r="S607" s="1" t="str">
        <f t="shared" si="74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75"/>
        <v>0</v>
      </c>
      <c r="W607" s="1" t="str">
        <f t="shared" si="76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customHeight="1" x14ac:dyDescent="0.3">
      <c r="A608" s="2"/>
      <c r="B608" s="65" t="str">
        <f t="shared" si="77"/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 t="shared" si="78"/>
        <v/>
      </c>
      <c r="N608" s="74" t="str">
        <f t="shared" si="79"/>
        <v/>
      </c>
      <c r="O608" s="73" t="str">
        <f t="shared" si="80"/>
        <v/>
      </c>
      <c r="P608" s="65" t="str">
        <f t="shared" ca="1" si="81"/>
        <v/>
      </c>
      <c r="Q608" s="2"/>
      <c r="R608" s="2"/>
      <c r="S608" s="1" t="str">
        <f t="shared" si="74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75"/>
        <v>0</v>
      </c>
      <c r="W608" s="1" t="str">
        <f t="shared" si="76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customHeight="1" x14ac:dyDescent="0.3">
      <c r="A609" s="2"/>
      <c r="B609" s="65" t="str">
        <f t="shared" si="77"/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 t="shared" si="78"/>
        <v/>
      </c>
      <c r="N609" s="74" t="str">
        <f t="shared" si="79"/>
        <v/>
      </c>
      <c r="O609" s="73" t="str">
        <f t="shared" si="80"/>
        <v/>
      </c>
      <c r="P609" s="65" t="str">
        <f t="shared" ca="1" si="81"/>
        <v/>
      </c>
      <c r="Q609" s="2"/>
      <c r="R609" s="2"/>
      <c r="S609" s="1" t="str">
        <f t="shared" si="74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75"/>
        <v>0</v>
      </c>
      <c r="W609" s="1" t="str">
        <f t="shared" si="76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customHeight="1" x14ac:dyDescent="0.3">
      <c r="A610" s="2"/>
      <c r="B610" s="65" t="str">
        <f t="shared" si="77"/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 t="shared" si="78"/>
        <v/>
      </c>
      <c r="N610" s="74" t="str">
        <f t="shared" si="79"/>
        <v/>
      </c>
      <c r="O610" s="73" t="str">
        <f t="shared" si="80"/>
        <v/>
      </c>
      <c r="P610" s="65" t="str">
        <f t="shared" ca="1" si="81"/>
        <v/>
      </c>
      <c r="Q610" s="2"/>
      <c r="R610" s="2"/>
      <c r="S610" s="1" t="str">
        <f t="shared" si="74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75"/>
        <v>0</v>
      </c>
      <c r="W610" s="1" t="str">
        <f t="shared" si="76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customHeight="1" x14ac:dyDescent="0.3">
      <c r="A611" s="2"/>
      <c r="B611" s="65" t="str">
        <f t="shared" si="77"/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 t="shared" si="78"/>
        <v/>
      </c>
      <c r="N611" s="74" t="str">
        <f t="shared" si="79"/>
        <v/>
      </c>
      <c r="O611" s="73" t="str">
        <f t="shared" si="80"/>
        <v/>
      </c>
      <c r="P611" s="65" t="str">
        <f t="shared" ca="1" si="81"/>
        <v/>
      </c>
      <c r="Q611" s="2"/>
      <c r="R611" s="2"/>
      <c r="S611" s="1" t="str">
        <f t="shared" si="74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75"/>
        <v>0</v>
      </c>
      <c r="W611" s="1" t="str">
        <f t="shared" si="76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customHeight="1" x14ac:dyDescent="0.3">
      <c r="A612" s="2"/>
      <c r="B612" s="65" t="str">
        <f t="shared" si="77"/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 t="shared" si="78"/>
        <v/>
      </c>
      <c r="N612" s="74" t="str">
        <f t="shared" si="79"/>
        <v/>
      </c>
      <c r="O612" s="73" t="str">
        <f t="shared" si="80"/>
        <v/>
      </c>
      <c r="P612" s="65" t="str">
        <f t="shared" ca="1" si="81"/>
        <v/>
      </c>
      <c r="Q612" s="2"/>
      <c r="R612" s="2"/>
      <c r="S612" s="1" t="str">
        <f t="shared" si="74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75"/>
        <v>0</v>
      </c>
      <c r="W612" s="1" t="str">
        <f t="shared" si="76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customHeight="1" x14ac:dyDescent="0.3">
      <c r="A613" s="2"/>
      <c r="B613" s="65" t="str">
        <f t="shared" si="77"/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 t="shared" si="78"/>
        <v/>
      </c>
      <c r="N613" s="74" t="str">
        <f t="shared" si="79"/>
        <v/>
      </c>
      <c r="O613" s="73" t="str">
        <f t="shared" si="80"/>
        <v/>
      </c>
      <c r="P613" s="65" t="str">
        <f t="shared" ca="1" si="81"/>
        <v/>
      </c>
      <c r="Q613" s="2"/>
      <c r="R613" s="2"/>
      <c r="S613" s="1" t="str">
        <f t="shared" si="74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75"/>
        <v>0</v>
      </c>
      <c r="W613" s="1" t="str">
        <f t="shared" si="76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customHeight="1" x14ac:dyDescent="0.3">
      <c r="A614" s="2"/>
      <c r="B614" s="65" t="str">
        <f t="shared" si="77"/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 t="shared" si="78"/>
        <v/>
      </c>
      <c r="N614" s="74" t="str">
        <f t="shared" si="79"/>
        <v/>
      </c>
      <c r="O614" s="73" t="str">
        <f t="shared" si="80"/>
        <v/>
      </c>
      <c r="P614" s="65" t="str">
        <f t="shared" ca="1" si="81"/>
        <v/>
      </c>
      <c r="Q614" s="2"/>
      <c r="R614" s="2"/>
      <c r="S614" s="1" t="str">
        <f t="shared" si="74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75"/>
        <v>0</v>
      </c>
      <c r="W614" s="1" t="str">
        <f t="shared" si="76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customHeight="1" x14ac:dyDescent="0.3">
      <c r="A615" s="2"/>
      <c r="B615" s="65" t="str">
        <f t="shared" si="77"/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 t="shared" si="78"/>
        <v/>
      </c>
      <c r="N615" s="74" t="str">
        <f t="shared" si="79"/>
        <v/>
      </c>
      <c r="O615" s="73" t="str">
        <f t="shared" si="80"/>
        <v/>
      </c>
      <c r="P615" s="65" t="str">
        <f t="shared" ca="1" si="81"/>
        <v/>
      </c>
      <c r="Q615" s="2"/>
      <c r="R615" s="2"/>
      <c r="S615" s="1" t="str">
        <f t="shared" si="74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75"/>
        <v>0</v>
      </c>
      <c r="W615" s="1" t="str">
        <f t="shared" si="76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customHeight="1" x14ac:dyDescent="0.3">
      <c r="A616" s="2"/>
      <c r="B616" s="65" t="str">
        <f t="shared" si="77"/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 t="shared" si="78"/>
        <v/>
      </c>
      <c r="N616" s="74" t="str">
        <f t="shared" si="79"/>
        <v/>
      </c>
      <c r="O616" s="73" t="str">
        <f t="shared" si="80"/>
        <v/>
      </c>
      <c r="P616" s="65" t="str">
        <f t="shared" ca="1" si="81"/>
        <v/>
      </c>
      <c r="Q616" s="2"/>
      <c r="R616" s="2"/>
      <c r="S616" s="1" t="str">
        <f t="shared" si="74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75"/>
        <v>0</v>
      </c>
      <c r="W616" s="1" t="str">
        <f t="shared" si="76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customHeight="1" x14ac:dyDescent="0.3">
      <c r="A617" s="2"/>
      <c r="B617" s="65" t="str">
        <f t="shared" si="77"/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 t="shared" si="78"/>
        <v/>
      </c>
      <c r="N617" s="74" t="str">
        <f t="shared" si="79"/>
        <v/>
      </c>
      <c r="O617" s="73" t="str">
        <f t="shared" si="80"/>
        <v/>
      </c>
      <c r="P617" s="65" t="str">
        <f t="shared" ca="1" si="81"/>
        <v/>
      </c>
      <c r="Q617" s="2"/>
      <c r="R617" s="2"/>
      <c r="S617" s="1" t="str">
        <f t="shared" si="74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75"/>
        <v>0</v>
      </c>
      <c r="W617" s="1" t="str">
        <f t="shared" si="76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customHeight="1" x14ac:dyDescent="0.3">
      <c r="A618" s="2"/>
      <c r="B618" s="65" t="str">
        <f t="shared" si="77"/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 t="shared" si="78"/>
        <v/>
      </c>
      <c r="N618" s="74" t="str">
        <f t="shared" si="79"/>
        <v/>
      </c>
      <c r="O618" s="73" t="str">
        <f t="shared" si="80"/>
        <v/>
      </c>
      <c r="P618" s="65" t="str">
        <f t="shared" ca="1" si="81"/>
        <v/>
      </c>
      <c r="Q618" s="2"/>
      <c r="R618" s="2"/>
      <c r="S618" s="1" t="str">
        <f t="shared" si="74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75"/>
        <v>0</v>
      </c>
      <c r="W618" s="1" t="str">
        <f t="shared" si="76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customHeight="1" x14ac:dyDescent="0.3">
      <c r="A619" s="2"/>
      <c r="B619" s="65" t="str">
        <f t="shared" si="77"/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 t="shared" si="78"/>
        <v/>
      </c>
      <c r="N619" s="74" t="str">
        <f t="shared" si="79"/>
        <v/>
      </c>
      <c r="O619" s="73" t="str">
        <f t="shared" si="80"/>
        <v/>
      </c>
      <c r="P619" s="65" t="str">
        <f t="shared" ca="1" si="81"/>
        <v/>
      </c>
      <c r="Q619" s="2"/>
      <c r="R619" s="2"/>
      <c r="S619" s="1" t="str">
        <f t="shared" si="74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75"/>
        <v>0</v>
      </c>
      <c r="W619" s="1" t="str">
        <f t="shared" si="76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customHeight="1" x14ac:dyDescent="0.3">
      <c r="A620" s="2"/>
      <c r="B620" s="65" t="str">
        <f t="shared" si="77"/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 t="shared" si="78"/>
        <v/>
      </c>
      <c r="N620" s="74" t="str">
        <f t="shared" si="79"/>
        <v/>
      </c>
      <c r="O620" s="73" t="str">
        <f t="shared" si="80"/>
        <v/>
      </c>
      <c r="P620" s="65" t="str">
        <f t="shared" ca="1" si="81"/>
        <v/>
      </c>
      <c r="Q620" s="2"/>
      <c r="R620" s="2"/>
      <c r="S620" s="1" t="str">
        <f t="shared" si="74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75"/>
        <v>0</v>
      </c>
      <c r="W620" s="1" t="str">
        <f t="shared" si="76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customHeight="1" x14ac:dyDescent="0.3">
      <c r="A621" s="2"/>
      <c r="B621" s="65" t="str">
        <f t="shared" si="77"/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 t="shared" si="78"/>
        <v/>
      </c>
      <c r="N621" s="74" t="str">
        <f t="shared" si="79"/>
        <v/>
      </c>
      <c r="O621" s="73" t="str">
        <f t="shared" si="80"/>
        <v/>
      </c>
      <c r="P621" s="65" t="str">
        <f t="shared" ca="1" si="81"/>
        <v/>
      </c>
      <c r="Q621" s="2"/>
      <c r="R621" s="2"/>
      <c r="S621" s="1" t="str">
        <f t="shared" si="74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75"/>
        <v>0</v>
      </c>
      <c r="W621" s="1" t="str">
        <f t="shared" si="76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customHeight="1" x14ac:dyDescent="0.3">
      <c r="A622" s="2"/>
      <c r="B622" s="65" t="str">
        <f t="shared" si="77"/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 t="shared" si="78"/>
        <v/>
      </c>
      <c r="N622" s="74" t="str">
        <f t="shared" si="79"/>
        <v/>
      </c>
      <c r="O622" s="73" t="str">
        <f t="shared" si="80"/>
        <v/>
      </c>
      <c r="P622" s="65" t="str">
        <f t="shared" ca="1" si="81"/>
        <v/>
      </c>
      <c r="Q622" s="2"/>
      <c r="R622" s="2"/>
      <c r="S622" s="1" t="str">
        <f t="shared" si="74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75"/>
        <v>0</v>
      </c>
      <c r="W622" s="1" t="str">
        <f t="shared" si="76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customHeight="1" x14ac:dyDescent="0.3">
      <c r="A623" s="2"/>
      <c r="B623" s="65" t="str">
        <f t="shared" si="77"/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 t="shared" si="78"/>
        <v/>
      </c>
      <c r="N623" s="74" t="str">
        <f t="shared" si="79"/>
        <v/>
      </c>
      <c r="O623" s="73" t="str">
        <f t="shared" si="80"/>
        <v/>
      </c>
      <c r="P623" s="65" t="str">
        <f t="shared" ca="1" si="81"/>
        <v/>
      </c>
      <c r="Q623" s="2"/>
      <c r="R623" s="2"/>
      <c r="S623" s="1" t="str">
        <f t="shared" si="74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75"/>
        <v>0</v>
      </c>
      <c r="W623" s="1" t="str">
        <f t="shared" si="76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customHeight="1" x14ac:dyDescent="0.3">
      <c r="A624" s="2"/>
      <c r="B624" s="65" t="str">
        <f t="shared" si="77"/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 t="shared" si="78"/>
        <v/>
      </c>
      <c r="N624" s="74" t="str">
        <f t="shared" si="79"/>
        <v/>
      </c>
      <c r="O624" s="73" t="str">
        <f t="shared" si="80"/>
        <v/>
      </c>
      <c r="P624" s="65" t="str">
        <f t="shared" ca="1" si="81"/>
        <v/>
      </c>
      <c r="Q624" s="2"/>
      <c r="R624" s="2"/>
      <c r="S624" s="1" t="str">
        <f t="shared" si="74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75"/>
        <v>0</v>
      </c>
      <c r="W624" s="1" t="str">
        <f t="shared" si="76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customHeight="1" x14ac:dyDescent="0.3">
      <c r="A625" s="2"/>
      <c r="B625" s="65" t="str">
        <f t="shared" si="77"/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 t="shared" si="78"/>
        <v/>
      </c>
      <c r="N625" s="74" t="str">
        <f t="shared" si="79"/>
        <v/>
      </c>
      <c r="O625" s="73" t="str">
        <f t="shared" si="80"/>
        <v/>
      </c>
      <c r="P625" s="65" t="str">
        <f t="shared" ca="1" si="81"/>
        <v/>
      </c>
      <c r="Q625" s="2"/>
      <c r="R625" s="2"/>
      <c r="S625" s="1" t="str">
        <f t="shared" si="74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75"/>
        <v>0</v>
      </c>
      <c r="W625" s="1" t="str">
        <f t="shared" si="76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customHeight="1" x14ac:dyDescent="0.3">
      <c r="A626" s="2"/>
      <c r="B626" s="65" t="str">
        <f t="shared" si="77"/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 t="shared" si="78"/>
        <v/>
      </c>
      <c r="N626" s="74" t="str">
        <f t="shared" si="79"/>
        <v/>
      </c>
      <c r="O626" s="73" t="str">
        <f t="shared" si="80"/>
        <v/>
      </c>
      <c r="P626" s="65" t="str">
        <f t="shared" ca="1" si="81"/>
        <v/>
      </c>
      <c r="Q626" s="2"/>
      <c r="R626" s="2"/>
      <c r="S626" s="1" t="str">
        <f t="shared" si="74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75"/>
        <v>0</v>
      </c>
      <c r="W626" s="1" t="str">
        <f t="shared" si="76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customHeight="1" x14ac:dyDescent="0.3">
      <c r="A627" s="2"/>
      <c r="B627" s="65" t="str">
        <f t="shared" si="77"/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 t="shared" si="78"/>
        <v/>
      </c>
      <c r="N627" s="74" t="str">
        <f t="shared" si="79"/>
        <v/>
      </c>
      <c r="O627" s="73" t="str">
        <f t="shared" si="80"/>
        <v/>
      </c>
      <c r="P627" s="65" t="str">
        <f t="shared" ca="1" si="81"/>
        <v/>
      </c>
      <c r="Q627" s="2"/>
      <c r="R627" s="2"/>
      <c r="S627" s="1" t="str">
        <f t="shared" si="74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75"/>
        <v>0</v>
      </c>
      <c r="W627" s="1" t="str">
        <f t="shared" si="76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customHeight="1" x14ac:dyDescent="0.3">
      <c r="A628" s="2"/>
      <c r="B628" s="65" t="str">
        <f t="shared" si="77"/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 t="shared" si="78"/>
        <v/>
      </c>
      <c r="N628" s="74" t="str">
        <f t="shared" si="79"/>
        <v/>
      </c>
      <c r="O628" s="73" t="str">
        <f t="shared" si="80"/>
        <v/>
      </c>
      <c r="P628" s="65" t="str">
        <f t="shared" ca="1" si="81"/>
        <v/>
      </c>
      <c r="Q628" s="2"/>
      <c r="R628" s="2"/>
      <c r="S628" s="1" t="str">
        <f t="shared" si="74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75"/>
        <v>0</v>
      </c>
      <c r="W628" s="1" t="str">
        <f t="shared" si="76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customHeight="1" x14ac:dyDescent="0.3">
      <c r="A629" s="2"/>
      <c r="B629" s="65" t="str">
        <f t="shared" si="77"/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 t="shared" si="78"/>
        <v/>
      </c>
      <c r="N629" s="74" t="str">
        <f t="shared" si="79"/>
        <v/>
      </c>
      <c r="O629" s="73" t="str">
        <f t="shared" si="80"/>
        <v/>
      </c>
      <c r="P629" s="65" t="str">
        <f t="shared" ca="1" si="81"/>
        <v/>
      </c>
      <c r="Q629" s="2"/>
      <c r="R629" s="2"/>
      <c r="S629" s="1" t="str">
        <f t="shared" si="74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75"/>
        <v>0</v>
      </c>
      <c r="W629" s="1" t="str">
        <f t="shared" si="76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customHeight="1" x14ac:dyDescent="0.3">
      <c r="A630" s="2"/>
      <c r="B630" s="65" t="str">
        <f t="shared" si="77"/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 t="shared" si="78"/>
        <v/>
      </c>
      <c r="N630" s="74" t="str">
        <f t="shared" si="79"/>
        <v/>
      </c>
      <c r="O630" s="73" t="str">
        <f t="shared" si="80"/>
        <v/>
      </c>
      <c r="P630" s="65" t="str">
        <f t="shared" ca="1" si="81"/>
        <v/>
      </c>
      <c r="Q630" s="2"/>
      <c r="R630" s="2"/>
      <c r="S630" s="1" t="str">
        <f t="shared" si="74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75"/>
        <v>0</v>
      </c>
      <c r="W630" s="1" t="str">
        <f t="shared" si="76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customHeight="1" x14ac:dyDescent="0.3">
      <c r="A631" s="2"/>
      <c r="B631" s="65" t="str">
        <f t="shared" si="77"/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 t="shared" si="78"/>
        <v/>
      </c>
      <c r="N631" s="74" t="str">
        <f t="shared" si="79"/>
        <v/>
      </c>
      <c r="O631" s="73" t="str">
        <f t="shared" si="80"/>
        <v/>
      </c>
      <c r="P631" s="65" t="str">
        <f t="shared" ca="1" si="81"/>
        <v/>
      </c>
      <c r="Q631" s="2"/>
      <c r="R631" s="2"/>
      <c r="S631" s="1" t="str">
        <f t="shared" si="74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75"/>
        <v>0</v>
      </c>
      <c r="W631" s="1" t="str">
        <f t="shared" si="76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customHeight="1" x14ac:dyDescent="0.3">
      <c r="A632" s="2"/>
      <c r="B632" s="65" t="str">
        <f t="shared" si="77"/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 t="shared" si="78"/>
        <v/>
      </c>
      <c r="N632" s="74" t="str">
        <f t="shared" si="79"/>
        <v/>
      </c>
      <c r="O632" s="73" t="str">
        <f t="shared" si="80"/>
        <v/>
      </c>
      <c r="P632" s="65" t="str">
        <f t="shared" ca="1" si="81"/>
        <v/>
      </c>
      <c r="Q632" s="2"/>
      <c r="R632" s="2"/>
      <c r="S632" s="1" t="str">
        <f t="shared" si="74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75"/>
        <v>0</v>
      </c>
      <c r="W632" s="1" t="str">
        <f t="shared" si="76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customHeight="1" x14ac:dyDescent="0.3">
      <c r="A633" s="2"/>
      <c r="B633" s="65" t="str">
        <f t="shared" si="77"/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 t="shared" si="78"/>
        <v/>
      </c>
      <c r="N633" s="74" t="str">
        <f t="shared" si="79"/>
        <v/>
      </c>
      <c r="O633" s="73" t="str">
        <f t="shared" si="80"/>
        <v/>
      </c>
      <c r="P633" s="65" t="str">
        <f t="shared" ca="1" si="81"/>
        <v/>
      </c>
      <c r="Q633" s="2"/>
      <c r="R633" s="2"/>
      <c r="S633" s="1" t="str">
        <f t="shared" si="74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75"/>
        <v>0</v>
      </c>
      <c r="W633" s="1" t="str">
        <f t="shared" si="76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customHeight="1" x14ac:dyDescent="0.3">
      <c r="A634" s="2"/>
      <c r="B634" s="65" t="str">
        <f t="shared" si="77"/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 t="shared" si="78"/>
        <v/>
      </c>
      <c r="N634" s="74" t="str">
        <f t="shared" si="79"/>
        <v/>
      </c>
      <c r="O634" s="73" t="str">
        <f t="shared" si="80"/>
        <v/>
      </c>
      <c r="P634" s="65" t="str">
        <f t="shared" ca="1" si="81"/>
        <v/>
      </c>
      <c r="Q634" s="2"/>
      <c r="R634" s="2"/>
      <c r="S634" s="1" t="str">
        <f t="shared" si="74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75"/>
        <v>0</v>
      </c>
      <c r="W634" s="1" t="str">
        <f t="shared" si="76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customHeight="1" x14ac:dyDescent="0.3">
      <c r="A635" s="2"/>
      <c r="B635" s="65" t="str">
        <f t="shared" si="77"/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 t="shared" si="78"/>
        <v/>
      </c>
      <c r="N635" s="74" t="str">
        <f t="shared" si="79"/>
        <v/>
      </c>
      <c r="O635" s="73" t="str">
        <f t="shared" si="80"/>
        <v/>
      </c>
      <c r="P635" s="65" t="str">
        <f t="shared" ca="1" si="81"/>
        <v/>
      </c>
      <c r="Q635" s="2"/>
      <c r="R635" s="2"/>
      <c r="S635" s="1" t="str">
        <f t="shared" si="74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75"/>
        <v>0</v>
      </c>
      <c r="W635" s="1" t="str">
        <f t="shared" si="76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customHeight="1" x14ac:dyDescent="0.3">
      <c r="A636" s="2"/>
      <c r="B636" s="65" t="str">
        <f t="shared" si="77"/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 t="shared" si="78"/>
        <v/>
      </c>
      <c r="N636" s="74" t="str">
        <f t="shared" si="79"/>
        <v/>
      </c>
      <c r="O636" s="73" t="str">
        <f t="shared" si="80"/>
        <v/>
      </c>
      <c r="P636" s="65" t="str">
        <f t="shared" ca="1" si="81"/>
        <v/>
      </c>
      <c r="Q636" s="2"/>
      <c r="R636" s="2"/>
      <c r="S636" s="1" t="str">
        <f t="shared" si="74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75"/>
        <v>0</v>
      </c>
      <c r="W636" s="1" t="str">
        <f t="shared" si="76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customHeight="1" x14ac:dyDescent="0.3">
      <c r="A637" s="2"/>
      <c r="B637" s="65" t="str">
        <f t="shared" si="77"/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 t="shared" si="78"/>
        <v/>
      </c>
      <c r="N637" s="74" t="str">
        <f t="shared" si="79"/>
        <v/>
      </c>
      <c r="O637" s="73" t="str">
        <f t="shared" si="80"/>
        <v/>
      </c>
      <c r="P637" s="65" t="str">
        <f t="shared" ca="1" si="81"/>
        <v/>
      </c>
      <c r="Q637" s="2"/>
      <c r="R637" s="2"/>
      <c r="S637" s="1" t="str">
        <f t="shared" si="74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75"/>
        <v>0</v>
      </c>
      <c r="W637" s="1" t="str">
        <f t="shared" si="76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customHeight="1" x14ac:dyDescent="0.3">
      <c r="A638" s="2"/>
      <c r="B638" s="65" t="str">
        <f t="shared" si="77"/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 t="shared" si="78"/>
        <v/>
      </c>
      <c r="N638" s="74" t="str">
        <f t="shared" si="79"/>
        <v/>
      </c>
      <c r="O638" s="73" t="str">
        <f t="shared" si="80"/>
        <v/>
      </c>
      <c r="P638" s="65" t="str">
        <f t="shared" ca="1" si="81"/>
        <v/>
      </c>
      <c r="Q638" s="2"/>
      <c r="R638" s="2"/>
      <c r="S638" s="1" t="str">
        <f t="shared" si="74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75"/>
        <v>0</v>
      </c>
      <c r="W638" s="1" t="str">
        <f t="shared" si="76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customHeight="1" x14ac:dyDescent="0.3">
      <c r="A639" s="2"/>
      <c r="B639" s="65" t="str">
        <f t="shared" si="77"/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 t="shared" si="78"/>
        <v/>
      </c>
      <c r="N639" s="74" t="str">
        <f t="shared" si="79"/>
        <v/>
      </c>
      <c r="O639" s="73" t="str">
        <f t="shared" si="80"/>
        <v/>
      </c>
      <c r="P639" s="65" t="str">
        <f t="shared" ca="1" si="81"/>
        <v/>
      </c>
      <c r="Q639" s="2"/>
      <c r="R639" s="2"/>
      <c r="S639" s="1" t="str">
        <f t="shared" si="74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75"/>
        <v>0</v>
      </c>
      <c r="W639" s="1" t="str">
        <f t="shared" si="76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customHeight="1" x14ac:dyDescent="0.3">
      <c r="A640" s="2"/>
      <c r="B640" s="65" t="str">
        <f t="shared" si="77"/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 t="shared" si="78"/>
        <v/>
      </c>
      <c r="N640" s="74" t="str">
        <f t="shared" si="79"/>
        <v/>
      </c>
      <c r="O640" s="73" t="str">
        <f t="shared" si="80"/>
        <v/>
      </c>
      <c r="P640" s="65" t="str">
        <f t="shared" ca="1" si="81"/>
        <v/>
      </c>
      <c r="Q640" s="2"/>
      <c r="R640" s="2"/>
      <c r="S640" s="1" t="str">
        <f t="shared" si="74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75"/>
        <v>0</v>
      </c>
      <c r="W640" s="1" t="str">
        <f t="shared" si="76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customHeight="1" x14ac:dyDescent="0.3">
      <c r="A641" s="2"/>
      <c r="B641" s="65" t="str">
        <f t="shared" si="77"/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 t="shared" si="78"/>
        <v/>
      </c>
      <c r="N641" s="74" t="str">
        <f t="shared" si="79"/>
        <v/>
      </c>
      <c r="O641" s="73" t="str">
        <f t="shared" si="80"/>
        <v/>
      </c>
      <c r="P641" s="65" t="str">
        <f t="shared" ca="1" si="81"/>
        <v/>
      </c>
      <c r="Q641" s="2"/>
      <c r="R641" s="2"/>
      <c r="S641" s="1" t="str">
        <f t="shared" si="74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75"/>
        <v>0</v>
      </c>
      <c r="W641" s="1" t="str">
        <f t="shared" si="76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customHeight="1" x14ac:dyDescent="0.3">
      <c r="A642" s="2"/>
      <c r="B642" s="65" t="str">
        <f t="shared" si="77"/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 t="shared" si="78"/>
        <v/>
      </c>
      <c r="N642" s="74" t="str">
        <f t="shared" si="79"/>
        <v/>
      </c>
      <c r="O642" s="73" t="str">
        <f t="shared" si="80"/>
        <v/>
      </c>
      <c r="P642" s="65" t="str">
        <f t="shared" ca="1" si="81"/>
        <v/>
      </c>
      <c r="Q642" s="2"/>
      <c r="R642" s="2"/>
      <c r="S642" s="1" t="str">
        <f t="shared" si="74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75"/>
        <v>0</v>
      </c>
      <c r="W642" s="1" t="str">
        <f t="shared" si="76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customHeight="1" x14ac:dyDescent="0.3">
      <c r="A643" s="2"/>
      <c r="B643" s="65" t="str">
        <f t="shared" si="77"/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 t="shared" si="78"/>
        <v/>
      </c>
      <c r="N643" s="74" t="str">
        <f t="shared" si="79"/>
        <v/>
      </c>
      <c r="O643" s="73" t="str">
        <f t="shared" si="80"/>
        <v/>
      </c>
      <c r="P643" s="65" t="str">
        <f t="shared" ca="1" si="81"/>
        <v/>
      </c>
      <c r="Q643" s="2"/>
      <c r="R643" s="2"/>
      <c r="S643" s="1" t="str">
        <f t="shared" si="74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75"/>
        <v>0</v>
      </c>
      <c r="W643" s="1" t="str">
        <f t="shared" si="76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customHeight="1" x14ac:dyDescent="0.3">
      <c r="A644" s="2"/>
      <c r="B644" s="65" t="str">
        <f t="shared" si="77"/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 t="shared" si="78"/>
        <v/>
      </c>
      <c r="N644" s="74" t="str">
        <f t="shared" si="79"/>
        <v/>
      </c>
      <c r="O644" s="73" t="str">
        <f t="shared" si="80"/>
        <v/>
      </c>
      <c r="P644" s="65" t="str">
        <f t="shared" ca="1" si="81"/>
        <v/>
      </c>
      <c r="Q644" s="2"/>
      <c r="R644" s="2"/>
      <c r="S644" s="1" t="str">
        <f t="shared" si="74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75"/>
        <v>0</v>
      </c>
      <c r="W644" s="1" t="str">
        <f t="shared" si="76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customHeight="1" x14ac:dyDescent="0.3">
      <c r="A645" s="2"/>
      <c r="B645" s="65" t="str">
        <f t="shared" si="77"/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 t="shared" si="78"/>
        <v/>
      </c>
      <c r="N645" s="74" t="str">
        <f t="shared" si="79"/>
        <v/>
      </c>
      <c r="O645" s="73" t="str">
        <f t="shared" si="80"/>
        <v/>
      </c>
      <c r="P645" s="65" t="str">
        <f t="shared" ca="1" si="81"/>
        <v/>
      </c>
      <c r="Q645" s="2"/>
      <c r="R645" s="2"/>
      <c r="S645" s="1" t="str">
        <f t="shared" ref="S645:S708" si="82"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ref="V645:V708" si="83">IF($T645="",0,1)</f>
        <v>0</v>
      </c>
      <c r="W645" s="1" t="str">
        <f t="shared" ref="W645:W708" si="84">IF($C645="","",$D645&amp;"|"&amp;$E645&amp;"|"&amp;TEXT($C645,"0")&amp;"|"&amp;TEXT($G645,"0")&amp;"|"&amp;$F645&amp;"|"&amp;$J645)</f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customHeight="1" x14ac:dyDescent="0.3">
      <c r="A646" s="2"/>
      <c r="B646" s="65" t="str">
        <f t="shared" si="77"/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 t="shared" si="78"/>
        <v/>
      </c>
      <c r="N646" s="74" t="str">
        <f t="shared" si="79"/>
        <v/>
      </c>
      <c r="O646" s="73" t="str">
        <f t="shared" si="80"/>
        <v/>
      </c>
      <c r="P646" s="65" t="str">
        <f t="shared" ca="1" si="81"/>
        <v/>
      </c>
      <c r="Q646" s="2"/>
      <c r="R646" s="2"/>
      <c r="S646" s="1" t="str">
        <f t="shared" si="82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83"/>
        <v>0</v>
      </c>
      <c r="W646" s="1" t="str">
        <f t="shared" si="84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customHeight="1" x14ac:dyDescent="0.3">
      <c r="A647" s="2"/>
      <c r="B647" s="65" t="str">
        <f t="shared" ref="B647:B710" si="85"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 t="shared" ref="M647:M710" si="86">IF($C647="","",IF($D647="Gider",$E647,IF($L647&lt;&gt;"",$L647,$H647)))</f>
        <v/>
      </c>
      <c r="N647" s="74" t="str">
        <f t="shared" ref="N647:N710" si="87">IF($C647="","",IF($D647="Gider",$H647,$E647))</f>
        <v/>
      </c>
      <c r="O647" s="73" t="str">
        <f t="shared" ref="O647:O710" si="88">IF($C647="","",DATE(YEAR($C647),MONTH($C647),1))</f>
        <v/>
      </c>
      <c r="P647" s="65" t="str">
        <f t="shared" ref="P647:P710" ca="1" si="89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TARİH",IF(COUNTIF($W$7:$W$3001,$W647)&gt;1,"MÜKERRER?",IF($AD647&gt;0,"KAPALI DÖNEM",IF($I647="Hayır","ÖDENECEK","UYGUN")))),"EKSİK"))))</f>
        <v/>
      </c>
      <c r="Q647" s="2"/>
      <c r="R647" s="2"/>
      <c r="S647" s="1" t="str">
        <f t="shared" si="82"/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si="83"/>
        <v>0</v>
      </c>
      <c r="W647" s="1" t="str">
        <f t="shared" si="84"/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customHeight="1" x14ac:dyDescent="0.3">
      <c r="A648" s="2"/>
      <c r="B648" s="65" t="str">
        <f t="shared" si="85"/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 t="shared" si="86"/>
        <v/>
      </c>
      <c r="N648" s="74" t="str">
        <f t="shared" si="87"/>
        <v/>
      </c>
      <c r="O648" s="73" t="str">
        <f t="shared" si="88"/>
        <v/>
      </c>
      <c r="P648" s="65" t="str">
        <f t="shared" ca="1" si="89"/>
        <v/>
      </c>
      <c r="Q648" s="2"/>
      <c r="R648" s="2"/>
      <c r="S648" s="1" t="str">
        <f t="shared" si="82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83"/>
        <v>0</v>
      </c>
      <c r="W648" s="1" t="str">
        <f t="shared" si="84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customHeight="1" x14ac:dyDescent="0.3">
      <c r="A649" s="2"/>
      <c r="B649" s="65" t="str">
        <f t="shared" si="85"/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 t="shared" si="86"/>
        <v/>
      </c>
      <c r="N649" s="74" t="str">
        <f t="shared" si="87"/>
        <v/>
      </c>
      <c r="O649" s="73" t="str">
        <f t="shared" si="88"/>
        <v/>
      </c>
      <c r="P649" s="65" t="str">
        <f t="shared" ca="1" si="89"/>
        <v/>
      </c>
      <c r="Q649" s="2"/>
      <c r="R649" s="2"/>
      <c r="S649" s="1" t="str">
        <f t="shared" si="82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83"/>
        <v>0</v>
      </c>
      <c r="W649" s="1" t="str">
        <f t="shared" si="84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customHeight="1" x14ac:dyDescent="0.3">
      <c r="A650" s="2"/>
      <c r="B650" s="65" t="str">
        <f t="shared" si="85"/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 t="shared" si="86"/>
        <v/>
      </c>
      <c r="N650" s="74" t="str">
        <f t="shared" si="87"/>
        <v/>
      </c>
      <c r="O650" s="73" t="str">
        <f t="shared" si="88"/>
        <v/>
      </c>
      <c r="P650" s="65" t="str">
        <f t="shared" ca="1" si="89"/>
        <v/>
      </c>
      <c r="Q650" s="2"/>
      <c r="R650" s="2"/>
      <c r="S650" s="1" t="str">
        <f t="shared" si="82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83"/>
        <v>0</v>
      </c>
      <c r="W650" s="1" t="str">
        <f t="shared" si="84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customHeight="1" x14ac:dyDescent="0.3">
      <c r="A651" s="2"/>
      <c r="B651" s="65" t="str">
        <f t="shared" si="85"/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 t="shared" si="86"/>
        <v/>
      </c>
      <c r="N651" s="74" t="str">
        <f t="shared" si="87"/>
        <v/>
      </c>
      <c r="O651" s="73" t="str">
        <f t="shared" si="88"/>
        <v/>
      </c>
      <c r="P651" s="65" t="str">
        <f t="shared" ca="1" si="89"/>
        <v/>
      </c>
      <c r="Q651" s="2"/>
      <c r="R651" s="2"/>
      <c r="S651" s="1" t="str">
        <f t="shared" si="82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83"/>
        <v>0</v>
      </c>
      <c r="W651" s="1" t="str">
        <f t="shared" si="84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customHeight="1" x14ac:dyDescent="0.3">
      <c r="A652" s="2"/>
      <c r="B652" s="65" t="str">
        <f t="shared" si="85"/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 t="shared" si="86"/>
        <v/>
      </c>
      <c r="N652" s="74" t="str">
        <f t="shared" si="87"/>
        <v/>
      </c>
      <c r="O652" s="73" t="str">
        <f t="shared" si="88"/>
        <v/>
      </c>
      <c r="P652" s="65" t="str">
        <f t="shared" ca="1" si="89"/>
        <v/>
      </c>
      <c r="Q652" s="2"/>
      <c r="R652" s="2"/>
      <c r="S652" s="1" t="str">
        <f t="shared" si="82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83"/>
        <v>0</v>
      </c>
      <c r="W652" s="1" t="str">
        <f t="shared" si="84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customHeight="1" x14ac:dyDescent="0.3">
      <c r="A653" s="2"/>
      <c r="B653" s="65" t="str">
        <f t="shared" si="85"/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 t="shared" si="86"/>
        <v/>
      </c>
      <c r="N653" s="74" t="str">
        <f t="shared" si="87"/>
        <v/>
      </c>
      <c r="O653" s="73" t="str">
        <f t="shared" si="88"/>
        <v/>
      </c>
      <c r="P653" s="65" t="str">
        <f t="shared" ca="1" si="89"/>
        <v/>
      </c>
      <c r="Q653" s="2"/>
      <c r="R653" s="2"/>
      <c r="S653" s="1" t="str">
        <f t="shared" si="82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83"/>
        <v>0</v>
      </c>
      <c r="W653" s="1" t="str">
        <f t="shared" si="84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customHeight="1" x14ac:dyDescent="0.3">
      <c r="A654" s="2"/>
      <c r="B654" s="65" t="str">
        <f t="shared" si="85"/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 t="shared" si="86"/>
        <v/>
      </c>
      <c r="N654" s="74" t="str">
        <f t="shared" si="87"/>
        <v/>
      </c>
      <c r="O654" s="73" t="str">
        <f t="shared" si="88"/>
        <v/>
      </c>
      <c r="P654" s="65" t="str">
        <f t="shared" ca="1" si="89"/>
        <v/>
      </c>
      <c r="Q654" s="2"/>
      <c r="R654" s="2"/>
      <c r="S654" s="1" t="str">
        <f t="shared" si="82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83"/>
        <v>0</v>
      </c>
      <c r="W654" s="1" t="str">
        <f t="shared" si="84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customHeight="1" x14ac:dyDescent="0.3">
      <c r="A655" s="2"/>
      <c r="B655" s="65" t="str">
        <f t="shared" si="85"/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 t="shared" si="86"/>
        <v/>
      </c>
      <c r="N655" s="74" t="str">
        <f t="shared" si="87"/>
        <v/>
      </c>
      <c r="O655" s="73" t="str">
        <f t="shared" si="88"/>
        <v/>
      </c>
      <c r="P655" s="65" t="str">
        <f t="shared" ca="1" si="89"/>
        <v/>
      </c>
      <c r="Q655" s="2"/>
      <c r="R655" s="2"/>
      <c r="S655" s="1" t="str">
        <f t="shared" si="82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83"/>
        <v>0</v>
      </c>
      <c r="W655" s="1" t="str">
        <f t="shared" si="84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customHeight="1" x14ac:dyDescent="0.3">
      <c r="A656" s="2"/>
      <c r="B656" s="65" t="str">
        <f t="shared" si="85"/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 t="shared" si="86"/>
        <v/>
      </c>
      <c r="N656" s="74" t="str">
        <f t="shared" si="87"/>
        <v/>
      </c>
      <c r="O656" s="73" t="str">
        <f t="shared" si="88"/>
        <v/>
      </c>
      <c r="P656" s="65" t="str">
        <f t="shared" ca="1" si="89"/>
        <v/>
      </c>
      <c r="Q656" s="2"/>
      <c r="R656" s="2"/>
      <c r="S656" s="1" t="str">
        <f t="shared" si="82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83"/>
        <v>0</v>
      </c>
      <c r="W656" s="1" t="str">
        <f t="shared" si="84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customHeight="1" x14ac:dyDescent="0.3">
      <c r="A657" s="2"/>
      <c r="B657" s="65" t="str">
        <f t="shared" si="85"/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 t="shared" si="86"/>
        <v/>
      </c>
      <c r="N657" s="74" t="str">
        <f t="shared" si="87"/>
        <v/>
      </c>
      <c r="O657" s="73" t="str">
        <f t="shared" si="88"/>
        <v/>
      </c>
      <c r="P657" s="65" t="str">
        <f t="shared" ca="1" si="89"/>
        <v/>
      </c>
      <c r="Q657" s="2"/>
      <c r="R657" s="2"/>
      <c r="S657" s="1" t="str">
        <f t="shared" si="82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83"/>
        <v>0</v>
      </c>
      <c r="W657" s="1" t="str">
        <f t="shared" si="84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customHeight="1" x14ac:dyDescent="0.3">
      <c r="A658" s="2"/>
      <c r="B658" s="65" t="str">
        <f t="shared" si="85"/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 t="shared" si="86"/>
        <v/>
      </c>
      <c r="N658" s="74" t="str">
        <f t="shared" si="87"/>
        <v/>
      </c>
      <c r="O658" s="73" t="str">
        <f t="shared" si="88"/>
        <v/>
      </c>
      <c r="P658" s="65" t="str">
        <f t="shared" ca="1" si="89"/>
        <v/>
      </c>
      <c r="Q658" s="2"/>
      <c r="R658" s="2"/>
      <c r="S658" s="1" t="str">
        <f t="shared" si="82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83"/>
        <v>0</v>
      </c>
      <c r="W658" s="1" t="str">
        <f t="shared" si="84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customHeight="1" x14ac:dyDescent="0.3">
      <c r="A659" s="2"/>
      <c r="B659" s="65" t="str">
        <f t="shared" si="85"/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 t="shared" si="86"/>
        <v/>
      </c>
      <c r="N659" s="74" t="str">
        <f t="shared" si="87"/>
        <v/>
      </c>
      <c r="O659" s="73" t="str">
        <f t="shared" si="88"/>
        <v/>
      </c>
      <c r="P659" s="65" t="str">
        <f t="shared" ca="1" si="89"/>
        <v/>
      </c>
      <c r="Q659" s="2"/>
      <c r="R659" s="2"/>
      <c r="S659" s="1" t="str">
        <f t="shared" si="82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83"/>
        <v>0</v>
      </c>
      <c r="W659" s="1" t="str">
        <f t="shared" si="84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customHeight="1" x14ac:dyDescent="0.3">
      <c r="A660" s="2"/>
      <c r="B660" s="65" t="str">
        <f t="shared" si="85"/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 t="shared" si="86"/>
        <v/>
      </c>
      <c r="N660" s="74" t="str">
        <f t="shared" si="87"/>
        <v/>
      </c>
      <c r="O660" s="73" t="str">
        <f t="shared" si="88"/>
        <v/>
      </c>
      <c r="P660" s="65" t="str">
        <f t="shared" ca="1" si="89"/>
        <v/>
      </c>
      <c r="Q660" s="2"/>
      <c r="R660" s="2"/>
      <c r="S660" s="1" t="str">
        <f t="shared" si="82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83"/>
        <v>0</v>
      </c>
      <c r="W660" s="1" t="str">
        <f t="shared" si="84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customHeight="1" x14ac:dyDescent="0.3">
      <c r="A661" s="2"/>
      <c r="B661" s="65" t="str">
        <f t="shared" si="85"/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 t="shared" si="86"/>
        <v/>
      </c>
      <c r="N661" s="74" t="str">
        <f t="shared" si="87"/>
        <v/>
      </c>
      <c r="O661" s="73" t="str">
        <f t="shared" si="88"/>
        <v/>
      </c>
      <c r="P661" s="65" t="str">
        <f t="shared" ca="1" si="89"/>
        <v/>
      </c>
      <c r="Q661" s="2"/>
      <c r="R661" s="2"/>
      <c r="S661" s="1" t="str">
        <f t="shared" si="82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83"/>
        <v>0</v>
      </c>
      <c r="W661" s="1" t="str">
        <f t="shared" si="84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customHeight="1" x14ac:dyDescent="0.3">
      <c r="A662" s="2"/>
      <c r="B662" s="65" t="str">
        <f t="shared" si="85"/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 t="shared" si="86"/>
        <v/>
      </c>
      <c r="N662" s="74" t="str">
        <f t="shared" si="87"/>
        <v/>
      </c>
      <c r="O662" s="73" t="str">
        <f t="shared" si="88"/>
        <v/>
      </c>
      <c r="P662" s="65" t="str">
        <f t="shared" ca="1" si="89"/>
        <v/>
      </c>
      <c r="Q662" s="2"/>
      <c r="R662" s="2"/>
      <c r="S662" s="1" t="str">
        <f t="shared" si="82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83"/>
        <v>0</v>
      </c>
      <c r="W662" s="1" t="str">
        <f t="shared" si="84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customHeight="1" x14ac:dyDescent="0.3">
      <c r="A663" s="2"/>
      <c r="B663" s="65" t="str">
        <f t="shared" si="85"/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 t="shared" si="86"/>
        <v/>
      </c>
      <c r="N663" s="74" t="str">
        <f t="shared" si="87"/>
        <v/>
      </c>
      <c r="O663" s="73" t="str">
        <f t="shared" si="88"/>
        <v/>
      </c>
      <c r="P663" s="65" t="str">
        <f t="shared" ca="1" si="89"/>
        <v/>
      </c>
      <c r="Q663" s="2"/>
      <c r="R663" s="2"/>
      <c r="S663" s="1" t="str">
        <f t="shared" si="82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83"/>
        <v>0</v>
      </c>
      <c r="W663" s="1" t="str">
        <f t="shared" si="84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customHeight="1" x14ac:dyDescent="0.3">
      <c r="A664" s="2"/>
      <c r="B664" s="65" t="str">
        <f t="shared" si="85"/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 t="shared" si="86"/>
        <v/>
      </c>
      <c r="N664" s="74" t="str">
        <f t="shared" si="87"/>
        <v/>
      </c>
      <c r="O664" s="73" t="str">
        <f t="shared" si="88"/>
        <v/>
      </c>
      <c r="P664" s="65" t="str">
        <f t="shared" ca="1" si="89"/>
        <v/>
      </c>
      <c r="Q664" s="2"/>
      <c r="R664" s="2"/>
      <c r="S664" s="1" t="str">
        <f t="shared" si="82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83"/>
        <v>0</v>
      </c>
      <c r="W664" s="1" t="str">
        <f t="shared" si="84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customHeight="1" x14ac:dyDescent="0.3">
      <c r="A665" s="2"/>
      <c r="B665" s="65" t="str">
        <f t="shared" si="85"/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 t="shared" si="86"/>
        <v/>
      </c>
      <c r="N665" s="74" t="str">
        <f t="shared" si="87"/>
        <v/>
      </c>
      <c r="O665" s="73" t="str">
        <f t="shared" si="88"/>
        <v/>
      </c>
      <c r="P665" s="65" t="str">
        <f t="shared" ca="1" si="89"/>
        <v/>
      </c>
      <c r="Q665" s="2"/>
      <c r="R665" s="2"/>
      <c r="S665" s="1" t="str">
        <f t="shared" si="82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83"/>
        <v>0</v>
      </c>
      <c r="W665" s="1" t="str">
        <f t="shared" si="84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customHeight="1" x14ac:dyDescent="0.3">
      <c r="A666" s="2"/>
      <c r="B666" s="65" t="str">
        <f t="shared" si="85"/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 t="shared" si="86"/>
        <v/>
      </c>
      <c r="N666" s="74" t="str">
        <f t="shared" si="87"/>
        <v/>
      </c>
      <c r="O666" s="73" t="str">
        <f t="shared" si="88"/>
        <v/>
      </c>
      <c r="P666" s="65" t="str">
        <f t="shared" ca="1" si="89"/>
        <v/>
      </c>
      <c r="Q666" s="2"/>
      <c r="R666" s="2"/>
      <c r="S666" s="1" t="str">
        <f t="shared" si="82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83"/>
        <v>0</v>
      </c>
      <c r="W666" s="1" t="str">
        <f t="shared" si="84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customHeight="1" x14ac:dyDescent="0.3">
      <c r="A667" s="2"/>
      <c r="B667" s="65" t="str">
        <f t="shared" si="85"/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 t="shared" si="86"/>
        <v/>
      </c>
      <c r="N667" s="74" t="str">
        <f t="shared" si="87"/>
        <v/>
      </c>
      <c r="O667" s="73" t="str">
        <f t="shared" si="88"/>
        <v/>
      </c>
      <c r="P667" s="65" t="str">
        <f t="shared" ca="1" si="89"/>
        <v/>
      </c>
      <c r="Q667" s="2"/>
      <c r="R667" s="2"/>
      <c r="S667" s="1" t="str">
        <f t="shared" si="82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83"/>
        <v>0</v>
      </c>
      <c r="W667" s="1" t="str">
        <f t="shared" si="84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customHeight="1" x14ac:dyDescent="0.3">
      <c r="A668" s="2"/>
      <c r="B668" s="65" t="str">
        <f t="shared" si="85"/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 t="shared" si="86"/>
        <v/>
      </c>
      <c r="N668" s="74" t="str">
        <f t="shared" si="87"/>
        <v/>
      </c>
      <c r="O668" s="73" t="str">
        <f t="shared" si="88"/>
        <v/>
      </c>
      <c r="P668" s="65" t="str">
        <f t="shared" ca="1" si="89"/>
        <v/>
      </c>
      <c r="Q668" s="2"/>
      <c r="R668" s="2"/>
      <c r="S668" s="1" t="str">
        <f t="shared" si="82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83"/>
        <v>0</v>
      </c>
      <c r="W668" s="1" t="str">
        <f t="shared" si="84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customHeight="1" x14ac:dyDescent="0.3">
      <c r="A669" s="2"/>
      <c r="B669" s="65" t="str">
        <f t="shared" si="85"/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 t="shared" si="86"/>
        <v/>
      </c>
      <c r="N669" s="74" t="str">
        <f t="shared" si="87"/>
        <v/>
      </c>
      <c r="O669" s="73" t="str">
        <f t="shared" si="88"/>
        <v/>
      </c>
      <c r="P669" s="65" t="str">
        <f t="shared" ca="1" si="89"/>
        <v/>
      </c>
      <c r="Q669" s="2"/>
      <c r="R669" s="2"/>
      <c r="S669" s="1" t="str">
        <f t="shared" si="82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83"/>
        <v>0</v>
      </c>
      <c r="W669" s="1" t="str">
        <f t="shared" si="84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customHeight="1" x14ac:dyDescent="0.3">
      <c r="A670" s="2"/>
      <c r="B670" s="65" t="str">
        <f t="shared" si="85"/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 t="shared" si="86"/>
        <v/>
      </c>
      <c r="N670" s="74" t="str">
        <f t="shared" si="87"/>
        <v/>
      </c>
      <c r="O670" s="73" t="str">
        <f t="shared" si="88"/>
        <v/>
      </c>
      <c r="P670" s="65" t="str">
        <f t="shared" ca="1" si="89"/>
        <v/>
      </c>
      <c r="Q670" s="2"/>
      <c r="R670" s="2"/>
      <c r="S670" s="1" t="str">
        <f t="shared" si="82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83"/>
        <v>0</v>
      </c>
      <c r="W670" s="1" t="str">
        <f t="shared" si="84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customHeight="1" x14ac:dyDescent="0.3">
      <c r="A671" s="2"/>
      <c r="B671" s="65" t="str">
        <f t="shared" si="85"/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 t="shared" si="86"/>
        <v/>
      </c>
      <c r="N671" s="74" t="str">
        <f t="shared" si="87"/>
        <v/>
      </c>
      <c r="O671" s="73" t="str">
        <f t="shared" si="88"/>
        <v/>
      </c>
      <c r="P671" s="65" t="str">
        <f t="shared" ca="1" si="89"/>
        <v/>
      </c>
      <c r="Q671" s="2"/>
      <c r="R671" s="2"/>
      <c r="S671" s="1" t="str">
        <f t="shared" si="82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83"/>
        <v>0</v>
      </c>
      <c r="W671" s="1" t="str">
        <f t="shared" si="84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customHeight="1" x14ac:dyDescent="0.3">
      <c r="A672" s="2"/>
      <c r="B672" s="65" t="str">
        <f t="shared" si="85"/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 t="shared" si="86"/>
        <v/>
      </c>
      <c r="N672" s="74" t="str">
        <f t="shared" si="87"/>
        <v/>
      </c>
      <c r="O672" s="73" t="str">
        <f t="shared" si="88"/>
        <v/>
      </c>
      <c r="P672" s="65" t="str">
        <f t="shared" ca="1" si="89"/>
        <v/>
      </c>
      <c r="Q672" s="2"/>
      <c r="R672" s="2"/>
      <c r="S672" s="1" t="str">
        <f t="shared" si="82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83"/>
        <v>0</v>
      </c>
      <c r="W672" s="1" t="str">
        <f t="shared" si="84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customHeight="1" x14ac:dyDescent="0.3">
      <c r="A673" s="2"/>
      <c r="B673" s="65" t="str">
        <f t="shared" si="85"/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 t="shared" si="86"/>
        <v/>
      </c>
      <c r="N673" s="74" t="str">
        <f t="shared" si="87"/>
        <v/>
      </c>
      <c r="O673" s="73" t="str">
        <f t="shared" si="88"/>
        <v/>
      </c>
      <c r="P673" s="65" t="str">
        <f t="shared" ca="1" si="89"/>
        <v/>
      </c>
      <c r="Q673" s="2"/>
      <c r="R673" s="2"/>
      <c r="S673" s="1" t="str">
        <f t="shared" si="82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83"/>
        <v>0</v>
      </c>
      <c r="W673" s="1" t="str">
        <f t="shared" si="84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customHeight="1" x14ac:dyDescent="0.3">
      <c r="A674" s="2"/>
      <c r="B674" s="65" t="str">
        <f t="shared" si="85"/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 t="shared" si="86"/>
        <v/>
      </c>
      <c r="N674" s="74" t="str">
        <f t="shared" si="87"/>
        <v/>
      </c>
      <c r="O674" s="73" t="str">
        <f t="shared" si="88"/>
        <v/>
      </c>
      <c r="P674" s="65" t="str">
        <f t="shared" ca="1" si="89"/>
        <v/>
      </c>
      <c r="Q674" s="2"/>
      <c r="R674" s="2"/>
      <c r="S674" s="1" t="str">
        <f t="shared" si="82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83"/>
        <v>0</v>
      </c>
      <c r="W674" s="1" t="str">
        <f t="shared" si="84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customHeight="1" x14ac:dyDescent="0.3">
      <c r="A675" s="2"/>
      <c r="B675" s="65" t="str">
        <f t="shared" si="85"/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 t="shared" si="86"/>
        <v/>
      </c>
      <c r="N675" s="74" t="str">
        <f t="shared" si="87"/>
        <v/>
      </c>
      <c r="O675" s="73" t="str">
        <f t="shared" si="88"/>
        <v/>
      </c>
      <c r="P675" s="65" t="str">
        <f t="shared" ca="1" si="89"/>
        <v/>
      </c>
      <c r="Q675" s="2"/>
      <c r="R675" s="2"/>
      <c r="S675" s="1" t="str">
        <f t="shared" si="82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83"/>
        <v>0</v>
      </c>
      <c r="W675" s="1" t="str">
        <f t="shared" si="84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customHeight="1" x14ac:dyDescent="0.3">
      <c r="A676" s="2"/>
      <c r="B676" s="65" t="str">
        <f t="shared" si="85"/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 t="shared" si="86"/>
        <v/>
      </c>
      <c r="N676" s="74" t="str">
        <f t="shared" si="87"/>
        <v/>
      </c>
      <c r="O676" s="73" t="str">
        <f t="shared" si="88"/>
        <v/>
      </c>
      <c r="P676" s="65" t="str">
        <f t="shared" ca="1" si="89"/>
        <v/>
      </c>
      <c r="Q676" s="2"/>
      <c r="R676" s="2"/>
      <c r="S676" s="1" t="str">
        <f t="shared" si="82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83"/>
        <v>0</v>
      </c>
      <c r="W676" s="1" t="str">
        <f t="shared" si="84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customHeight="1" x14ac:dyDescent="0.3">
      <c r="A677" s="2"/>
      <c r="B677" s="65" t="str">
        <f t="shared" si="85"/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 t="shared" si="86"/>
        <v/>
      </c>
      <c r="N677" s="74" t="str">
        <f t="shared" si="87"/>
        <v/>
      </c>
      <c r="O677" s="73" t="str">
        <f t="shared" si="88"/>
        <v/>
      </c>
      <c r="P677" s="65" t="str">
        <f t="shared" ca="1" si="89"/>
        <v/>
      </c>
      <c r="Q677" s="2"/>
      <c r="R677" s="2"/>
      <c r="S677" s="1" t="str">
        <f t="shared" si="82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83"/>
        <v>0</v>
      </c>
      <c r="W677" s="1" t="str">
        <f t="shared" si="84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customHeight="1" x14ac:dyDescent="0.3">
      <c r="A678" s="2"/>
      <c r="B678" s="65" t="str">
        <f t="shared" si="85"/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 t="shared" si="86"/>
        <v/>
      </c>
      <c r="N678" s="74" t="str">
        <f t="shared" si="87"/>
        <v/>
      </c>
      <c r="O678" s="73" t="str">
        <f t="shared" si="88"/>
        <v/>
      </c>
      <c r="P678" s="65" t="str">
        <f t="shared" ca="1" si="89"/>
        <v/>
      </c>
      <c r="Q678" s="2"/>
      <c r="R678" s="2"/>
      <c r="S678" s="1" t="str">
        <f t="shared" si="82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83"/>
        <v>0</v>
      </c>
      <c r="W678" s="1" t="str">
        <f t="shared" si="84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customHeight="1" x14ac:dyDescent="0.3">
      <c r="A679" s="2"/>
      <c r="B679" s="65" t="str">
        <f t="shared" si="85"/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 t="shared" si="86"/>
        <v/>
      </c>
      <c r="N679" s="74" t="str">
        <f t="shared" si="87"/>
        <v/>
      </c>
      <c r="O679" s="73" t="str">
        <f t="shared" si="88"/>
        <v/>
      </c>
      <c r="P679" s="65" t="str">
        <f t="shared" ca="1" si="89"/>
        <v/>
      </c>
      <c r="Q679" s="2"/>
      <c r="R679" s="2"/>
      <c r="S679" s="1" t="str">
        <f t="shared" si="82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83"/>
        <v>0</v>
      </c>
      <c r="W679" s="1" t="str">
        <f t="shared" si="84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customHeight="1" x14ac:dyDescent="0.3">
      <c r="A680" s="2"/>
      <c r="B680" s="65" t="str">
        <f t="shared" si="85"/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 t="shared" si="86"/>
        <v/>
      </c>
      <c r="N680" s="74" t="str">
        <f t="shared" si="87"/>
        <v/>
      </c>
      <c r="O680" s="73" t="str">
        <f t="shared" si="88"/>
        <v/>
      </c>
      <c r="P680" s="65" t="str">
        <f t="shared" ca="1" si="89"/>
        <v/>
      </c>
      <c r="Q680" s="2"/>
      <c r="R680" s="2"/>
      <c r="S680" s="1" t="str">
        <f t="shared" si="82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83"/>
        <v>0</v>
      </c>
      <c r="W680" s="1" t="str">
        <f t="shared" si="84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customHeight="1" x14ac:dyDescent="0.3">
      <c r="A681" s="2"/>
      <c r="B681" s="65" t="str">
        <f t="shared" si="85"/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 t="shared" si="86"/>
        <v/>
      </c>
      <c r="N681" s="74" t="str">
        <f t="shared" si="87"/>
        <v/>
      </c>
      <c r="O681" s="73" t="str">
        <f t="shared" si="88"/>
        <v/>
      </c>
      <c r="P681" s="65" t="str">
        <f t="shared" ca="1" si="89"/>
        <v/>
      </c>
      <c r="Q681" s="2"/>
      <c r="R681" s="2"/>
      <c r="S681" s="1" t="str">
        <f t="shared" si="82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83"/>
        <v>0</v>
      </c>
      <c r="W681" s="1" t="str">
        <f t="shared" si="84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customHeight="1" x14ac:dyDescent="0.3">
      <c r="A682" s="2"/>
      <c r="B682" s="65" t="str">
        <f t="shared" si="85"/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 t="shared" si="86"/>
        <v/>
      </c>
      <c r="N682" s="74" t="str">
        <f t="shared" si="87"/>
        <v/>
      </c>
      <c r="O682" s="73" t="str">
        <f t="shared" si="88"/>
        <v/>
      </c>
      <c r="P682" s="65" t="str">
        <f t="shared" ca="1" si="89"/>
        <v/>
      </c>
      <c r="Q682" s="2"/>
      <c r="R682" s="2"/>
      <c r="S682" s="1" t="str">
        <f t="shared" si="82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83"/>
        <v>0</v>
      </c>
      <c r="W682" s="1" t="str">
        <f t="shared" si="84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customHeight="1" x14ac:dyDescent="0.3">
      <c r="A683" s="2"/>
      <c r="B683" s="65" t="str">
        <f t="shared" si="85"/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 t="shared" si="86"/>
        <v/>
      </c>
      <c r="N683" s="74" t="str">
        <f t="shared" si="87"/>
        <v/>
      </c>
      <c r="O683" s="73" t="str">
        <f t="shared" si="88"/>
        <v/>
      </c>
      <c r="P683" s="65" t="str">
        <f t="shared" ca="1" si="89"/>
        <v/>
      </c>
      <c r="Q683" s="2"/>
      <c r="R683" s="2"/>
      <c r="S683" s="1" t="str">
        <f t="shared" si="82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83"/>
        <v>0</v>
      </c>
      <c r="W683" s="1" t="str">
        <f t="shared" si="84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customHeight="1" x14ac:dyDescent="0.3">
      <c r="A684" s="2"/>
      <c r="B684" s="65" t="str">
        <f t="shared" si="85"/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 t="shared" si="86"/>
        <v/>
      </c>
      <c r="N684" s="74" t="str">
        <f t="shared" si="87"/>
        <v/>
      </c>
      <c r="O684" s="73" t="str">
        <f t="shared" si="88"/>
        <v/>
      </c>
      <c r="P684" s="65" t="str">
        <f t="shared" ca="1" si="89"/>
        <v/>
      </c>
      <c r="Q684" s="2"/>
      <c r="R684" s="2"/>
      <c r="S684" s="1" t="str">
        <f t="shared" si="82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83"/>
        <v>0</v>
      </c>
      <c r="W684" s="1" t="str">
        <f t="shared" si="84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customHeight="1" x14ac:dyDescent="0.3">
      <c r="A685" s="2"/>
      <c r="B685" s="65" t="str">
        <f t="shared" si="85"/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 t="shared" si="86"/>
        <v/>
      </c>
      <c r="N685" s="74" t="str">
        <f t="shared" si="87"/>
        <v/>
      </c>
      <c r="O685" s="73" t="str">
        <f t="shared" si="88"/>
        <v/>
      </c>
      <c r="P685" s="65" t="str">
        <f t="shared" ca="1" si="89"/>
        <v/>
      </c>
      <c r="Q685" s="2"/>
      <c r="R685" s="2"/>
      <c r="S685" s="1" t="str">
        <f t="shared" si="82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83"/>
        <v>0</v>
      </c>
      <c r="W685" s="1" t="str">
        <f t="shared" si="84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customHeight="1" x14ac:dyDescent="0.3">
      <c r="A686" s="2"/>
      <c r="B686" s="65" t="str">
        <f t="shared" si="85"/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 t="shared" si="86"/>
        <v/>
      </c>
      <c r="N686" s="74" t="str">
        <f t="shared" si="87"/>
        <v/>
      </c>
      <c r="O686" s="73" t="str">
        <f t="shared" si="88"/>
        <v/>
      </c>
      <c r="P686" s="65" t="str">
        <f t="shared" ca="1" si="89"/>
        <v/>
      </c>
      <c r="Q686" s="2"/>
      <c r="R686" s="2"/>
      <c r="S686" s="1" t="str">
        <f t="shared" si="82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83"/>
        <v>0</v>
      </c>
      <c r="W686" s="1" t="str">
        <f t="shared" si="84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customHeight="1" x14ac:dyDescent="0.3">
      <c r="A687" s="2"/>
      <c r="B687" s="65" t="str">
        <f t="shared" si="85"/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 t="shared" si="86"/>
        <v/>
      </c>
      <c r="N687" s="74" t="str">
        <f t="shared" si="87"/>
        <v/>
      </c>
      <c r="O687" s="73" t="str">
        <f t="shared" si="88"/>
        <v/>
      </c>
      <c r="P687" s="65" t="str">
        <f t="shared" ca="1" si="89"/>
        <v/>
      </c>
      <c r="Q687" s="2"/>
      <c r="R687" s="2"/>
      <c r="S687" s="1" t="str">
        <f t="shared" si="82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83"/>
        <v>0</v>
      </c>
      <c r="W687" s="1" t="str">
        <f t="shared" si="84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customHeight="1" x14ac:dyDescent="0.3">
      <c r="A688" s="2"/>
      <c r="B688" s="65" t="str">
        <f t="shared" si="85"/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 t="shared" si="86"/>
        <v/>
      </c>
      <c r="N688" s="74" t="str">
        <f t="shared" si="87"/>
        <v/>
      </c>
      <c r="O688" s="73" t="str">
        <f t="shared" si="88"/>
        <v/>
      </c>
      <c r="P688" s="65" t="str">
        <f t="shared" ca="1" si="89"/>
        <v/>
      </c>
      <c r="Q688" s="2"/>
      <c r="R688" s="2"/>
      <c r="S688" s="1" t="str">
        <f t="shared" si="82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83"/>
        <v>0</v>
      </c>
      <c r="W688" s="1" t="str">
        <f t="shared" si="84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customHeight="1" x14ac:dyDescent="0.3">
      <c r="A689" s="2"/>
      <c r="B689" s="65" t="str">
        <f t="shared" si="85"/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 t="shared" si="86"/>
        <v/>
      </c>
      <c r="N689" s="74" t="str">
        <f t="shared" si="87"/>
        <v/>
      </c>
      <c r="O689" s="73" t="str">
        <f t="shared" si="88"/>
        <v/>
      </c>
      <c r="P689" s="65" t="str">
        <f t="shared" ca="1" si="89"/>
        <v/>
      </c>
      <c r="Q689" s="2"/>
      <c r="R689" s="2"/>
      <c r="S689" s="1" t="str">
        <f t="shared" si="82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83"/>
        <v>0</v>
      </c>
      <c r="W689" s="1" t="str">
        <f t="shared" si="84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customHeight="1" x14ac:dyDescent="0.3">
      <c r="A690" s="2"/>
      <c r="B690" s="65" t="str">
        <f t="shared" si="85"/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 t="shared" si="86"/>
        <v/>
      </c>
      <c r="N690" s="74" t="str">
        <f t="shared" si="87"/>
        <v/>
      </c>
      <c r="O690" s="73" t="str">
        <f t="shared" si="88"/>
        <v/>
      </c>
      <c r="P690" s="65" t="str">
        <f t="shared" ca="1" si="89"/>
        <v/>
      </c>
      <c r="Q690" s="2"/>
      <c r="R690" s="2"/>
      <c r="S690" s="1" t="str">
        <f t="shared" si="82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83"/>
        <v>0</v>
      </c>
      <c r="W690" s="1" t="str">
        <f t="shared" si="84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customHeight="1" x14ac:dyDescent="0.3">
      <c r="A691" s="2"/>
      <c r="B691" s="65" t="str">
        <f t="shared" si="85"/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 t="shared" si="86"/>
        <v/>
      </c>
      <c r="N691" s="74" t="str">
        <f t="shared" si="87"/>
        <v/>
      </c>
      <c r="O691" s="73" t="str">
        <f t="shared" si="88"/>
        <v/>
      </c>
      <c r="P691" s="65" t="str">
        <f t="shared" ca="1" si="89"/>
        <v/>
      </c>
      <c r="Q691" s="2"/>
      <c r="R691" s="2"/>
      <c r="S691" s="1" t="str">
        <f t="shared" si="82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83"/>
        <v>0</v>
      </c>
      <c r="W691" s="1" t="str">
        <f t="shared" si="84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customHeight="1" x14ac:dyDescent="0.3">
      <c r="A692" s="2"/>
      <c r="B692" s="65" t="str">
        <f t="shared" si="85"/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 t="shared" si="86"/>
        <v/>
      </c>
      <c r="N692" s="74" t="str">
        <f t="shared" si="87"/>
        <v/>
      </c>
      <c r="O692" s="73" t="str">
        <f t="shared" si="88"/>
        <v/>
      </c>
      <c r="P692" s="65" t="str">
        <f t="shared" ca="1" si="89"/>
        <v/>
      </c>
      <c r="Q692" s="2"/>
      <c r="R692" s="2"/>
      <c r="S692" s="1" t="str">
        <f t="shared" si="82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83"/>
        <v>0</v>
      </c>
      <c r="W692" s="1" t="str">
        <f t="shared" si="84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customHeight="1" x14ac:dyDescent="0.3">
      <c r="A693" s="2"/>
      <c r="B693" s="65" t="str">
        <f t="shared" si="85"/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 t="shared" si="86"/>
        <v/>
      </c>
      <c r="N693" s="74" t="str">
        <f t="shared" si="87"/>
        <v/>
      </c>
      <c r="O693" s="73" t="str">
        <f t="shared" si="88"/>
        <v/>
      </c>
      <c r="P693" s="65" t="str">
        <f t="shared" ca="1" si="89"/>
        <v/>
      </c>
      <c r="Q693" s="2"/>
      <c r="R693" s="2"/>
      <c r="S693" s="1" t="str">
        <f t="shared" si="82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83"/>
        <v>0</v>
      </c>
      <c r="W693" s="1" t="str">
        <f t="shared" si="84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customHeight="1" x14ac:dyDescent="0.3">
      <c r="A694" s="2"/>
      <c r="B694" s="65" t="str">
        <f t="shared" si="85"/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 t="shared" si="86"/>
        <v/>
      </c>
      <c r="N694" s="74" t="str">
        <f t="shared" si="87"/>
        <v/>
      </c>
      <c r="O694" s="73" t="str">
        <f t="shared" si="88"/>
        <v/>
      </c>
      <c r="P694" s="65" t="str">
        <f t="shared" ca="1" si="89"/>
        <v/>
      </c>
      <c r="Q694" s="2"/>
      <c r="R694" s="2"/>
      <c r="S694" s="1" t="str">
        <f t="shared" si="82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83"/>
        <v>0</v>
      </c>
      <c r="W694" s="1" t="str">
        <f t="shared" si="84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customHeight="1" x14ac:dyDescent="0.3">
      <c r="A695" s="2"/>
      <c r="B695" s="65" t="str">
        <f t="shared" si="85"/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 t="shared" si="86"/>
        <v/>
      </c>
      <c r="N695" s="74" t="str">
        <f t="shared" si="87"/>
        <v/>
      </c>
      <c r="O695" s="73" t="str">
        <f t="shared" si="88"/>
        <v/>
      </c>
      <c r="P695" s="65" t="str">
        <f t="shared" ca="1" si="89"/>
        <v/>
      </c>
      <c r="Q695" s="2"/>
      <c r="R695" s="2"/>
      <c r="S695" s="1" t="str">
        <f t="shared" si="82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83"/>
        <v>0</v>
      </c>
      <c r="W695" s="1" t="str">
        <f t="shared" si="84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customHeight="1" x14ac:dyDescent="0.3">
      <c r="A696" s="2"/>
      <c r="B696" s="65" t="str">
        <f t="shared" si="85"/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 t="shared" si="86"/>
        <v/>
      </c>
      <c r="N696" s="74" t="str">
        <f t="shared" si="87"/>
        <v/>
      </c>
      <c r="O696" s="73" t="str">
        <f t="shared" si="88"/>
        <v/>
      </c>
      <c r="P696" s="65" t="str">
        <f t="shared" ca="1" si="89"/>
        <v/>
      </c>
      <c r="Q696" s="2"/>
      <c r="R696" s="2"/>
      <c r="S696" s="1" t="str">
        <f t="shared" si="82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83"/>
        <v>0</v>
      </c>
      <c r="W696" s="1" t="str">
        <f t="shared" si="84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customHeight="1" x14ac:dyDescent="0.3">
      <c r="A697" s="2"/>
      <c r="B697" s="65" t="str">
        <f t="shared" si="85"/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 t="shared" si="86"/>
        <v/>
      </c>
      <c r="N697" s="74" t="str">
        <f t="shared" si="87"/>
        <v/>
      </c>
      <c r="O697" s="73" t="str">
        <f t="shared" si="88"/>
        <v/>
      </c>
      <c r="P697" s="65" t="str">
        <f t="shared" ca="1" si="89"/>
        <v/>
      </c>
      <c r="Q697" s="2"/>
      <c r="R697" s="2"/>
      <c r="S697" s="1" t="str">
        <f t="shared" si="82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83"/>
        <v>0</v>
      </c>
      <c r="W697" s="1" t="str">
        <f t="shared" si="84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customHeight="1" x14ac:dyDescent="0.3">
      <c r="A698" s="2"/>
      <c r="B698" s="65" t="str">
        <f t="shared" si="85"/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 t="shared" si="86"/>
        <v/>
      </c>
      <c r="N698" s="74" t="str">
        <f t="shared" si="87"/>
        <v/>
      </c>
      <c r="O698" s="73" t="str">
        <f t="shared" si="88"/>
        <v/>
      </c>
      <c r="P698" s="65" t="str">
        <f t="shared" ca="1" si="89"/>
        <v/>
      </c>
      <c r="Q698" s="2"/>
      <c r="R698" s="2"/>
      <c r="S698" s="1" t="str">
        <f t="shared" si="82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83"/>
        <v>0</v>
      </c>
      <c r="W698" s="1" t="str">
        <f t="shared" si="84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customHeight="1" x14ac:dyDescent="0.3">
      <c r="A699" s="2"/>
      <c r="B699" s="65" t="str">
        <f t="shared" si="85"/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 t="shared" si="86"/>
        <v/>
      </c>
      <c r="N699" s="74" t="str">
        <f t="shared" si="87"/>
        <v/>
      </c>
      <c r="O699" s="73" t="str">
        <f t="shared" si="88"/>
        <v/>
      </c>
      <c r="P699" s="65" t="str">
        <f t="shared" ca="1" si="89"/>
        <v/>
      </c>
      <c r="Q699" s="2"/>
      <c r="R699" s="2"/>
      <c r="S699" s="1" t="str">
        <f t="shared" si="82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83"/>
        <v>0</v>
      </c>
      <c r="W699" s="1" t="str">
        <f t="shared" si="84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customHeight="1" x14ac:dyDescent="0.3">
      <c r="A700" s="2"/>
      <c r="B700" s="65" t="str">
        <f t="shared" si="85"/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 t="shared" si="86"/>
        <v/>
      </c>
      <c r="N700" s="74" t="str">
        <f t="shared" si="87"/>
        <v/>
      </c>
      <c r="O700" s="73" t="str">
        <f t="shared" si="88"/>
        <v/>
      </c>
      <c r="P700" s="65" t="str">
        <f t="shared" ca="1" si="89"/>
        <v/>
      </c>
      <c r="Q700" s="2"/>
      <c r="R700" s="2"/>
      <c r="S700" s="1" t="str">
        <f t="shared" si="82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83"/>
        <v>0</v>
      </c>
      <c r="W700" s="1" t="str">
        <f t="shared" si="84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customHeight="1" x14ac:dyDescent="0.3">
      <c r="A701" s="2"/>
      <c r="B701" s="65" t="str">
        <f t="shared" si="85"/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 t="shared" si="86"/>
        <v/>
      </c>
      <c r="N701" s="74" t="str">
        <f t="shared" si="87"/>
        <v/>
      </c>
      <c r="O701" s="73" t="str">
        <f t="shared" si="88"/>
        <v/>
      </c>
      <c r="P701" s="65" t="str">
        <f t="shared" ca="1" si="89"/>
        <v/>
      </c>
      <c r="Q701" s="2"/>
      <c r="R701" s="2"/>
      <c r="S701" s="1" t="str">
        <f t="shared" si="82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83"/>
        <v>0</v>
      </c>
      <c r="W701" s="1" t="str">
        <f t="shared" si="84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customHeight="1" x14ac:dyDescent="0.3">
      <c r="A702" s="2"/>
      <c r="B702" s="65" t="str">
        <f t="shared" si="85"/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 t="shared" si="86"/>
        <v/>
      </c>
      <c r="N702" s="74" t="str">
        <f t="shared" si="87"/>
        <v/>
      </c>
      <c r="O702" s="73" t="str">
        <f t="shared" si="88"/>
        <v/>
      </c>
      <c r="P702" s="65" t="str">
        <f t="shared" ca="1" si="89"/>
        <v/>
      </c>
      <c r="Q702" s="2"/>
      <c r="R702" s="2"/>
      <c r="S702" s="1" t="str">
        <f t="shared" si="82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83"/>
        <v>0</v>
      </c>
      <c r="W702" s="1" t="str">
        <f t="shared" si="84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customHeight="1" x14ac:dyDescent="0.3">
      <c r="A703" s="2"/>
      <c r="B703" s="65" t="str">
        <f t="shared" si="85"/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 t="shared" si="86"/>
        <v/>
      </c>
      <c r="N703" s="74" t="str">
        <f t="shared" si="87"/>
        <v/>
      </c>
      <c r="O703" s="73" t="str">
        <f t="shared" si="88"/>
        <v/>
      </c>
      <c r="P703" s="65" t="str">
        <f t="shared" ca="1" si="89"/>
        <v/>
      </c>
      <c r="Q703" s="2"/>
      <c r="R703" s="2"/>
      <c r="S703" s="1" t="str">
        <f t="shared" si="82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83"/>
        <v>0</v>
      </c>
      <c r="W703" s="1" t="str">
        <f t="shared" si="84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customHeight="1" x14ac:dyDescent="0.3">
      <c r="A704" s="2"/>
      <c r="B704" s="65" t="str">
        <f t="shared" si="85"/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 t="shared" si="86"/>
        <v/>
      </c>
      <c r="N704" s="74" t="str">
        <f t="shared" si="87"/>
        <v/>
      </c>
      <c r="O704" s="73" t="str">
        <f t="shared" si="88"/>
        <v/>
      </c>
      <c r="P704" s="65" t="str">
        <f t="shared" ca="1" si="89"/>
        <v/>
      </c>
      <c r="Q704" s="2"/>
      <c r="R704" s="2"/>
      <c r="S704" s="1" t="str">
        <f t="shared" si="82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83"/>
        <v>0</v>
      </c>
      <c r="W704" s="1" t="str">
        <f t="shared" si="84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customHeight="1" x14ac:dyDescent="0.3">
      <c r="A705" s="2"/>
      <c r="B705" s="65" t="str">
        <f t="shared" si="85"/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 t="shared" si="86"/>
        <v/>
      </c>
      <c r="N705" s="74" t="str">
        <f t="shared" si="87"/>
        <v/>
      </c>
      <c r="O705" s="73" t="str">
        <f t="shared" si="88"/>
        <v/>
      </c>
      <c r="P705" s="65" t="str">
        <f t="shared" ca="1" si="89"/>
        <v/>
      </c>
      <c r="Q705" s="2"/>
      <c r="R705" s="2"/>
      <c r="S705" s="1" t="str">
        <f t="shared" si="82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83"/>
        <v>0</v>
      </c>
      <c r="W705" s="1" t="str">
        <f t="shared" si="84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customHeight="1" x14ac:dyDescent="0.3">
      <c r="A706" s="2"/>
      <c r="B706" s="65" t="str">
        <f t="shared" si="85"/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 t="shared" si="86"/>
        <v/>
      </c>
      <c r="N706" s="74" t="str">
        <f t="shared" si="87"/>
        <v/>
      </c>
      <c r="O706" s="73" t="str">
        <f t="shared" si="88"/>
        <v/>
      </c>
      <c r="P706" s="65" t="str">
        <f t="shared" ca="1" si="89"/>
        <v/>
      </c>
      <c r="Q706" s="2"/>
      <c r="R706" s="2"/>
      <c r="S706" s="1" t="str">
        <f t="shared" si="82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83"/>
        <v>0</v>
      </c>
      <c r="W706" s="1" t="str">
        <f t="shared" si="84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customHeight="1" x14ac:dyDescent="0.3">
      <c r="A707" s="2"/>
      <c r="B707" s="65" t="str">
        <f t="shared" si="85"/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 t="shared" si="86"/>
        <v/>
      </c>
      <c r="N707" s="74" t="str">
        <f t="shared" si="87"/>
        <v/>
      </c>
      <c r="O707" s="73" t="str">
        <f t="shared" si="88"/>
        <v/>
      </c>
      <c r="P707" s="65" t="str">
        <f t="shared" ca="1" si="89"/>
        <v/>
      </c>
      <c r="Q707" s="2"/>
      <c r="R707" s="2"/>
      <c r="S707" s="1" t="str">
        <f t="shared" si="82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83"/>
        <v>0</v>
      </c>
      <c r="W707" s="1" t="str">
        <f t="shared" si="84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customHeight="1" x14ac:dyDescent="0.3">
      <c r="A708" s="2"/>
      <c r="B708" s="65" t="str">
        <f t="shared" si="85"/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 t="shared" si="86"/>
        <v/>
      </c>
      <c r="N708" s="74" t="str">
        <f t="shared" si="87"/>
        <v/>
      </c>
      <c r="O708" s="73" t="str">
        <f t="shared" si="88"/>
        <v/>
      </c>
      <c r="P708" s="65" t="str">
        <f t="shared" ca="1" si="89"/>
        <v/>
      </c>
      <c r="Q708" s="2"/>
      <c r="R708" s="2"/>
      <c r="S708" s="1" t="str">
        <f t="shared" si="82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83"/>
        <v>0</v>
      </c>
      <c r="W708" s="1" t="str">
        <f t="shared" si="84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customHeight="1" x14ac:dyDescent="0.3">
      <c r="A709" s="2"/>
      <c r="B709" s="65" t="str">
        <f t="shared" si="85"/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 t="shared" si="86"/>
        <v/>
      </c>
      <c r="N709" s="74" t="str">
        <f t="shared" si="87"/>
        <v/>
      </c>
      <c r="O709" s="73" t="str">
        <f t="shared" si="88"/>
        <v/>
      </c>
      <c r="P709" s="65" t="str">
        <f t="shared" ca="1" si="89"/>
        <v/>
      </c>
      <c r="Q709" s="2"/>
      <c r="R709" s="2"/>
      <c r="S709" s="1" t="str">
        <f t="shared" ref="S709:S772" si="90"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ref="V709:V772" si="91">IF($T709="",0,1)</f>
        <v>0</v>
      </c>
      <c r="W709" s="1" t="str">
        <f t="shared" ref="W709:W772" si="92">IF($C709="","",$D709&amp;"|"&amp;$E709&amp;"|"&amp;TEXT($C709,"0")&amp;"|"&amp;TEXT($G709,"0")&amp;"|"&amp;$F709&amp;"|"&amp;$J709)</f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customHeight="1" x14ac:dyDescent="0.3">
      <c r="A710" s="2"/>
      <c r="B710" s="65" t="str">
        <f t="shared" si="85"/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 t="shared" si="86"/>
        <v/>
      </c>
      <c r="N710" s="74" t="str">
        <f t="shared" si="87"/>
        <v/>
      </c>
      <c r="O710" s="73" t="str">
        <f t="shared" si="88"/>
        <v/>
      </c>
      <c r="P710" s="65" t="str">
        <f t="shared" ca="1" si="89"/>
        <v/>
      </c>
      <c r="Q710" s="2"/>
      <c r="R710" s="2"/>
      <c r="S710" s="1" t="str">
        <f t="shared" si="90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91"/>
        <v>0</v>
      </c>
      <c r="W710" s="1" t="str">
        <f t="shared" si="92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customHeight="1" x14ac:dyDescent="0.3">
      <c r="A711" s="2"/>
      <c r="B711" s="65" t="str">
        <f t="shared" ref="B711:B774" si="93"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 t="shared" ref="M711:M774" si="94">IF($C711="","",IF($D711="Gider",$E711,IF($L711&lt;&gt;"",$L711,$H711)))</f>
        <v/>
      </c>
      <c r="N711" s="74" t="str">
        <f t="shared" ref="N711:N774" si="95">IF($C711="","",IF($D711="Gider",$H711,$E711))</f>
        <v/>
      </c>
      <c r="O711" s="73" t="str">
        <f t="shared" ref="O711:O774" si="96">IF($C711="","",DATE(YEAR($C711),MONTH($C711),1))</f>
        <v/>
      </c>
      <c r="P711" s="65" t="str">
        <f t="shared" ref="P711:P774" ca="1" si="97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TARİH",IF(COUNTIF($W$7:$W$3001,$W711)&gt;1,"MÜKERRER?",IF($AD711&gt;0,"KAPALI DÖNEM",IF($I711="Hayır","ÖDENECEK","UYGUN")))),"EKSİK"))))</f>
        <v/>
      </c>
      <c r="Q711" s="2"/>
      <c r="R711" s="2"/>
      <c r="S711" s="1" t="str">
        <f t="shared" si="90"/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si="91"/>
        <v>0</v>
      </c>
      <c r="W711" s="1" t="str">
        <f t="shared" si="92"/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customHeight="1" x14ac:dyDescent="0.3">
      <c r="A712" s="2"/>
      <c r="B712" s="65" t="str">
        <f t="shared" si="93"/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 t="shared" si="94"/>
        <v/>
      </c>
      <c r="N712" s="74" t="str">
        <f t="shared" si="95"/>
        <v/>
      </c>
      <c r="O712" s="73" t="str">
        <f t="shared" si="96"/>
        <v/>
      </c>
      <c r="P712" s="65" t="str">
        <f t="shared" ca="1" si="97"/>
        <v/>
      </c>
      <c r="Q712" s="2"/>
      <c r="R712" s="2"/>
      <c r="S712" s="1" t="str">
        <f t="shared" si="90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91"/>
        <v>0</v>
      </c>
      <c r="W712" s="1" t="str">
        <f t="shared" si="92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customHeight="1" x14ac:dyDescent="0.3">
      <c r="A713" s="2"/>
      <c r="B713" s="65" t="str">
        <f t="shared" si="93"/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 t="shared" si="94"/>
        <v/>
      </c>
      <c r="N713" s="74" t="str">
        <f t="shared" si="95"/>
        <v/>
      </c>
      <c r="O713" s="73" t="str">
        <f t="shared" si="96"/>
        <v/>
      </c>
      <c r="P713" s="65" t="str">
        <f t="shared" ca="1" si="97"/>
        <v/>
      </c>
      <c r="Q713" s="2"/>
      <c r="R713" s="2"/>
      <c r="S713" s="1" t="str">
        <f t="shared" si="90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91"/>
        <v>0</v>
      </c>
      <c r="W713" s="1" t="str">
        <f t="shared" si="92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customHeight="1" x14ac:dyDescent="0.3">
      <c r="A714" s="2"/>
      <c r="B714" s="65" t="str">
        <f t="shared" si="93"/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 t="shared" si="94"/>
        <v/>
      </c>
      <c r="N714" s="74" t="str">
        <f t="shared" si="95"/>
        <v/>
      </c>
      <c r="O714" s="73" t="str">
        <f t="shared" si="96"/>
        <v/>
      </c>
      <c r="P714" s="65" t="str">
        <f t="shared" ca="1" si="97"/>
        <v/>
      </c>
      <c r="Q714" s="2"/>
      <c r="R714" s="2"/>
      <c r="S714" s="1" t="str">
        <f t="shared" si="90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91"/>
        <v>0</v>
      </c>
      <c r="W714" s="1" t="str">
        <f t="shared" si="92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customHeight="1" x14ac:dyDescent="0.3">
      <c r="A715" s="2"/>
      <c r="B715" s="65" t="str">
        <f t="shared" si="93"/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 t="shared" si="94"/>
        <v/>
      </c>
      <c r="N715" s="74" t="str">
        <f t="shared" si="95"/>
        <v/>
      </c>
      <c r="O715" s="73" t="str">
        <f t="shared" si="96"/>
        <v/>
      </c>
      <c r="P715" s="65" t="str">
        <f t="shared" ca="1" si="97"/>
        <v/>
      </c>
      <c r="Q715" s="2"/>
      <c r="R715" s="2"/>
      <c r="S715" s="1" t="str">
        <f t="shared" si="90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91"/>
        <v>0</v>
      </c>
      <c r="W715" s="1" t="str">
        <f t="shared" si="92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customHeight="1" x14ac:dyDescent="0.3">
      <c r="A716" s="2"/>
      <c r="B716" s="65" t="str">
        <f t="shared" si="93"/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 t="shared" si="94"/>
        <v/>
      </c>
      <c r="N716" s="74" t="str">
        <f t="shared" si="95"/>
        <v/>
      </c>
      <c r="O716" s="73" t="str">
        <f t="shared" si="96"/>
        <v/>
      </c>
      <c r="P716" s="65" t="str">
        <f t="shared" ca="1" si="97"/>
        <v/>
      </c>
      <c r="Q716" s="2"/>
      <c r="R716" s="2"/>
      <c r="S716" s="1" t="str">
        <f t="shared" si="90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91"/>
        <v>0</v>
      </c>
      <c r="W716" s="1" t="str">
        <f t="shared" si="92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customHeight="1" x14ac:dyDescent="0.3">
      <c r="A717" s="2"/>
      <c r="B717" s="65" t="str">
        <f t="shared" si="93"/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 t="shared" si="94"/>
        <v/>
      </c>
      <c r="N717" s="74" t="str">
        <f t="shared" si="95"/>
        <v/>
      </c>
      <c r="O717" s="73" t="str">
        <f t="shared" si="96"/>
        <v/>
      </c>
      <c r="P717" s="65" t="str">
        <f t="shared" ca="1" si="97"/>
        <v/>
      </c>
      <c r="Q717" s="2"/>
      <c r="R717" s="2"/>
      <c r="S717" s="1" t="str">
        <f t="shared" si="90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91"/>
        <v>0</v>
      </c>
      <c r="W717" s="1" t="str">
        <f t="shared" si="92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customHeight="1" x14ac:dyDescent="0.3">
      <c r="A718" s="2"/>
      <c r="B718" s="65" t="str">
        <f t="shared" si="93"/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 t="shared" si="94"/>
        <v/>
      </c>
      <c r="N718" s="74" t="str">
        <f t="shared" si="95"/>
        <v/>
      </c>
      <c r="O718" s="73" t="str">
        <f t="shared" si="96"/>
        <v/>
      </c>
      <c r="P718" s="65" t="str">
        <f t="shared" ca="1" si="97"/>
        <v/>
      </c>
      <c r="Q718" s="2"/>
      <c r="R718" s="2"/>
      <c r="S718" s="1" t="str">
        <f t="shared" si="90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91"/>
        <v>0</v>
      </c>
      <c r="W718" s="1" t="str">
        <f t="shared" si="92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customHeight="1" x14ac:dyDescent="0.3">
      <c r="A719" s="2"/>
      <c r="B719" s="65" t="str">
        <f t="shared" si="93"/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 t="shared" si="94"/>
        <v/>
      </c>
      <c r="N719" s="74" t="str">
        <f t="shared" si="95"/>
        <v/>
      </c>
      <c r="O719" s="73" t="str">
        <f t="shared" si="96"/>
        <v/>
      </c>
      <c r="P719" s="65" t="str">
        <f t="shared" ca="1" si="97"/>
        <v/>
      </c>
      <c r="Q719" s="2"/>
      <c r="R719" s="2"/>
      <c r="S719" s="1" t="str">
        <f t="shared" si="90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91"/>
        <v>0</v>
      </c>
      <c r="W719" s="1" t="str">
        <f t="shared" si="92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customHeight="1" x14ac:dyDescent="0.3">
      <c r="A720" s="2"/>
      <c r="B720" s="65" t="str">
        <f t="shared" si="93"/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 t="shared" si="94"/>
        <v/>
      </c>
      <c r="N720" s="74" t="str">
        <f t="shared" si="95"/>
        <v/>
      </c>
      <c r="O720" s="73" t="str">
        <f t="shared" si="96"/>
        <v/>
      </c>
      <c r="P720" s="65" t="str">
        <f t="shared" ca="1" si="97"/>
        <v/>
      </c>
      <c r="Q720" s="2"/>
      <c r="R720" s="2"/>
      <c r="S720" s="1" t="str">
        <f t="shared" si="90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91"/>
        <v>0</v>
      </c>
      <c r="W720" s="1" t="str">
        <f t="shared" si="92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customHeight="1" x14ac:dyDescent="0.3">
      <c r="A721" s="2"/>
      <c r="B721" s="65" t="str">
        <f t="shared" si="93"/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 t="shared" si="94"/>
        <v/>
      </c>
      <c r="N721" s="74" t="str">
        <f t="shared" si="95"/>
        <v/>
      </c>
      <c r="O721" s="73" t="str">
        <f t="shared" si="96"/>
        <v/>
      </c>
      <c r="P721" s="65" t="str">
        <f t="shared" ca="1" si="97"/>
        <v/>
      </c>
      <c r="Q721" s="2"/>
      <c r="R721" s="2"/>
      <c r="S721" s="1" t="str">
        <f t="shared" si="90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91"/>
        <v>0</v>
      </c>
      <c r="W721" s="1" t="str">
        <f t="shared" si="92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customHeight="1" x14ac:dyDescent="0.3">
      <c r="A722" s="2"/>
      <c r="B722" s="65" t="str">
        <f t="shared" si="93"/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 t="shared" si="94"/>
        <v/>
      </c>
      <c r="N722" s="74" t="str">
        <f t="shared" si="95"/>
        <v/>
      </c>
      <c r="O722" s="73" t="str">
        <f t="shared" si="96"/>
        <v/>
      </c>
      <c r="P722" s="65" t="str">
        <f t="shared" ca="1" si="97"/>
        <v/>
      </c>
      <c r="Q722" s="2"/>
      <c r="R722" s="2"/>
      <c r="S722" s="1" t="str">
        <f t="shared" si="90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91"/>
        <v>0</v>
      </c>
      <c r="W722" s="1" t="str">
        <f t="shared" si="92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customHeight="1" x14ac:dyDescent="0.3">
      <c r="A723" s="2"/>
      <c r="B723" s="65" t="str">
        <f t="shared" si="93"/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 t="shared" si="94"/>
        <v/>
      </c>
      <c r="N723" s="74" t="str">
        <f t="shared" si="95"/>
        <v/>
      </c>
      <c r="O723" s="73" t="str">
        <f t="shared" si="96"/>
        <v/>
      </c>
      <c r="P723" s="65" t="str">
        <f t="shared" ca="1" si="97"/>
        <v/>
      </c>
      <c r="Q723" s="2"/>
      <c r="R723" s="2"/>
      <c r="S723" s="1" t="str">
        <f t="shared" si="90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91"/>
        <v>0</v>
      </c>
      <c r="W723" s="1" t="str">
        <f t="shared" si="92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customHeight="1" x14ac:dyDescent="0.3">
      <c r="A724" s="2"/>
      <c r="B724" s="65" t="str">
        <f t="shared" si="93"/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 t="shared" si="94"/>
        <v/>
      </c>
      <c r="N724" s="74" t="str">
        <f t="shared" si="95"/>
        <v/>
      </c>
      <c r="O724" s="73" t="str">
        <f t="shared" si="96"/>
        <v/>
      </c>
      <c r="P724" s="65" t="str">
        <f t="shared" ca="1" si="97"/>
        <v/>
      </c>
      <c r="Q724" s="2"/>
      <c r="R724" s="2"/>
      <c r="S724" s="1" t="str">
        <f t="shared" si="90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91"/>
        <v>0</v>
      </c>
      <c r="W724" s="1" t="str">
        <f t="shared" si="92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customHeight="1" x14ac:dyDescent="0.3">
      <c r="A725" s="2"/>
      <c r="B725" s="65" t="str">
        <f t="shared" si="93"/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 t="shared" si="94"/>
        <v/>
      </c>
      <c r="N725" s="74" t="str">
        <f t="shared" si="95"/>
        <v/>
      </c>
      <c r="O725" s="73" t="str">
        <f t="shared" si="96"/>
        <v/>
      </c>
      <c r="P725" s="65" t="str">
        <f t="shared" ca="1" si="97"/>
        <v/>
      </c>
      <c r="Q725" s="2"/>
      <c r="R725" s="2"/>
      <c r="S725" s="1" t="str">
        <f t="shared" si="90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91"/>
        <v>0</v>
      </c>
      <c r="W725" s="1" t="str">
        <f t="shared" si="92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customHeight="1" x14ac:dyDescent="0.3">
      <c r="A726" s="2"/>
      <c r="B726" s="65" t="str">
        <f t="shared" si="93"/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 t="shared" si="94"/>
        <v/>
      </c>
      <c r="N726" s="74" t="str">
        <f t="shared" si="95"/>
        <v/>
      </c>
      <c r="O726" s="73" t="str">
        <f t="shared" si="96"/>
        <v/>
      </c>
      <c r="P726" s="65" t="str">
        <f t="shared" ca="1" si="97"/>
        <v/>
      </c>
      <c r="Q726" s="2"/>
      <c r="R726" s="2"/>
      <c r="S726" s="1" t="str">
        <f t="shared" si="90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91"/>
        <v>0</v>
      </c>
      <c r="W726" s="1" t="str">
        <f t="shared" si="92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customHeight="1" x14ac:dyDescent="0.3">
      <c r="A727" s="2"/>
      <c r="B727" s="65" t="str">
        <f t="shared" si="93"/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 t="shared" si="94"/>
        <v/>
      </c>
      <c r="N727" s="74" t="str">
        <f t="shared" si="95"/>
        <v/>
      </c>
      <c r="O727" s="73" t="str">
        <f t="shared" si="96"/>
        <v/>
      </c>
      <c r="P727" s="65" t="str">
        <f t="shared" ca="1" si="97"/>
        <v/>
      </c>
      <c r="Q727" s="2"/>
      <c r="R727" s="2"/>
      <c r="S727" s="1" t="str">
        <f t="shared" si="90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91"/>
        <v>0</v>
      </c>
      <c r="W727" s="1" t="str">
        <f t="shared" si="92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customHeight="1" x14ac:dyDescent="0.3">
      <c r="A728" s="2"/>
      <c r="B728" s="65" t="str">
        <f t="shared" si="93"/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 t="shared" si="94"/>
        <v/>
      </c>
      <c r="N728" s="74" t="str">
        <f t="shared" si="95"/>
        <v/>
      </c>
      <c r="O728" s="73" t="str">
        <f t="shared" si="96"/>
        <v/>
      </c>
      <c r="P728" s="65" t="str">
        <f t="shared" ca="1" si="97"/>
        <v/>
      </c>
      <c r="Q728" s="2"/>
      <c r="R728" s="2"/>
      <c r="S728" s="1" t="str">
        <f t="shared" si="90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91"/>
        <v>0</v>
      </c>
      <c r="W728" s="1" t="str">
        <f t="shared" si="92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customHeight="1" x14ac:dyDescent="0.3">
      <c r="A729" s="2"/>
      <c r="B729" s="65" t="str">
        <f t="shared" si="93"/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 t="shared" si="94"/>
        <v/>
      </c>
      <c r="N729" s="74" t="str">
        <f t="shared" si="95"/>
        <v/>
      </c>
      <c r="O729" s="73" t="str">
        <f t="shared" si="96"/>
        <v/>
      </c>
      <c r="P729" s="65" t="str">
        <f t="shared" ca="1" si="97"/>
        <v/>
      </c>
      <c r="Q729" s="2"/>
      <c r="R729" s="2"/>
      <c r="S729" s="1" t="str">
        <f t="shared" si="90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91"/>
        <v>0</v>
      </c>
      <c r="W729" s="1" t="str">
        <f t="shared" si="92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customHeight="1" x14ac:dyDescent="0.3">
      <c r="A730" s="2"/>
      <c r="B730" s="65" t="str">
        <f t="shared" si="93"/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 t="shared" si="94"/>
        <v/>
      </c>
      <c r="N730" s="74" t="str">
        <f t="shared" si="95"/>
        <v/>
      </c>
      <c r="O730" s="73" t="str">
        <f t="shared" si="96"/>
        <v/>
      </c>
      <c r="P730" s="65" t="str">
        <f t="shared" ca="1" si="97"/>
        <v/>
      </c>
      <c r="Q730" s="2"/>
      <c r="R730" s="2"/>
      <c r="S730" s="1" t="str">
        <f t="shared" si="90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91"/>
        <v>0</v>
      </c>
      <c r="W730" s="1" t="str">
        <f t="shared" si="92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customHeight="1" x14ac:dyDescent="0.3">
      <c r="A731" s="2"/>
      <c r="B731" s="65" t="str">
        <f t="shared" si="93"/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 t="shared" si="94"/>
        <v/>
      </c>
      <c r="N731" s="74" t="str">
        <f t="shared" si="95"/>
        <v/>
      </c>
      <c r="O731" s="73" t="str">
        <f t="shared" si="96"/>
        <v/>
      </c>
      <c r="P731" s="65" t="str">
        <f t="shared" ca="1" si="97"/>
        <v/>
      </c>
      <c r="Q731" s="2"/>
      <c r="R731" s="2"/>
      <c r="S731" s="1" t="str">
        <f t="shared" si="90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91"/>
        <v>0</v>
      </c>
      <c r="W731" s="1" t="str">
        <f t="shared" si="92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customHeight="1" x14ac:dyDescent="0.3">
      <c r="A732" s="2"/>
      <c r="B732" s="65" t="str">
        <f t="shared" si="93"/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 t="shared" si="94"/>
        <v/>
      </c>
      <c r="N732" s="74" t="str">
        <f t="shared" si="95"/>
        <v/>
      </c>
      <c r="O732" s="73" t="str">
        <f t="shared" si="96"/>
        <v/>
      </c>
      <c r="P732" s="65" t="str">
        <f t="shared" ca="1" si="97"/>
        <v/>
      </c>
      <c r="Q732" s="2"/>
      <c r="R732" s="2"/>
      <c r="S732" s="1" t="str">
        <f t="shared" si="90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91"/>
        <v>0</v>
      </c>
      <c r="W732" s="1" t="str">
        <f t="shared" si="92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customHeight="1" x14ac:dyDescent="0.3">
      <c r="A733" s="2"/>
      <c r="B733" s="65" t="str">
        <f t="shared" si="93"/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 t="shared" si="94"/>
        <v/>
      </c>
      <c r="N733" s="74" t="str">
        <f t="shared" si="95"/>
        <v/>
      </c>
      <c r="O733" s="73" t="str">
        <f t="shared" si="96"/>
        <v/>
      </c>
      <c r="P733" s="65" t="str">
        <f t="shared" ca="1" si="97"/>
        <v/>
      </c>
      <c r="Q733" s="2"/>
      <c r="R733" s="2"/>
      <c r="S733" s="1" t="str">
        <f t="shared" si="90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91"/>
        <v>0</v>
      </c>
      <c r="W733" s="1" t="str">
        <f t="shared" si="92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customHeight="1" x14ac:dyDescent="0.3">
      <c r="A734" s="2"/>
      <c r="B734" s="65" t="str">
        <f t="shared" si="93"/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 t="shared" si="94"/>
        <v/>
      </c>
      <c r="N734" s="74" t="str">
        <f t="shared" si="95"/>
        <v/>
      </c>
      <c r="O734" s="73" t="str">
        <f t="shared" si="96"/>
        <v/>
      </c>
      <c r="P734" s="65" t="str">
        <f t="shared" ca="1" si="97"/>
        <v/>
      </c>
      <c r="Q734" s="2"/>
      <c r="R734" s="2"/>
      <c r="S734" s="1" t="str">
        <f t="shared" si="90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91"/>
        <v>0</v>
      </c>
      <c r="W734" s="1" t="str">
        <f t="shared" si="92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customHeight="1" x14ac:dyDescent="0.3">
      <c r="A735" s="2"/>
      <c r="B735" s="65" t="str">
        <f t="shared" si="93"/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 t="shared" si="94"/>
        <v/>
      </c>
      <c r="N735" s="74" t="str">
        <f t="shared" si="95"/>
        <v/>
      </c>
      <c r="O735" s="73" t="str">
        <f t="shared" si="96"/>
        <v/>
      </c>
      <c r="P735" s="65" t="str">
        <f t="shared" ca="1" si="97"/>
        <v/>
      </c>
      <c r="Q735" s="2"/>
      <c r="R735" s="2"/>
      <c r="S735" s="1" t="str">
        <f t="shared" si="90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91"/>
        <v>0</v>
      </c>
      <c r="W735" s="1" t="str">
        <f t="shared" si="92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customHeight="1" x14ac:dyDescent="0.3">
      <c r="A736" s="2"/>
      <c r="B736" s="65" t="str">
        <f t="shared" si="93"/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 t="shared" si="94"/>
        <v/>
      </c>
      <c r="N736" s="74" t="str">
        <f t="shared" si="95"/>
        <v/>
      </c>
      <c r="O736" s="73" t="str">
        <f t="shared" si="96"/>
        <v/>
      </c>
      <c r="P736" s="65" t="str">
        <f t="shared" ca="1" si="97"/>
        <v/>
      </c>
      <c r="Q736" s="2"/>
      <c r="R736" s="2"/>
      <c r="S736" s="1" t="str">
        <f t="shared" si="90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91"/>
        <v>0</v>
      </c>
      <c r="W736" s="1" t="str">
        <f t="shared" si="92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customHeight="1" x14ac:dyDescent="0.3">
      <c r="A737" s="2"/>
      <c r="B737" s="65" t="str">
        <f t="shared" si="93"/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 t="shared" si="94"/>
        <v/>
      </c>
      <c r="N737" s="74" t="str">
        <f t="shared" si="95"/>
        <v/>
      </c>
      <c r="O737" s="73" t="str">
        <f t="shared" si="96"/>
        <v/>
      </c>
      <c r="P737" s="65" t="str">
        <f t="shared" ca="1" si="97"/>
        <v/>
      </c>
      <c r="Q737" s="2"/>
      <c r="R737" s="2"/>
      <c r="S737" s="1" t="str">
        <f t="shared" si="90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91"/>
        <v>0</v>
      </c>
      <c r="W737" s="1" t="str">
        <f t="shared" si="92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customHeight="1" x14ac:dyDescent="0.3">
      <c r="A738" s="2"/>
      <c r="B738" s="65" t="str">
        <f t="shared" si="93"/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 t="shared" si="94"/>
        <v/>
      </c>
      <c r="N738" s="74" t="str">
        <f t="shared" si="95"/>
        <v/>
      </c>
      <c r="O738" s="73" t="str">
        <f t="shared" si="96"/>
        <v/>
      </c>
      <c r="P738" s="65" t="str">
        <f t="shared" ca="1" si="97"/>
        <v/>
      </c>
      <c r="Q738" s="2"/>
      <c r="R738" s="2"/>
      <c r="S738" s="1" t="str">
        <f t="shared" si="90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91"/>
        <v>0</v>
      </c>
      <c r="W738" s="1" t="str">
        <f t="shared" si="92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customHeight="1" x14ac:dyDescent="0.3">
      <c r="A739" s="2"/>
      <c r="B739" s="65" t="str">
        <f t="shared" si="93"/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 t="shared" si="94"/>
        <v/>
      </c>
      <c r="N739" s="74" t="str">
        <f t="shared" si="95"/>
        <v/>
      </c>
      <c r="O739" s="73" t="str">
        <f t="shared" si="96"/>
        <v/>
      </c>
      <c r="P739" s="65" t="str">
        <f t="shared" ca="1" si="97"/>
        <v/>
      </c>
      <c r="Q739" s="2"/>
      <c r="R739" s="2"/>
      <c r="S739" s="1" t="str">
        <f t="shared" si="90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91"/>
        <v>0</v>
      </c>
      <c r="W739" s="1" t="str">
        <f t="shared" si="92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customHeight="1" x14ac:dyDescent="0.3">
      <c r="A740" s="2"/>
      <c r="B740" s="65" t="str">
        <f t="shared" si="93"/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 t="shared" si="94"/>
        <v/>
      </c>
      <c r="N740" s="74" t="str">
        <f t="shared" si="95"/>
        <v/>
      </c>
      <c r="O740" s="73" t="str">
        <f t="shared" si="96"/>
        <v/>
      </c>
      <c r="P740" s="65" t="str">
        <f t="shared" ca="1" si="97"/>
        <v/>
      </c>
      <c r="Q740" s="2"/>
      <c r="R740" s="2"/>
      <c r="S740" s="1" t="str">
        <f t="shared" si="90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91"/>
        <v>0</v>
      </c>
      <c r="W740" s="1" t="str">
        <f t="shared" si="92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customHeight="1" x14ac:dyDescent="0.3">
      <c r="A741" s="2"/>
      <c r="B741" s="65" t="str">
        <f t="shared" si="93"/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 t="shared" si="94"/>
        <v/>
      </c>
      <c r="N741" s="74" t="str">
        <f t="shared" si="95"/>
        <v/>
      </c>
      <c r="O741" s="73" t="str">
        <f t="shared" si="96"/>
        <v/>
      </c>
      <c r="P741" s="65" t="str">
        <f t="shared" ca="1" si="97"/>
        <v/>
      </c>
      <c r="Q741" s="2"/>
      <c r="R741" s="2"/>
      <c r="S741" s="1" t="str">
        <f t="shared" si="90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91"/>
        <v>0</v>
      </c>
      <c r="W741" s="1" t="str">
        <f t="shared" si="92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customHeight="1" x14ac:dyDescent="0.3">
      <c r="A742" s="2"/>
      <c r="B742" s="65" t="str">
        <f t="shared" si="93"/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 t="shared" si="94"/>
        <v/>
      </c>
      <c r="N742" s="74" t="str">
        <f t="shared" si="95"/>
        <v/>
      </c>
      <c r="O742" s="73" t="str">
        <f t="shared" si="96"/>
        <v/>
      </c>
      <c r="P742" s="65" t="str">
        <f t="shared" ca="1" si="97"/>
        <v/>
      </c>
      <c r="Q742" s="2"/>
      <c r="R742" s="2"/>
      <c r="S742" s="1" t="str">
        <f t="shared" si="90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91"/>
        <v>0</v>
      </c>
      <c r="W742" s="1" t="str">
        <f t="shared" si="92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customHeight="1" x14ac:dyDescent="0.3">
      <c r="A743" s="2"/>
      <c r="B743" s="65" t="str">
        <f t="shared" si="93"/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 t="shared" si="94"/>
        <v/>
      </c>
      <c r="N743" s="74" t="str">
        <f t="shared" si="95"/>
        <v/>
      </c>
      <c r="O743" s="73" t="str">
        <f t="shared" si="96"/>
        <v/>
      </c>
      <c r="P743" s="65" t="str">
        <f t="shared" ca="1" si="97"/>
        <v/>
      </c>
      <c r="Q743" s="2"/>
      <c r="R743" s="2"/>
      <c r="S743" s="1" t="str">
        <f t="shared" si="90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91"/>
        <v>0</v>
      </c>
      <c r="W743" s="1" t="str">
        <f t="shared" si="92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customHeight="1" x14ac:dyDescent="0.3">
      <c r="A744" s="2"/>
      <c r="B744" s="65" t="str">
        <f t="shared" si="93"/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 t="shared" si="94"/>
        <v/>
      </c>
      <c r="N744" s="74" t="str">
        <f t="shared" si="95"/>
        <v/>
      </c>
      <c r="O744" s="73" t="str">
        <f t="shared" si="96"/>
        <v/>
      </c>
      <c r="P744" s="65" t="str">
        <f t="shared" ca="1" si="97"/>
        <v/>
      </c>
      <c r="Q744" s="2"/>
      <c r="R744" s="2"/>
      <c r="S744" s="1" t="str">
        <f t="shared" si="90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91"/>
        <v>0</v>
      </c>
      <c r="W744" s="1" t="str">
        <f t="shared" si="92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customHeight="1" x14ac:dyDescent="0.3">
      <c r="A745" s="2"/>
      <c r="B745" s="65" t="str">
        <f t="shared" si="93"/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 t="shared" si="94"/>
        <v/>
      </c>
      <c r="N745" s="74" t="str">
        <f t="shared" si="95"/>
        <v/>
      </c>
      <c r="O745" s="73" t="str">
        <f t="shared" si="96"/>
        <v/>
      </c>
      <c r="P745" s="65" t="str">
        <f t="shared" ca="1" si="97"/>
        <v/>
      </c>
      <c r="Q745" s="2"/>
      <c r="R745" s="2"/>
      <c r="S745" s="1" t="str">
        <f t="shared" si="90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91"/>
        <v>0</v>
      </c>
      <c r="W745" s="1" t="str">
        <f t="shared" si="92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customHeight="1" x14ac:dyDescent="0.3">
      <c r="A746" s="2"/>
      <c r="B746" s="65" t="str">
        <f t="shared" si="93"/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 t="shared" si="94"/>
        <v/>
      </c>
      <c r="N746" s="74" t="str">
        <f t="shared" si="95"/>
        <v/>
      </c>
      <c r="O746" s="73" t="str">
        <f t="shared" si="96"/>
        <v/>
      </c>
      <c r="P746" s="65" t="str">
        <f t="shared" ca="1" si="97"/>
        <v/>
      </c>
      <c r="Q746" s="2"/>
      <c r="R746" s="2"/>
      <c r="S746" s="1" t="str">
        <f t="shared" si="90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91"/>
        <v>0</v>
      </c>
      <c r="W746" s="1" t="str">
        <f t="shared" si="92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customHeight="1" x14ac:dyDescent="0.3">
      <c r="A747" s="2"/>
      <c r="B747" s="65" t="str">
        <f t="shared" si="93"/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 t="shared" si="94"/>
        <v/>
      </c>
      <c r="N747" s="74" t="str">
        <f t="shared" si="95"/>
        <v/>
      </c>
      <c r="O747" s="73" t="str">
        <f t="shared" si="96"/>
        <v/>
      </c>
      <c r="P747" s="65" t="str">
        <f t="shared" ca="1" si="97"/>
        <v/>
      </c>
      <c r="Q747" s="2"/>
      <c r="R747" s="2"/>
      <c r="S747" s="1" t="str">
        <f t="shared" si="90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91"/>
        <v>0</v>
      </c>
      <c r="W747" s="1" t="str">
        <f t="shared" si="92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customHeight="1" x14ac:dyDescent="0.3">
      <c r="A748" s="2"/>
      <c r="B748" s="65" t="str">
        <f t="shared" si="93"/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 t="shared" si="94"/>
        <v/>
      </c>
      <c r="N748" s="74" t="str">
        <f t="shared" si="95"/>
        <v/>
      </c>
      <c r="O748" s="73" t="str">
        <f t="shared" si="96"/>
        <v/>
      </c>
      <c r="P748" s="65" t="str">
        <f t="shared" ca="1" si="97"/>
        <v/>
      </c>
      <c r="Q748" s="2"/>
      <c r="R748" s="2"/>
      <c r="S748" s="1" t="str">
        <f t="shared" si="90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91"/>
        <v>0</v>
      </c>
      <c r="W748" s="1" t="str">
        <f t="shared" si="92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customHeight="1" x14ac:dyDescent="0.3">
      <c r="A749" s="2"/>
      <c r="B749" s="65" t="str">
        <f t="shared" si="93"/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 t="shared" si="94"/>
        <v/>
      </c>
      <c r="N749" s="74" t="str">
        <f t="shared" si="95"/>
        <v/>
      </c>
      <c r="O749" s="73" t="str">
        <f t="shared" si="96"/>
        <v/>
      </c>
      <c r="P749" s="65" t="str">
        <f t="shared" ca="1" si="97"/>
        <v/>
      </c>
      <c r="Q749" s="2"/>
      <c r="R749" s="2"/>
      <c r="S749" s="1" t="str">
        <f t="shared" si="90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91"/>
        <v>0</v>
      </c>
      <c r="W749" s="1" t="str">
        <f t="shared" si="92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customHeight="1" x14ac:dyDescent="0.3">
      <c r="A750" s="2"/>
      <c r="B750" s="65" t="str">
        <f t="shared" si="93"/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 t="shared" si="94"/>
        <v/>
      </c>
      <c r="N750" s="74" t="str">
        <f t="shared" si="95"/>
        <v/>
      </c>
      <c r="O750" s="73" t="str">
        <f t="shared" si="96"/>
        <v/>
      </c>
      <c r="P750" s="65" t="str">
        <f t="shared" ca="1" si="97"/>
        <v/>
      </c>
      <c r="Q750" s="2"/>
      <c r="R750" s="2"/>
      <c r="S750" s="1" t="str">
        <f t="shared" si="90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91"/>
        <v>0</v>
      </c>
      <c r="W750" s="1" t="str">
        <f t="shared" si="92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customHeight="1" x14ac:dyDescent="0.3">
      <c r="A751" s="2"/>
      <c r="B751" s="65" t="str">
        <f t="shared" si="93"/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 t="shared" si="94"/>
        <v/>
      </c>
      <c r="N751" s="74" t="str">
        <f t="shared" si="95"/>
        <v/>
      </c>
      <c r="O751" s="73" t="str">
        <f t="shared" si="96"/>
        <v/>
      </c>
      <c r="P751" s="65" t="str">
        <f t="shared" ca="1" si="97"/>
        <v/>
      </c>
      <c r="Q751" s="2"/>
      <c r="R751" s="2"/>
      <c r="S751" s="1" t="str">
        <f t="shared" si="90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91"/>
        <v>0</v>
      </c>
      <c r="W751" s="1" t="str">
        <f t="shared" si="92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customHeight="1" x14ac:dyDescent="0.3">
      <c r="A752" s="2"/>
      <c r="B752" s="65" t="str">
        <f t="shared" si="93"/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 t="shared" si="94"/>
        <v/>
      </c>
      <c r="N752" s="74" t="str">
        <f t="shared" si="95"/>
        <v/>
      </c>
      <c r="O752" s="73" t="str">
        <f t="shared" si="96"/>
        <v/>
      </c>
      <c r="P752" s="65" t="str">
        <f t="shared" ca="1" si="97"/>
        <v/>
      </c>
      <c r="Q752" s="2"/>
      <c r="R752" s="2"/>
      <c r="S752" s="1" t="str">
        <f t="shared" si="90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91"/>
        <v>0</v>
      </c>
      <c r="W752" s="1" t="str">
        <f t="shared" si="92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customHeight="1" x14ac:dyDescent="0.3">
      <c r="A753" s="2"/>
      <c r="B753" s="65" t="str">
        <f t="shared" si="93"/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 t="shared" si="94"/>
        <v/>
      </c>
      <c r="N753" s="74" t="str">
        <f t="shared" si="95"/>
        <v/>
      </c>
      <c r="O753" s="73" t="str">
        <f t="shared" si="96"/>
        <v/>
      </c>
      <c r="P753" s="65" t="str">
        <f t="shared" ca="1" si="97"/>
        <v/>
      </c>
      <c r="Q753" s="2"/>
      <c r="R753" s="2"/>
      <c r="S753" s="1" t="str">
        <f t="shared" si="90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91"/>
        <v>0</v>
      </c>
      <c r="W753" s="1" t="str">
        <f t="shared" si="92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customHeight="1" x14ac:dyDescent="0.3">
      <c r="A754" s="2"/>
      <c r="B754" s="65" t="str">
        <f t="shared" si="93"/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 t="shared" si="94"/>
        <v/>
      </c>
      <c r="N754" s="74" t="str">
        <f t="shared" si="95"/>
        <v/>
      </c>
      <c r="O754" s="73" t="str">
        <f t="shared" si="96"/>
        <v/>
      </c>
      <c r="P754" s="65" t="str">
        <f t="shared" ca="1" si="97"/>
        <v/>
      </c>
      <c r="Q754" s="2"/>
      <c r="R754" s="2"/>
      <c r="S754" s="1" t="str">
        <f t="shared" si="90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91"/>
        <v>0</v>
      </c>
      <c r="W754" s="1" t="str">
        <f t="shared" si="92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customHeight="1" x14ac:dyDescent="0.3">
      <c r="A755" s="2"/>
      <c r="B755" s="65" t="str">
        <f t="shared" si="93"/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 t="shared" si="94"/>
        <v/>
      </c>
      <c r="N755" s="74" t="str">
        <f t="shared" si="95"/>
        <v/>
      </c>
      <c r="O755" s="73" t="str">
        <f t="shared" si="96"/>
        <v/>
      </c>
      <c r="P755" s="65" t="str">
        <f t="shared" ca="1" si="97"/>
        <v/>
      </c>
      <c r="Q755" s="2"/>
      <c r="R755" s="2"/>
      <c r="S755" s="1" t="str">
        <f t="shared" si="90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91"/>
        <v>0</v>
      </c>
      <c r="W755" s="1" t="str">
        <f t="shared" si="92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customHeight="1" x14ac:dyDescent="0.3">
      <c r="A756" s="2"/>
      <c r="B756" s="65" t="str">
        <f t="shared" si="93"/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 t="shared" si="94"/>
        <v/>
      </c>
      <c r="N756" s="74" t="str">
        <f t="shared" si="95"/>
        <v/>
      </c>
      <c r="O756" s="73" t="str">
        <f t="shared" si="96"/>
        <v/>
      </c>
      <c r="P756" s="65" t="str">
        <f t="shared" ca="1" si="97"/>
        <v/>
      </c>
      <c r="Q756" s="2"/>
      <c r="R756" s="2"/>
      <c r="S756" s="1" t="str">
        <f t="shared" si="90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91"/>
        <v>0</v>
      </c>
      <c r="W756" s="1" t="str">
        <f t="shared" si="92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customHeight="1" x14ac:dyDescent="0.3">
      <c r="A757" s="2"/>
      <c r="B757" s="65" t="str">
        <f t="shared" si="93"/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 t="shared" si="94"/>
        <v/>
      </c>
      <c r="N757" s="74" t="str">
        <f t="shared" si="95"/>
        <v/>
      </c>
      <c r="O757" s="73" t="str">
        <f t="shared" si="96"/>
        <v/>
      </c>
      <c r="P757" s="65" t="str">
        <f t="shared" ca="1" si="97"/>
        <v/>
      </c>
      <c r="Q757" s="2"/>
      <c r="R757" s="2"/>
      <c r="S757" s="1" t="str">
        <f t="shared" si="90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91"/>
        <v>0</v>
      </c>
      <c r="W757" s="1" t="str">
        <f t="shared" si="92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customHeight="1" x14ac:dyDescent="0.3">
      <c r="A758" s="2"/>
      <c r="B758" s="65" t="str">
        <f t="shared" si="93"/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 t="shared" si="94"/>
        <v/>
      </c>
      <c r="N758" s="74" t="str">
        <f t="shared" si="95"/>
        <v/>
      </c>
      <c r="O758" s="73" t="str">
        <f t="shared" si="96"/>
        <v/>
      </c>
      <c r="P758" s="65" t="str">
        <f t="shared" ca="1" si="97"/>
        <v/>
      </c>
      <c r="Q758" s="2"/>
      <c r="R758" s="2"/>
      <c r="S758" s="1" t="str">
        <f t="shared" si="90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91"/>
        <v>0</v>
      </c>
      <c r="W758" s="1" t="str">
        <f t="shared" si="92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customHeight="1" x14ac:dyDescent="0.3">
      <c r="A759" s="2"/>
      <c r="B759" s="65" t="str">
        <f t="shared" si="93"/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 t="shared" si="94"/>
        <v/>
      </c>
      <c r="N759" s="74" t="str">
        <f t="shared" si="95"/>
        <v/>
      </c>
      <c r="O759" s="73" t="str">
        <f t="shared" si="96"/>
        <v/>
      </c>
      <c r="P759" s="65" t="str">
        <f t="shared" ca="1" si="97"/>
        <v/>
      </c>
      <c r="Q759" s="2"/>
      <c r="R759" s="2"/>
      <c r="S759" s="1" t="str">
        <f t="shared" si="90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91"/>
        <v>0</v>
      </c>
      <c r="W759" s="1" t="str">
        <f t="shared" si="92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customHeight="1" x14ac:dyDescent="0.3">
      <c r="A760" s="2"/>
      <c r="B760" s="65" t="str">
        <f t="shared" si="93"/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 t="shared" si="94"/>
        <v/>
      </c>
      <c r="N760" s="74" t="str">
        <f t="shared" si="95"/>
        <v/>
      </c>
      <c r="O760" s="73" t="str">
        <f t="shared" si="96"/>
        <v/>
      </c>
      <c r="P760" s="65" t="str">
        <f t="shared" ca="1" si="97"/>
        <v/>
      </c>
      <c r="Q760" s="2"/>
      <c r="R760" s="2"/>
      <c r="S760" s="1" t="str">
        <f t="shared" si="90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91"/>
        <v>0</v>
      </c>
      <c r="W760" s="1" t="str">
        <f t="shared" si="92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customHeight="1" x14ac:dyDescent="0.3">
      <c r="A761" s="2"/>
      <c r="B761" s="65" t="str">
        <f t="shared" si="93"/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 t="shared" si="94"/>
        <v/>
      </c>
      <c r="N761" s="74" t="str">
        <f t="shared" si="95"/>
        <v/>
      </c>
      <c r="O761" s="73" t="str">
        <f t="shared" si="96"/>
        <v/>
      </c>
      <c r="P761" s="65" t="str">
        <f t="shared" ca="1" si="97"/>
        <v/>
      </c>
      <c r="Q761" s="2"/>
      <c r="R761" s="2"/>
      <c r="S761" s="1" t="str">
        <f t="shared" si="90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91"/>
        <v>0</v>
      </c>
      <c r="W761" s="1" t="str">
        <f t="shared" si="92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customHeight="1" x14ac:dyDescent="0.3">
      <c r="A762" s="2"/>
      <c r="B762" s="65" t="str">
        <f t="shared" si="93"/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 t="shared" si="94"/>
        <v/>
      </c>
      <c r="N762" s="74" t="str">
        <f t="shared" si="95"/>
        <v/>
      </c>
      <c r="O762" s="73" t="str">
        <f t="shared" si="96"/>
        <v/>
      </c>
      <c r="P762" s="65" t="str">
        <f t="shared" ca="1" si="97"/>
        <v/>
      </c>
      <c r="Q762" s="2"/>
      <c r="R762" s="2"/>
      <c r="S762" s="1" t="str">
        <f t="shared" si="90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91"/>
        <v>0</v>
      </c>
      <c r="W762" s="1" t="str">
        <f t="shared" si="92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customHeight="1" x14ac:dyDescent="0.3">
      <c r="A763" s="2"/>
      <c r="B763" s="65" t="str">
        <f t="shared" si="93"/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 t="shared" si="94"/>
        <v/>
      </c>
      <c r="N763" s="74" t="str">
        <f t="shared" si="95"/>
        <v/>
      </c>
      <c r="O763" s="73" t="str">
        <f t="shared" si="96"/>
        <v/>
      </c>
      <c r="P763" s="65" t="str">
        <f t="shared" ca="1" si="97"/>
        <v/>
      </c>
      <c r="Q763" s="2"/>
      <c r="R763" s="2"/>
      <c r="S763" s="1" t="str">
        <f t="shared" si="90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91"/>
        <v>0</v>
      </c>
      <c r="W763" s="1" t="str">
        <f t="shared" si="92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customHeight="1" x14ac:dyDescent="0.3">
      <c r="A764" s="2"/>
      <c r="B764" s="65" t="str">
        <f t="shared" si="93"/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 t="shared" si="94"/>
        <v/>
      </c>
      <c r="N764" s="74" t="str">
        <f t="shared" si="95"/>
        <v/>
      </c>
      <c r="O764" s="73" t="str">
        <f t="shared" si="96"/>
        <v/>
      </c>
      <c r="P764" s="65" t="str">
        <f t="shared" ca="1" si="97"/>
        <v/>
      </c>
      <c r="Q764" s="2"/>
      <c r="R764" s="2"/>
      <c r="S764" s="1" t="str">
        <f t="shared" si="90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91"/>
        <v>0</v>
      </c>
      <c r="W764" s="1" t="str">
        <f t="shared" si="92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customHeight="1" x14ac:dyDescent="0.3">
      <c r="A765" s="2"/>
      <c r="B765" s="65" t="str">
        <f t="shared" si="93"/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 t="shared" si="94"/>
        <v/>
      </c>
      <c r="N765" s="74" t="str">
        <f t="shared" si="95"/>
        <v/>
      </c>
      <c r="O765" s="73" t="str">
        <f t="shared" si="96"/>
        <v/>
      </c>
      <c r="P765" s="65" t="str">
        <f t="shared" ca="1" si="97"/>
        <v/>
      </c>
      <c r="Q765" s="2"/>
      <c r="R765" s="2"/>
      <c r="S765" s="1" t="str">
        <f t="shared" si="90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91"/>
        <v>0</v>
      </c>
      <c r="W765" s="1" t="str">
        <f t="shared" si="92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customHeight="1" x14ac:dyDescent="0.3">
      <c r="A766" s="2"/>
      <c r="B766" s="65" t="str">
        <f t="shared" si="93"/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 t="shared" si="94"/>
        <v/>
      </c>
      <c r="N766" s="74" t="str">
        <f t="shared" si="95"/>
        <v/>
      </c>
      <c r="O766" s="73" t="str">
        <f t="shared" si="96"/>
        <v/>
      </c>
      <c r="P766" s="65" t="str">
        <f t="shared" ca="1" si="97"/>
        <v/>
      </c>
      <c r="Q766" s="2"/>
      <c r="R766" s="2"/>
      <c r="S766" s="1" t="str">
        <f t="shared" si="90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91"/>
        <v>0</v>
      </c>
      <c r="W766" s="1" t="str">
        <f t="shared" si="92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customHeight="1" x14ac:dyDescent="0.3">
      <c r="A767" s="2"/>
      <c r="B767" s="65" t="str">
        <f t="shared" si="93"/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 t="shared" si="94"/>
        <v/>
      </c>
      <c r="N767" s="74" t="str">
        <f t="shared" si="95"/>
        <v/>
      </c>
      <c r="O767" s="73" t="str">
        <f t="shared" si="96"/>
        <v/>
      </c>
      <c r="P767" s="65" t="str">
        <f t="shared" ca="1" si="97"/>
        <v/>
      </c>
      <c r="Q767" s="2"/>
      <c r="R767" s="2"/>
      <c r="S767" s="1" t="str">
        <f t="shared" si="90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91"/>
        <v>0</v>
      </c>
      <c r="W767" s="1" t="str">
        <f t="shared" si="92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customHeight="1" x14ac:dyDescent="0.3">
      <c r="A768" s="2"/>
      <c r="B768" s="65" t="str">
        <f t="shared" si="93"/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 t="shared" si="94"/>
        <v/>
      </c>
      <c r="N768" s="74" t="str">
        <f t="shared" si="95"/>
        <v/>
      </c>
      <c r="O768" s="73" t="str">
        <f t="shared" si="96"/>
        <v/>
      </c>
      <c r="P768" s="65" t="str">
        <f t="shared" ca="1" si="97"/>
        <v/>
      </c>
      <c r="Q768" s="2"/>
      <c r="R768" s="2"/>
      <c r="S768" s="1" t="str">
        <f t="shared" si="90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91"/>
        <v>0</v>
      </c>
      <c r="W768" s="1" t="str">
        <f t="shared" si="92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customHeight="1" x14ac:dyDescent="0.3">
      <c r="A769" s="2"/>
      <c r="B769" s="65" t="str">
        <f t="shared" si="93"/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 t="shared" si="94"/>
        <v/>
      </c>
      <c r="N769" s="74" t="str">
        <f t="shared" si="95"/>
        <v/>
      </c>
      <c r="O769" s="73" t="str">
        <f t="shared" si="96"/>
        <v/>
      </c>
      <c r="P769" s="65" t="str">
        <f t="shared" ca="1" si="97"/>
        <v/>
      </c>
      <c r="Q769" s="2"/>
      <c r="R769" s="2"/>
      <c r="S769" s="1" t="str">
        <f t="shared" si="90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91"/>
        <v>0</v>
      </c>
      <c r="W769" s="1" t="str">
        <f t="shared" si="92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customHeight="1" x14ac:dyDescent="0.3">
      <c r="A770" s="2"/>
      <c r="B770" s="65" t="str">
        <f t="shared" si="93"/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 t="shared" si="94"/>
        <v/>
      </c>
      <c r="N770" s="74" t="str">
        <f t="shared" si="95"/>
        <v/>
      </c>
      <c r="O770" s="73" t="str">
        <f t="shared" si="96"/>
        <v/>
      </c>
      <c r="P770" s="65" t="str">
        <f t="shared" ca="1" si="97"/>
        <v/>
      </c>
      <c r="Q770" s="2"/>
      <c r="R770" s="2"/>
      <c r="S770" s="1" t="str">
        <f t="shared" si="90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91"/>
        <v>0</v>
      </c>
      <c r="W770" s="1" t="str">
        <f t="shared" si="92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customHeight="1" x14ac:dyDescent="0.3">
      <c r="A771" s="2"/>
      <c r="B771" s="65" t="str">
        <f t="shared" si="93"/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 t="shared" si="94"/>
        <v/>
      </c>
      <c r="N771" s="74" t="str">
        <f t="shared" si="95"/>
        <v/>
      </c>
      <c r="O771" s="73" t="str">
        <f t="shared" si="96"/>
        <v/>
      </c>
      <c r="P771" s="65" t="str">
        <f t="shared" ca="1" si="97"/>
        <v/>
      </c>
      <c r="Q771" s="2"/>
      <c r="R771" s="2"/>
      <c r="S771" s="1" t="str">
        <f t="shared" si="90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91"/>
        <v>0</v>
      </c>
      <c r="W771" s="1" t="str">
        <f t="shared" si="92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customHeight="1" x14ac:dyDescent="0.3">
      <c r="A772" s="2"/>
      <c r="B772" s="65" t="str">
        <f t="shared" si="93"/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 t="shared" si="94"/>
        <v/>
      </c>
      <c r="N772" s="74" t="str">
        <f t="shared" si="95"/>
        <v/>
      </c>
      <c r="O772" s="73" t="str">
        <f t="shared" si="96"/>
        <v/>
      </c>
      <c r="P772" s="65" t="str">
        <f t="shared" ca="1" si="97"/>
        <v/>
      </c>
      <c r="Q772" s="2"/>
      <c r="R772" s="2"/>
      <c r="S772" s="1" t="str">
        <f t="shared" si="90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91"/>
        <v>0</v>
      </c>
      <c r="W772" s="1" t="str">
        <f t="shared" si="92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customHeight="1" x14ac:dyDescent="0.3">
      <c r="A773" s="2"/>
      <c r="B773" s="65" t="str">
        <f t="shared" si="93"/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 t="shared" si="94"/>
        <v/>
      </c>
      <c r="N773" s="74" t="str">
        <f t="shared" si="95"/>
        <v/>
      </c>
      <c r="O773" s="73" t="str">
        <f t="shared" si="96"/>
        <v/>
      </c>
      <c r="P773" s="65" t="str">
        <f t="shared" ca="1" si="97"/>
        <v/>
      </c>
      <c r="Q773" s="2"/>
      <c r="R773" s="2"/>
      <c r="S773" s="1" t="str">
        <f t="shared" ref="S773:S836" si="98"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ref="V773:V836" si="99">IF($T773="",0,1)</f>
        <v>0</v>
      </c>
      <c r="W773" s="1" t="str">
        <f t="shared" ref="W773:W836" si="100">IF($C773="","",$D773&amp;"|"&amp;$E773&amp;"|"&amp;TEXT($C773,"0")&amp;"|"&amp;TEXT($G773,"0")&amp;"|"&amp;$F773&amp;"|"&amp;$J773)</f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customHeight="1" x14ac:dyDescent="0.3">
      <c r="A774" s="2"/>
      <c r="B774" s="65" t="str">
        <f t="shared" si="93"/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 t="shared" si="94"/>
        <v/>
      </c>
      <c r="N774" s="74" t="str">
        <f t="shared" si="95"/>
        <v/>
      </c>
      <c r="O774" s="73" t="str">
        <f t="shared" si="96"/>
        <v/>
      </c>
      <c r="P774" s="65" t="str">
        <f t="shared" ca="1" si="97"/>
        <v/>
      </c>
      <c r="Q774" s="2"/>
      <c r="R774" s="2"/>
      <c r="S774" s="1" t="str">
        <f t="shared" si="98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99"/>
        <v>0</v>
      </c>
      <c r="W774" s="1" t="str">
        <f t="shared" si="100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customHeight="1" x14ac:dyDescent="0.3">
      <c r="A775" s="2"/>
      <c r="B775" s="65" t="str">
        <f t="shared" ref="B775:B838" si="101"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 t="shared" ref="M775:M838" si="102">IF($C775="","",IF($D775="Gider",$E775,IF($L775&lt;&gt;"",$L775,$H775)))</f>
        <v/>
      </c>
      <c r="N775" s="74" t="str">
        <f t="shared" ref="N775:N838" si="103">IF($C775="","",IF($D775="Gider",$H775,$E775))</f>
        <v/>
      </c>
      <c r="O775" s="73" t="str">
        <f t="shared" ref="O775:O838" si="104">IF($C775="","",DATE(YEAR($C775),MONTH($C775),1))</f>
        <v/>
      </c>
      <c r="P775" s="65" t="str">
        <f t="shared" ref="P775:P838" ca="1" si="105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TARİH",IF(COUNTIF($W$7:$W$3001,$W775)&gt;1,"MÜKERRER?",IF($AD775&gt;0,"KAPALI DÖNEM",IF($I775="Hayır","ÖDENECEK","UYGUN")))),"EKSİK"))))</f>
        <v/>
      </c>
      <c r="Q775" s="2"/>
      <c r="R775" s="2"/>
      <c r="S775" s="1" t="str">
        <f t="shared" si="98"/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si="99"/>
        <v>0</v>
      </c>
      <c r="W775" s="1" t="str">
        <f t="shared" si="100"/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customHeight="1" x14ac:dyDescent="0.3">
      <c r="A776" s="2"/>
      <c r="B776" s="65" t="str">
        <f t="shared" si="101"/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 t="shared" si="102"/>
        <v/>
      </c>
      <c r="N776" s="74" t="str">
        <f t="shared" si="103"/>
        <v/>
      </c>
      <c r="O776" s="73" t="str">
        <f t="shared" si="104"/>
        <v/>
      </c>
      <c r="P776" s="65" t="str">
        <f t="shared" ca="1" si="105"/>
        <v/>
      </c>
      <c r="Q776" s="2"/>
      <c r="R776" s="2"/>
      <c r="S776" s="1" t="str">
        <f t="shared" si="98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99"/>
        <v>0</v>
      </c>
      <c r="W776" s="1" t="str">
        <f t="shared" si="100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customHeight="1" x14ac:dyDescent="0.3">
      <c r="A777" s="2"/>
      <c r="B777" s="65" t="str">
        <f t="shared" si="101"/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 t="shared" si="102"/>
        <v/>
      </c>
      <c r="N777" s="74" t="str">
        <f t="shared" si="103"/>
        <v/>
      </c>
      <c r="O777" s="73" t="str">
        <f t="shared" si="104"/>
        <v/>
      </c>
      <c r="P777" s="65" t="str">
        <f t="shared" ca="1" si="105"/>
        <v/>
      </c>
      <c r="Q777" s="2"/>
      <c r="R777" s="2"/>
      <c r="S777" s="1" t="str">
        <f t="shared" si="98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99"/>
        <v>0</v>
      </c>
      <c r="W777" s="1" t="str">
        <f t="shared" si="100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customHeight="1" x14ac:dyDescent="0.3">
      <c r="A778" s="2"/>
      <c r="B778" s="65" t="str">
        <f t="shared" si="101"/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 t="shared" si="102"/>
        <v/>
      </c>
      <c r="N778" s="74" t="str">
        <f t="shared" si="103"/>
        <v/>
      </c>
      <c r="O778" s="73" t="str">
        <f t="shared" si="104"/>
        <v/>
      </c>
      <c r="P778" s="65" t="str">
        <f t="shared" ca="1" si="105"/>
        <v/>
      </c>
      <c r="Q778" s="2"/>
      <c r="R778" s="2"/>
      <c r="S778" s="1" t="str">
        <f t="shared" si="98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99"/>
        <v>0</v>
      </c>
      <c r="W778" s="1" t="str">
        <f t="shared" si="100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customHeight="1" x14ac:dyDescent="0.3">
      <c r="A779" s="2"/>
      <c r="B779" s="65" t="str">
        <f t="shared" si="101"/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 t="shared" si="102"/>
        <v/>
      </c>
      <c r="N779" s="74" t="str">
        <f t="shared" si="103"/>
        <v/>
      </c>
      <c r="O779" s="73" t="str">
        <f t="shared" si="104"/>
        <v/>
      </c>
      <c r="P779" s="65" t="str">
        <f t="shared" ca="1" si="105"/>
        <v/>
      </c>
      <c r="Q779" s="2"/>
      <c r="R779" s="2"/>
      <c r="S779" s="1" t="str">
        <f t="shared" si="98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99"/>
        <v>0</v>
      </c>
      <c r="W779" s="1" t="str">
        <f t="shared" si="100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customHeight="1" x14ac:dyDescent="0.3">
      <c r="A780" s="2"/>
      <c r="B780" s="65" t="str">
        <f t="shared" si="101"/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 t="shared" si="102"/>
        <v/>
      </c>
      <c r="N780" s="74" t="str">
        <f t="shared" si="103"/>
        <v/>
      </c>
      <c r="O780" s="73" t="str">
        <f t="shared" si="104"/>
        <v/>
      </c>
      <c r="P780" s="65" t="str">
        <f t="shared" ca="1" si="105"/>
        <v/>
      </c>
      <c r="Q780" s="2"/>
      <c r="R780" s="2"/>
      <c r="S780" s="1" t="str">
        <f t="shared" si="98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99"/>
        <v>0</v>
      </c>
      <c r="W780" s="1" t="str">
        <f t="shared" si="100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customHeight="1" x14ac:dyDescent="0.3">
      <c r="A781" s="2"/>
      <c r="B781" s="65" t="str">
        <f t="shared" si="101"/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 t="shared" si="102"/>
        <v/>
      </c>
      <c r="N781" s="74" t="str">
        <f t="shared" si="103"/>
        <v/>
      </c>
      <c r="O781" s="73" t="str">
        <f t="shared" si="104"/>
        <v/>
      </c>
      <c r="P781" s="65" t="str">
        <f t="shared" ca="1" si="105"/>
        <v/>
      </c>
      <c r="Q781" s="2"/>
      <c r="R781" s="2"/>
      <c r="S781" s="1" t="str">
        <f t="shared" si="98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99"/>
        <v>0</v>
      </c>
      <c r="W781" s="1" t="str">
        <f t="shared" si="100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customHeight="1" x14ac:dyDescent="0.3">
      <c r="A782" s="2"/>
      <c r="B782" s="65" t="str">
        <f t="shared" si="101"/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 t="shared" si="102"/>
        <v/>
      </c>
      <c r="N782" s="74" t="str">
        <f t="shared" si="103"/>
        <v/>
      </c>
      <c r="O782" s="73" t="str">
        <f t="shared" si="104"/>
        <v/>
      </c>
      <c r="P782" s="65" t="str">
        <f t="shared" ca="1" si="105"/>
        <v/>
      </c>
      <c r="Q782" s="2"/>
      <c r="R782" s="2"/>
      <c r="S782" s="1" t="str">
        <f t="shared" si="98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99"/>
        <v>0</v>
      </c>
      <c r="W782" s="1" t="str">
        <f t="shared" si="100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customHeight="1" x14ac:dyDescent="0.3">
      <c r="A783" s="2"/>
      <c r="B783" s="65" t="str">
        <f t="shared" si="101"/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 t="shared" si="102"/>
        <v/>
      </c>
      <c r="N783" s="74" t="str">
        <f t="shared" si="103"/>
        <v/>
      </c>
      <c r="O783" s="73" t="str">
        <f t="shared" si="104"/>
        <v/>
      </c>
      <c r="P783" s="65" t="str">
        <f t="shared" ca="1" si="105"/>
        <v/>
      </c>
      <c r="Q783" s="2"/>
      <c r="R783" s="2"/>
      <c r="S783" s="1" t="str">
        <f t="shared" si="98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99"/>
        <v>0</v>
      </c>
      <c r="W783" s="1" t="str">
        <f t="shared" si="100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customHeight="1" x14ac:dyDescent="0.3">
      <c r="A784" s="2"/>
      <c r="B784" s="65" t="str">
        <f t="shared" si="101"/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 t="shared" si="102"/>
        <v/>
      </c>
      <c r="N784" s="74" t="str">
        <f t="shared" si="103"/>
        <v/>
      </c>
      <c r="O784" s="73" t="str">
        <f t="shared" si="104"/>
        <v/>
      </c>
      <c r="P784" s="65" t="str">
        <f t="shared" ca="1" si="105"/>
        <v/>
      </c>
      <c r="Q784" s="2"/>
      <c r="R784" s="2"/>
      <c r="S784" s="1" t="str">
        <f t="shared" si="98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99"/>
        <v>0</v>
      </c>
      <c r="W784" s="1" t="str">
        <f t="shared" si="100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customHeight="1" x14ac:dyDescent="0.3">
      <c r="A785" s="2"/>
      <c r="B785" s="65" t="str">
        <f t="shared" si="101"/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 t="shared" si="102"/>
        <v/>
      </c>
      <c r="N785" s="74" t="str">
        <f t="shared" si="103"/>
        <v/>
      </c>
      <c r="O785" s="73" t="str">
        <f t="shared" si="104"/>
        <v/>
      </c>
      <c r="P785" s="65" t="str">
        <f t="shared" ca="1" si="105"/>
        <v/>
      </c>
      <c r="Q785" s="2"/>
      <c r="R785" s="2"/>
      <c r="S785" s="1" t="str">
        <f t="shared" si="98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99"/>
        <v>0</v>
      </c>
      <c r="W785" s="1" t="str">
        <f t="shared" si="100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customHeight="1" x14ac:dyDescent="0.3">
      <c r="A786" s="2"/>
      <c r="B786" s="65" t="str">
        <f t="shared" si="101"/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 t="shared" si="102"/>
        <v/>
      </c>
      <c r="N786" s="74" t="str">
        <f t="shared" si="103"/>
        <v/>
      </c>
      <c r="O786" s="73" t="str">
        <f t="shared" si="104"/>
        <v/>
      </c>
      <c r="P786" s="65" t="str">
        <f t="shared" ca="1" si="105"/>
        <v/>
      </c>
      <c r="Q786" s="2"/>
      <c r="R786" s="2"/>
      <c r="S786" s="1" t="str">
        <f t="shared" si="98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99"/>
        <v>0</v>
      </c>
      <c r="W786" s="1" t="str">
        <f t="shared" si="100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customHeight="1" x14ac:dyDescent="0.3">
      <c r="A787" s="2"/>
      <c r="B787" s="65" t="str">
        <f t="shared" si="101"/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 t="shared" si="102"/>
        <v/>
      </c>
      <c r="N787" s="74" t="str">
        <f t="shared" si="103"/>
        <v/>
      </c>
      <c r="O787" s="73" t="str">
        <f t="shared" si="104"/>
        <v/>
      </c>
      <c r="P787" s="65" t="str">
        <f t="shared" ca="1" si="105"/>
        <v/>
      </c>
      <c r="Q787" s="2"/>
      <c r="R787" s="2"/>
      <c r="S787" s="1" t="str">
        <f t="shared" si="98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99"/>
        <v>0</v>
      </c>
      <c r="W787" s="1" t="str">
        <f t="shared" si="100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customHeight="1" x14ac:dyDescent="0.3">
      <c r="A788" s="2"/>
      <c r="B788" s="65" t="str">
        <f t="shared" si="101"/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 t="shared" si="102"/>
        <v/>
      </c>
      <c r="N788" s="74" t="str">
        <f t="shared" si="103"/>
        <v/>
      </c>
      <c r="O788" s="73" t="str">
        <f t="shared" si="104"/>
        <v/>
      </c>
      <c r="P788" s="65" t="str">
        <f t="shared" ca="1" si="105"/>
        <v/>
      </c>
      <c r="Q788" s="2"/>
      <c r="R788" s="2"/>
      <c r="S788" s="1" t="str">
        <f t="shared" si="98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99"/>
        <v>0</v>
      </c>
      <c r="W788" s="1" t="str">
        <f t="shared" si="100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customHeight="1" x14ac:dyDescent="0.3">
      <c r="A789" s="2"/>
      <c r="B789" s="65" t="str">
        <f t="shared" si="101"/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 t="shared" si="102"/>
        <v/>
      </c>
      <c r="N789" s="74" t="str">
        <f t="shared" si="103"/>
        <v/>
      </c>
      <c r="O789" s="73" t="str">
        <f t="shared" si="104"/>
        <v/>
      </c>
      <c r="P789" s="65" t="str">
        <f t="shared" ca="1" si="105"/>
        <v/>
      </c>
      <c r="Q789" s="2"/>
      <c r="R789" s="2"/>
      <c r="S789" s="1" t="str">
        <f t="shared" si="98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99"/>
        <v>0</v>
      </c>
      <c r="W789" s="1" t="str">
        <f t="shared" si="100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customHeight="1" x14ac:dyDescent="0.3">
      <c r="A790" s="2"/>
      <c r="B790" s="65" t="str">
        <f t="shared" si="101"/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 t="shared" si="102"/>
        <v/>
      </c>
      <c r="N790" s="74" t="str">
        <f t="shared" si="103"/>
        <v/>
      </c>
      <c r="O790" s="73" t="str">
        <f t="shared" si="104"/>
        <v/>
      </c>
      <c r="P790" s="65" t="str">
        <f t="shared" ca="1" si="105"/>
        <v/>
      </c>
      <c r="Q790" s="2"/>
      <c r="R790" s="2"/>
      <c r="S790" s="1" t="str">
        <f t="shared" si="98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99"/>
        <v>0</v>
      </c>
      <c r="W790" s="1" t="str">
        <f t="shared" si="100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customHeight="1" x14ac:dyDescent="0.3">
      <c r="A791" s="2"/>
      <c r="B791" s="65" t="str">
        <f t="shared" si="101"/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 t="shared" si="102"/>
        <v/>
      </c>
      <c r="N791" s="74" t="str">
        <f t="shared" si="103"/>
        <v/>
      </c>
      <c r="O791" s="73" t="str">
        <f t="shared" si="104"/>
        <v/>
      </c>
      <c r="P791" s="65" t="str">
        <f t="shared" ca="1" si="105"/>
        <v/>
      </c>
      <c r="Q791" s="2"/>
      <c r="R791" s="2"/>
      <c r="S791" s="1" t="str">
        <f t="shared" si="98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99"/>
        <v>0</v>
      </c>
      <c r="W791" s="1" t="str">
        <f t="shared" si="100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customHeight="1" x14ac:dyDescent="0.3">
      <c r="A792" s="2"/>
      <c r="B792" s="65" t="str">
        <f t="shared" si="101"/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 t="shared" si="102"/>
        <v/>
      </c>
      <c r="N792" s="74" t="str">
        <f t="shared" si="103"/>
        <v/>
      </c>
      <c r="O792" s="73" t="str">
        <f t="shared" si="104"/>
        <v/>
      </c>
      <c r="P792" s="65" t="str">
        <f t="shared" ca="1" si="105"/>
        <v/>
      </c>
      <c r="Q792" s="2"/>
      <c r="R792" s="2"/>
      <c r="S792" s="1" t="str">
        <f t="shared" si="98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99"/>
        <v>0</v>
      </c>
      <c r="W792" s="1" t="str">
        <f t="shared" si="100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customHeight="1" x14ac:dyDescent="0.3">
      <c r="A793" s="2"/>
      <c r="B793" s="65" t="str">
        <f t="shared" si="101"/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 t="shared" si="102"/>
        <v/>
      </c>
      <c r="N793" s="74" t="str">
        <f t="shared" si="103"/>
        <v/>
      </c>
      <c r="O793" s="73" t="str">
        <f t="shared" si="104"/>
        <v/>
      </c>
      <c r="P793" s="65" t="str">
        <f t="shared" ca="1" si="105"/>
        <v/>
      </c>
      <c r="Q793" s="2"/>
      <c r="R793" s="2"/>
      <c r="S793" s="1" t="str">
        <f t="shared" si="98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99"/>
        <v>0</v>
      </c>
      <c r="W793" s="1" t="str">
        <f t="shared" si="100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customHeight="1" x14ac:dyDescent="0.3">
      <c r="A794" s="2"/>
      <c r="B794" s="65" t="str">
        <f t="shared" si="101"/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 t="shared" si="102"/>
        <v/>
      </c>
      <c r="N794" s="74" t="str">
        <f t="shared" si="103"/>
        <v/>
      </c>
      <c r="O794" s="73" t="str">
        <f t="shared" si="104"/>
        <v/>
      </c>
      <c r="P794" s="65" t="str">
        <f t="shared" ca="1" si="105"/>
        <v/>
      </c>
      <c r="Q794" s="2"/>
      <c r="R794" s="2"/>
      <c r="S794" s="1" t="str">
        <f t="shared" si="98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99"/>
        <v>0</v>
      </c>
      <c r="W794" s="1" t="str">
        <f t="shared" si="100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customHeight="1" x14ac:dyDescent="0.3">
      <c r="A795" s="2"/>
      <c r="B795" s="65" t="str">
        <f t="shared" si="101"/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 t="shared" si="102"/>
        <v/>
      </c>
      <c r="N795" s="74" t="str">
        <f t="shared" si="103"/>
        <v/>
      </c>
      <c r="O795" s="73" t="str">
        <f t="shared" si="104"/>
        <v/>
      </c>
      <c r="P795" s="65" t="str">
        <f t="shared" ca="1" si="105"/>
        <v/>
      </c>
      <c r="Q795" s="2"/>
      <c r="R795" s="2"/>
      <c r="S795" s="1" t="str">
        <f t="shared" si="98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99"/>
        <v>0</v>
      </c>
      <c r="W795" s="1" t="str">
        <f t="shared" si="100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customHeight="1" x14ac:dyDescent="0.3">
      <c r="A796" s="2"/>
      <c r="B796" s="65" t="str">
        <f t="shared" si="101"/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 t="shared" si="102"/>
        <v/>
      </c>
      <c r="N796" s="74" t="str">
        <f t="shared" si="103"/>
        <v/>
      </c>
      <c r="O796" s="73" t="str">
        <f t="shared" si="104"/>
        <v/>
      </c>
      <c r="P796" s="65" t="str">
        <f t="shared" ca="1" si="105"/>
        <v/>
      </c>
      <c r="Q796" s="2"/>
      <c r="R796" s="2"/>
      <c r="S796" s="1" t="str">
        <f t="shared" si="98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99"/>
        <v>0</v>
      </c>
      <c r="W796" s="1" t="str">
        <f t="shared" si="100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customHeight="1" x14ac:dyDescent="0.3">
      <c r="A797" s="2"/>
      <c r="B797" s="65" t="str">
        <f t="shared" si="101"/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 t="shared" si="102"/>
        <v/>
      </c>
      <c r="N797" s="74" t="str">
        <f t="shared" si="103"/>
        <v/>
      </c>
      <c r="O797" s="73" t="str">
        <f t="shared" si="104"/>
        <v/>
      </c>
      <c r="P797" s="65" t="str">
        <f t="shared" ca="1" si="105"/>
        <v/>
      </c>
      <c r="Q797" s="2"/>
      <c r="R797" s="2"/>
      <c r="S797" s="1" t="str">
        <f t="shared" si="98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99"/>
        <v>0</v>
      </c>
      <c r="W797" s="1" t="str">
        <f t="shared" si="100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customHeight="1" x14ac:dyDescent="0.3">
      <c r="A798" s="2"/>
      <c r="B798" s="65" t="str">
        <f t="shared" si="101"/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 t="shared" si="102"/>
        <v/>
      </c>
      <c r="N798" s="74" t="str">
        <f t="shared" si="103"/>
        <v/>
      </c>
      <c r="O798" s="73" t="str">
        <f t="shared" si="104"/>
        <v/>
      </c>
      <c r="P798" s="65" t="str">
        <f t="shared" ca="1" si="105"/>
        <v/>
      </c>
      <c r="Q798" s="2"/>
      <c r="R798" s="2"/>
      <c r="S798" s="1" t="str">
        <f t="shared" si="98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99"/>
        <v>0</v>
      </c>
      <c r="W798" s="1" t="str">
        <f t="shared" si="100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customHeight="1" x14ac:dyDescent="0.3">
      <c r="A799" s="2"/>
      <c r="B799" s="65" t="str">
        <f t="shared" si="101"/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 t="shared" si="102"/>
        <v/>
      </c>
      <c r="N799" s="74" t="str">
        <f t="shared" si="103"/>
        <v/>
      </c>
      <c r="O799" s="73" t="str">
        <f t="shared" si="104"/>
        <v/>
      </c>
      <c r="P799" s="65" t="str">
        <f t="shared" ca="1" si="105"/>
        <v/>
      </c>
      <c r="Q799" s="2"/>
      <c r="R799" s="2"/>
      <c r="S799" s="1" t="str">
        <f t="shared" si="98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99"/>
        <v>0</v>
      </c>
      <c r="W799" s="1" t="str">
        <f t="shared" si="100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customHeight="1" x14ac:dyDescent="0.3">
      <c r="A800" s="2"/>
      <c r="B800" s="65" t="str">
        <f t="shared" si="101"/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 t="shared" si="102"/>
        <v/>
      </c>
      <c r="N800" s="74" t="str">
        <f t="shared" si="103"/>
        <v/>
      </c>
      <c r="O800" s="73" t="str">
        <f t="shared" si="104"/>
        <v/>
      </c>
      <c r="P800" s="65" t="str">
        <f t="shared" ca="1" si="105"/>
        <v/>
      </c>
      <c r="Q800" s="2"/>
      <c r="R800" s="2"/>
      <c r="S800" s="1" t="str">
        <f t="shared" si="98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99"/>
        <v>0</v>
      </c>
      <c r="W800" s="1" t="str">
        <f t="shared" si="100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customHeight="1" x14ac:dyDescent="0.3">
      <c r="A801" s="2"/>
      <c r="B801" s="65" t="str">
        <f t="shared" si="101"/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 t="shared" si="102"/>
        <v/>
      </c>
      <c r="N801" s="74" t="str">
        <f t="shared" si="103"/>
        <v/>
      </c>
      <c r="O801" s="73" t="str">
        <f t="shared" si="104"/>
        <v/>
      </c>
      <c r="P801" s="65" t="str">
        <f t="shared" ca="1" si="105"/>
        <v/>
      </c>
      <c r="Q801" s="2"/>
      <c r="R801" s="2"/>
      <c r="S801" s="1" t="str">
        <f t="shared" si="98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99"/>
        <v>0</v>
      </c>
      <c r="W801" s="1" t="str">
        <f t="shared" si="100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customHeight="1" x14ac:dyDescent="0.3">
      <c r="A802" s="2"/>
      <c r="B802" s="65" t="str">
        <f t="shared" si="101"/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 t="shared" si="102"/>
        <v/>
      </c>
      <c r="N802" s="74" t="str">
        <f t="shared" si="103"/>
        <v/>
      </c>
      <c r="O802" s="73" t="str">
        <f t="shared" si="104"/>
        <v/>
      </c>
      <c r="P802" s="65" t="str">
        <f t="shared" ca="1" si="105"/>
        <v/>
      </c>
      <c r="Q802" s="2"/>
      <c r="R802" s="2"/>
      <c r="S802" s="1" t="str">
        <f t="shared" si="98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99"/>
        <v>0</v>
      </c>
      <c r="W802" s="1" t="str">
        <f t="shared" si="100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customHeight="1" x14ac:dyDescent="0.3">
      <c r="A803" s="2"/>
      <c r="B803" s="65" t="str">
        <f t="shared" si="101"/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 t="shared" si="102"/>
        <v/>
      </c>
      <c r="N803" s="74" t="str">
        <f t="shared" si="103"/>
        <v/>
      </c>
      <c r="O803" s="73" t="str">
        <f t="shared" si="104"/>
        <v/>
      </c>
      <c r="P803" s="65" t="str">
        <f t="shared" ca="1" si="105"/>
        <v/>
      </c>
      <c r="Q803" s="2"/>
      <c r="R803" s="2"/>
      <c r="S803" s="1" t="str">
        <f t="shared" si="98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99"/>
        <v>0</v>
      </c>
      <c r="W803" s="1" t="str">
        <f t="shared" si="100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customHeight="1" x14ac:dyDescent="0.3">
      <c r="A804" s="2"/>
      <c r="B804" s="65" t="str">
        <f t="shared" si="101"/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 t="shared" si="102"/>
        <v/>
      </c>
      <c r="N804" s="74" t="str">
        <f t="shared" si="103"/>
        <v/>
      </c>
      <c r="O804" s="73" t="str">
        <f t="shared" si="104"/>
        <v/>
      </c>
      <c r="P804" s="65" t="str">
        <f t="shared" ca="1" si="105"/>
        <v/>
      </c>
      <c r="Q804" s="2"/>
      <c r="R804" s="2"/>
      <c r="S804" s="1" t="str">
        <f t="shared" si="98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99"/>
        <v>0</v>
      </c>
      <c r="W804" s="1" t="str">
        <f t="shared" si="100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customHeight="1" x14ac:dyDescent="0.3">
      <c r="A805" s="2"/>
      <c r="B805" s="65" t="str">
        <f t="shared" si="101"/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 t="shared" si="102"/>
        <v/>
      </c>
      <c r="N805" s="74" t="str">
        <f t="shared" si="103"/>
        <v/>
      </c>
      <c r="O805" s="73" t="str">
        <f t="shared" si="104"/>
        <v/>
      </c>
      <c r="P805" s="65" t="str">
        <f t="shared" ca="1" si="105"/>
        <v/>
      </c>
      <c r="Q805" s="2"/>
      <c r="R805" s="2"/>
      <c r="S805" s="1" t="str">
        <f t="shared" si="98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99"/>
        <v>0</v>
      </c>
      <c r="W805" s="1" t="str">
        <f t="shared" si="100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customHeight="1" x14ac:dyDescent="0.3">
      <c r="A806" s="2"/>
      <c r="B806" s="65" t="str">
        <f t="shared" si="101"/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 t="shared" si="102"/>
        <v/>
      </c>
      <c r="N806" s="74" t="str">
        <f t="shared" si="103"/>
        <v/>
      </c>
      <c r="O806" s="73" t="str">
        <f t="shared" si="104"/>
        <v/>
      </c>
      <c r="P806" s="65" t="str">
        <f t="shared" ca="1" si="105"/>
        <v/>
      </c>
      <c r="Q806" s="2"/>
      <c r="R806" s="2"/>
      <c r="S806" s="1" t="str">
        <f t="shared" si="98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99"/>
        <v>0</v>
      </c>
      <c r="W806" s="1" t="str">
        <f t="shared" si="100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customHeight="1" x14ac:dyDescent="0.3">
      <c r="A807" s="2"/>
      <c r="B807" s="65" t="str">
        <f t="shared" si="101"/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 t="shared" si="102"/>
        <v/>
      </c>
      <c r="N807" s="74" t="str">
        <f t="shared" si="103"/>
        <v/>
      </c>
      <c r="O807" s="73" t="str">
        <f t="shared" si="104"/>
        <v/>
      </c>
      <c r="P807" s="65" t="str">
        <f t="shared" ca="1" si="105"/>
        <v/>
      </c>
      <c r="Q807" s="2"/>
      <c r="R807" s="2"/>
      <c r="S807" s="1" t="str">
        <f t="shared" si="98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99"/>
        <v>0</v>
      </c>
      <c r="W807" s="1" t="str">
        <f t="shared" si="100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customHeight="1" x14ac:dyDescent="0.3">
      <c r="A808" s="2"/>
      <c r="B808" s="65" t="str">
        <f t="shared" si="101"/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 t="shared" si="102"/>
        <v/>
      </c>
      <c r="N808" s="74" t="str">
        <f t="shared" si="103"/>
        <v/>
      </c>
      <c r="O808" s="73" t="str">
        <f t="shared" si="104"/>
        <v/>
      </c>
      <c r="P808" s="65" t="str">
        <f t="shared" ca="1" si="105"/>
        <v/>
      </c>
      <c r="Q808" s="2"/>
      <c r="R808" s="2"/>
      <c r="S808" s="1" t="str">
        <f t="shared" si="98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99"/>
        <v>0</v>
      </c>
      <c r="W808" s="1" t="str">
        <f t="shared" si="100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customHeight="1" x14ac:dyDescent="0.3">
      <c r="A809" s="2"/>
      <c r="B809" s="65" t="str">
        <f t="shared" si="101"/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 t="shared" si="102"/>
        <v/>
      </c>
      <c r="N809" s="74" t="str">
        <f t="shared" si="103"/>
        <v/>
      </c>
      <c r="O809" s="73" t="str">
        <f t="shared" si="104"/>
        <v/>
      </c>
      <c r="P809" s="65" t="str">
        <f t="shared" ca="1" si="105"/>
        <v/>
      </c>
      <c r="Q809" s="2"/>
      <c r="R809" s="2"/>
      <c r="S809" s="1" t="str">
        <f t="shared" si="98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99"/>
        <v>0</v>
      </c>
      <c r="W809" s="1" t="str">
        <f t="shared" si="100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customHeight="1" x14ac:dyDescent="0.3">
      <c r="A810" s="2"/>
      <c r="B810" s="65" t="str">
        <f t="shared" si="101"/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 t="shared" si="102"/>
        <v/>
      </c>
      <c r="N810" s="74" t="str">
        <f t="shared" si="103"/>
        <v/>
      </c>
      <c r="O810" s="73" t="str">
        <f t="shared" si="104"/>
        <v/>
      </c>
      <c r="P810" s="65" t="str">
        <f t="shared" ca="1" si="105"/>
        <v/>
      </c>
      <c r="Q810" s="2"/>
      <c r="R810" s="2"/>
      <c r="S810" s="1" t="str">
        <f t="shared" si="98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99"/>
        <v>0</v>
      </c>
      <c r="W810" s="1" t="str">
        <f t="shared" si="100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customHeight="1" x14ac:dyDescent="0.3">
      <c r="A811" s="2"/>
      <c r="B811" s="65" t="str">
        <f t="shared" si="101"/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 t="shared" si="102"/>
        <v/>
      </c>
      <c r="N811" s="74" t="str">
        <f t="shared" si="103"/>
        <v/>
      </c>
      <c r="O811" s="73" t="str">
        <f t="shared" si="104"/>
        <v/>
      </c>
      <c r="P811" s="65" t="str">
        <f t="shared" ca="1" si="105"/>
        <v/>
      </c>
      <c r="Q811" s="2"/>
      <c r="R811" s="2"/>
      <c r="S811" s="1" t="str">
        <f t="shared" si="98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99"/>
        <v>0</v>
      </c>
      <c r="W811" s="1" t="str">
        <f t="shared" si="100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customHeight="1" x14ac:dyDescent="0.3">
      <c r="A812" s="2"/>
      <c r="B812" s="65" t="str">
        <f t="shared" si="101"/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 t="shared" si="102"/>
        <v/>
      </c>
      <c r="N812" s="74" t="str">
        <f t="shared" si="103"/>
        <v/>
      </c>
      <c r="O812" s="73" t="str">
        <f t="shared" si="104"/>
        <v/>
      </c>
      <c r="P812" s="65" t="str">
        <f t="shared" ca="1" si="105"/>
        <v/>
      </c>
      <c r="Q812" s="2"/>
      <c r="R812" s="2"/>
      <c r="S812" s="1" t="str">
        <f t="shared" si="98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99"/>
        <v>0</v>
      </c>
      <c r="W812" s="1" t="str">
        <f t="shared" si="100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customHeight="1" x14ac:dyDescent="0.3">
      <c r="A813" s="2"/>
      <c r="B813" s="65" t="str">
        <f t="shared" si="101"/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 t="shared" si="102"/>
        <v/>
      </c>
      <c r="N813" s="74" t="str">
        <f t="shared" si="103"/>
        <v/>
      </c>
      <c r="O813" s="73" t="str">
        <f t="shared" si="104"/>
        <v/>
      </c>
      <c r="P813" s="65" t="str">
        <f t="shared" ca="1" si="105"/>
        <v/>
      </c>
      <c r="Q813" s="2"/>
      <c r="R813" s="2"/>
      <c r="S813" s="1" t="str">
        <f t="shared" si="98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99"/>
        <v>0</v>
      </c>
      <c r="W813" s="1" t="str">
        <f t="shared" si="100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customHeight="1" x14ac:dyDescent="0.3">
      <c r="A814" s="2"/>
      <c r="B814" s="65" t="str">
        <f t="shared" si="101"/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 t="shared" si="102"/>
        <v/>
      </c>
      <c r="N814" s="74" t="str">
        <f t="shared" si="103"/>
        <v/>
      </c>
      <c r="O814" s="73" t="str">
        <f t="shared" si="104"/>
        <v/>
      </c>
      <c r="P814" s="65" t="str">
        <f t="shared" ca="1" si="105"/>
        <v/>
      </c>
      <c r="Q814" s="2"/>
      <c r="R814" s="2"/>
      <c r="S814" s="1" t="str">
        <f t="shared" si="98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99"/>
        <v>0</v>
      </c>
      <c r="W814" s="1" t="str">
        <f t="shared" si="100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customHeight="1" x14ac:dyDescent="0.3">
      <c r="A815" s="2"/>
      <c r="B815" s="65" t="str">
        <f t="shared" si="101"/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 t="shared" si="102"/>
        <v/>
      </c>
      <c r="N815" s="74" t="str">
        <f t="shared" si="103"/>
        <v/>
      </c>
      <c r="O815" s="73" t="str">
        <f t="shared" si="104"/>
        <v/>
      </c>
      <c r="P815" s="65" t="str">
        <f t="shared" ca="1" si="105"/>
        <v/>
      </c>
      <c r="Q815" s="2"/>
      <c r="R815" s="2"/>
      <c r="S815" s="1" t="str">
        <f t="shared" si="98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99"/>
        <v>0</v>
      </c>
      <c r="W815" s="1" t="str">
        <f t="shared" si="100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customHeight="1" x14ac:dyDescent="0.3">
      <c r="A816" s="2"/>
      <c r="B816" s="65" t="str">
        <f t="shared" si="101"/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 t="shared" si="102"/>
        <v/>
      </c>
      <c r="N816" s="74" t="str">
        <f t="shared" si="103"/>
        <v/>
      </c>
      <c r="O816" s="73" t="str">
        <f t="shared" si="104"/>
        <v/>
      </c>
      <c r="P816" s="65" t="str">
        <f t="shared" ca="1" si="105"/>
        <v/>
      </c>
      <c r="Q816" s="2"/>
      <c r="R816" s="2"/>
      <c r="S816" s="1" t="str">
        <f t="shared" si="98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99"/>
        <v>0</v>
      </c>
      <c r="W816" s="1" t="str">
        <f t="shared" si="100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customHeight="1" x14ac:dyDescent="0.3">
      <c r="A817" s="2"/>
      <c r="B817" s="65" t="str">
        <f t="shared" si="101"/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 t="shared" si="102"/>
        <v/>
      </c>
      <c r="N817" s="74" t="str">
        <f t="shared" si="103"/>
        <v/>
      </c>
      <c r="O817" s="73" t="str">
        <f t="shared" si="104"/>
        <v/>
      </c>
      <c r="P817" s="65" t="str">
        <f t="shared" ca="1" si="105"/>
        <v/>
      </c>
      <c r="Q817" s="2"/>
      <c r="R817" s="2"/>
      <c r="S817" s="1" t="str">
        <f t="shared" si="98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99"/>
        <v>0</v>
      </c>
      <c r="W817" s="1" t="str">
        <f t="shared" si="100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customHeight="1" x14ac:dyDescent="0.3">
      <c r="A818" s="2"/>
      <c r="B818" s="65" t="str">
        <f t="shared" si="101"/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 t="shared" si="102"/>
        <v/>
      </c>
      <c r="N818" s="74" t="str">
        <f t="shared" si="103"/>
        <v/>
      </c>
      <c r="O818" s="73" t="str">
        <f t="shared" si="104"/>
        <v/>
      </c>
      <c r="P818" s="65" t="str">
        <f t="shared" ca="1" si="105"/>
        <v/>
      </c>
      <c r="Q818" s="2"/>
      <c r="R818" s="2"/>
      <c r="S818" s="1" t="str">
        <f t="shared" si="98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99"/>
        <v>0</v>
      </c>
      <c r="W818" s="1" t="str">
        <f t="shared" si="100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customHeight="1" x14ac:dyDescent="0.3">
      <c r="A819" s="2"/>
      <c r="B819" s="65" t="str">
        <f t="shared" si="101"/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 t="shared" si="102"/>
        <v/>
      </c>
      <c r="N819" s="74" t="str">
        <f t="shared" si="103"/>
        <v/>
      </c>
      <c r="O819" s="73" t="str">
        <f t="shared" si="104"/>
        <v/>
      </c>
      <c r="P819" s="65" t="str">
        <f t="shared" ca="1" si="105"/>
        <v/>
      </c>
      <c r="Q819" s="2"/>
      <c r="R819" s="2"/>
      <c r="S819" s="1" t="str">
        <f t="shared" si="98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99"/>
        <v>0</v>
      </c>
      <c r="W819" s="1" t="str">
        <f t="shared" si="100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customHeight="1" x14ac:dyDescent="0.3">
      <c r="A820" s="2"/>
      <c r="B820" s="65" t="str">
        <f t="shared" si="101"/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 t="shared" si="102"/>
        <v/>
      </c>
      <c r="N820" s="74" t="str">
        <f t="shared" si="103"/>
        <v/>
      </c>
      <c r="O820" s="73" t="str">
        <f t="shared" si="104"/>
        <v/>
      </c>
      <c r="P820" s="65" t="str">
        <f t="shared" ca="1" si="105"/>
        <v/>
      </c>
      <c r="Q820" s="2"/>
      <c r="R820" s="2"/>
      <c r="S820" s="1" t="str">
        <f t="shared" si="98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99"/>
        <v>0</v>
      </c>
      <c r="W820" s="1" t="str">
        <f t="shared" si="100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customHeight="1" x14ac:dyDescent="0.3">
      <c r="A821" s="2"/>
      <c r="B821" s="65" t="str">
        <f t="shared" si="101"/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 t="shared" si="102"/>
        <v/>
      </c>
      <c r="N821" s="74" t="str">
        <f t="shared" si="103"/>
        <v/>
      </c>
      <c r="O821" s="73" t="str">
        <f t="shared" si="104"/>
        <v/>
      </c>
      <c r="P821" s="65" t="str">
        <f t="shared" ca="1" si="105"/>
        <v/>
      </c>
      <c r="Q821" s="2"/>
      <c r="R821" s="2"/>
      <c r="S821" s="1" t="str">
        <f t="shared" si="98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99"/>
        <v>0</v>
      </c>
      <c r="W821" s="1" t="str">
        <f t="shared" si="100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customHeight="1" x14ac:dyDescent="0.3">
      <c r="A822" s="2"/>
      <c r="B822" s="65" t="str">
        <f t="shared" si="101"/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 t="shared" si="102"/>
        <v/>
      </c>
      <c r="N822" s="74" t="str">
        <f t="shared" si="103"/>
        <v/>
      </c>
      <c r="O822" s="73" t="str">
        <f t="shared" si="104"/>
        <v/>
      </c>
      <c r="P822" s="65" t="str">
        <f t="shared" ca="1" si="105"/>
        <v/>
      </c>
      <c r="Q822" s="2"/>
      <c r="R822" s="2"/>
      <c r="S822" s="1" t="str">
        <f t="shared" si="98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99"/>
        <v>0</v>
      </c>
      <c r="W822" s="1" t="str">
        <f t="shared" si="100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customHeight="1" x14ac:dyDescent="0.3">
      <c r="A823" s="2"/>
      <c r="B823" s="65" t="str">
        <f t="shared" si="101"/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 t="shared" si="102"/>
        <v/>
      </c>
      <c r="N823" s="74" t="str">
        <f t="shared" si="103"/>
        <v/>
      </c>
      <c r="O823" s="73" t="str">
        <f t="shared" si="104"/>
        <v/>
      </c>
      <c r="P823" s="65" t="str">
        <f t="shared" ca="1" si="105"/>
        <v/>
      </c>
      <c r="Q823" s="2"/>
      <c r="R823" s="2"/>
      <c r="S823" s="1" t="str">
        <f t="shared" si="98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99"/>
        <v>0</v>
      </c>
      <c r="W823" s="1" t="str">
        <f t="shared" si="100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customHeight="1" x14ac:dyDescent="0.3">
      <c r="A824" s="2"/>
      <c r="B824" s="65" t="str">
        <f t="shared" si="101"/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 t="shared" si="102"/>
        <v/>
      </c>
      <c r="N824" s="74" t="str">
        <f t="shared" si="103"/>
        <v/>
      </c>
      <c r="O824" s="73" t="str">
        <f t="shared" si="104"/>
        <v/>
      </c>
      <c r="P824" s="65" t="str">
        <f t="shared" ca="1" si="105"/>
        <v/>
      </c>
      <c r="Q824" s="2"/>
      <c r="R824" s="2"/>
      <c r="S824" s="1" t="str">
        <f t="shared" si="98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99"/>
        <v>0</v>
      </c>
      <c r="W824" s="1" t="str">
        <f t="shared" si="100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customHeight="1" x14ac:dyDescent="0.3">
      <c r="A825" s="2"/>
      <c r="B825" s="65" t="str">
        <f t="shared" si="101"/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 t="shared" si="102"/>
        <v/>
      </c>
      <c r="N825" s="74" t="str">
        <f t="shared" si="103"/>
        <v/>
      </c>
      <c r="O825" s="73" t="str">
        <f t="shared" si="104"/>
        <v/>
      </c>
      <c r="P825" s="65" t="str">
        <f t="shared" ca="1" si="105"/>
        <v/>
      </c>
      <c r="Q825" s="2"/>
      <c r="R825" s="2"/>
      <c r="S825" s="1" t="str">
        <f t="shared" si="98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99"/>
        <v>0</v>
      </c>
      <c r="W825" s="1" t="str">
        <f t="shared" si="100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customHeight="1" x14ac:dyDescent="0.3">
      <c r="A826" s="2"/>
      <c r="B826" s="65" t="str">
        <f t="shared" si="101"/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 t="shared" si="102"/>
        <v/>
      </c>
      <c r="N826" s="74" t="str">
        <f t="shared" si="103"/>
        <v/>
      </c>
      <c r="O826" s="73" t="str">
        <f t="shared" si="104"/>
        <v/>
      </c>
      <c r="P826" s="65" t="str">
        <f t="shared" ca="1" si="105"/>
        <v/>
      </c>
      <c r="Q826" s="2"/>
      <c r="R826" s="2"/>
      <c r="S826" s="1" t="str">
        <f t="shared" si="98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99"/>
        <v>0</v>
      </c>
      <c r="W826" s="1" t="str">
        <f t="shared" si="100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customHeight="1" x14ac:dyDescent="0.3">
      <c r="A827" s="2"/>
      <c r="B827" s="65" t="str">
        <f t="shared" si="101"/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 t="shared" si="102"/>
        <v/>
      </c>
      <c r="N827" s="74" t="str">
        <f t="shared" si="103"/>
        <v/>
      </c>
      <c r="O827" s="73" t="str">
        <f t="shared" si="104"/>
        <v/>
      </c>
      <c r="P827" s="65" t="str">
        <f t="shared" ca="1" si="105"/>
        <v/>
      </c>
      <c r="Q827" s="2"/>
      <c r="R827" s="2"/>
      <c r="S827" s="1" t="str">
        <f t="shared" si="98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99"/>
        <v>0</v>
      </c>
      <c r="W827" s="1" t="str">
        <f t="shared" si="100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customHeight="1" x14ac:dyDescent="0.3">
      <c r="A828" s="2"/>
      <c r="B828" s="65" t="str">
        <f t="shared" si="101"/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 t="shared" si="102"/>
        <v/>
      </c>
      <c r="N828" s="74" t="str">
        <f t="shared" si="103"/>
        <v/>
      </c>
      <c r="O828" s="73" t="str">
        <f t="shared" si="104"/>
        <v/>
      </c>
      <c r="P828" s="65" t="str">
        <f t="shared" ca="1" si="105"/>
        <v/>
      </c>
      <c r="Q828" s="2"/>
      <c r="R828" s="2"/>
      <c r="S828" s="1" t="str">
        <f t="shared" si="98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99"/>
        <v>0</v>
      </c>
      <c r="W828" s="1" t="str">
        <f t="shared" si="100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customHeight="1" x14ac:dyDescent="0.3">
      <c r="A829" s="2"/>
      <c r="B829" s="65" t="str">
        <f t="shared" si="101"/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 t="shared" si="102"/>
        <v/>
      </c>
      <c r="N829" s="74" t="str">
        <f t="shared" si="103"/>
        <v/>
      </c>
      <c r="O829" s="73" t="str">
        <f t="shared" si="104"/>
        <v/>
      </c>
      <c r="P829" s="65" t="str">
        <f t="shared" ca="1" si="105"/>
        <v/>
      </c>
      <c r="Q829" s="2"/>
      <c r="R829" s="2"/>
      <c r="S829" s="1" t="str">
        <f t="shared" si="98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99"/>
        <v>0</v>
      </c>
      <c r="W829" s="1" t="str">
        <f t="shared" si="100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customHeight="1" x14ac:dyDescent="0.3">
      <c r="A830" s="2"/>
      <c r="B830" s="65" t="str">
        <f t="shared" si="101"/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 t="shared" si="102"/>
        <v/>
      </c>
      <c r="N830" s="74" t="str">
        <f t="shared" si="103"/>
        <v/>
      </c>
      <c r="O830" s="73" t="str">
        <f t="shared" si="104"/>
        <v/>
      </c>
      <c r="P830" s="65" t="str">
        <f t="shared" ca="1" si="105"/>
        <v/>
      </c>
      <c r="Q830" s="2"/>
      <c r="R830" s="2"/>
      <c r="S830" s="1" t="str">
        <f t="shared" si="98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99"/>
        <v>0</v>
      </c>
      <c r="W830" s="1" t="str">
        <f t="shared" si="100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customHeight="1" x14ac:dyDescent="0.3">
      <c r="A831" s="2"/>
      <c r="B831" s="65" t="str">
        <f t="shared" si="101"/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 t="shared" si="102"/>
        <v/>
      </c>
      <c r="N831" s="74" t="str">
        <f t="shared" si="103"/>
        <v/>
      </c>
      <c r="O831" s="73" t="str">
        <f t="shared" si="104"/>
        <v/>
      </c>
      <c r="P831" s="65" t="str">
        <f t="shared" ca="1" si="105"/>
        <v/>
      </c>
      <c r="Q831" s="2"/>
      <c r="R831" s="2"/>
      <c r="S831" s="1" t="str">
        <f t="shared" si="98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99"/>
        <v>0</v>
      </c>
      <c r="W831" s="1" t="str">
        <f t="shared" si="100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customHeight="1" x14ac:dyDescent="0.3">
      <c r="A832" s="2"/>
      <c r="B832" s="65" t="str">
        <f t="shared" si="101"/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 t="shared" si="102"/>
        <v/>
      </c>
      <c r="N832" s="74" t="str">
        <f t="shared" si="103"/>
        <v/>
      </c>
      <c r="O832" s="73" t="str">
        <f t="shared" si="104"/>
        <v/>
      </c>
      <c r="P832" s="65" t="str">
        <f t="shared" ca="1" si="105"/>
        <v/>
      </c>
      <c r="Q832" s="2"/>
      <c r="R832" s="2"/>
      <c r="S832" s="1" t="str">
        <f t="shared" si="98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99"/>
        <v>0</v>
      </c>
      <c r="W832" s="1" t="str">
        <f t="shared" si="100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customHeight="1" x14ac:dyDescent="0.3">
      <c r="A833" s="2"/>
      <c r="B833" s="65" t="str">
        <f t="shared" si="101"/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 t="shared" si="102"/>
        <v/>
      </c>
      <c r="N833" s="74" t="str">
        <f t="shared" si="103"/>
        <v/>
      </c>
      <c r="O833" s="73" t="str">
        <f t="shared" si="104"/>
        <v/>
      </c>
      <c r="P833" s="65" t="str">
        <f t="shared" ca="1" si="105"/>
        <v/>
      </c>
      <c r="Q833" s="2"/>
      <c r="R833" s="2"/>
      <c r="S833" s="1" t="str">
        <f t="shared" si="98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99"/>
        <v>0</v>
      </c>
      <c r="W833" s="1" t="str">
        <f t="shared" si="100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customHeight="1" x14ac:dyDescent="0.3">
      <c r="A834" s="2"/>
      <c r="B834" s="65" t="str">
        <f t="shared" si="101"/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 t="shared" si="102"/>
        <v/>
      </c>
      <c r="N834" s="74" t="str">
        <f t="shared" si="103"/>
        <v/>
      </c>
      <c r="O834" s="73" t="str">
        <f t="shared" si="104"/>
        <v/>
      </c>
      <c r="P834" s="65" t="str">
        <f t="shared" ca="1" si="105"/>
        <v/>
      </c>
      <c r="Q834" s="2"/>
      <c r="R834" s="2"/>
      <c r="S834" s="1" t="str">
        <f t="shared" si="98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99"/>
        <v>0</v>
      </c>
      <c r="W834" s="1" t="str">
        <f t="shared" si="100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customHeight="1" x14ac:dyDescent="0.3">
      <c r="A835" s="2"/>
      <c r="B835" s="65" t="str">
        <f t="shared" si="101"/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 t="shared" si="102"/>
        <v/>
      </c>
      <c r="N835" s="74" t="str">
        <f t="shared" si="103"/>
        <v/>
      </c>
      <c r="O835" s="73" t="str">
        <f t="shared" si="104"/>
        <v/>
      </c>
      <c r="P835" s="65" t="str">
        <f t="shared" ca="1" si="105"/>
        <v/>
      </c>
      <c r="Q835" s="2"/>
      <c r="R835" s="2"/>
      <c r="S835" s="1" t="str">
        <f t="shared" si="98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99"/>
        <v>0</v>
      </c>
      <c r="W835" s="1" t="str">
        <f t="shared" si="100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customHeight="1" x14ac:dyDescent="0.3">
      <c r="A836" s="2"/>
      <c r="B836" s="65" t="str">
        <f t="shared" si="101"/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 t="shared" si="102"/>
        <v/>
      </c>
      <c r="N836" s="74" t="str">
        <f t="shared" si="103"/>
        <v/>
      </c>
      <c r="O836" s="73" t="str">
        <f t="shared" si="104"/>
        <v/>
      </c>
      <c r="P836" s="65" t="str">
        <f t="shared" ca="1" si="105"/>
        <v/>
      </c>
      <c r="Q836" s="2"/>
      <c r="R836" s="2"/>
      <c r="S836" s="1" t="str">
        <f t="shared" si="98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99"/>
        <v>0</v>
      </c>
      <c r="W836" s="1" t="str">
        <f t="shared" si="100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customHeight="1" x14ac:dyDescent="0.3">
      <c r="A837" s="2"/>
      <c r="B837" s="65" t="str">
        <f t="shared" si="101"/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 t="shared" si="102"/>
        <v/>
      </c>
      <c r="N837" s="74" t="str">
        <f t="shared" si="103"/>
        <v/>
      </c>
      <c r="O837" s="73" t="str">
        <f t="shared" si="104"/>
        <v/>
      </c>
      <c r="P837" s="65" t="str">
        <f t="shared" ca="1" si="105"/>
        <v/>
      </c>
      <c r="Q837" s="2"/>
      <c r="R837" s="2"/>
      <c r="S837" s="1" t="str">
        <f t="shared" ref="S837:S900" si="106"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ref="V837:V900" si="107">IF($T837="",0,1)</f>
        <v>0</v>
      </c>
      <c r="W837" s="1" t="str">
        <f t="shared" ref="W837:W900" si="108">IF($C837="","",$D837&amp;"|"&amp;$E837&amp;"|"&amp;TEXT($C837,"0")&amp;"|"&amp;TEXT($G837,"0")&amp;"|"&amp;$F837&amp;"|"&amp;$J837)</f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customHeight="1" x14ac:dyDescent="0.3">
      <c r="A838" s="2"/>
      <c r="B838" s="65" t="str">
        <f t="shared" si="101"/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 t="shared" si="102"/>
        <v/>
      </c>
      <c r="N838" s="74" t="str">
        <f t="shared" si="103"/>
        <v/>
      </c>
      <c r="O838" s="73" t="str">
        <f t="shared" si="104"/>
        <v/>
      </c>
      <c r="P838" s="65" t="str">
        <f t="shared" ca="1" si="105"/>
        <v/>
      </c>
      <c r="Q838" s="2"/>
      <c r="R838" s="2"/>
      <c r="S838" s="1" t="str">
        <f t="shared" si="106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107"/>
        <v>0</v>
      </c>
      <c r="W838" s="1" t="str">
        <f t="shared" si="108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customHeight="1" x14ac:dyDescent="0.3">
      <c r="A839" s="2"/>
      <c r="B839" s="65" t="str">
        <f t="shared" ref="B839:B902" si="109"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 t="shared" ref="M839:M902" si="110">IF($C839="","",IF($D839="Gider",$E839,IF($L839&lt;&gt;"",$L839,$H839)))</f>
        <v/>
      </c>
      <c r="N839" s="74" t="str">
        <f t="shared" ref="N839:N902" si="111">IF($C839="","",IF($D839="Gider",$H839,$E839))</f>
        <v/>
      </c>
      <c r="O839" s="73" t="str">
        <f t="shared" ref="O839:O902" si="112">IF($C839="","",DATE(YEAR($C839),MONTH($C839),1))</f>
        <v/>
      </c>
      <c r="P839" s="65" t="str">
        <f t="shared" ref="P839:P902" ca="1" si="113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TARİH",IF(COUNTIF($W$7:$W$3001,$W839)&gt;1,"MÜKERRER?",IF($AD839&gt;0,"KAPALI DÖNEM",IF($I839="Hayır","ÖDENECEK","UYGUN")))),"EKSİK"))))</f>
        <v/>
      </c>
      <c r="Q839" s="2"/>
      <c r="R839" s="2"/>
      <c r="S839" s="1" t="str">
        <f t="shared" si="106"/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si="107"/>
        <v>0</v>
      </c>
      <c r="W839" s="1" t="str">
        <f t="shared" si="108"/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customHeight="1" x14ac:dyDescent="0.3">
      <c r="A840" s="2"/>
      <c r="B840" s="65" t="str">
        <f t="shared" si="109"/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 t="shared" si="110"/>
        <v/>
      </c>
      <c r="N840" s="74" t="str">
        <f t="shared" si="111"/>
        <v/>
      </c>
      <c r="O840" s="73" t="str">
        <f t="shared" si="112"/>
        <v/>
      </c>
      <c r="P840" s="65" t="str">
        <f t="shared" ca="1" si="113"/>
        <v/>
      </c>
      <c r="Q840" s="2"/>
      <c r="R840" s="2"/>
      <c r="S840" s="1" t="str">
        <f t="shared" si="106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107"/>
        <v>0</v>
      </c>
      <c r="W840" s="1" t="str">
        <f t="shared" si="108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customHeight="1" x14ac:dyDescent="0.3">
      <c r="A841" s="2"/>
      <c r="B841" s="65" t="str">
        <f t="shared" si="109"/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 t="shared" si="110"/>
        <v/>
      </c>
      <c r="N841" s="74" t="str">
        <f t="shared" si="111"/>
        <v/>
      </c>
      <c r="O841" s="73" t="str">
        <f t="shared" si="112"/>
        <v/>
      </c>
      <c r="P841" s="65" t="str">
        <f t="shared" ca="1" si="113"/>
        <v/>
      </c>
      <c r="Q841" s="2"/>
      <c r="R841" s="2"/>
      <c r="S841" s="1" t="str">
        <f t="shared" si="106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107"/>
        <v>0</v>
      </c>
      <c r="W841" s="1" t="str">
        <f t="shared" si="108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customHeight="1" x14ac:dyDescent="0.3">
      <c r="A842" s="2"/>
      <c r="B842" s="65" t="str">
        <f t="shared" si="109"/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 t="shared" si="110"/>
        <v/>
      </c>
      <c r="N842" s="74" t="str">
        <f t="shared" si="111"/>
        <v/>
      </c>
      <c r="O842" s="73" t="str">
        <f t="shared" si="112"/>
        <v/>
      </c>
      <c r="P842" s="65" t="str">
        <f t="shared" ca="1" si="113"/>
        <v/>
      </c>
      <c r="Q842" s="2"/>
      <c r="R842" s="2"/>
      <c r="S842" s="1" t="str">
        <f t="shared" si="106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107"/>
        <v>0</v>
      </c>
      <c r="W842" s="1" t="str">
        <f t="shared" si="108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customHeight="1" x14ac:dyDescent="0.3">
      <c r="A843" s="2"/>
      <c r="B843" s="65" t="str">
        <f t="shared" si="109"/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 t="shared" si="110"/>
        <v/>
      </c>
      <c r="N843" s="74" t="str">
        <f t="shared" si="111"/>
        <v/>
      </c>
      <c r="O843" s="73" t="str">
        <f t="shared" si="112"/>
        <v/>
      </c>
      <c r="P843" s="65" t="str">
        <f t="shared" ca="1" si="113"/>
        <v/>
      </c>
      <c r="Q843" s="2"/>
      <c r="R843" s="2"/>
      <c r="S843" s="1" t="str">
        <f t="shared" si="106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107"/>
        <v>0</v>
      </c>
      <c r="W843" s="1" t="str">
        <f t="shared" si="108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customHeight="1" x14ac:dyDescent="0.3">
      <c r="A844" s="2"/>
      <c r="B844" s="65" t="str">
        <f t="shared" si="109"/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 t="shared" si="110"/>
        <v/>
      </c>
      <c r="N844" s="74" t="str">
        <f t="shared" si="111"/>
        <v/>
      </c>
      <c r="O844" s="73" t="str">
        <f t="shared" si="112"/>
        <v/>
      </c>
      <c r="P844" s="65" t="str">
        <f t="shared" ca="1" si="113"/>
        <v/>
      </c>
      <c r="Q844" s="2"/>
      <c r="R844" s="2"/>
      <c r="S844" s="1" t="str">
        <f t="shared" si="106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107"/>
        <v>0</v>
      </c>
      <c r="W844" s="1" t="str">
        <f t="shared" si="108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customHeight="1" x14ac:dyDescent="0.3">
      <c r="A845" s="2"/>
      <c r="B845" s="65" t="str">
        <f t="shared" si="109"/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 t="shared" si="110"/>
        <v/>
      </c>
      <c r="N845" s="74" t="str">
        <f t="shared" si="111"/>
        <v/>
      </c>
      <c r="O845" s="73" t="str">
        <f t="shared" si="112"/>
        <v/>
      </c>
      <c r="P845" s="65" t="str">
        <f t="shared" ca="1" si="113"/>
        <v/>
      </c>
      <c r="Q845" s="2"/>
      <c r="R845" s="2"/>
      <c r="S845" s="1" t="str">
        <f t="shared" si="106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107"/>
        <v>0</v>
      </c>
      <c r="W845" s="1" t="str">
        <f t="shared" si="108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customHeight="1" x14ac:dyDescent="0.3">
      <c r="A846" s="2"/>
      <c r="B846" s="65" t="str">
        <f t="shared" si="109"/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 t="shared" si="110"/>
        <v/>
      </c>
      <c r="N846" s="74" t="str">
        <f t="shared" si="111"/>
        <v/>
      </c>
      <c r="O846" s="73" t="str">
        <f t="shared" si="112"/>
        <v/>
      </c>
      <c r="P846" s="65" t="str">
        <f t="shared" ca="1" si="113"/>
        <v/>
      </c>
      <c r="Q846" s="2"/>
      <c r="R846" s="2"/>
      <c r="S846" s="1" t="str">
        <f t="shared" si="106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107"/>
        <v>0</v>
      </c>
      <c r="W846" s="1" t="str">
        <f t="shared" si="108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customHeight="1" x14ac:dyDescent="0.3">
      <c r="A847" s="2"/>
      <c r="B847" s="65" t="str">
        <f t="shared" si="109"/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 t="shared" si="110"/>
        <v/>
      </c>
      <c r="N847" s="74" t="str">
        <f t="shared" si="111"/>
        <v/>
      </c>
      <c r="O847" s="73" t="str">
        <f t="shared" si="112"/>
        <v/>
      </c>
      <c r="P847" s="65" t="str">
        <f t="shared" ca="1" si="113"/>
        <v/>
      </c>
      <c r="Q847" s="2"/>
      <c r="R847" s="2"/>
      <c r="S847" s="1" t="str">
        <f t="shared" si="106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107"/>
        <v>0</v>
      </c>
      <c r="W847" s="1" t="str">
        <f t="shared" si="108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customHeight="1" x14ac:dyDescent="0.3">
      <c r="A848" s="2"/>
      <c r="B848" s="65" t="str">
        <f t="shared" si="109"/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 t="shared" si="110"/>
        <v/>
      </c>
      <c r="N848" s="74" t="str">
        <f t="shared" si="111"/>
        <v/>
      </c>
      <c r="O848" s="73" t="str">
        <f t="shared" si="112"/>
        <v/>
      </c>
      <c r="P848" s="65" t="str">
        <f t="shared" ca="1" si="113"/>
        <v/>
      </c>
      <c r="Q848" s="2"/>
      <c r="R848" s="2"/>
      <c r="S848" s="1" t="str">
        <f t="shared" si="106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107"/>
        <v>0</v>
      </c>
      <c r="W848" s="1" t="str">
        <f t="shared" si="108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customHeight="1" x14ac:dyDescent="0.3">
      <c r="A849" s="2"/>
      <c r="B849" s="65" t="str">
        <f t="shared" si="109"/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 t="shared" si="110"/>
        <v/>
      </c>
      <c r="N849" s="74" t="str">
        <f t="shared" si="111"/>
        <v/>
      </c>
      <c r="O849" s="73" t="str">
        <f t="shared" si="112"/>
        <v/>
      </c>
      <c r="P849" s="65" t="str">
        <f t="shared" ca="1" si="113"/>
        <v/>
      </c>
      <c r="Q849" s="2"/>
      <c r="R849" s="2"/>
      <c r="S849" s="1" t="str">
        <f t="shared" si="106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107"/>
        <v>0</v>
      </c>
      <c r="W849" s="1" t="str">
        <f t="shared" si="108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customHeight="1" x14ac:dyDescent="0.3">
      <c r="A850" s="2"/>
      <c r="B850" s="65" t="str">
        <f t="shared" si="109"/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 t="shared" si="110"/>
        <v/>
      </c>
      <c r="N850" s="74" t="str">
        <f t="shared" si="111"/>
        <v/>
      </c>
      <c r="O850" s="73" t="str">
        <f t="shared" si="112"/>
        <v/>
      </c>
      <c r="P850" s="65" t="str">
        <f t="shared" ca="1" si="113"/>
        <v/>
      </c>
      <c r="Q850" s="2"/>
      <c r="R850" s="2"/>
      <c r="S850" s="1" t="str">
        <f t="shared" si="106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107"/>
        <v>0</v>
      </c>
      <c r="W850" s="1" t="str">
        <f t="shared" si="108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customHeight="1" x14ac:dyDescent="0.3">
      <c r="A851" s="2"/>
      <c r="B851" s="65" t="str">
        <f t="shared" si="109"/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 t="shared" si="110"/>
        <v/>
      </c>
      <c r="N851" s="74" t="str">
        <f t="shared" si="111"/>
        <v/>
      </c>
      <c r="O851" s="73" t="str">
        <f t="shared" si="112"/>
        <v/>
      </c>
      <c r="P851" s="65" t="str">
        <f t="shared" ca="1" si="113"/>
        <v/>
      </c>
      <c r="Q851" s="2"/>
      <c r="R851" s="2"/>
      <c r="S851" s="1" t="str">
        <f t="shared" si="106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107"/>
        <v>0</v>
      </c>
      <c r="W851" s="1" t="str">
        <f t="shared" si="108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customHeight="1" x14ac:dyDescent="0.3">
      <c r="A852" s="2"/>
      <c r="B852" s="65" t="str">
        <f t="shared" si="109"/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 t="shared" si="110"/>
        <v/>
      </c>
      <c r="N852" s="74" t="str">
        <f t="shared" si="111"/>
        <v/>
      </c>
      <c r="O852" s="73" t="str">
        <f t="shared" si="112"/>
        <v/>
      </c>
      <c r="P852" s="65" t="str">
        <f t="shared" ca="1" si="113"/>
        <v/>
      </c>
      <c r="Q852" s="2"/>
      <c r="R852" s="2"/>
      <c r="S852" s="1" t="str">
        <f t="shared" si="106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107"/>
        <v>0</v>
      </c>
      <c r="W852" s="1" t="str">
        <f t="shared" si="108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customHeight="1" x14ac:dyDescent="0.3">
      <c r="A853" s="2"/>
      <c r="B853" s="65" t="str">
        <f t="shared" si="109"/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 t="shared" si="110"/>
        <v/>
      </c>
      <c r="N853" s="74" t="str">
        <f t="shared" si="111"/>
        <v/>
      </c>
      <c r="O853" s="73" t="str">
        <f t="shared" si="112"/>
        <v/>
      </c>
      <c r="P853" s="65" t="str">
        <f t="shared" ca="1" si="113"/>
        <v/>
      </c>
      <c r="Q853" s="2"/>
      <c r="R853" s="2"/>
      <c r="S853" s="1" t="str">
        <f t="shared" si="106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107"/>
        <v>0</v>
      </c>
      <c r="W853" s="1" t="str">
        <f t="shared" si="108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customHeight="1" x14ac:dyDescent="0.3">
      <c r="A854" s="2"/>
      <c r="B854" s="65" t="str">
        <f t="shared" si="109"/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 t="shared" si="110"/>
        <v/>
      </c>
      <c r="N854" s="74" t="str">
        <f t="shared" si="111"/>
        <v/>
      </c>
      <c r="O854" s="73" t="str">
        <f t="shared" si="112"/>
        <v/>
      </c>
      <c r="P854" s="65" t="str">
        <f t="shared" ca="1" si="113"/>
        <v/>
      </c>
      <c r="Q854" s="2"/>
      <c r="R854" s="2"/>
      <c r="S854" s="1" t="str">
        <f t="shared" si="106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107"/>
        <v>0</v>
      </c>
      <c r="W854" s="1" t="str">
        <f t="shared" si="108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customHeight="1" x14ac:dyDescent="0.3">
      <c r="A855" s="2"/>
      <c r="B855" s="65" t="str">
        <f t="shared" si="109"/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 t="shared" si="110"/>
        <v/>
      </c>
      <c r="N855" s="74" t="str">
        <f t="shared" si="111"/>
        <v/>
      </c>
      <c r="O855" s="73" t="str">
        <f t="shared" si="112"/>
        <v/>
      </c>
      <c r="P855" s="65" t="str">
        <f t="shared" ca="1" si="113"/>
        <v/>
      </c>
      <c r="Q855" s="2"/>
      <c r="R855" s="2"/>
      <c r="S855" s="1" t="str">
        <f t="shared" si="106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107"/>
        <v>0</v>
      </c>
      <c r="W855" s="1" t="str">
        <f t="shared" si="108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customHeight="1" x14ac:dyDescent="0.3">
      <c r="A856" s="2"/>
      <c r="B856" s="65" t="str">
        <f t="shared" si="109"/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 t="shared" si="110"/>
        <v/>
      </c>
      <c r="N856" s="74" t="str">
        <f t="shared" si="111"/>
        <v/>
      </c>
      <c r="O856" s="73" t="str">
        <f t="shared" si="112"/>
        <v/>
      </c>
      <c r="P856" s="65" t="str">
        <f t="shared" ca="1" si="113"/>
        <v/>
      </c>
      <c r="Q856" s="2"/>
      <c r="R856" s="2"/>
      <c r="S856" s="1" t="str">
        <f t="shared" si="106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107"/>
        <v>0</v>
      </c>
      <c r="W856" s="1" t="str">
        <f t="shared" si="108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customHeight="1" x14ac:dyDescent="0.3">
      <c r="A857" s="2"/>
      <c r="B857" s="65" t="str">
        <f t="shared" si="109"/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 t="shared" si="110"/>
        <v/>
      </c>
      <c r="N857" s="74" t="str">
        <f t="shared" si="111"/>
        <v/>
      </c>
      <c r="O857" s="73" t="str">
        <f t="shared" si="112"/>
        <v/>
      </c>
      <c r="P857" s="65" t="str">
        <f t="shared" ca="1" si="113"/>
        <v/>
      </c>
      <c r="Q857" s="2"/>
      <c r="R857" s="2"/>
      <c r="S857" s="1" t="str">
        <f t="shared" si="106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107"/>
        <v>0</v>
      </c>
      <c r="W857" s="1" t="str">
        <f t="shared" si="108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customHeight="1" x14ac:dyDescent="0.3">
      <c r="A858" s="2"/>
      <c r="B858" s="65" t="str">
        <f t="shared" si="109"/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 t="shared" si="110"/>
        <v/>
      </c>
      <c r="N858" s="74" t="str">
        <f t="shared" si="111"/>
        <v/>
      </c>
      <c r="O858" s="73" t="str">
        <f t="shared" si="112"/>
        <v/>
      </c>
      <c r="P858" s="65" t="str">
        <f t="shared" ca="1" si="113"/>
        <v/>
      </c>
      <c r="Q858" s="2"/>
      <c r="R858" s="2"/>
      <c r="S858" s="1" t="str">
        <f t="shared" si="106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107"/>
        <v>0</v>
      </c>
      <c r="W858" s="1" t="str">
        <f t="shared" si="108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customHeight="1" x14ac:dyDescent="0.3">
      <c r="A859" s="2"/>
      <c r="B859" s="65" t="str">
        <f t="shared" si="109"/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 t="shared" si="110"/>
        <v/>
      </c>
      <c r="N859" s="74" t="str">
        <f t="shared" si="111"/>
        <v/>
      </c>
      <c r="O859" s="73" t="str">
        <f t="shared" si="112"/>
        <v/>
      </c>
      <c r="P859" s="65" t="str">
        <f t="shared" ca="1" si="113"/>
        <v/>
      </c>
      <c r="Q859" s="2"/>
      <c r="R859" s="2"/>
      <c r="S859" s="1" t="str">
        <f t="shared" si="106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107"/>
        <v>0</v>
      </c>
      <c r="W859" s="1" t="str">
        <f t="shared" si="108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customHeight="1" x14ac:dyDescent="0.3">
      <c r="A860" s="2"/>
      <c r="B860" s="65" t="str">
        <f t="shared" si="109"/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 t="shared" si="110"/>
        <v/>
      </c>
      <c r="N860" s="74" t="str">
        <f t="shared" si="111"/>
        <v/>
      </c>
      <c r="O860" s="73" t="str">
        <f t="shared" si="112"/>
        <v/>
      </c>
      <c r="P860" s="65" t="str">
        <f t="shared" ca="1" si="113"/>
        <v/>
      </c>
      <c r="Q860" s="2"/>
      <c r="R860" s="2"/>
      <c r="S860" s="1" t="str">
        <f t="shared" si="106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107"/>
        <v>0</v>
      </c>
      <c r="W860" s="1" t="str">
        <f t="shared" si="108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customHeight="1" x14ac:dyDescent="0.3">
      <c r="A861" s="2"/>
      <c r="B861" s="65" t="str">
        <f t="shared" si="109"/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 t="shared" si="110"/>
        <v/>
      </c>
      <c r="N861" s="74" t="str">
        <f t="shared" si="111"/>
        <v/>
      </c>
      <c r="O861" s="73" t="str">
        <f t="shared" si="112"/>
        <v/>
      </c>
      <c r="P861" s="65" t="str">
        <f t="shared" ca="1" si="113"/>
        <v/>
      </c>
      <c r="Q861" s="2"/>
      <c r="R861" s="2"/>
      <c r="S861" s="1" t="str">
        <f t="shared" si="106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107"/>
        <v>0</v>
      </c>
      <c r="W861" s="1" t="str">
        <f t="shared" si="108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customHeight="1" x14ac:dyDescent="0.3">
      <c r="A862" s="2"/>
      <c r="B862" s="65" t="str">
        <f t="shared" si="109"/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 t="shared" si="110"/>
        <v/>
      </c>
      <c r="N862" s="74" t="str">
        <f t="shared" si="111"/>
        <v/>
      </c>
      <c r="O862" s="73" t="str">
        <f t="shared" si="112"/>
        <v/>
      </c>
      <c r="P862" s="65" t="str">
        <f t="shared" ca="1" si="113"/>
        <v/>
      </c>
      <c r="Q862" s="2"/>
      <c r="R862" s="2"/>
      <c r="S862" s="1" t="str">
        <f t="shared" si="106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107"/>
        <v>0</v>
      </c>
      <c r="W862" s="1" t="str">
        <f t="shared" si="108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customHeight="1" x14ac:dyDescent="0.3">
      <c r="A863" s="2"/>
      <c r="B863" s="65" t="str">
        <f t="shared" si="109"/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 t="shared" si="110"/>
        <v/>
      </c>
      <c r="N863" s="74" t="str">
        <f t="shared" si="111"/>
        <v/>
      </c>
      <c r="O863" s="73" t="str">
        <f t="shared" si="112"/>
        <v/>
      </c>
      <c r="P863" s="65" t="str">
        <f t="shared" ca="1" si="113"/>
        <v/>
      </c>
      <c r="Q863" s="2"/>
      <c r="R863" s="2"/>
      <c r="S863" s="1" t="str">
        <f t="shared" si="106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107"/>
        <v>0</v>
      </c>
      <c r="W863" s="1" t="str">
        <f t="shared" si="108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customHeight="1" x14ac:dyDescent="0.3">
      <c r="A864" s="2"/>
      <c r="B864" s="65" t="str">
        <f t="shared" si="109"/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 t="shared" si="110"/>
        <v/>
      </c>
      <c r="N864" s="74" t="str">
        <f t="shared" si="111"/>
        <v/>
      </c>
      <c r="O864" s="73" t="str">
        <f t="shared" si="112"/>
        <v/>
      </c>
      <c r="P864" s="65" t="str">
        <f t="shared" ca="1" si="113"/>
        <v/>
      </c>
      <c r="Q864" s="2"/>
      <c r="R864" s="2"/>
      <c r="S864" s="1" t="str">
        <f t="shared" si="106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107"/>
        <v>0</v>
      </c>
      <c r="W864" s="1" t="str">
        <f t="shared" si="108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customHeight="1" x14ac:dyDescent="0.3">
      <c r="A865" s="2"/>
      <c r="B865" s="65" t="str">
        <f t="shared" si="109"/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 t="shared" si="110"/>
        <v/>
      </c>
      <c r="N865" s="74" t="str">
        <f t="shared" si="111"/>
        <v/>
      </c>
      <c r="O865" s="73" t="str">
        <f t="shared" si="112"/>
        <v/>
      </c>
      <c r="P865" s="65" t="str">
        <f t="shared" ca="1" si="113"/>
        <v/>
      </c>
      <c r="Q865" s="2"/>
      <c r="R865" s="2"/>
      <c r="S865" s="1" t="str">
        <f t="shared" si="106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107"/>
        <v>0</v>
      </c>
      <c r="W865" s="1" t="str">
        <f t="shared" si="108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customHeight="1" x14ac:dyDescent="0.3">
      <c r="A866" s="2"/>
      <c r="B866" s="65" t="str">
        <f t="shared" si="109"/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 t="shared" si="110"/>
        <v/>
      </c>
      <c r="N866" s="74" t="str">
        <f t="shared" si="111"/>
        <v/>
      </c>
      <c r="O866" s="73" t="str">
        <f t="shared" si="112"/>
        <v/>
      </c>
      <c r="P866" s="65" t="str">
        <f t="shared" ca="1" si="113"/>
        <v/>
      </c>
      <c r="Q866" s="2"/>
      <c r="R866" s="2"/>
      <c r="S866" s="1" t="str">
        <f t="shared" si="106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107"/>
        <v>0</v>
      </c>
      <c r="W866" s="1" t="str">
        <f t="shared" si="108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customHeight="1" x14ac:dyDescent="0.3">
      <c r="A867" s="2"/>
      <c r="B867" s="65" t="str">
        <f t="shared" si="109"/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 t="shared" si="110"/>
        <v/>
      </c>
      <c r="N867" s="74" t="str">
        <f t="shared" si="111"/>
        <v/>
      </c>
      <c r="O867" s="73" t="str">
        <f t="shared" si="112"/>
        <v/>
      </c>
      <c r="P867" s="65" t="str">
        <f t="shared" ca="1" si="113"/>
        <v/>
      </c>
      <c r="Q867" s="2"/>
      <c r="R867" s="2"/>
      <c r="S867" s="1" t="str">
        <f t="shared" si="106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107"/>
        <v>0</v>
      </c>
      <c r="W867" s="1" t="str">
        <f t="shared" si="108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customHeight="1" x14ac:dyDescent="0.3">
      <c r="A868" s="2"/>
      <c r="B868" s="65" t="str">
        <f t="shared" si="109"/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 t="shared" si="110"/>
        <v/>
      </c>
      <c r="N868" s="74" t="str">
        <f t="shared" si="111"/>
        <v/>
      </c>
      <c r="O868" s="73" t="str">
        <f t="shared" si="112"/>
        <v/>
      </c>
      <c r="P868" s="65" t="str">
        <f t="shared" ca="1" si="113"/>
        <v/>
      </c>
      <c r="Q868" s="2"/>
      <c r="R868" s="2"/>
      <c r="S868" s="1" t="str">
        <f t="shared" si="106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107"/>
        <v>0</v>
      </c>
      <c r="W868" s="1" t="str">
        <f t="shared" si="108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customHeight="1" x14ac:dyDescent="0.3">
      <c r="A869" s="2"/>
      <c r="B869" s="65" t="str">
        <f t="shared" si="109"/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 t="shared" si="110"/>
        <v/>
      </c>
      <c r="N869" s="74" t="str">
        <f t="shared" si="111"/>
        <v/>
      </c>
      <c r="O869" s="73" t="str">
        <f t="shared" si="112"/>
        <v/>
      </c>
      <c r="P869" s="65" t="str">
        <f t="shared" ca="1" si="113"/>
        <v/>
      </c>
      <c r="Q869" s="2"/>
      <c r="R869" s="2"/>
      <c r="S869" s="1" t="str">
        <f t="shared" si="106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107"/>
        <v>0</v>
      </c>
      <c r="W869" s="1" t="str">
        <f t="shared" si="108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customHeight="1" x14ac:dyDescent="0.3">
      <c r="A870" s="2"/>
      <c r="B870" s="65" t="str">
        <f t="shared" si="109"/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 t="shared" si="110"/>
        <v/>
      </c>
      <c r="N870" s="74" t="str">
        <f t="shared" si="111"/>
        <v/>
      </c>
      <c r="O870" s="73" t="str">
        <f t="shared" si="112"/>
        <v/>
      </c>
      <c r="P870" s="65" t="str">
        <f t="shared" ca="1" si="113"/>
        <v/>
      </c>
      <c r="Q870" s="2"/>
      <c r="R870" s="2"/>
      <c r="S870" s="1" t="str">
        <f t="shared" si="106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107"/>
        <v>0</v>
      </c>
      <c r="W870" s="1" t="str">
        <f t="shared" si="108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customHeight="1" x14ac:dyDescent="0.3">
      <c r="A871" s="2"/>
      <c r="B871" s="65" t="str">
        <f t="shared" si="109"/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 t="shared" si="110"/>
        <v/>
      </c>
      <c r="N871" s="74" t="str">
        <f t="shared" si="111"/>
        <v/>
      </c>
      <c r="O871" s="73" t="str">
        <f t="shared" si="112"/>
        <v/>
      </c>
      <c r="P871" s="65" t="str">
        <f t="shared" ca="1" si="113"/>
        <v/>
      </c>
      <c r="Q871" s="2"/>
      <c r="R871" s="2"/>
      <c r="S871" s="1" t="str">
        <f t="shared" si="106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107"/>
        <v>0</v>
      </c>
      <c r="W871" s="1" t="str">
        <f t="shared" si="108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customHeight="1" x14ac:dyDescent="0.3">
      <c r="A872" s="2"/>
      <c r="B872" s="65" t="str">
        <f t="shared" si="109"/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 t="shared" si="110"/>
        <v/>
      </c>
      <c r="N872" s="74" t="str">
        <f t="shared" si="111"/>
        <v/>
      </c>
      <c r="O872" s="73" t="str">
        <f t="shared" si="112"/>
        <v/>
      </c>
      <c r="P872" s="65" t="str">
        <f t="shared" ca="1" si="113"/>
        <v/>
      </c>
      <c r="Q872" s="2"/>
      <c r="R872" s="2"/>
      <c r="S872" s="1" t="str">
        <f t="shared" si="106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107"/>
        <v>0</v>
      </c>
      <c r="W872" s="1" t="str">
        <f t="shared" si="108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customHeight="1" x14ac:dyDescent="0.3">
      <c r="A873" s="2"/>
      <c r="B873" s="65" t="str">
        <f t="shared" si="109"/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 t="shared" si="110"/>
        <v/>
      </c>
      <c r="N873" s="74" t="str">
        <f t="shared" si="111"/>
        <v/>
      </c>
      <c r="O873" s="73" t="str">
        <f t="shared" si="112"/>
        <v/>
      </c>
      <c r="P873" s="65" t="str">
        <f t="shared" ca="1" si="113"/>
        <v/>
      </c>
      <c r="Q873" s="2"/>
      <c r="R873" s="2"/>
      <c r="S873" s="1" t="str">
        <f t="shared" si="106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107"/>
        <v>0</v>
      </c>
      <c r="W873" s="1" t="str">
        <f t="shared" si="108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customHeight="1" x14ac:dyDescent="0.3">
      <c r="A874" s="2"/>
      <c r="B874" s="65" t="str">
        <f t="shared" si="109"/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 t="shared" si="110"/>
        <v/>
      </c>
      <c r="N874" s="74" t="str">
        <f t="shared" si="111"/>
        <v/>
      </c>
      <c r="O874" s="73" t="str">
        <f t="shared" si="112"/>
        <v/>
      </c>
      <c r="P874" s="65" t="str">
        <f t="shared" ca="1" si="113"/>
        <v/>
      </c>
      <c r="Q874" s="2"/>
      <c r="R874" s="2"/>
      <c r="S874" s="1" t="str">
        <f t="shared" si="106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107"/>
        <v>0</v>
      </c>
      <c r="W874" s="1" t="str">
        <f t="shared" si="108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customHeight="1" x14ac:dyDescent="0.3">
      <c r="A875" s="2"/>
      <c r="B875" s="65" t="str">
        <f t="shared" si="109"/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 t="shared" si="110"/>
        <v/>
      </c>
      <c r="N875" s="74" t="str">
        <f t="shared" si="111"/>
        <v/>
      </c>
      <c r="O875" s="73" t="str">
        <f t="shared" si="112"/>
        <v/>
      </c>
      <c r="P875" s="65" t="str">
        <f t="shared" ca="1" si="113"/>
        <v/>
      </c>
      <c r="Q875" s="2"/>
      <c r="R875" s="2"/>
      <c r="S875" s="1" t="str">
        <f t="shared" si="106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107"/>
        <v>0</v>
      </c>
      <c r="W875" s="1" t="str">
        <f t="shared" si="108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customHeight="1" x14ac:dyDescent="0.3">
      <c r="A876" s="2"/>
      <c r="B876" s="65" t="str">
        <f t="shared" si="109"/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 t="shared" si="110"/>
        <v/>
      </c>
      <c r="N876" s="74" t="str">
        <f t="shared" si="111"/>
        <v/>
      </c>
      <c r="O876" s="73" t="str">
        <f t="shared" si="112"/>
        <v/>
      </c>
      <c r="P876" s="65" t="str">
        <f t="shared" ca="1" si="113"/>
        <v/>
      </c>
      <c r="Q876" s="2"/>
      <c r="R876" s="2"/>
      <c r="S876" s="1" t="str">
        <f t="shared" si="106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107"/>
        <v>0</v>
      </c>
      <c r="W876" s="1" t="str">
        <f t="shared" si="108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customHeight="1" x14ac:dyDescent="0.3">
      <c r="A877" s="2"/>
      <c r="B877" s="65" t="str">
        <f t="shared" si="109"/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 t="shared" si="110"/>
        <v/>
      </c>
      <c r="N877" s="74" t="str">
        <f t="shared" si="111"/>
        <v/>
      </c>
      <c r="O877" s="73" t="str">
        <f t="shared" si="112"/>
        <v/>
      </c>
      <c r="P877" s="65" t="str">
        <f t="shared" ca="1" si="113"/>
        <v/>
      </c>
      <c r="Q877" s="2"/>
      <c r="R877" s="2"/>
      <c r="S877" s="1" t="str">
        <f t="shared" si="106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107"/>
        <v>0</v>
      </c>
      <c r="W877" s="1" t="str">
        <f t="shared" si="108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customHeight="1" x14ac:dyDescent="0.3">
      <c r="A878" s="2"/>
      <c r="B878" s="65" t="str">
        <f t="shared" si="109"/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 t="shared" si="110"/>
        <v/>
      </c>
      <c r="N878" s="74" t="str">
        <f t="shared" si="111"/>
        <v/>
      </c>
      <c r="O878" s="73" t="str">
        <f t="shared" si="112"/>
        <v/>
      </c>
      <c r="P878" s="65" t="str">
        <f t="shared" ca="1" si="113"/>
        <v/>
      </c>
      <c r="Q878" s="2"/>
      <c r="R878" s="2"/>
      <c r="S878" s="1" t="str">
        <f t="shared" si="106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107"/>
        <v>0</v>
      </c>
      <c r="W878" s="1" t="str">
        <f t="shared" si="108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customHeight="1" x14ac:dyDescent="0.3">
      <c r="A879" s="2"/>
      <c r="B879" s="65" t="str">
        <f t="shared" si="109"/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 t="shared" si="110"/>
        <v/>
      </c>
      <c r="N879" s="74" t="str">
        <f t="shared" si="111"/>
        <v/>
      </c>
      <c r="O879" s="73" t="str">
        <f t="shared" si="112"/>
        <v/>
      </c>
      <c r="P879" s="65" t="str">
        <f t="shared" ca="1" si="113"/>
        <v/>
      </c>
      <c r="Q879" s="2"/>
      <c r="R879" s="2"/>
      <c r="S879" s="1" t="str">
        <f t="shared" si="106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107"/>
        <v>0</v>
      </c>
      <c r="W879" s="1" t="str">
        <f t="shared" si="108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customHeight="1" x14ac:dyDescent="0.3">
      <c r="A880" s="2"/>
      <c r="B880" s="65" t="str">
        <f t="shared" si="109"/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 t="shared" si="110"/>
        <v/>
      </c>
      <c r="N880" s="74" t="str">
        <f t="shared" si="111"/>
        <v/>
      </c>
      <c r="O880" s="73" t="str">
        <f t="shared" si="112"/>
        <v/>
      </c>
      <c r="P880" s="65" t="str">
        <f t="shared" ca="1" si="113"/>
        <v/>
      </c>
      <c r="Q880" s="2"/>
      <c r="R880" s="2"/>
      <c r="S880" s="1" t="str">
        <f t="shared" si="106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107"/>
        <v>0</v>
      </c>
      <c r="W880" s="1" t="str">
        <f t="shared" si="108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customHeight="1" x14ac:dyDescent="0.3">
      <c r="A881" s="2"/>
      <c r="B881" s="65" t="str">
        <f t="shared" si="109"/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 t="shared" si="110"/>
        <v/>
      </c>
      <c r="N881" s="74" t="str">
        <f t="shared" si="111"/>
        <v/>
      </c>
      <c r="O881" s="73" t="str">
        <f t="shared" si="112"/>
        <v/>
      </c>
      <c r="P881" s="65" t="str">
        <f t="shared" ca="1" si="113"/>
        <v/>
      </c>
      <c r="Q881" s="2"/>
      <c r="R881" s="2"/>
      <c r="S881" s="1" t="str">
        <f t="shared" si="106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107"/>
        <v>0</v>
      </c>
      <c r="W881" s="1" t="str">
        <f t="shared" si="108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customHeight="1" x14ac:dyDescent="0.3">
      <c r="A882" s="2"/>
      <c r="B882" s="65" t="str">
        <f t="shared" si="109"/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 t="shared" si="110"/>
        <v/>
      </c>
      <c r="N882" s="74" t="str">
        <f t="shared" si="111"/>
        <v/>
      </c>
      <c r="O882" s="73" t="str">
        <f t="shared" si="112"/>
        <v/>
      </c>
      <c r="P882" s="65" t="str">
        <f t="shared" ca="1" si="113"/>
        <v/>
      </c>
      <c r="Q882" s="2"/>
      <c r="R882" s="2"/>
      <c r="S882" s="1" t="str">
        <f t="shared" si="106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107"/>
        <v>0</v>
      </c>
      <c r="W882" s="1" t="str">
        <f t="shared" si="108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customHeight="1" x14ac:dyDescent="0.3">
      <c r="A883" s="2"/>
      <c r="B883" s="65" t="str">
        <f t="shared" si="109"/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 t="shared" si="110"/>
        <v/>
      </c>
      <c r="N883" s="74" t="str">
        <f t="shared" si="111"/>
        <v/>
      </c>
      <c r="O883" s="73" t="str">
        <f t="shared" si="112"/>
        <v/>
      </c>
      <c r="P883" s="65" t="str">
        <f t="shared" ca="1" si="113"/>
        <v/>
      </c>
      <c r="Q883" s="2"/>
      <c r="R883" s="2"/>
      <c r="S883" s="1" t="str">
        <f t="shared" si="106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107"/>
        <v>0</v>
      </c>
      <c r="W883" s="1" t="str">
        <f t="shared" si="108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customHeight="1" x14ac:dyDescent="0.3">
      <c r="A884" s="2"/>
      <c r="B884" s="65" t="str">
        <f t="shared" si="109"/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 t="shared" si="110"/>
        <v/>
      </c>
      <c r="N884" s="74" t="str">
        <f t="shared" si="111"/>
        <v/>
      </c>
      <c r="O884" s="73" t="str">
        <f t="shared" si="112"/>
        <v/>
      </c>
      <c r="P884" s="65" t="str">
        <f t="shared" ca="1" si="113"/>
        <v/>
      </c>
      <c r="Q884" s="2"/>
      <c r="R884" s="2"/>
      <c r="S884" s="1" t="str">
        <f t="shared" si="106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107"/>
        <v>0</v>
      </c>
      <c r="W884" s="1" t="str">
        <f t="shared" si="108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customHeight="1" x14ac:dyDescent="0.3">
      <c r="A885" s="2"/>
      <c r="B885" s="65" t="str">
        <f t="shared" si="109"/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 t="shared" si="110"/>
        <v/>
      </c>
      <c r="N885" s="74" t="str">
        <f t="shared" si="111"/>
        <v/>
      </c>
      <c r="O885" s="73" t="str">
        <f t="shared" si="112"/>
        <v/>
      </c>
      <c r="P885" s="65" t="str">
        <f t="shared" ca="1" si="113"/>
        <v/>
      </c>
      <c r="Q885" s="2"/>
      <c r="R885" s="2"/>
      <c r="S885" s="1" t="str">
        <f t="shared" si="106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107"/>
        <v>0</v>
      </c>
      <c r="W885" s="1" t="str">
        <f t="shared" si="108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customHeight="1" x14ac:dyDescent="0.3">
      <c r="A886" s="2"/>
      <c r="B886" s="65" t="str">
        <f t="shared" si="109"/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 t="shared" si="110"/>
        <v/>
      </c>
      <c r="N886" s="74" t="str">
        <f t="shared" si="111"/>
        <v/>
      </c>
      <c r="O886" s="73" t="str">
        <f t="shared" si="112"/>
        <v/>
      </c>
      <c r="P886" s="65" t="str">
        <f t="shared" ca="1" si="113"/>
        <v/>
      </c>
      <c r="Q886" s="2"/>
      <c r="R886" s="2"/>
      <c r="S886" s="1" t="str">
        <f t="shared" si="106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107"/>
        <v>0</v>
      </c>
      <c r="W886" s="1" t="str">
        <f t="shared" si="108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customHeight="1" x14ac:dyDescent="0.3">
      <c r="A887" s="2"/>
      <c r="B887" s="65" t="str">
        <f t="shared" si="109"/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 t="shared" si="110"/>
        <v/>
      </c>
      <c r="N887" s="74" t="str">
        <f t="shared" si="111"/>
        <v/>
      </c>
      <c r="O887" s="73" t="str">
        <f t="shared" si="112"/>
        <v/>
      </c>
      <c r="P887" s="65" t="str">
        <f t="shared" ca="1" si="113"/>
        <v/>
      </c>
      <c r="Q887" s="2"/>
      <c r="R887" s="2"/>
      <c r="S887" s="1" t="str">
        <f t="shared" si="106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107"/>
        <v>0</v>
      </c>
      <c r="W887" s="1" t="str">
        <f t="shared" si="108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customHeight="1" x14ac:dyDescent="0.3">
      <c r="A888" s="2"/>
      <c r="B888" s="65" t="str">
        <f t="shared" si="109"/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 t="shared" si="110"/>
        <v/>
      </c>
      <c r="N888" s="74" t="str">
        <f t="shared" si="111"/>
        <v/>
      </c>
      <c r="O888" s="73" t="str">
        <f t="shared" si="112"/>
        <v/>
      </c>
      <c r="P888" s="65" t="str">
        <f t="shared" ca="1" si="113"/>
        <v/>
      </c>
      <c r="Q888" s="2"/>
      <c r="R888" s="2"/>
      <c r="S888" s="1" t="str">
        <f t="shared" si="106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107"/>
        <v>0</v>
      </c>
      <c r="W888" s="1" t="str">
        <f t="shared" si="108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customHeight="1" x14ac:dyDescent="0.3">
      <c r="A889" s="2"/>
      <c r="B889" s="65" t="str">
        <f t="shared" si="109"/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 t="shared" si="110"/>
        <v/>
      </c>
      <c r="N889" s="74" t="str">
        <f t="shared" si="111"/>
        <v/>
      </c>
      <c r="O889" s="73" t="str">
        <f t="shared" si="112"/>
        <v/>
      </c>
      <c r="P889" s="65" t="str">
        <f t="shared" ca="1" si="113"/>
        <v/>
      </c>
      <c r="Q889" s="2"/>
      <c r="R889" s="2"/>
      <c r="S889" s="1" t="str">
        <f t="shared" si="106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107"/>
        <v>0</v>
      </c>
      <c r="W889" s="1" t="str">
        <f t="shared" si="108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customHeight="1" x14ac:dyDescent="0.3">
      <c r="A890" s="2"/>
      <c r="B890" s="65" t="str">
        <f t="shared" si="109"/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 t="shared" si="110"/>
        <v/>
      </c>
      <c r="N890" s="74" t="str">
        <f t="shared" si="111"/>
        <v/>
      </c>
      <c r="O890" s="73" t="str">
        <f t="shared" si="112"/>
        <v/>
      </c>
      <c r="P890" s="65" t="str">
        <f t="shared" ca="1" si="113"/>
        <v/>
      </c>
      <c r="Q890" s="2"/>
      <c r="R890" s="2"/>
      <c r="S890" s="1" t="str">
        <f t="shared" si="106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107"/>
        <v>0</v>
      </c>
      <c r="W890" s="1" t="str">
        <f t="shared" si="108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customHeight="1" x14ac:dyDescent="0.3">
      <c r="A891" s="2"/>
      <c r="B891" s="65" t="str">
        <f t="shared" si="109"/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 t="shared" si="110"/>
        <v/>
      </c>
      <c r="N891" s="74" t="str">
        <f t="shared" si="111"/>
        <v/>
      </c>
      <c r="O891" s="73" t="str">
        <f t="shared" si="112"/>
        <v/>
      </c>
      <c r="P891" s="65" t="str">
        <f t="shared" ca="1" si="113"/>
        <v/>
      </c>
      <c r="Q891" s="2"/>
      <c r="R891" s="2"/>
      <c r="S891" s="1" t="str">
        <f t="shared" si="106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107"/>
        <v>0</v>
      </c>
      <c r="W891" s="1" t="str">
        <f t="shared" si="108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customHeight="1" x14ac:dyDescent="0.3">
      <c r="A892" s="2"/>
      <c r="B892" s="65" t="str">
        <f t="shared" si="109"/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 t="shared" si="110"/>
        <v/>
      </c>
      <c r="N892" s="74" t="str">
        <f t="shared" si="111"/>
        <v/>
      </c>
      <c r="O892" s="73" t="str">
        <f t="shared" si="112"/>
        <v/>
      </c>
      <c r="P892" s="65" t="str">
        <f t="shared" ca="1" si="113"/>
        <v/>
      </c>
      <c r="Q892" s="2"/>
      <c r="R892" s="2"/>
      <c r="S892" s="1" t="str">
        <f t="shared" si="106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107"/>
        <v>0</v>
      </c>
      <c r="W892" s="1" t="str">
        <f t="shared" si="108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customHeight="1" x14ac:dyDescent="0.3">
      <c r="A893" s="2"/>
      <c r="B893" s="65" t="str">
        <f t="shared" si="109"/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 t="shared" si="110"/>
        <v/>
      </c>
      <c r="N893" s="74" t="str">
        <f t="shared" si="111"/>
        <v/>
      </c>
      <c r="O893" s="73" t="str">
        <f t="shared" si="112"/>
        <v/>
      </c>
      <c r="P893" s="65" t="str">
        <f t="shared" ca="1" si="113"/>
        <v/>
      </c>
      <c r="Q893" s="2"/>
      <c r="R893" s="2"/>
      <c r="S893" s="1" t="str">
        <f t="shared" si="106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107"/>
        <v>0</v>
      </c>
      <c r="W893" s="1" t="str">
        <f t="shared" si="108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customHeight="1" x14ac:dyDescent="0.3">
      <c r="A894" s="2"/>
      <c r="B894" s="65" t="str">
        <f t="shared" si="109"/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 t="shared" si="110"/>
        <v/>
      </c>
      <c r="N894" s="74" t="str">
        <f t="shared" si="111"/>
        <v/>
      </c>
      <c r="O894" s="73" t="str">
        <f t="shared" si="112"/>
        <v/>
      </c>
      <c r="P894" s="65" t="str">
        <f t="shared" ca="1" si="113"/>
        <v/>
      </c>
      <c r="Q894" s="2"/>
      <c r="R894" s="2"/>
      <c r="S894" s="1" t="str">
        <f t="shared" si="106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107"/>
        <v>0</v>
      </c>
      <c r="W894" s="1" t="str">
        <f t="shared" si="108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customHeight="1" x14ac:dyDescent="0.3">
      <c r="A895" s="2"/>
      <c r="B895" s="65" t="str">
        <f t="shared" si="109"/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 t="shared" si="110"/>
        <v/>
      </c>
      <c r="N895" s="74" t="str">
        <f t="shared" si="111"/>
        <v/>
      </c>
      <c r="O895" s="73" t="str">
        <f t="shared" si="112"/>
        <v/>
      </c>
      <c r="P895" s="65" t="str">
        <f t="shared" ca="1" si="113"/>
        <v/>
      </c>
      <c r="Q895" s="2"/>
      <c r="R895" s="2"/>
      <c r="S895" s="1" t="str">
        <f t="shared" si="106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107"/>
        <v>0</v>
      </c>
      <c r="W895" s="1" t="str">
        <f t="shared" si="108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customHeight="1" x14ac:dyDescent="0.3">
      <c r="A896" s="2"/>
      <c r="B896" s="65" t="str">
        <f t="shared" si="109"/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 t="shared" si="110"/>
        <v/>
      </c>
      <c r="N896" s="74" t="str">
        <f t="shared" si="111"/>
        <v/>
      </c>
      <c r="O896" s="73" t="str">
        <f t="shared" si="112"/>
        <v/>
      </c>
      <c r="P896" s="65" t="str">
        <f t="shared" ca="1" si="113"/>
        <v/>
      </c>
      <c r="Q896" s="2"/>
      <c r="R896" s="2"/>
      <c r="S896" s="1" t="str">
        <f t="shared" si="106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107"/>
        <v>0</v>
      </c>
      <c r="W896" s="1" t="str">
        <f t="shared" si="108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customHeight="1" x14ac:dyDescent="0.3">
      <c r="A897" s="2"/>
      <c r="B897" s="65" t="str">
        <f t="shared" si="109"/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 t="shared" si="110"/>
        <v/>
      </c>
      <c r="N897" s="74" t="str">
        <f t="shared" si="111"/>
        <v/>
      </c>
      <c r="O897" s="73" t="str">
        <f t="shared" si="112"/>
        <v/>
      </c>
      <c r="P897" s="65" t="str">
        <f t="shared" ca="1" si="113"/>
        <v/>
      </c>
      <c r="Q897" s="2"/>
      <c r="R897" s="2"/>
      <c r="S897" s="1" t="str">
        <f t="shared" si="106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107"/>
        <v>0</v>
      </c>
      <c r="W897" s="1" t="str">
        <f t="shared" si="108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customHeight="1" x14ac:dyDescent="0.3">
      <c r="A898" s="2"/>
      <c r="B898" s="65" t="str">
        <f t="shared" si="109"/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 t="shared" si="110"/>
        <v/>
      </c>
      <c r="N898" s="74" t="str">
        <f t="shared" si="111"/>
        <v/>
      </c>
      <c r="O898" s="73" t="str">
        <f t="shared" si="112"/>
        <v/>
      </c>
      <c r="P898" s="65" t="str">
        <f t="shared" ca="1" si="113"/>
        <v/>
      </c>
      <c r="Q898" s="2"/>
      <c r="R898" s="2"/>
      <c r="S898" s="1" t="str">
        <f t="shared" si="106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107"/>
        <v>0</v>
      </c>
      <c r="W898" s="1" t="str">
        <f t="shared" si="108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customHeight="1" x14ac:dyDescent="0.3">
      <c r="A899" s="2"/>
      <c r="B899" s="65" t="str">
        <f t="shared" si="109"/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 t="shared" si="110"/>
        <v/>
      </c>
      <c r="N899" s="74" t="str">
        <f t="shared" si="111"/>
        <v/>
      </c>
      <c r="O899" s="73" t="str">
        <f t="shared" si="112"/>
        <v/>
      </c>
      <c r="P899" s="65" t="str">
        <f t="shared" ca="1" si="113"/>
        <v/>
      </c>
      <c r="Q899" s="2"/>
      <c r="R899" s="2"/>
      <c r="S899" s="1" t="str">
        <f t="shared" si="106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107"/>
        <v>0</v>
      </c>
      <c r="W899" s="1" t="str">
        <f t="shared" si="108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customHeight="1" x14ac:dyDescent="0.3">
      <c r="A900" s="2"/>
      <c r="B900" s="65" t="str">
        <f t="shared" si="109"/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 t="shared" si="110"/>
        <v/>
      </c>
      <c r="N900" s="74" t="str">
        <f t="shared" si="111"/>
        <v/>
      </c>
      <c r="O900" s="73" t="str">
        <f t="shared" si="112"/>
        <v/>
      </c>
      <c r="P900" s="65" t="str">
        <f t="shared" ca="1" si="113"/>
        <v/>
      </c>
      <c r="Q900" s="2"/>
      <c r="R900" s="2"/>
      <c r="S900" s="1" t="str">
        <f t="shared" si="106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107"/>
        <v>0</v>
      </c>
      <c r="W900" s="1" t="str">
        <f t="shared" si="108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customHeight="1" x14ac:dyDescent="0.3">
      <c r="A901" s="2"/>
      <c r="B901" s="65" t="str">
        <f t="shared" si="109"/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 t="shared" si="110"/>
        <v/>
      </c>
      <c r="N901" s="74" t="str">
        <f t="shared" si="111"/>
        <v/>
      </c>
      <c r="O901" s="73" t="str">
        <f t="shared" si="112"/>
        <v/>
      </c>
      <c r="P901" s="65" t="str">
        <f t="shared" ca="1" si="113"/>
        <v/>
      </c>
      <c r="Q901" s="2"/>
      <c r="R901" s="2"/>
      <c r="S901" s="1" t="str">
        <f t="shared" ref="S901:S964" si="114"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ref="V901:V964" si="115">IF($T901="",0,1)</f>
        <v>0</v>
      </c>
      <c r="W901" s="1" t="str">
        <f t="shared" ref="W901:W964" si="116">IF($C901="","",$D901&amp;"|"&amp;$E901&amp;"|"&amp;TEXT($C901,"0")&amp;"|"&amp;TEXT($G901,"0")&amp;"|"&amp;$F901&amp;"|"&amp;$J901)</f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customHeight="1" x14ac:dyDescent="0.3">
      <c r="A902" s="2"/>
      <c r="B902" s="65" t="str">
        <f t="shared" si="109"/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 t="shared" si="110"/>
        <v/>
      </c>
      <c r="N902" s="74" t="str">
        <f t="shared" si="111"/>
        <v/>
      </c>
      <c r="O902" s="73" t="str">
        <f t="shared" si="112"/>
        <v/>
      </c>
      <c r="P902" s="65" t="str">
        <f t="shared" ca="1" si="113"/>
        <v/>
      </c>
      <c r="Q902" s="2"/>
      <c r="R902" s="2"/>
      <c r="S902" s="1" t="str">
        <f t="shared" si="114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115"/>
        <v>0</v>
      </c>
      <c r="W902" s="1" t="str">
        <f t="shared" si="116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customHeight="1" x14ac:dyDescent="0.3">
      <c r="A903" s="2"/>
      <c r="B903" s="65" t="str">
        <f t="shared" ref="B903:B966" si="117"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 t="shared" ref="M903:M966" si="118">IF($C903="","",IF($D903="Gider",$E903,IF($L903&lt;&gt;"",$L903,$H903)))</f>
        <v/>
      </c>
      <c r="N903" s="74" t="str">
        <f t="shared" ref="N903:N966" si="119">IF($C903="","",IF($D903="Gider",$H903,$E903))</f>
        <v/>
      </c>
      <c r="O903" s="73" t="str">
        <f t="shared" ref="O903:O966" si="120">IF($C903="","",DATE(YEAR($C903),MONTH($C903),1))</f>
        <v/>
      </c>
      <c r="P903" s="65" t="str">
        <f t="shared" ref="P903:P966" ca="1" si="121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TARİH",IF(COUNTIF($W$7:$W$3001,$W903)&gt;1,"MÜKERRER?",IF($AD903&gt;0,"KAPALI DÖNEM",IF($I903="Hayır","ÖDENECEK","UYGUN")))),"EKSİK"))))</f>
        <v/>
      </c>
      <c r="Q903" s="2"/>
      <c r="R903" s="2"/>
      <c r="S903" s="1" t="str">
        <f t="shared" si="114"/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si="115"/>
        <v>0</v>
      </c>
      <c r="W903" s="1" t="str">
        <f t="shared" si="116"/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customHeight="1" x14ac:dyDescent="0.3">
      <c r="A904" s="2"/>
      <c r="B904" s="65" t="str">
        <f t="shared" si="117"/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 t="shared" si="118"/>
        <v/>
      </c>
      <c r="N904" s="74" t="str">
        <f t="shared" si="119"/>
        <v/>
      </c>
      <c r="O904" s="73" t="str">
        <f t="shared" si="120"/>
        <v/>
      </c>
      <c r="P904" s="65" t="str">
        <f t="shared" ca="1" si="121"/>
        <v/>
      </c>
      <c r="Q904" s="2"/>
      <c r="R904" s="2"/>
      <c r="S904" s="1" t="str">
        <f t="shared" si="114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115"/>
        <v>0</v>
      </c>
      <c r="W904" s="1" t="str">
        <f t="shared" si="116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customHeight="1" x14ac:dyDescent="0.3">
      <c r="A905" s="2"/>
      <c r="B905" s="65" t="str">
        <f t="shared" si="117"/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 t="shared" si="118"/>
        <v/>
      </c>
      <c r="N905" s="74" t="str">
        <f t="shared" si="119"/>
        <v/>
      </c>
      <c r="O905" s="73" t="str">
        <f t="shared" si="120"/>
        <v/>
      </c>
      <c r="P905" s="65" t="str">
        <f t="shared" ca="1" si="121"/>
        <v/>
      </c>
      <c r="Q905" s="2"/>
      <c r="R905" s="2"/>
      <c r="S905" s="1" t="str">
        <f t="shared" si="114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115"/>
        <v>0</v>
      </c>
      <c r="W905" s="1" t="str">
        <f t="shared" si="116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customHeight="1" x14ac:dyDescent="0.3">
      <c r="A906" s="2"/>
      <c r="B906" s="65" t="str">
        <f t="shared" si="117"/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 t="shared" si="118"/>
        <v/>
      </c>
      <c r="N906" s="74" t="str">
        <f t="shared" si="119"/>
        <v/>
      </c>
      <c r="O906" s="73" t="str">
        <f t="shared" si="120"/>
        <v/>
      </c>
      <c r="P906" s="65" t="str">
        <f t="shared" ca="1" si="121"/>
        <v/>
      </c>
      <c r="Q906" s="2"/>
      <c r="R906" s="2"/>
      <c r="S906" s="1" t="str">
        <f t="shared" si="114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115"/>
        <v>0</v>
      </c>
      <c r="W906" s="1" t="str">
        <f t="shared" si="116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customHeight="1" x14ac:dyDescent="0.3">
      <c r="A907" s="2"/>
      <c r="B907" s="65" t="str">
        <f t="shared" si="117"/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 t="shared" si="118"/>
        <v/>
      </c>
      <c r="N907" s="74" t="str">
        <f t="shared" si="119"/>
        <v/>
      </c>
      <c r="O907" s="73" t="str">
        <f t="shared" si="120"/>
        <v/>
      </c>
      <c r="P907" s="65" t="str">
        <f t="shared" ca="1" si="121"/>
        <v/>
      </c>
      <c r="Q907" s="2"/>
      <c r="R907" s="2"/>
      <c r="S907" s="1" t="str">
        <f t="shared" si="114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115"/>
        <v>0</v>
      </c>
      <c r="W907" s="1" t="str">
        <f t="shared" si="116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customHeight="1" x14ac:dyDescent="0.3">
      <c r="A908" s="2"/>
      <c r="B908" s="65" t="str">
        <f t="shared" si="117"/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 t="shared" si="118"/>
        <v/>
      </c>
      <c r="N908" s="74" t="str">
        <f t="shared" si="119"/>
        <v/>
      </c>
      <c r="O908" s="73" t="str">
        <f t="shared" si="120"/>
        <v/>
      </c>
      <c r="P908" s="65" t="str">
        <f t="shared" ca="1" si="121"/>
        <v/>
      </c>
      <c r="Q908" s="2"/>
      <c r="R908" s="2"/>
      <c r="S908" s="1" t="str">
        <f t="shared" si="114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115"/>
        <v>0</v>
      </c>
      <c r="W908" s="1" t="str">
        <f t="shared" si="116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customHeight="1" x14ac:dyDescent="0.3">
      <c r="A909" s="2"/>
      <c r="B909" s="65" t="str">
        <f t="shared" si="117"/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 t="shared" si="118"/>
        <v/>
      </c>
      <c r="N909" s="74" t="str">
        <f t="shared" si="119"/>
        <v/>
      </c>
      <c r="O909" s="73" t="str">
        <f t="shared" si="120"/>
        <v/>
      </c>
      <c r="P909" s="65" t="str">
        <f t="shared" ca="1" si="121"/>
        <v/>
      </c>
      <c r="Q909" s="2"/>
      <c r="R909" s="2"/>
      <c r="S909" s="1" t="str">
        <f t="shared" si="114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115"/>
        <v>0</v>
      </c>
      <c r="W909" s="1" t="str">
        <f t="shared" si="116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customHeight="1" x14ac:dyDescent="0.3">
      <c r="A910" s="2"/>
      <c r="B910" s="65" t="str">
        <f t="shared" si="117"/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 t="shared" si="118"/>
        <v/>
      </c>
      <c r="N910" s="74" t="str">
        <f t="shared" si="119"/>
        <v/>
      </c>
      <c r="O910" s="73" t="str">
        <f t="shared" si="120"/>
        <v/>
      </c>
      <c r="P910" s="65" t="str">
        <f t="shared" ca="1" si="121"/>
        <v/>
      </c>
      <c r="Q910" s="2"/>
      <c r="R910" s="2"/>
      <c r="S910" s="1" t="str">
        <f t="shared" si="114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115"/>
        <v>0</v>
      </c>
      <c r="W910" s="1" t="str">
        <f t="shared" si="116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customHeight="1" x14ac:dyDescent="0.3">
      <c r="A911" s="2"/>
      <c r="B911" s="65" t="str">
        <f t="shared" si="117"/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 t="shared" si="118"/>
        <v/>
      </c>
      <c r="N911" s="74" t="str">
        <f t="shared" si="119"/>
        <v/>
      </c>
      <c r="O911" s="73" t="str">
        <f t="shared" si="120"/>
        <v/>
      </c>
      <c r="P911" s="65" t="str">
        <f t="shared" ca="1" si="121"/>
        <v/>
      </c>
      <c r="Q911" s="2"/>
      <c r="R911" s="2"/>
      <c r="S911" s="1" t="str">
        <f t="shared" si="114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115"/>
        <v>0</v>
      </c>
      <c r="W911" s="1" t="str">
        <f t="shared" si="116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customHeight="1" x14ac:dyDescent="0.3">
      <c r="A912" s="2"/>
      <c r="B912" s="65" t="str">
        <f t="shared" si="117"/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 t="shared" si="118"/>
        <v/>
      </c>
      <c r="N912" s="74" t="str">
        <f t="shared" si="119"/>
        <v/>
      </c>
      <c r="O912" s="73" t="str">
        <f t="shared" si="120"/>
        <v/>
      </c>
      <c r="P912" s="65" t="str">
        <f t="shared" ca="1" si="121"/>
        <v/>
      </c>
      <c r="Q912" s="2"/>
      <c r="R912" s="2"/>
      <c r="S912" s="1" t="str">
        <f t="shared" si="114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115"/>
        <v>0</v>
      </c>
      <c r="W912" s="1" t="str">
        <f t="shared" si="116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customHeight="1" x14ac:dyDescent="0.3">
      <c r="A913" s="2"/>
      <c r="B913" s="65" t="str">
        <f t="shared" si="117"/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 t="shared" si="118"/>
        <v/>
      </c>
      <c r="N913" s="74" t="str">
        <f t="shared" si="119"/>
        <v/>
      </c>
      <c r="O913" s="73" t="str">
        <f t="shared" si="120"/>
        <v/>
      </c>
      <c r="P913" s="65" t="str">
        <f t="shared" ca="1" si="121"/>
        <v/>
      </c>
      <c r="Q913" s="2"/>
      <c r="R913" s="2"/>
      <c r="S913" s="1" t="str">
        <f t="shared" si="114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115"/>
        <v>0</v>
      </c>
      <c r="W913" s="1" t="str">
        <f t="shared" si="116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customHeight="1" x14ac:dyDescent="0.3">
      <c r="A914" s="2"/>
      <c r="B914" s="65" t="str">
        <f t="shared" si="117"/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 t="shared" si="118"/>
        <v/>
      </c>
      <c r="N914" s="74" t="str">
        <f t="shared" si="119"/>
        <v/>
      </c>
      <c r="O914" s="73" t="str">
        <f t="shared" si="120"/>
        <v/>
      </c>
      <c r="P914" s="65" t="str">
        <f t="shared" ca="1" si="121"/>
        <v/>
      </c>
      <c r="Q914" s="2"/>
      <c r="R914" s="2"/>
      <c r="S914" s="1" t="str">
        <f t="shared" si="114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115"/>
        <v>0</v>
      </c>
      <c r="W914" s="1" t="str">
        <f t="shared" si="116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customHeight="1" x14ac:dyDescent="0.3">
      <c r="A915" s="2"/>
      <c r="B915" s="65" t="str">
        <f t="shared" si="117"/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 t="shared" si="118"/>
        <v/>
      </c>
      <c r="N915" s="74" t="str">
        <f t="shared" si="119"/>
        <v/>
      </c>
      <c r="O915" s="73" t="str">
        <f t="shared" si="120"/>
        <v/>
      </c>
      <c r="P915" s="65" t="str">
        <f t="shared" ca="1" si="121"/>
        <v/>
      </c>
      <c r="Q915" s="2"/>
      <c r="R915" s="2"/>
      <c r="S915" s="1" t="str">
        <f t="shared" si="114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115"/>
        <v>0</v>
      </c>
      <c r="W915" s="1" t="str">
        <f t="shared" si="116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customHeight="1" x14ac:dyDescent="0.3">
      <c r="A916" s="2"/>
      <c r="B916" s="65" t="str">
        <f t="shared" si="117"/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 t="shared" si="118"/>
        <v/>
      </c>
      <c r="N916" s="74" t="str">
        <f t="shared" si="119"/>
        <v/>
      </c>
      <c r="O916" s="73" t="str">
        <f t="shared" si="120"/>
        <v/>
      </c>
      <c r="P916" s="65" t="str">
        <f t="shared" ca="1" si="121"/>
        <v/>
      </c>
      <c r="Q916" s="2"/>
      <c r="R916" s="2"/>
      <c r="S916" s="1" t="str">
        <f t="shared" si="114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115"/>
        <v>0</v>
      </c>
      <c r="W916" s="1" t="str">
        <f t="shared" si="116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customHeight="1" x14ac:dyDescent="0.3">
      <c r="A917" s="2"/>
      <c r="B917" s="65" t="str">
        <f t="shared" si="117"/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 t="shared" si="118"/>
        <v/>
      </c>
      <c r="N917" s="74" t="str">
        <f t="shared" si="119"/>
        <v/>
      </c>
      <c r="O917" s="73" t="str">
        <f t="shared" si="120"/>
        <v/>
      </c>
      <c r="P917" s="65" t="str">
        <f t="shared" ca="1" si="121"/>
        <v/>
      </c>
      <c r="Q917" s="2"/>
      <c r="R917" s="2"/>
      <c r="S917" s="1" t="str">
        <f t="shared" si="114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115"/>
        <v>0</v>
      </c>
      <c r="W917" s="1" t="str">
        <f t="shared" si="116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customHeight="1" x14ac:dyDescent="0.3">
      <c r="A918" s="2"/>
      <c r="B918" s="65" t="str">
        <f t="shared" si="117"/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 t="shared" si="118"/>
        <v/>
      </c>
      <c r="N918" s="74" t="str">
        <f t="shared" si="119"/>
        <v/>
      </c>
      <c r="O918" s="73" t="str">
        <f t="shared" si="120"/>
        <v/>
      </c>
      <c r="P918" s="65" t="str">
        <f t="shared" ca="1" si="121"/>
        <v/>
      </c>
      <c r="Q918" s="2"/>
      <c r="R918" s="2"/>
      <c r="S918" s="1" t="str">
        <f t="shared" si="114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115"/>
        <v>0</v>
      </c>
      <c r="W918" s="1" t="str">
        <f t="shared" si="116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customHeight="1" x14ac:dyDescent="0.3">
      <c r="A919" s="2"/>
      <c r="B919" s="65" t="str">
        <f t="shared" si="117"/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 t="shared" si="118"/>
        <v/>
      </c>
      <c r="N919" s="74" t="str">
        <f t="shared" si="119"/>
        <v/>
      </c>
      <c r="O919" s="73" t="str">
        <f t="shared" si="120"/>
        <v/>
      </c>
      <c r="P919" s="65" t="str">
        <f t="shared" ca="1" si="121"/>
        <v/>
      </c>
      <c r="Q919" s="2"/>
      <c r="R919" s="2"/>
      <c r="S919" s="1" t="str">
        <f t="shared" si="114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115"/>
        <v>0</v>
      </c>
      <c r="W919" s="1" t="str">
        <f t="shared" si="116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customHeight="1" x14ac:dyDescent="0.3">
      <c r="A920" s="2"/>
      <c r="B920" s="65" t="str">
        <f t="shared" si="117"/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 t="shared" si="118"/>
        <v/>
      </c>
      <c r="N920" s="74" t="str">
        <f t="shared" si="119"/>
        <v/>
      </c>
      <c r="O920" s="73" t="str">
        <f t="shared" si="120"/>
        <v/>
      </c>
      <c r="P920" s="65" t="str">
        <f t="shared" ca="1" si="121"/>
        <v/>
      </c>
      <c r="Q920" s="2"/>
      <c r="R920" s="2"/>
      <c r="S920" s="1" t="str">
        <f t="shared" si="114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115"/>
        <v>0</v>
      </c>
      <c r="W920" s="1" t="str">
        <f t="shared" si="116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customHeight="1" x14ac:dyDescent="0.3">
      <c r="A921" s="2"/>
      <c r="B921" s="65" t="str">
        <f t="shared" si="117"/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 t="shared" si="118"/>
        <v/>
      </c>
      <c r="N921" s="74" t="str">
        <f t="shared" si="119"/>
        <v/>
      </c>
      <c r="O921" s="73" t="str">
        <f t="shared" si="120"/>
        <v/>
      </c>
      <c r="P921" s="65" t="str">
        <f t="shared" ca="1" si="121"/>
        <v/>
      </c>
      <c r="Q921" s="2"/>
      <c r="R921" s="2"/>
      <c r="S921" s="1" t="str">
        <f t="shared" si="114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115"/>
        <v>0</v>
      </c>
      <c r="W921" s="1" t="str">
        <f t="shared" si="116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customHeight="1" x14ac:dyDescent="0.3">
      <c r="A922" s="2"/>
      <c r="B922" s="65" t="str">
        <f t="shared" si="117"/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 t="shared" si="118"/>
        <v/>
      </c>
      <c r="N922" s="74" t="str">
        <f t="shared" si="119"/>
        <v/>
      </c>
      <c r="O922" s="73" t="str">
        <f t="shared" si="120"/>
        <v/>
      </c>
      <c r="P922" s="65" t="str">
        <f t="shared" ca="1" si="121"/>
        <v/>
      </c>
      <c r="Q922" s="2"/>
      <c r="R922" s="2"/>
      <c r="S922" s="1" t="str">
        <f t="shared" si="114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115"/>
        <v>0</v>
      </c>
      <c r="W922" s="1" t="str">
        <f t="shared" si="116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customHeight="1" x14ac:dyDescent="0.3">
      <c r="A923" s="2"/>
      <c r="B923" s="65" t="str">
        <f t="shared" si="117"/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 t="shared" si="118"/>
        <v/>
      </c>
      <c r="N923" s="74" t="str">
        <f t="shared" si="119"/>
        <v/>
      </c>
      <c r="O923" s="73" t="str">
        <f t="shared" si="120"/>
        <v/>
      </c>
      <c r="P923" s="65" t="str">
        <f t="shared" ca="1" si="121"/>
        <v/>
      </c>
      <c r="Q923" s="2"/>
      <c r="R923" s="2"/>
      <c r="S923" s="1" t="str">
        <f t="shared" si="114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115"/>
        <v>0</v>
      </c>
      <c r="W923" s="1" t="str">
        <f t="shared" si="116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customHeight="1" x14ac:dyDescent="0.3">
      <c r="A924" s="2"/>
      <c r="B924" s="65" t="str">
        <f t="shared" si="117"/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 t="shared" si="118"/>
        <v/>
      </c>
      <c r="N924" s="74" t="str">
        <f t="shared" si="119"/>
        <v/>
      </c>
      <c r="O924" s="73" t="str">
        <f t="shared" si="120"/>
        <v/>
      </c>
      <c r="P924" s="65" t="str">
        <f t="shared" ca="1" si="121"/>
        <v/>
      </c>
      <c r="Q924" s="2"/>
      <c r="R924" s="2"/>
      <c r="S924" s="1" t="str">
        <f t="shared" si="114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115"/>
        <v>0</v>
      </c>
      <c r="W924" s="1" t="str">
        <f t="shared" si="116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customHeight="1" x14ac:dyDescent="0.3">
      <c r="A925" s="2"/>
      <c r="B925" s="65" t="str">
        <f t="shared" si="117"/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 t="shared" si="118"/>
        <v/>
      </c>
      <c r="N925" s="74" t="str">
        <f t="shared" si="119"/>
        <v/>
      </c>
      <c r="O925" s="73" t="str">
        <f t="shared" si="120"/>
        <v/>
      </c>
      <c r="P925" s="65" t="str">
        <f t="shared" ca="1" si="121"/>
        <v/>
      </c>
      <c r="Q925" s="2"/>
      <c r="R925" s="2"/>
      <c r="S925" s="1" t="str">
        <f t="shared" si="114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115"/>
        <v>0</v>
      </c>
      <c r="W925" s="1" t="str">
        <f t="shared" si="116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customHeight="1" x14ac:dyDescent="0.3">
      <c r="A926" s="2"/>
      <c r="B926" s="65" t="str">
        <f t="shared" si="117"/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 t="shared" si="118"/>
        <v/>
      </c>
      <c r="N926" s="74" t="str">
        <f t="shared" si="119"/>
        <v/>
      </c>
      <c r="O926" s="73" t="str">
        <f t="shared" si="120"/>
        <v/>
      </c>
      <c r="P926" s="65" t="str">
        <f t="shared" ca="1" si="121"/>
        <v/>
      </c>
      <c r="Q926" s="2"/>
      <c r="R926" s="2"/>
      <c r="S926" s="1" t="str">
        <f t="shared" si="114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115"/>
        <v>0</v>
      </c>
      <c r="W926" s="1" t="str">
        <f t="shared" si="116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customHeight="1" x14ac:dyDescent="0.3">
      <c r="A927" s="2"/>
      <c r="B927" s="65" t="str">
        <f t="shared" si="117"/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 t="shared" si="118"/>
        <v/>
      </c>
      <c r="N927" s="74" t="str">
        <f t="shared" si="119"/>
        <v/>
      </c>
      <c r="O927" s="73" t="str">
        <f t="shared" si="120"/>
        <v/>
      </c>
      <c r="P927" s="65" t="str">
        <f t="shared" ca="1" si="121"/>
        <v/>
      </c>
      <c r="Q927" s="2"/>
      <c r="R927" s="2"/>
      <c r="S927" s="1" t="str">
        <f t="shared" si="114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115"/>
        <v>0</v>
      </c>
      <c r="W927" s="1" t="str">
        <f t="shared" si="116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customHeight="1" x14ac:dyDescent="0.3">
      <c r="A928" s="2"/>
      <c r="B928" s="65" t="str">
        <f t="shared" si="117"/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 t="shared" si="118"/>
        <v/>
      </c>
      <c r="N928" s="74" t="str">
        <f t="shared" si="119"/>
        <v/>
      </c>
      <c r="O928" s="73" t="str">
        <f t="shared" si="120"/>
        <v/>
      </c>
      <c r="P928" s="65" t="str">
        <f t="shared" ca="1" si="121"/>
        <v/>
      </c>
      <c r="Q928" s="2"/>
      <c r="R928" s="2"/>
      <c r="S928" s="1" t="str">
        <f t="shared" si="114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115"/>
        <v>0</v>
      </c>
      <c r="W928" s="1" t="str">
        <f t="shared" si="116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customHeight="1" x14ac:dyDescent="0.3">
      <c r="A929" s="2"/>
      <c r="B929" s="65" t="str">
        <f t="shared" si="117"/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 t="shared" si="118"/>
        <v/>
      </c>
      <c r="N929" s="74" t="str">
        <f t="shared" si="119"/>
        <v/>
      </c>
      <c r="O929" s="73" t="str">
        <f t="shared" si="120"/>
        <v/>
      </c>
      <c r="P929" s="65" t="str">
        <f t="shared" ca="1" si="121"/>
        <v/>
      </c>
      <c r="Q929" s="2"/>
      <c r="R929" s="2"/>
      <c r="S929" s="1" t="str">
        <f t="shared" si="114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115"/>
        <v>0</v>
      </c>
      <c r="W929" s="1" t="str">
        <f t="shared" si="116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customHeight="1" x14ac:dyDescent="0.3">
      <c r="A930" s="2"/>
      <c r="B930" s="65" t="str">
        <f t="shared" si="117"/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 t="shared" si="118"/>
        <v/>
      </c>
      <c r="N930" s="74" t="str">
        <f t="shared" si="119"/>
        <v/>
      </c>
      <c r="O930" s="73" t="str">
        <f t="shared" si="120"/>
        <v/>
      </c>
      <c r="P930" s="65" t="str">
        <f t="shared" ca="1" si="121"/>
        <v/>
      </c>
      <c r="Q930" s="2"/>
      <c r="R930" s="2"/>
      <c r="S930" s="1" t="str">
        <f t="shared" si="114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115"/>
        <v>0</v>
      </c>
      <c r="W930" s="1" t="str">
        <f t="shared" si="116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customHeight="1" x14ac:dyDescent="0.3">
      <c r="A931" s="2"/>
      <c r="B931" s="65" t="str">
        <f t="shared" si="117"/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 t="shared" si="118"/>
        <v/>
      </c>
      <c r="N931" s="74" t="str">
        <f t="shared" si="119"/>
        <v/>
      </c>
      <c r="O931" s="73" t="str">
        <f t="shared" si="120"/>
        <v/>
      </c>
      <c r="P931" s="65" t="str">
        <f t="shared" ca="1" si="121"/>
        <v/>
      </c>
      <c r="Q931" s="2"/>
      <c r="R931" s="2"/>
      <c r="S931" s="1" t="str">
        <f t="shared" si="114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115"/>
        <v>0</v>
      </c>
      <c r="W931" s="1" t="str">
        <f t="shared" si="116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customHeight="1" x14ac:dyDescent="0.3">
      <c r="A932" s="2"/>
      <c r="B932" s="65" t="str">
        <f t="shared" si="117"/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 t="shared" si="118"/>
        <v/>
      </c>
      <c r="N932" s="74" t="str">
        <f t="shared" si="119"/>
        <v/>
      </c>
      <c r="O932" s="73" t="str">
        <f t="shared" si="120"/>
        <v/>
      </c>
      <c r="P932" s="65" t="str">
        <f t="shared" ca="1" si="121"/>
        <v/>
      </c>
      <c r="Q932" s="2"/>
      <c r="R932" s="2"/>
      <c r="S932" s="1" t="str">
        <f t="shared" si="114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115"/>
        <v>0</v>
      </c>
      <c r="W932" s="1" t="str">
        <f t="shared" si="116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customHeight="1" x14ac:dyDescent="0.3">
      <c r="A933" s="2"/>
      <c r="B933" s="65" t="str">
        <f t="shared" si="117"/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 t="shared" si="118"/>
        <v/>
      </c>
      <c r="N933" s="74" t="str">
        <f t="shared" si="119"/>
        <v/>
      </c>
      <c r="O933" s="73" t="str">
        <f t="shared" si="120"/>
        <v/>
      </c>
      <c r="P933" s="65" t="str">
        <f t="shared" ca="1" si="121"/>
        <v/>
      </c>
      <c r="Q933" s="2"/>
      <c r="R933" s="2"/>
      <c r="S933" s="1" t="str">
        <f t="shared" si="114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115"/>
        <v>0</v>
      </c>
      <c r="W933" s="1" t="str">
        <f t="shared" si="116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customHeight="1" x14ac:dyDescent="0.3">
      <c r="A934" s="2"/>
      <c r="B934" s="65" t="str">
        <f t="shared" si="117"/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 t="shared" si="118"/>
        <v/>
      </c>
      <c r="N934" s="74" t="str">
        <f t="shared" si="119"/>
        <v/>
      </c>
      <c r="O934" s="73" t="str">
        <f t="shared" si="120"/>
        <v/>
      </c>
      <c r="P934" s="65" t="str">
        <f t="shared" ca="1" si="121"/>
        <v/>
      </c>
      <c r="Q934" s="2"/>
      <c r="R934" s="2"/>
      <c r="S934" s="1" t="str">
        <f t="shared" si="114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115"/>
        <v>0</v>
      </c>
      <c r="W934" s="1" t="str">
        <f t="shared" si="116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customHeight="1" x14ac:dyDescent="0.3">
      <c r="A935" s="2"/>
      <c r="B935" s="65" t="str">
        <f t="shared" si="117"/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 t="shared" si="118"/>
        <v/>
      </c>
      <c r="N935" s="74" t="str">
        <f t="shared" si="119"/>
        <v/>
      </c>
      <c r="O935" s="73" t="str">
        <f t="shared" si="120"/>
        <v/>
      </c>
      <c r="P935" s="65" t="str">
        <f t="shared" ca="1" si="121"/>
        <v/>
      </c>
      <c r="Q935" s="2"/>
      <c r="R935" s="2"/>
      <c r="S935" s="1" t="str">
        <f t="shared" si="114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115"/>
        <v>0</v>
      </c>
      <c r="W935" s="1" t="str">
        <f t="shared" si="116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customHeight="1" x14ac:dyDescent="0.3">
      <c r="A936" s="2"/>
      <c r="B936" s="65" t="str">
        <f t="shared" si="117"/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 t="shared" si="118"/>
        <v/>
      </c>
      <c r="N936" s="74" t="str">
        <f t="shared" si="119"/>
        <v/>
      </c>
      <c r="O936" s="73" t="str">
        <f t="shared" si="120"/>
        <v/>
      </c>
      <c r="P936" s="65" t="str">
        <f t="shared" ca="1" si="121"/>
        <v/>
      </c>
      <c r="Q936" s="2"/>
      <c r="R936" s="2"/>
      <c r="S936" s="1" t="str">
        <f t="shared" si="114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115"/>
        <v>0</v>
      </c>
      <c r="W936" s="1" t="str">
        <f t="shared" si="116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customHeight="1" x14ac:dyDescent="0.3">
      <c r="A937" s="2"/>
      <c r="B937" s="65" t="str">
        <f t="shared" si="117"/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 t="shared" si="118"/>
        <v/>
      </c>
      <c r="N937" s="74" t="str">
        <f t="shared" si="119"/>
        <v/>
      </c>
      <c r="O937" s="73" t="str">
        <f t="shared" si="120"/>
        <v/>
      </c>
      <c r="P937" s="65" t="str">
        <f t="shared" ca="1" si="121"/>
        <v/>
      </c>
      <c r="Q937" s="2"/>
      <c r="R937" s="2"/>
      <c r="S937" s="1" t="str">
        <f t="shared" si="114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115"/>
        <v>0</v>
      </c>
      <c r="W937" s="1" t="str">
        <f t="shared" si="116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customHeight="1" x14ac:dyDescent="0.3">
      <c r="A938" s="2"/>
      <c r="B938" s="65" t="str">
        <f t="shared" si="117"/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 t="shared" si="118"/>
        <v/>
      </c>
      <c r="N938" s="74" t="str">
        <f t="shared" si="119"/>
        <v/>
      </c>
      <c r="O938" s="73" t="str">
        <f t="shared" si="120"/>
        <v/>
      </c>
      <c r="P938" s="65" t="str">
        <f t="shared" ca="1" si="121"/>
        <v/>
      </c>
      <c r="Q938" s="2"/>
      <c r="R938" s="2"/>
      <c r="S938" s="1" t="str">
        <f t="shared" si="114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115"/>
        <v>0</v>
      </c>
      <c r="W938" s="1" t="str">
        <f t="shared" si="116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customHeight="1" x14ac:dyDescent="0.3">
      <c r="A939" s="2"/>
      <c r="B939" s="65" t="str">
        <f t="shared" si="117"/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 t="shared" si="118"/>
        <v/>
      </c>
      <c r="N939" s="74" t="str">
        <f t="shared" si="119"/>
        <v/>
      </c>
      <c r="O939" s="73" t="str">
        <f t="shared" si="120"/>
        <v/>
      </c>
      <c r="P939" s="65" t="str">
        <f t="shared" ca="1" si="121"/>
        <v/>
      </c>
      <c r="Q939" s="2"/>
      <c r="R939" s="2"/>
      <c r="S939" s="1" t="str">
        <f t="shared" si="114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115"/>
        <v>0</v>
      </c>
      <c r="W939" s="1" t="str">
        <f t="shared" si="116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customHeight="1" x14ac:dyDescent="0.3">
      <c r="A940" s="2"/>
      <c r="B940" s="65" t="str">
        <f t="shared" si="117"/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 t="shared" si="118"/>
        <v/>
      </c>
      <c r="N940" s="74" t="str">
        <f t="shared" si="119"/>
        <v/>
      </c>
      <c r="O940" s="73" t="str">
        <f t="shared" si="120"/>
        <v/>
      </c>
      <c r="P940" s="65" t="str">
        <f t="shared" ca="1" si="121"/>
        <v/>
      </c>
      <c r="Q940" s="2"/>
      <c r="R940" s="2"/>
      <c r="S940" s="1" t="str">
        <f t="shared" si="114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115"/>
        <v>0</v>
      </c>
      <c r="W940" s="1" t="str">
        <f t="shared" si="116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customHeight="1" x14ac:dyDescent="0.3">
      <c r="A941" s="2"/>
      <c r="B941" s="65" t="str">
        <f t="shared" si="117"/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 t="shared" si="118"/>
        <v/>
      </c>
      <c r="N941" s="74" t="str">
        <f t="shared" si="119"/>
        <v/>
      </c>
      <c r="O941" s="73" t="str">
        <f t="shared" si="120"/>
        <v/>
      </c>
      <c r="P941" s="65" t="str">
        <f t="shared" ca="1" si="121"/>
        <v/>
      </c>
      <c r="Q941" s="2"/>
      <c r="R941" s="2"/>
      <c r="S941" s="1" t="str">
        <f t="shared" si="114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115"/>
        <v>0</v>
      </c>
      <c r="W941" s="1" t="str">
        <f t="shared" si="116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customHeight="1" x14ac:dyDescent="0.3">
      <c r="A942" s="2"/>
      <c r="B942" s="65" t="str">
        <f t="shared" si="117"/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 t="shared" si="118"/>
        <v/>
      </c>
      <c r="N942" s="74" t="str">
        <f t="shared" si="119"/>
        <v/>
      </c>
      <c r="O942" s="73" t="str">
        <f t="shared" si="120"/>
        <v/>
      </c>
      <c r="P942" s="65" t="str">
        <f t="shared" ca="1" si="121"/>
        <v/>
      </c>
      <c r="Q942" s="2"/>
      <c r="R942" s="2"/>
      <c r="S942" s="1" t="str">
        <f t="shared" si="114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115"/>
        <v>0</v>
      </c>
      <c r="W942" s="1" t="str">
        <f t="shared" si="116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customHeight="1" x14ac:dyDescent="0.3">
      <c r="A943" s="2"/>
      <c r="B943" s="65" t="str">
        <f t="shared" si="117"/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 t="shared" si="118"/>
        <v/>
      </c>
      <c r="N943" s="74" t="str">
        <f t="shared" si="119"/>
        <v/>
      </c>
      <c r="O943" s="73" t="str">
        <f t="shared" si="120"/>
        <v/>
      </c>
      <c r="P943" s="65" t="str">
        <f t="shared" ca="1" si="121"/>
        <v/>
      </c>
      <c r="Q943" s="2"/>
      <c r="R943" s="2"/>
      <c r="S943" s="1" t="str">
        <f t="shared" si="114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115"/>
        <v>0</v>
      </c>
      <c r="W943" s="1" t="str">
        <f t="shared" si="116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customHeight="1" x14ac:dyDescent="0.3">
      <c r="A944" s="2"/>
      <c r="B944" s="65" t="str">
        <f t="shared" si="117"/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 t="shared" si="118"/>
        <v/>
      </c>
      <c r="N944" s="74" t="str">
        <f t="shared" si="119"/>
        <v/>
      </c>
      <c r="O944" s="73" t="str">
        <f t="shared" si="120"/>
        <v/>
      </c>
      <c r="P944" s="65" t="str">
        <f t="shared" ca="1" si="121"/>
        <v/>
      </c>
      <c r="Q944" s="2"/>
      <c r="R944" s="2"/>
      <c r="S944" s="1" t="str">
        <f t="shared" si="114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115"/>
        <v>0</v>
      </c>
      <c r="W944" s="1" t="str">
        <f t="shared" si="116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customHeight="1" x14ac:dyDescent="0.3">
      <c r="A945" s="2"/>
      <c r="B945" s="65" t="str">
        <f t="shared" si="117"/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 t="shared" si="118"/>
        <v/>
      </c>
      <c r="N945" s="74" t="str">
        <f t="shared" si="119"/>
        <v/>
      </c>
      <c r="O945" s="73" t="str">
        <f t="shared" si="120"/>
        <v/>
      </c>
      <c r="P945" s="65" t="str">
        <f t="shared" ca="1" si="121"/>
        <v/>
      </c>
      <c r="Q945" s="2"/>
      <c r="R945" s="2"/>
      <c r="S945" s="1" t="str">
        <f t="shared" si="114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115"/>
        <v>0</v>
      </c>
      <c r="W945" s="1" t="str">
        <f t="shared" si="116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customHeight="1" x14ac:dyDescent="0.3">
      <c r="A946" s="2"/>
      <c r="B946" s="65" t="str">
        <f t="shared" si="117"/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 t="shared" si="118"/>
        <v/>
      </c>
      <c r="N946" s="74" t="str">
        <f t="shared" si="119"/>
        <v/>
      </c>
      <c r="O946" s="73" t="str">
        <f t="shared" si="120"/>
        <v/>
      </c>
      <c r="P946" s="65" t="str">
        <f t="shared" ca="1" si="121"/>
        <v/>
      </c>
      <c r="Q946" s="2"/>
      <c r="R946" s="2"/>
      <c r="S946" s="1" t="str">
        <f t="shared" si="114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115"/>
        <v>0</v>
      </c>
      <c r="W946" s="1" t="str">
        <f t="shared" si="116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customHeight="1" x14ac:dyDescent="0.3">
      <c r="A947" s="2"/>
      <c r="B947" s="65" t="str">
        <f t="shared" si="117"/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 t="shared" si="118"/>
        <v/>
      </c>
      <c r="N947" s="74" t="str">
        <f t="shared" si="119"/>
        <v/>
      </c>
      <c r="O947" s="73" t="str">
        <f t="shared" si="120"/>
        <v/>
      </c>
      <c r="P947" s="65" t="str">
        <f t="shared" ca="1" si="121"/>
        <v/>
      </c>
      <c r="Q947" s="2"/>
      <c r="R947" s="2"/>
      <c r="S947" s="1" t="str">
        <f t="shared" si="114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115"/>
        <v>0</v>
      </c>
      <c r="W947" s="1" t="str">
        <f t="shared" si="116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customHeight="1" x14ac:dyDescent="0.3">
      <c r="A948" s="2"/>
      <c r="B948" s="65" t="str">
        <f t="shared" si="117"/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 t="shared" si="118"/>
        <v/>
      </c>
      <c r="N948" s="74" t="str">
        <f t="shared" si="119"/>
        <v/>
      </c>
      <c r="O948" s="73" t="str">
        <f t="shared" si="120"/>
        <v/>
      </c>
      <c r="P948" s="65" t="str">
        <f t="shared" ca="1" si="121"/>
        <v/>
      </c>
      <c r="Q948" s="2"/>
      <c r="R948" s="2"/>
      <c r="S948" s="1" t="str">
        <f t="shared" si="114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115"/>
        <v>0</v>
      </c>
      <c r="W948" s="1" t="str">
        <f t="shared" si="116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customHeight="1" x14ac:dyDescent="0.3">
      <c r="A949" s="2"/>
      <c r="B949" s="65" t="str">
        <f t="shared" si="117"/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 t="shared" si="118"/>
        <v/>
      </c>
      <c r="N949" s="74" t="str">
        <f t="shared" si="119"/>
        <v/>
      </c>
      <c r="O949" s="73" t="str">
        <f t="shared" si="120"/>
        <v/>
      </c>
      <c r="P949" s="65" t="str">
        <f t="shared" ca="1" si="121"/>
        <v/>
      </c>
      <c r="Q949" s="2"/>
      <c r="R949" s="2"/>
      <c r="S949" s="1" t="str">
        <f t="shared" si="114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115"/>
        <v>0</v>
      </c>
      <c r="W949" s="1" t="str">
        <f t="shared" si="116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customHeight="1" x14ac:dyDescent="0.3">
      <c r="A950" s="2"/>
      <c r="B950" s="65" t="str">
        <f t="shared" si="117"/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 t="shared" si="118"/>
        <v/>
      </c>
      <c r="N950" s="74" t="str">
        <f t="shared" si="119"/>
        <v/>
      </c>
      <c r="O950" s="73" t="str">
        <f t="shared" si="120"/>
        <v/>
      </c>
      <c r="P950" s="65" t="str">
        <f t="shared" ca="1" si="121"/>
        <v/>
      </c>
      <c r="Q950" s="2"/>
      <c r="R950" s="2"/>
      <c r="S950" s="1" t="str">
        <f t="shared" si="114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115"/>
        <v>0</v>
      </c>
      <c r="W950" s="1" t="str">
        <f t="shared" si="116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customHeight="1" x14ac:dyDescent="0.3">
      <c r="A951" s="2"/>
      <c r="B951" s="65" t="str">
        <f t="shared" si="117"/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 t="shared" si="118"/>
        <v/>
      </c>
      <c r="N951" s="74" t="str">
        <f t="shared" si="119"/>
        <v/>
      </c>
      <c r="O951" s="73" t="str">
        <f t="shared" si="120"/>
        <v/>
      </c>
      <c r="P951" s="65" t="str">
        <f t="shared" ca="1" si="121"/>
        <v/>
      </c>
      <c r="Q951" s="2"/>
      <c r="R951" s="2"/>
      <c r="S951" s="1" t="str">
        <f t="shared" si="114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115"/>
        <v>0</v>
      </c>
      <c r="W951" s="1" t="str">
        <f t="shared" si="116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customHeight="1" x14ac:dyDescent="0.3">
      <c r="A952" s="2"/>
      <c r="B952" s="65" t="str">
        <f t="shared" si="117"/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 t="shared" si="118"/>
        <v/>
      </c>
      <c r="N952" s="74" t="str">
        <f t="shared" si="119"/>
        <v/>
      </c>
      <c r="O952" s="73" t="str">
        <f t="shared" si="120"/>
        <v/>
      </c>
      <c r="P952" s="65" t="str">
        <f t="shared" ca="1" si="121"/>
        <v/>
      </c>
      <c r="Q952" s="2"/>
      <c r="R952" s="2"/>
      <c r="S952" s="1" t="str">
        <f t="shared" si="114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115"/>
        <v>0</v>
      </c>
      <c r="W952" s="1" t="str">
        <f t="shared" si="116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customHeight="1" x14ac:dyDescent="0.3">
      <c r="A953" s="2"/>
      <c r="B953" s="65" t="str">
        <f t="shared" si="117"/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 t="shared" si="118"/>
        <v/>
      </c>
      <c r="N953" s="74" t="str">
        <f t="shared" si="119"/>
        <v/>
      </c>
      <c r="O953" s="73" t="str">
        <f t="shared" si="120"/>
        <v/>
      </c>
      <c r="P953" s="65" t="str">
        <f t="shared" ca="1" si="121"/>
        <v/>
      </c>
      <c r="Q953" s="2"/>
      <c r="R953" s="2"/>
      <c r="S953" s="1" t="str">
        <f t="shared" si="114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115"/>
        <v>0</v>
      </c>
      <c r="W953" s="1" t="str">
        <f t="shared" si="116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customHeight="1" x14ac:dyDescent="0.3">
      <c r="A954" s="2"/>
      <c r="B954" s="65" t="str">
        <f t="shared" si="117"/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 t="shared" si="118"/>
        <v/>
      </c>
      <c r="N954" s="74" t="str">
        <f t="shared" si="119"/>
        <v/>
      </c>
      <c r="O954" s="73" t="str">
        <f t="shared" si="120"/>
        <v/>
      </c>
      <c r="P954" s="65" t="str">
        <f t="shared" ca="1" si="121"/>
        <v/>
      </c>
      <c r="Q954" s="2"/>
      <c r="R954" s="2"/>
      <c r="S954" s="1" t="str">
        <f t="shared" si="114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115"/>
        <v>0</v>
      </c>
      <c r="W954" s="1" t="str">
        <f t="shared" si="116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customHeight="1" x14ac:dyDescent="0.3">
      <c r="A955" s="2"/>
      <c r="B955" s="65" t="str">
        <f t="shared" si="117"/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 t="shared" si="118"/>
        <v/>
      </c>
      <c r="N955" s="74" t="str">
        <f t="shared" si="119"/>
        <v/>
      </c>
      <c r="O955" s="73" t="str">
        <f t="shared" si="120"/>
        <v/>
      </c>
      <c r="P955" s="65" t="str">
        <f t="shared" ca="1" si="121"/>
        <v/>
      </c>
      <c r="Q955" s="2"/>
      <c r="R955" s="2"/>
      <c r="S955" s="1" t="str">
        <f t="shared" si="114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115"/>
        <v>0</v>
      </c>
      <c r="W955" s="1" t="str">
        <f t="shared" si="116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customHeight="1" x14ac:dyDescent="0.3">
      <c r="A956" s="2"/>
      <c r="B956" s="65" t="str">
        <f t="shared" si="117"/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 t="shared" si="118"/>
        <v/>
      </c>
      <c r="N956" s="74" t="str">
        <f t="shared" si="119"/>
        <v/>
      </c>
      <c r="O956" s="73" t="str">
        <f t="shared" si="120"/>
        <v/>
      </c>
      <c r="P956" s="65" t="str">
        <f t="shared" ca="1" si="121"/>
        <v/>
      </c>
      <c r="Q956" s="2"/>
      <c r="R956" s="2"/>
      <c r="S956" s="1" t="str">
        <f t="shared" si="114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115"/>
        <v>0</v>
      </c>
      <c r="W956" s="1" t="str">
        <f t="shared" si="116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customHeight="1" x14ac:dyDescent="0.3">
      <c r="A957" s="2"/>
      <c r="B957" s="65" t="str">
        <f t="shared" si="117"/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 t="shared" si="118"/>
        <v/>
      </c>
      <c r="N957" s="74" t="str">
        <f t="shared" si="119"/>
        <v/>
      </c>
      <c r="O957" s="73" t="str">
        <f t="shared" si="120"/>
        <v/>
      </c>
      <c r="P957" s="65" t="str">
        <f t="shared" ca="1" si="121"/>
        <v/>
      </c>
      <c r="Q957" s="2"/>
      <c r="R957" s="2"/>
      <c r="S957" s="1" t="str">
        <f t="shared" si="114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115"/>
        <v>0</v>
      </c>
      <c r="W957" s="1" t="str">
        <f t="shared" si="116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customHeight="1" x14ac:dyDescent="0.3">
      <c r="A958" s="2"/>
      <c r="B958" s="65" t="str">
        <f t="shared" si="117"/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 t="shared" si="118"/>
        <v/>
      </c>
      <c r="N958" s="74" t="str">
        <f t="shared" si="119"/>
        <v/>
      </c>
      <c r="O958" s="73" t="str">
        <f t="shared" si="120"/>
        <v/>
      </c>
      <c r="P958" s="65" t="str">
        <f t="shared" ca="1" si="121"/>
        <v/>
      </c>
      <c r="Q958" s="2"/>
      <c r="R958" s="2"/>
      <c r="S958" s="1" t="str">
        <f t="shared" si="114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115"/>
        <v>0</v>
      </c>
      <c r="W958" s="1" t="str">
        <f t="shared" si="116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customHeight="1" x14ac:dyDescent="0.3">
      <c r="A959" s="2"/>
      <c r="B959" s="65" t="str">
        <f t="shared" si="117"/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 t="shared" si="118"/>
        <v/>
      </c>
      <c r="N959" s="74" t="str">
        <f t="shared" si="119"/>
        <v/>
      </c>
      <c r="O959" s="73" t="str">
        <f t="shared" si="120"/>
        <v/>
      </c>
      <c r="P959" s="65" t="str">
        <f t="shared" ca="1" si="121"/>
        <v/>
      </c>
      <c r="Q959" s="2"/>
      <c r="R959" s="2"/>
      <c r="S959" s="1" t="str">
        <f t="shared" si="114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115"/>
        <v>0</v>
      </c>
      <c r="W959" s="1" t="str">
        <f t="shared" si="116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customHeight="1" x14ac:dyDescent="0.3">
      <c r="A960" s="2"/>
      <c r="B960" s="65" t="str">
        <f t="shared" si="117"/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 t="shared" si="118"/>
        <v/>
      </c>
      <c r="N960" s="74" t="str">
        <f t="shared" si="119"/>
        <v/>
      </c>
      <c r="O960" s="73" t="str">
        <f t="shared" si="120"/>
        <v/>
      </c>
      <c r="P960" s="65" t="str">
        <f t="shared" ca="1" si="121"/>
        <v/>
      </c>
      <c r="Q960" s="2"/>
      <c r="R960" s="2"/>
      <c r="S960" s="1" t="str">
        <f t="shared" si="114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115"/>
        <v>0</v>
      </c>
      <c r="W960" s="1" t="str">
        <f t="shared" si="116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customHeight="1" x14ac:dyDescent="0.3">
      <c r="A961" s="2"/>
      <c r="B961" s="65" t="str">
        <f t="shared" si="117"/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 t="shared" si="118"/>
        <v/>
      </c>
      <c r="N961" s="74" t="str">
        <f t="shared" si="119"/>
        <v/>
      </c>
      <c r="O961" s="73" t="str">
        <f t="shared" si="120"/>
        <v/>
      </c>
      <c r="P961" s="65" t="str">
        <f t="shared" ca="1" si="121"/>
        <v/>
      </c>
      <c r="Q961" s="2"/>
      <c r="R961" s="2"/>
      <c r="S961" s="1" t="str">
        <f t="shared" si="114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115"/>
        <v>0</v>
      </c>
      <c r="W961" s="1" t="str">
        <f t="shared" si="116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customHeight="1" x14ac:dyDescent="0.3">
      <c r="A962" s="2"/>
      <c r="B962" s="65" t="str">
        <f t="shared" si="117"/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 t="shared" si="118"/>
        <v/>
      </c>
      <c r="N962" s="74" t="str">
        <f t="shared" si="119"/>
        <v/>
      </c>
      <c r="O962" s="73" t="str">
        <f t="shared" si="120"/>
        <v/>
      </c>
      <c r="P962" s="65" t="str">
        <f t="shared" ca="1" si="121"/>
        <v/>
      </c>
      <c r="Q962" s="2"/>
      <c r="R962" s="2"/>
      <c r="S962" s="1" t="str">
        <f t="shared" si="114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115"/>
        <v>0</v>
      </c>
      <c r="W962" s="1" t="str">
        <f t="shared" si="116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customHeight="1" x14ac:dyDescent="0.3">
      <c r="A963" s="2"/>
      <c r="B963" s="65" t="str">
        <f t="shared" si="117"/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 t="shared" si="118"/>
        <v/>
      </c>
      <c r="N963" s="74" t="str">
        <f t="shared" si="119"/>
        <v/>
      </c>
      <c r="O963" s="73" t="str">
        <f t="shared" si="120"/>
        <v/>
      </c>
      <c r="P963" s="65" t="str">
        <f t="shared" ca="1" si="121"/>
        <v/>
      </c>
      <c r="Q963" s="2"/>
      <c r="R963" s="2"/>
      <c r="S963" s="1" t="str">
        <f t="shared" si="114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115"/>
        <v>0</v>
      </c>
      <c r="W963" s="1" t="str">
        <f t="shared" si="116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customHeight="1" x14ac:dyDescent="0.3">
      <c r="A964" s="2"/>
      <c r="B964" s="65" t="str">
        <f t="shared" si="117"/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 t="shared" si="118"/>
        <v/>
      </c>
      <c r="N964" s="74" t="str">
        <f t="shared" si="119"/>
        <v/>
      </c>
      <c r="O964" s="73" t="str">
        <f t="shared" si="120"/>
        <v/>
      </c>
      <c r="P964" s="65" t="str">
        <f t="shared" ca="1" si="121"/>
        <v/>
      </c>
      <c r="Q964" s="2"/>
      <c r="R964" s="2"/>
      <c r="S964" s="1" t="str">
        <f t="shared" si="114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115"/>
        <v>0</v>
      </c>
      <c r="W964" s="1" t="str">
        <f t="shared" si="116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customHeight="1" x14ac:dyDescent="0.3">
      <c r="A965" s="2"/>
      <c r="B965" s="65" t="str">
        <f t="shared" si="117"/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 t="shared" si="118"/>
        <v/>
      </c>
      <c r="N965" s="74" t="str">
        <f t="shared" si="119"/>
        <v/>
      </c>
      <c r="O965" s="73" t="str">
        <f t="shared" si="120"/>
        <v/>
      </c>
      <c r="P965" s="65" t="str">
        <f t="shared" ca="1" si="121"/>
        <v/>
      </c>
      <c r="Q965" s="2"/>
      <c r="R965" s="2"/>
      <c r="S965" s="1" t="str">
        <f t="shared" ref="S965:S1028" si="122"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ref="V965:V1028" si="123">IF($T965="",0,1)</f>
        <v>0</v>
      </c>
      <c r="W965" s="1" t="str">
        <f t="shared" ref="W965:W1028" si="124">IF($C965="","",$D965&amp;"|"&amp;$E965&amp;"|"&amp;TEXT($C965,"0")&amp;"|"&amp;TEXT($G965,"0")&amp;"|"&amp;$F965&amp;"|"&amp;$J965)</f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customHeight="1" x14ac:dyDescent="0.3">
      <c r="A966" s="2"/>
      <c r="B966" s="65" t="str">
        <f t="shared" si="117"/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 t="shared" si="118"/>
        <v/>
      </c>
      <c r="N966" s="74" t="str">
        <f t="shared" si="119"/>
        <v/>
      </c>
      <c r="O966" s="73" t="str">
        <f t="shared" si="120"/>
        <v/>
      </c>
      <c r="P966" s="65" t="str">
        <f t="shared" ca="1" si="121"/>
        <v/>
      </c>
      <c r="Q966" s="2"/>
      <c r="R966" s="2"/>
      <c r="S966" s="1" t="str">
        <f t="shared" si="122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123"/>
        <v>0</v>
      </c>
      <c r="W966" s="1" t="str">
        <f t="shared" si="124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customHeight="1" x14ac:dyDescent="0.3">
      <c r="A967" s="2"/>
      <c r="B967" s="65" t="str">
        <f t="shared" ref="B967:B1030" si="125"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 t="shared" ref="M967:M1030" si="126">IF($C967="","",IF($D967="Gider",$E967,IF($L967&lt;&gt;"",$L967,$H967)))</f>
        <v/>
      </c>
      <c r="N967" s="74" t="str">
        <f t="shared" ref="N967:N1030" si="127">IF($C967="","",IF($D967="Gider",$H967,$E967))</f>
        <v/>
      </c>
      <c r="O967" s="73" t="str">
        <f t="shared" ref="O967:O1030" si="128">IF($C967="","",DATE(YEAR($C967),MONTH($C967),1))</f>
        <v/>
      </c>
      <c r="P967" s="65" t="str">
        <f t="shared" ref="P967:P1030" ca="1" si="129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TARİH",IF(COUNTIF($W$7:$W$3001,$W967)&gt;1,"MÜKERRER?",IF($AD967&gt;0,"KAPALI DÖNEM",IF($I967="Hayır","ÖDENECEK","UYGUN")))),"EKSİK"))))</f>
        <v/>
      </c>
      <c r="Q967" s="2"/>
      <c r="R967" s="2"/>
      <c r="S967" s="1" t="str">
        <f t="shared" si="122"/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si="123"/>
        <v>0</v>
      </c>
      <c r="W967" s="1" t="str">
        <f t="shared" si="124"/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customHeight="1" x14ac:dyDescent="0.3">
      <c r="A968" s="2"/>
      <c r="B968" s="65" t="str">
        <f t="shared" si="125"/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 t="shared" si="126"/>
        <v/>
      </c>
      <c r="N968" s="74" t="str">
        <f t="shared" si="127"/>
        <v/>
      </c>
      <c r="O968" s="73" t="str">
        <f t="shared" si="128"/>
        <v/>
      </c>
      <c r="P968" s="65" t="str">
        <f t="shared" ca="1" si="129"/>
        <v/>
      </c>
      <c r="Q968" s="2"/>
      <c r="R968" s="2"/>
      <c r="S968" s="1" t="str">
        <f t="shared" si="122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123"/>
        <v>0</v>
      </c>
      <c r="W968" s="1" t="str">
        <f t="shared" si="124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customHeight="1" x14ac:dyDescent="0.3">
      <c r="A969" s="2"/>
      <c r="B969" s="65" t="str">
        <f t="shared" si="125"/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 t="shared" si="126"/>
        <v/>
      </c>
      <c r="N969" s="74" t="str">
        <f t="shared" si="127"/>
        <v/>
      </c>
      <c r="O969" s="73" t="str">
        <f t="shared" si="128"/>
        <v/>
      </c>
      <c r="P969" s="65" t="str">
        <f t="shared" ca="1" si="129"/>
        <v/>
      </c>
      <c r="Q969" s="2"/>
      <c r="R969" s="2"/>
      <c r="S969" s="1" t="str">
        <f t="shared" si="122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123"/>
        <v>0</v>
      </c>
      <c r="W969" s="1" t="str">
        <f t="shared" si="124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customHeight="1" x14ac:dyDescent="0.3">
      <c r="A970" s="2"/>
      <c r="B970" s="65" t="str">
        <f t="shared" si="125"/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 t="shared" si="126"/>
        <v/>
      </c>
      <c r="N970" s="74" t="str">
        <f t="shared" si="127"/>
        <v/>
      </c>
      <c r="O970" s="73" t="str">
        <f t="shared" si="128"/>
        <v/>
      </c>
      <c r="P970" s="65" t="str">
        <f t="shared" ca="1" si="129"/>
        <v/>
      </c>
      <c r="Q970" s="2"/>
      <c r="R970" s="2"/>
      <c r="S970" s="1" t="str">
        <f t="shared" si="122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123"/>
        <v>0</v>
      </c>
      <c r="W970" s="1" t="str">
        <f t="shared" si="124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customHeight="1" x14ac:dyDescent="0.3">
      <c r="A971" s="2"/>
      <c r="B971" s="65" t="str">
        <f t="shared" si="125"/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 t="shared" si="126"/>
        <v/>
      </c>
      <c r="N971" s="74" t="str">
        <f t="shared" si="127"/>
        <v/>
      </c>
      <c r="O971" s="73" t="str">
        <f t="shared" si="128"/>
        <v/>
      </c>
      <c r="P971" s="65" t="str">
        <f t="shared" ca="1" si="129"/>
        <v/>
      </c>
      <c r="Q971" s="2"/>
      <c r="R971" s="2"/>
      <c r="S971" s="1" t="str">
        <f t="shared" si="122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123"/>
        <v>0</v>
      </c>
      <c r="W971" s="1" t="str">
        <f t="shared" si="124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customHeight="1" x14ac:dyDescent="0.3">
      <c r="A972" s="2"/>
      <c r="B972" s="65" t="str">
        <f t="shared" si="125"/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 t="shared" si="126"/>
        <v/>
      </c>
      <c r="N972" s="74" t="str">
        <f t="shared" si="127"/>
        <v/>
      </c>
      <c r="O972" s="73" t="str">
        <f t="shared" si="128"/>
        <v/>
      </c>
      <c r="P972" s="65" t="str">
        <f t="shared" ca="1" si="129"/>
        <v/>
      </c>
      <c r="Q972" s="2"/>
      <c r="R972" s="2"/>
      <c r="S972" s="1" t="str">
        <f t="shared" si="122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123"/>
        <v>0</v>
      </c>
      <c r="W972" s="1" t="str">
        <f t="shared" si="124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customHeight="1" x14ac:dyDescent="0.3">
      <c r="A973" s="2"/>
      <c r="B973" s="65" t="str">
        <f t="shared" si="125"/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 t="shared" si="126"/>
        <v/>
      </c>
      <c r="N973" s="74" t="str">
        <f t="shared" si="127"/>
        <v/>
      </c>
      <c r="O973" s="73" t="str">
        <f t="shared" si="128"/>
        <v/>
      </c>
      <c r="P973" s="65" t="str">
        <f t="shared" ca="1" si="129"/>
        <v/>
      </c>
      <c r="Q973" s="2"/>
      <c r="R973" s="2"/>
      <c r="S973" s="1" t="str">
        <f t="shared" si="122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123"/>
        <v>0</v>
      </c>
      <c r="W973" s="1" t="str">
        <f t="shared" si="124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customHeight="1" x14ac:dyDescent="0.3">
      <c r="A974" s="2"/>
      <c r="B974" s="65" t="str">
        <f t="shared" si="125"/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 t="shared" si="126"/>
        <v/>
      </c>
      <c r="N974" s="74" t="str">
        <f t="shared" si="127"/>
        <v/>
      </c>
      <c r="O974" s="73" t="str">
        <f t="shared" si="128"/>
        <v/>
      </c>
      <c r="P974" s="65" t="str">
        <f t="shared" ca="1" si="129"/>
        <v/>
      </c>
      <c r="Q974" s="2"/>
      <c r="R974" s="2"/>
      <c r="S974" s="1" t="str">
        <f t="shared" si="122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123"/>
        <v>0</v>
      </c>
      <c r="W974" s="1" t="str">
        <f t="shared" si="124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customHeight="1" x14ac:dyDescent="0.3">
      <c r="A975" s="2"/>
      <c r="B975" s="65" t="str">
        <f t="shared" si="125"/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 t="shared" si="126"/>
        <v/>
      </c>
      <c r="N975" s="74" t="str">
        <f t="shared" si="127"/>
        <v/>
      </c>
      <c r="O975" s="73" t="str">
        <f t="shared" si="128"/>
        <v/>
      </c>
      <c r="P975" s="65" t="str">
        <f t="shared" ca="1" si="129"/>
        <v/>
      </c>
      <c r="Q975" s="2"/>
      <c r="R975" s="2"/>
      <c r="S975" s="1" t="str">
        <f t="shared" si="122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123"/>
        <v>0</v>
      </c>
      <c r="W975" s="1" t="str">
        <f t="shared" si="124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customHeight="1" x14ac:dyDescent="0.3">
      <c r="A976" s="2"/>
      <c r="B976" s="65" t="str">
        <f t="shared" si="125"/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 t="shared" si="126"/>
        <v/>
      </c>
      <c r="N976" s="74" t="str">
        <f t="shared" si="127"/>
        <v/>
      </c>
      <c r="O976" s="73" t="str">
        <f t="shared" si="128"/>
        <v/>
      </c>
      <c r="P976" s="65" t="str">
        <f t="shared" ca="1" si="129"/>
        <v/>
      </c>
      <c r="Q976" s="2"/>
      <c r="R976" s="2"/>
      <c r="S976" s="1" t="str">
        <f t="shared" si="122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123"/>
        <v>0</v>
      </c>
      <c r="W976" s="1" t="str">
        <f t="shared" si="124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customHeight="1" x14ac:dyDescent="0.3">
      <c r="A977" s="2"/>
      <c r="B977" s="65" t="str">
        <f t="shared" si="125"/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 t="shared" si="126"/>
        <v/>
      </c>
      <c r="N977" s="74" t="str">
        <f t="shared" si="127"/>
        <v/>
      </c>
      <c r="O977" s="73" t="str">
        <f t="shared" si="128"/>
        <v/>
      </c>
      <c r="P977" s="65" t="str">
        <f t="shared" ca="1" si="129"/>
        <v/>
      </c>
      <c r="Q977" s="2"/>
      <c r="R977" s="2"/>
      <c r="S977" s="1" t="str">
        <f t="shared" si="122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123"/>
        <v>0</v>
      </c>
      <c r="W977" s="1" t="str">
        <f t="shared" si="124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customHeight="1" x14ac:dyDescent="0.3">
      <c r="A978" s="2"/>
      <c r="B978" s="65" t="str">
        <f t="shared" si="125"/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 t="shared" si="126"/>
        <v/>
      </c>
      <c r="N978" s="74" t="str">
        <f t="shared" si="127"/>
        <v/>
      </c>
      <c r="O978" s="73" t="str">
        <f t="shared" si="128"/>
        <v/>
      </c>
      <c r="P978" s="65" t="str">
        <f t="shared" ca="1" si="129"/>
        <v/>
      </c>
      <c r="Q978" s="2"/>
      <c r="R978" s="2"/>
      <c r="S978" s="1" t="str">
        <f t="shared" si="122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123"/>
        <v>0</v>
      </c>
      <c r="W978" s="1" t="str">
        <f t="shared" si="124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customHeight="1" x14ac:dyDescent="0.3">
      <c r="A979" s="2"/>
      <c r="B979" s="65" t="str">
        <f t="shared" si="125"/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 t="shared" si="126"/>
        <v/>
      </c>
      <c r="N979" s="74" t="str">
        <f t="shared" si="127"/>
        <v/>
      </c>
      <c r="O979" s="73" t="str">
        <f t="shared" si="128"/>
        <v/>
      </c>
      <c r="P979" s="65" t="str">
        <f t="shared" ca="1" si="129"/>
        <v/>
      </c>
      <c r="Q979" s="2"/>
      <c r="R979" s="2"/>
      <c r="S979" s="1" t="str">
        <f t="shared" si="122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123"/>
        <v>0</v>
      </c>
      <c r="W979" s="1" t="str">
        <f t="shared" si="124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customHeight="1" x14ac:dyDescent="0.3">
      <c r="A980" s="2"/>
      <c r="B980" s="65" t="str">
        <f t="shared" si="125"/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 t="shared" si="126"/>
        <v/>
      </c>
      <c r="N980" s="74" t="str">
        <f t="shared" si="127"/>
        <v/>
      </c>
      <c r="O980" s="73" t="str">
        <f t="shared" si="128"/>
        <v/>
      </c>
      <c r="P980" s="65" t="str">
        <f t="shared" ca="1" si="129"/>
        <v/>
      </c>
      <c r="Q980" s="2"/>
      <c r="R980" s="2"/>
      <c r="S980" s="1" t="str">
        <f t="shared" si="122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123"/>
        <v>0</v>
      </c>
      <c r="W980" s="1" t="str">
        <f t="shared" si="124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customHeight="1" x14ac:dyDescent="0.3">
      <c r="A981" s="2"/>
      <c r="B981" s="65" t="str">
        <f t="shared" si="125"/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 t="shared" si="126"/>
        <v/>
      </c>
      <c r="N981" s="74" t="str">
        <f t="shared" si="127"/>
        <v/>
      </c>
      <c r="O981" s="73" t="str">
        <f t="shared" si="128"/>
        <v/>
      </c>
      <c r="P981" s="65" t="str">
        <f t="shared" ca="1" si="129"/>
        <v/>
      </c>
      <c r="Q981" s="2"/>
      <c r="R981" s="2"/>
      <c r="S981" s="1" t="str">
        <f t="shared" si="122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123"/>
        <v>0</v>
      </c>
      <c r="W981" s="1" t="str">
        <f t="shared" si="124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customHeight="1" x14ac:dyDescent="0.3">
      <c r="A982" s="2"/>
      <c r="B982" s="65" t="str">
        <f t="shared" si="125"/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 t="shared" si="126"/>
        <v/>
      </c>
      <c r="N982" s="74" t="str">
        <f t="shared" si="127"/>
        <v/>
      </c>
      <c r="O982" s="73" t="str">
        <f t="shared" si="128"/>
        <v/>
      </c>
      <c r="P982" s="65" t="str">
        <f t="shared" ca="1" si="129"/>
        <v/>
      </c>
      <c r="Q982" s="2"/>
      <c r="R982" s="2"/>
      <c r="S982" s="1" t="str">
        <f t="shared" si="122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123"/>
        <v>0</v>
      </c>
      <c r="W982" s="1" t="str">
        <f t="shared" si="124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customHeight="1" x14ac:dyDescent="0.3">
      <c r="A983" s="2"/>
      <c r="B983" s="65" t="str">
        <f t="shared" si="125"/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 t="shared" si="126"/>
        <v/>
      </c>
      <c r="N983" s="74" t="str">
        <f t="shared" si="127"/>
        <v/>
      </c>
      <c r="O983" s="73" t="str">
        <f t="shared" si="128"/>
        <v/>
      </c>
      <c r="P983" s="65" t="str">
        <f t="shared" ca="1" si="129"/>
        <v/>
      </c>
      <c r="Q983" s="2"/>
      <c r="R983" s="2"/>
      <c r="S983" s="1" t="str">
        <f t="shared" si="122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123"/>
        <v>0</v>
      </c>
      <c r="W983" s="1" t="str">
        <f t="shared" si="124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customHeight="1" x14ac:dyDescent="0.3">
      <c r="A984" s="2"/>
      <c r="B984" s="65" t="str">
        <f t="shared" si="125"/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 t="shared" si="126"/>
        <v/>
      </c>
      <c r="N984" s="74" t="str">
        <f t="shared" si="127"/>
        <v/>
      </c>
      <c r="O984" s="73" t="str">
        <f t="shared" si="128"/>
        <v/>
      </c>
      <c r="P984" s="65" t="str">
        <f t="shared" ca="1" si="129"/>
        <v/>
      </c>
      <c r="Q984" s="2"/>
      <c r="R984" s="2"/>
      <c r="S984" s="1" t="str">
        <f t="shared" si="122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123"/>
        <v>0</v>
      </c>
      <c r="W984" s="1" t="str">
        <f t="shared" si="124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customHeight="1" x14ac:dyDescent="0.3">
      <c r="A985" s="2"/>
      <c r="B985" s="65" t="str">
        <f t="shared" si="125"/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 t="shared" si="126"/>
        <v/>
      </c>
      <c r="N985" s="74" t="str">
        <f t="shared" si="127"/>
        <v/>
      </c>
      <c r="O985" s="73" t="str">
        <f t="shared" si="128"/>
        <v/>
      </c>
      <c r="P985" s="65" t="str">
        <f t="shared" ca="1" si="129"/>
        <v/>
      </c>
      <c r="Q985" s="2"/>
      <c r="R985" s="2"/>
      <c r="S985" s="1" t="str">
        <f t="shared" si="122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123"/>
        <v>0</v>
      </c>
      <c r="W985" s="1" t="str">
        <f t="shared" si="124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customHeight="1" x14ac:dyDescent="0.3">
      <c r="A986" s="2"/>
      <c r="B986" s="65" t="str">
        <f t="shared" si="125"/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 t="shared" si="126"/>
        <v/>
      </c>
      <c r="N986" s="74" t="str">
        <f t="shared" si="127"/>
        <v/>
      </c>
      <c r="O986" s="73" t="str">
        <f t="shared" si="128"/>
        <v/>
      </c>
      <c r="P986" s="65" t="str">
        <f t="shared" ca="1" si="129"/>
        <v/>
      </c>
      <c r="Q986" s="2"/>
      <c r="R986" s="2"/>
      <c r="S986" s="1" t="str">
        <f t="shared" si="122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123"/>
        <v>0</v>
      </c>
      <c r="W986" s="1" t="str">
        <f t="shared" si="124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customHeight="1" x14ac:dyDescent="0.3">
      <c r="A987" s="2"/>
      <c r="B987" s="65" t="str">
        <f t="shared" si="125"/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 t="shared" si="126"/>
        <v/>
      </c>
      <c r="N987" s="74" t="str">
        <f t="shared" si="127"/>
        <v/>
      </c>
      <c r="O987" s="73" t="str">
        <f t="shared" si="128"/>
        <v/>
      </c>
      <c r="P987" s="65" t="str">
        <f t="shared" ca="1" si="129"/>
        <v/>
      </c>
      <c r="Q987" s="2"/>
      <c r="R987" s="2"/>
      <c r="S987" s="1" t="str">
        <f t="shared" si="122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123"/>
        <v>0</v>
      </c>
      <c r="W987" s="1" t="str">
        <f t="shared" si="124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customHeight="1" x14ac:dyDescent="0.3">
      <c r="A988" s="2"/>
      <c r="B988" s="65" t="str">
        <f t="shared" si="125"/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 t="shared" si="126"/>
        <v/>
      </c>
      <c r="N988" s="74" t="str">
        <f t="shared" si="127"/>
        <v/>
      </c>
      <c r="O988" s="73" t="str">
        <f t="shared" si="128"/>
        <v/>
      </c>
      <c r="P988" s="65" t="str">
        <f t="shared" ca="1" si="129"/>
        <v/>
      </c>
      <c r="Q988" s="2"/>
      <c r="R988" s="2"/>
      <c r="S988" s="1" t="str">
        <f t="shared" si="122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123"/>
        <v>0</v>
      </c>
      <c r="W988" s="1" t="str">
        <f t="shared" si="124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customHeight="1" x14ac:dyDescent="0.3">
      <c r="A989" s="2"/>
      <c r="B989" s="65" t="str">
        <f t="shared" si="125"/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 t="shared" si="126"/>
        <v/>
      </c>
      <c r="N989" s="74" t="str">
        <f t="shared" si="127"/>
        <v/>
      </c>
      <c r="O989" s="73" t="str">
        <f t="shared" si="128"/>
        <v/>
      </c>
      <c r="P989" s="65" t="str">
        <f t="shared" ca="1" si="129"/>
        <v/>
      </c>
      <c r="Q989" s="2"/>
      <c r="R989" s="2"/>
      <c r="S989" s="1" t="str">
        <f t="shared" si="122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123"/>
        <v>0</v>
      </c>
      <c r="W989" s="1" t="str">
        <f t="shared" si="124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customHeight="1" x14ac:dyDescent="0.3">
      <c r="A990" s="2"/>
      <c r="B990" s="65" t="str">
        <f t="shared" si="125"/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 t="shared" si="126"/>
        <v/>
      </c>
      <c r="N990" s="74" t="str">
        <f t="shared" si="127"/>
        <v/>
      </c>
      <c r="O990" s="73" t="str">
        <f t="shared" si="128"/>
        <v/>
      </c>
      <c r="P990" s="65" t="str">
        <f t="shared" ca="1" si="129"/>
        <v/>
      </c>
      <c r="Q990" s="2"/>
      <c r="R990" s="2"/>
      <c r="S990" s="1" t="str">
        <f t="shared" si="122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123"/>
        <v>0</v>
      </c>
      <c r="W990" s="1" t="str">
        <f t="shared" si="124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customHeight="1" x14ac:dyDescent="0.3">
      <c r="A991" s="2"/>
      <c r="B991" s="65" t="str">
        <f t="shared" si="125"/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 t="shared" si="126"/>
        <v/>
      </c>
      <c r="N991" s="74" t="str">
        <f t="shared" si="127"/>
        <v/>
      </c>
      <c r="O991" s="73" t="str">
        <f t="shared" si="128"/>
        <v/>
      </c>
      <c r="P991" s="65" t="str">
        <f t="shared" ca="1" si="129"/>
        <v/>
      </c>
      <c r="Q991" s="2"/>
      <c r="R991" s="2"/>
      <c r="S991" s="1" t="str">
        <f t="shared" si="122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123"/>
        <v>0</v>
      </c>
      <c r="W991" s="1" t="str">
        <f t="shared" si="124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customHeight="1" x14ac:dyDescent="0.3">
      <c r="A992" s="2"/>
      <c r="B992" s="65" t="str">
        <f t="shared" si="125"/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 t="shared" si="126"/>
        <v/>
      </c>
      <c r="N992" s="74" t="str">
        <f t="shared" si="127"/>
        <v/>
      </c>
      <c r="O992" s="73" t="str">
        <f t="shared" si="128"/>
        <v/>
      </c>
      <c r="P992" s="65" t="str">
        <f t="shared" ca="1" si="129"/>
        <v/>
      </c>
      <c r="Q992" s="2"/>
      <c r="R992" s="2"/>
      <c r="S992" s="1" t="str">
        <f t="shared" si="122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123"/>
        <v>0</v>
      </c>
      <c r="W992" s="1" t="str">
        <f t="shared" si="124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customHeight="1" x14ac:dyDescent="0.3">
      <c r="A993" s="2"/>
      <c r="B993" s="65" t="str">
        <f t="shared" si="125"/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 t="shared" si="126"/>
        <v/>
      </c>
      <c r="N993" s="74" t="str">
        <f t="shared" si="127"/>
        <v/>
      </c>
      <c r="O993" s="73" t="str">
        <f t="shared" si="128"/>
        <v/>
      </c>
      <c r="P993" s="65" t="str">
        <f t="shared" ca="1" si="129"/>
        <v/>
      </c>
      <c r="Q993" s="2"/>
      <c r="R993" s="2"/>
      <c r="S993" s="1" t="str">
        <f t="shared" si="122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123"/>
        <v>0</v>
      </c>
      <c r="W993" s="1" t="str">
        <f t="shared" si="124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customHeight="1" x14ac:dyDescent="0.3">
      <c r="A994" s="2"/>
      <c r="B994" s="65" t="str">
        <f t="shared" si="125"/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 t="shared" si="126"/>
        <v/>
      </c>
      <c r="N994" s="74" t="str">
        <f t="shared" si="127"/>
        <v/>
      </c>
      <c r="O994" s="73" t="str">
        <f t="shared" si="128"/>
        <v/>
      </c>
      <c r="P994" s="65" t="str">
        <f t="shared" ca="1" si="129"/>
        <v/>
      </c>
      <c r="Q994" s="2"/>
      <c r="R994" s="2"/>
      <c r="S994" s="1" t="str">
        <f t="shared" si="122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123"/>
        <v>0</v>
      </c>
      <c r="W994" s="1" t="str">
        <f t="shared" si="124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customHeight="1" x14ac:dyDescent="0.3">
      <c r="A995" s="2"/>
      <c r="B995" s="65" t="str">
        <f t="shared" si="125"/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 t="shared" si="126"/>
        <v/>
      </c>
      <c r="N995" s="74" t="str">
        <f t="shared" si="127"/>
        <v/>
      </c>
      <c r="O995" s="73" t="str">
        <f t="shared" si="128"/>
        <v/>
      </c>
      <c r="P995" s="65" t="str">
        <f t="shared" ca="1" si="129"/>
        <v/>
      </c>
      <c r="Q995" s="2"/>
      <c r="R995" s="2"/>
      <c r="S995" s="1" t="str">
        <f t="shared" si="122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123"/>
        <v>0</v>
      </c>
      <c r="W995" s="1" t="str">
        <f t="shared" si="124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customHeight="1" x14ac:dyDescent="0.3">
      <c r="A996" s="2"/>
      <c r="B996" s="65" t="str">
        <f t="shared" si="125"/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 t="shared" si="126"/>
        <v/>
      </c>
      <c r="N996" s="74" t="str">
        <f t="shared" si="127"/>
        <v/>
      </c>
      <c r="O996" s="73" t="str">
        <f t="shared" si="128"/>
        <v/>
      </c>
      <c r="P996" s="65" t="str">
        <f t="shared" ca="1" si="129"/>
        <v/>
      </c>
      <c r="Q996" s="2"/>
      <c r="R996" s="2"/>
      <c r="S996" s="1" t="str">
        <f t="shared" si="122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123"/>
        <v>0</v>
      </c>
      <c r="W996" s="1" t="str">
        <f t="shared" si="124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customHeight="1" x14ac:dyDescent="0.3">
      <c r="A997" s="2"/>
      <c r="B997" s="65" t="str">
        <f t="shared" si="125"/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 t="shared" si="126"/>
        <v/>
      </c>
      <c r="N997" s="74" t="str">
        <f t="shared" si="127"/>
        <v/>
      </c>
      <c r="O997" s="73" t="str">
        <f t="shared" si="128"/>
        <v/>
      </c>
      <c r="P997" s="65" t="str">
        <f t="shared" ca="1" si="129"/>
        <v/>
      </c>
      <c r="Q997" s="2"/>
      <c r="R997" s="2"/>
      <c r="S997" s="1" t="str">
        <f t="shared" si="122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123"/>
        <v>0</v>
      </c>
      <c r="W997" s="1" t="str">
        <f t="shared" si="124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customHeight="1" x14ac:dyDescent="0.3">
      <c r="A998" s="2"/>
      <c r="B998" s="65" t="str">
        <f t="shared" si="125"/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 t="shared" si="126"/>
        <v/>
      </c>
      <c r="N998" s="74" t="str">
        <f t="shared" si="127"/>
        <v/>
      </c>
      <c r="O998" s="73" t="str">
        <f t="shared" si="128"/>
        <v/>
      </c>
      <c r="P998" s="65" t="str">
        <f t="shared" ca="1" si="129"/>
        <v/>
      </c>
      <c r="Q998" s="2"/>
      <c r="R998" s="2"/>
      <c r="S998" s="1" t="str">
        <f t="shared" si="122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123"/>
        <v>0</v>
      </c>
      <c r="W998" s="1" t="str">
        <f t="shared" si="124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customHeight="1" x14ac:dyDescent="0.3">
      <c r="A999" s="2"/>
      <c r="B999" s="65" t="str">
        <f t="shared" si="125"/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 t="shared" si="126"/>
        <v/>
      </c>
      <c r="N999" s="74" t="str">
        <f t="shared" si="127"/>
        <v/>
      </c>
      <c r="O999" s="73" t="str">
        <f t="shared" si="128"/>
        <v/>
      </c>
      <c r="P999" s="65" t="str">
        <f t="shared" ca="1" si="129"/>
        <v/>
      </c>
      <c r="Q999" s="2"/>
      <c r="R999" s="2"/>
      <c r="S999" s="1" t="str">
        <f t="shared" si="122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123"/>
        <v>0</v>
      </c>
      <c r="W999" s="1" t="str">
        <f t="shared" si="124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customHeight="1" x14ac:dyDescent="0.3">
      <c r="A1000" s="2"/>
      <c r="B1000" s="65" t="str">
        <f t="shared" si="125"/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 t="shared" si="126"/>
        <v/>
      </c>
      <c r="N1000" s="74" t="str">
        <f t="shared" si="127"/>
        <v/>
      </c>
      <c r="O1000" s="73" t="str">
        <f t="shared" si="128"/>
        <v/>
      </c>
      <c r="P1000" s="65" t="str">
        <f t="shared" ca="1" si="129"/>
        <v/>
      </c>
      <c r="Q1000" s="2"/>
      <c r="R1000" s="2"/>
      <c r="S1000" s="1" t="str">
        <f t="shared" si="122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123"/>
        <v>0</v>
      </c>
      <c r="W1000" s="1" t="str">
        <f t="shared" si="124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customHeight="1" x14ac:dyDescent="0.3">
      <c r="A1001" s="2"/>
      <c r="B1001" s="65" t="str">
        <f t="shared" si="125"/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 t="shared" si="126"/>
        <v/>
      </c>
      <c r="N1001" s="74" t="str">
        <f t="shared" si="127"/>
        <v/>
      </c>
      <c r="O1001" s="73" t="str">
        <f t="shared" si="128"/>
        <v/>
      </c>
      <c r="P1001" s="65" t="str">
        <f t="shared" ca="1" si="129"/>
        <v/>
      </c>
      <c r="Q1001" s="2"/>
      <c r="R1001" s="2"/>
      <c r="S1001" s="1" t="str">
        <f t="shared" si="122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123"/>
        <v>0</v>
      </c>
      <c r="W1001" s="1" t="str">
        <f t="shared" si="124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customHeight="1" x14ac:dyDescent="0.3">
      <c r="A1002" s="2"/>
      <c r="B1002" s="65" t="str">
        <f t="shared" si="125"/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 t="shared" si="126"/>
        <v/>
      </c>
      <c r="N1002" s="74" t="str">
        <f t="shared" si="127"/>
        <v/>
      </c>
      <c r="O1002" s="73" t="str">
        <f t="shared" si="128"/>
        <v/>
      </c>
      <c r="P1002" s="65" t="str">
        <f t="shared" ca="1" si="129"/>
        <v/>
      </c>
      <c r="Q1002" s="2"/>
      <c r="R1002" s="2"/>
      <c r="S1002" s="1" t="str">
        <f t="shared" si="122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123"/>
        <v>0</v>
      </c>
      <c r="W1002" s="1" t="str">
        <f t="shared" si="124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customHeight="1" x14ac:dyDescent="0.3">
      <c r="A1003" s="2"/>
      <c r="B1003" s="65" t="str">
        <f t="shared" si="125"/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 t="shared" si="126"/>
        <v/>
      </c>
      <c r="N1003" s="74" t="str">
        <f t="shared" si="127"/>
        <v/>
      </c>
      <c r="O1003" s="73" t="str">
        <f t="shared" si="128"/>
        <v/>
      </c>
      <c r="P1003" s="65" t="str">
        <f t="shared" ca="1" si="129"/>
        <v/>
      </c>
      <c r="Q1003" s="2"/>
      <c r="R1003" s="2"/>
      <c r="S1003" s="1" t="str">
        <f t="shared" si="122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123"/>
        <v>0</v>
      </c>
      <c r="W1003" s="1" t="str">
        <f t="shared" si="124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customHeight="1" x14ac:dyDescent="0.3">
      <c r="A1004" s="2"/>
      <c r="B1004" s="65" t="str">
        <f t="shared" si="125"/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 t="shared" si="126"/>
        <v/>
      </c>
      <c r="N1004" s="74" t="str">
        <f t="shared" si="127"/>
        <v/>
      </c>
      <c r="O1004" s="73" t="str">
        <f t="shared" si="128"/>
        <v/>
      </c>
      <c r="P1004" s="65" t="str">
        <f t="shared" ca="1" si="129"/>
        <v/>
      </c>
      <c r="Q1004" s="2"/>
      <c r="R1004" s="2"/>
      <c r="S1004" s="1" t="str">
        <f t="shared" si="122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123"/>
        <v>0</v>
      </c>
      <c r="W1004" s="1" t="str">
        <f t="shared" si="124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customHeight="1" x14ac:dyDescent="0.3">
      <c r="A1005" s="2"/>
      <c r="B1005" s="65" t="str">
        <f t="shared" si="125"/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 t="shared" si="126"/>
        <v/>
      </c>
      <c r="N1005" s="74" t="str">
        <f t="shared" si="127"/>
        <v/>
      </c>
      <c r="O1005" s="73" t="str">
        <f t="shared" si="128"/>
        <v/>
      </c>
      <c r="P1005" s="65" t="str">
        <f t="shared" ca="1" si="129"/>
        <v/>
      </c>
      <c r="Q1005" s="2"/>
      <c r="R1005" s="2"/>
      <c r="S1005" s="1" t="str">
        <f t="shared" si="122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123"/>
        <v>0</v>
      </c>
      <c r="W1005" s="1" t="str">
        <f t="shared" si="124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customHeight="1" x14ac:dyDescent="0.3">
      <c r="A1006" s="2"/>
      <c r="B1006" s="65" t="str">
        <f t="shared" si="125"/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 t="shared" si="126"/>
        <v/>
      </c>
      <c r="N1006" s="74" t="str">
        <f t="shared" si="127"/>
        <v/>
      </c>
      <c r="O1006" s="73" t="str">
        <f t="shared" si="128"/>
        <v/>
      </c>
      <c r="P1006" s="65" t="str">
        <f t="shared" ca="1" si="129"/>
        <v/>
      </c>
      <c r="Q1006" s="2"/>
      <c r="R1006" s="2"/>
      <c r="S1006" s="1" t="str">
        <f t="shared" si="122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123"/>
        <v>0</v>
      </c>
      <c r="W1006" s="1" t="str">
        <f t="shared" si="124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customHeight="1" x14ac:dyDescent="0.3">
      <c r="A1007" s="2"/>
      <c r="B1007" s="65" t="str">
        <f t="shared" si="125"/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 t="shared" si="126"/>
        <v/>
      </c>
      <c r="N1007" s="74" t="str">
        <f t="shared" si="127"/>
        <v/>
      </c>
      <c r="O1007" s="73" t="str">
        <f t="shared" si="128"/>
        <v/>
      </c>
      <c r="P1007" s="65" t="str">
        <f t="shared" ca="1" si="129"/>
        <v/>
      </c>
      <c r="Q1007" s="2"/>
      <c r="R1007" s="2"/>
      <c r="S1007" s="1" t="str">
        <f t="shared" si="122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123"/>
        <v>0</v>
      </c>
      <c r="W1007" s="1" t="str">
        <f t="shared" si="124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customHeight="1" x14ac:dyDescent="0.3">
      <c r="A1008" s="2"/>
      <c r="B1008" s="65" t="str">
        <f t="shared" si="125"/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 t="shared" si="126"/>
        <v/>
      </c>
      <c r="N1008" s="74" t="str">
        <f t="shared" si="127"/>
        <v/>
      </c>
      <c r="O1008" s="73" t="str">
        <f t="shared" si="128"/>
        <v/>
      </c>
      <c r="P1008" s="65" t="str">
        <f t="shared" ca="1" si="129"/>
        <v/>
      </c>
      <c r="Q1008" s="2"/>
      <c r="R1008" s="2"/>
      <c r="S1008" s="1" t="str">
        <f t="shared" si="122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123"/>
        <v>0</v>
      </c>
      <c r="W1008" s="1" t="str">
        <f t="shared" si="124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customHeight="1" x14ac:dyDescent="0.3">
      <c r="A1009" s="2"/>
      <c r="B1009" s="65" t="str">
        <f t="shared" si="125"/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 t="shared" si="126"/>
        <v/>
      </c>
      <c r="N1009" s="74" t="str">
        <f t="shared" si="127"/>
        <v/>
      </c>
      <c r="O1009" s="73" t="str">
        <f t="shared" si="128"/>
        <v/>
      </c>
      <c r="P1009" s="65" t="str">
        <f t="shared" ca="1" si="129"/>
        <v/>
      </c>
      <c r="Q1009" s="2"/>
      <c r="R1009" s="2"/>
      <c r="S1009" s="1" t="str">
        <f t="shared" si="122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123"/>
        <v>0</v>
      </c>
      <c r="W1009" s="1" t="str">
        <f t="shared" si="124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customHeight="1" x14ac:dyDescent="0.3">
      <c r="A1010" s="2"/>
      <c r="B1010" s="65" t="str">
        <f t="shared" si="125"/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 t="shared" si="126"/>
        <v/>
      </c>
      <c r="N1010" s="74" t="str">
        <f t="shared" si="127"/>
        <v/>
      </c>
      <c r="O1010" s="73" t="str">
        <f t="shared" si="128"/>
        <v/>
      </c>
      <c r="P1010" s="65" t="str">
        <f t="shared" ca="1" si="129"/>
        <v/>
      </c>
      <c r="Q1010" s="2"/>
      <c r="R1010" s="2"/>
      <c r="S1010" s="1" t="str">
        <f t="shared" si="122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123"/>
        <v>0</v>
      </c>
      <c r="W1010" s="1" t="str">
        <f t="shared" si="124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customHeight="1" x14ac:dyDescent="0.3">
      <c r="A1011" s="2"/>
      <c r="B1011" s="65" t="str">
        <f t="shared" si="125"/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 t="shared" si="126"/>
        <v/>
      </c>
      <c r="N1011" s="74" t="str">
        <f t="shared" si="127"/>
        <v/>
      </c>
      <c r="O1011" s="73" t="str">
        <f t="shared" si="128"/>
        <v/>
      </c>
      <c r="P1011" s="65" t="str">
        <f t="shared" ca="1" si="129"/>
        <v/>
      </c>
      <c r="Q1011" s="2"/>
      <c r="R1011" s="2"/>
      <c r="S1011" s="1" t="str">
        <f t="shared" si="122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123"/>
        <v>0</v>
      </c>
      <c r="W1011" s="1" t="str">
        <f t="shared" si="124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customHeight="1" x14ac:dyDescent="0.3">
      <c r="A1012" s="2"/>
      <c r="B1012" s="65" t="str">
        <f t="shared" si="125"/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 t="shared" si="126"/>
        <v/>
      </c>
      <c r="N1012" s="74" t="str">
        <f t="shared" si="127"/>
        <v/>
      </c>
      <c r="O1012" s="73" t="str">
        <f t="shared" si="128"/>
        <v/>
      </c>
      <c r="P1012" s="65" t="str">
        <f t="shared" ca="1" si="129"/>
        <v/>
      </c>
      <c r="Q1012" s="2"/>
      <c r="R1012" s="2"/>
      <c r="S1012" s="1" t="str">
        <f t="shared" si="122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123"/>
        <v>0</v>
      </c>
      <c r="W1012" s="1" t="str">
        <f t="shared" si="124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customHeight="1" x14ac:dyDescent="0.3">
      <c r="A1013" s="2"/>
      <c r="B1013" s="65" t="str">
        <f t="shared" si="125"/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 t="shared" si="126"/>
        <v/>
      </c>
      <c r="N1013" s="74" t="str">
        <f t="shared" si="127"/>
        <v/>
      </c>
      <c r="O1013" s="73" t="str">
        <f t="shared" si="128"/>
        <v/>
      </c>
      <c r="P1013" s="65" t="str">
        <f t="shared" ca="1" si="129"/>
        <v/>
      </c>
      <c r="Q1013" s="2"/>
      <c r="R1013" s="2"/>
      <c r="S1013" s="1" t="str">
        <f t="shared" si="122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123"/>
        <v>0</v>
      </c>
      <c r="W1013" s="1" t="str">
        <f t="shared" si="124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customHeight="1" x14ac:dyDescent="0.3">
      <c r="A1014" s="2"/>
      <c r="B1014" s="65" t="str">
        <f t="shared" si="125"/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 t="shared" si="126"/>
        <v/>
      </c>
      <c r="N1014" s="74" t="str">
        <f t="shared" si="127"/>
        <v/>
      </c>
      <c r="O1014" s="73" t="str">
        <f t="shared" si="128"/>
        <v/>
      </c>
      <c r="P1014" s="65" t="str">
        <f t="shared" ca="1" si="129"/>
        <v/>
      </c>
      <c r="Q1014" s="2"/>
      <c r="R1014" s="2"/>
      <c r="S1014" s="1" t="str">
        <f t="shared" si="122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123"/>
        <v>0</v>
      </c>
      <c r="W1014" s="1" t="str">
        <f t="shared" si="124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customHeight="1" x14ac:dyDescent="0.3">
      <c r="A1015" s="2"/>
      <c r="B1015" s="65" t="str">
        <f t="shared" si="125"/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 t="shared" si="126"/>
        <v/>
      </c>
      <c r="N1015" s="74" t="str">
        <f t="shared" si="127"/>
        <v/>
      </c>
      <c r="O1015" s="73" t="str">
        <f t="shared" si="128"/>
        <v/>
      </c>
      <c r="P1015" s="65" t="str">
        <f t="shared" ca="1" si="129"/>
        <v/>
      </c>
      <c r="Q1015" s="2"/>
      <c r="R1015" s="2"/>
      <c r="S1015" s="1" t="str">
        <f t="shared" si="122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123"/>
        <v>0</v>
      </c>
      <c r="W1015" s="1" t="str">
        <f t="shared" si="124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customHeight="1" x14ac:dyDescent="0.3">
      <c r="A1016" s="2"/>
      <c r="B1016" s="65" t="str">
        <f t="shared" si="125"/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 t="shared" si="126"/>
        <v/>
      </c>
      <c r="N1016" s="74" t="str">
        <f t="shared" si="127"/>
        <v/>
      </c>
      <c r="O1016" s="73" t="str">
        <f t="shared" si="128"/>
        <v/>
      </c>
      <c r="P1016" s="65" t="str">
        <f t="shared" ca="1" si="129"/>
        <v/>
      </c>
      <c r="Q1016" s="2"/>
      <c r="R1016" s="2"/>
      <c r="S1016" s="1" t="str">
        <f t="shared" si="122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123"/>
        <v>0</v>
      </c>
      <c r="W1016" s="1" t="str">
        <f t="shared" si="124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customHeight="1" x14ac:dyDescent="0.3">
      <c r="A1017" s="2"/>
      <c r="B1017" s="65" t="str">
        <f t="shared" si="125"/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 t="shared" si="126"/>
        <v/>
      </c>
      <c r="N1017" s="74" t="str">
        <f t="shared" si="127"/>
        <v/>
      </c>
      <c r="O1017" s="73" t="str">
        <f t="shared" si="128"/>
        <v/>
      </c>
      <c r="P1017" s="65" t="str">
        <f t="shared" ca="1" si="129"/>
        <v/>
      </c>
      <c r="Q1017" s="2"/>
      <c r="R1017" s="2"/>
      <c r="S1017" s="1" t="str">
        <f t="shared" si="122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123"/>
        <v>0</v>
      </c>
      <c r="W1017" s="1" t="str">
        <f t="shared" si="124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customHeight="1" x14ac:dyDescent="0.3">
      <c r="A1018" s="2"/>
      <c r="B1018" s="65" t="str">
        <f t="shared" si="125"/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 t="shared" si="126"/>
        <v/>
      </c>
      <c r="N1018" s="74" t="str">
        <f t="shared" si="127"/>
        <v/>
      </c>
      <c r="O1018" s="73" t="str">
        <f t="shared" si="128"/>
        <v/>
      </c>
      <c r="P1018" s="65" t="str">
        <f t="shared" ca="1" si="129"/>
        <v/>
      </c>
      <c r="Q1018" s="2"/>
      <c r="R1018" s="2"/>
      <c r="S1018" s="1" t="str">
        <f t="shared" si="122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123"/>
        <v>0</v>
      </c>
      <c r="W1018" s="1" t="str">
        <f t="shared" si="124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customHeight="1" x14ac:dyDescent="0.3">
      <c r="A1019" s="2"/>
      <c r="B1019" s="65" t="str">
        <f t="shared" si="125"/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 t="shared" si="126"/>
        <v/>
      </c>
      <c r="N1019" s="74" t="str">
        <f t="shared" si="127"/>
        <v/>
      </c>
      <c r="O1019" s="73" t="str">
        <f t="shared" si="128"/>
        <v/>
      </c>
      <c r="P1019" s="65" t="str">
        <f t="shared" ca="1" si="129"/>
        <v/>
      </c>
      <c r="Q1019" s="2"/>
      <c r="R1019" s="2"/>
      <c r="S1019" s="1" t="str">
        <f t="shared" si="122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123"/>
        <v>0</v>
      </c>
      <c r="W1019" s="1" t="str">
        <f t="shared" si="124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customHeight="1" x14ac:dyDescent="0.3">
      <c r="A1020" s="2"/>
      <c r="B1020" s="65" t="str">
        <f t="shared" si="125"/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 t="shared" si="126"/>
        <v/>
      </c>
      <c r="N1020" s="74" t="str">
        <f t="shared" si="127"/>
        <v/>
      </c>
      <c r="O1020" s="73" t="str">
        <f t="shared" si="128"/>
        <v/>
      </c>
      <c r="P1020" s="65" t="str">
        <f t="shared" ca="1" si="129"/>
        <v/>
      </c>
      <c r="Q1020" s="2"/>
      <c r="R1020" s="2"/>
      <c r="S1020" s="1" t="str">
        <f t="shared" si="122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123"/>
        <v>0</v>
      </c>
      <c r="W1020" s="1" t="str">
        <f t="shared" si="124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customHeight="1" x14ac:dyDescent="0.3">
      <c r="A1021" s="2"/>
      <c r="B1021" s="65" t="str">
        <f t="shared" si="125"/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 t="shared" si="126"/>
        <v/>
      </c>
      <c r="N1021" s="74" t="str">
        <f t="shared" si="127"/>
        <v/>
      </c>
      <c r="O1021" s="73" t="str">
        <f t="shared" si="128"/>
        <v/>
      </c>
      <c r="P1021" s="65" t="str">
        <f t="shared" ca="1" si="129"/>
        <v/>
      </c>
      <c r="Q1021" s="2"/>
      <c r="R1021" s="2"/>
      <c r="S1021" s="1" t="str">
        <f t="shared" si="122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123"/>
        <v>0</v>
      </c>
      <c r="W1021" s="1" t="str">
        <f t="shared" si="124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customHeight="1" x14ac:dyDescent="0.3">
      <c r="A1022" s="2"/>
      <c r="B1022" s="65" t="str">
        <f t="shared" si="125"/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 t="shared" si="126"/>
        <v/>
      </c>
      <c r="N1022" s="74" t="str">
        <f t="shared" si="127"/>
        <v/>
      </c>
      <c r="O1022" s="73" t="str">
        <f t="shared" si="128"/>
        <v/>
      </c>
      <c r="P1022" s="65" t="str">
        <f t="shared" ca="1" si="129"/>
        <v/>
      </c>
      <c r="Q1022" s="2"/>
      <c r="R1022" s="2"/>
      <c r="S1022" s="1" t="str">
        <f t="shared" si="122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123"/>
        <v>0</v>
      </c>
      <c r="W1022" s="1" t="str">
        <f t="shared" si="124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customHeight="1" x14ac:dyDescent="0.3">
      <c r="A1023" s="2"/>
      <c r="B1023" s="65" t="str">
        <f t="shared" si="125"/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 t="shared" si="126"/>
        <v/>
      </c>
      <c r="N1023" s="74" t="str">
        <f t="shared" si="127"/>
        <v/>
      </c>
      <c r="O1023" s="73" t="str">
        <f t="shared" si="128"/>
        <v/>
      </c>
      <c r="P1023" s="65" t="str">
        <f t="shared" ca="1" si="129"/>
        <v/>
      </c>
      <c r="Q1023" s="2"/>
      <c r="R1023" s="2"/>
      <c r="S1023" s="1" t="str">
        <f t="shared" si="122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123"/>
        <v>0</v>
      </c>
      <c r="W1023" s="1" t="str">
        <f t="shared" si="124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customHeight="1" x14ac:dyDescent="0.3">
      <c r="A1024" s="2"/>
      <c r="B1024" s="65" t="str">
        <f t="shared" si="125"/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 t="shared" si="126"/>
        <v/>
      </c>
      <c r="N1024" s="74" t="str">
        <f t="shared" si="127"/>
        <v/>
      </c>
      <c r="O1024" s="73" t="str">
        <f t="shared" si="128"/>
        <v/>
      </c>
      <c r="P1024" s="65" t="str">
        <f t="shared" ca="1" si="129"/>
        <v/>
      </c>
      <c r="Q1024" s="2"/>
      <c r="R1024" s="2"/>
      <c r="S1024" s="1" t="str">
        <f t="shared" si="122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123"/>
        <v>0</v>
      </c>
      <c r="W1024" s="1" t="str">
        <f t="shared" si="124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customHeight="1" x14ac:dyDescent="0.3">
      <c r="A1025" s="2"/>
      <c r="B1025" s="65" t="str">
        <f t="shared" si="125"/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 t="shared" si="126"/>
        <v/>
      </c>
      <c r="N1025" s="74" t="str">
        <f t="shared" si="127"/>
        <v/>
      </c>
      <c r="O1025" s="73" t="str">
        <f t="shared" si="128"/>
        <v/>
      </c>
      <c r="P1025" s="65" t="str">
        <f t="shared" ca="1" si="129"/>
        <v/>
      </c>
      <c r="Q1025" s="2"/>
      <c r="R1025" s="2"/>
      <c r="S1025" s="1" t="str">
        <f t="shared" si="122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123"/>
        <v>0</v>
      </c>
      <c r="W1025" s="1" t="str">
        <f t="shared" si="124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customHeight="1" x14ac:dyDescent="0.3">
      <c r="A1026" s="2"/>
      <c r="B1026" s="65" t="str">
        <f t="shared" si="125"/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 t="shared" si="126"/>
        <v/>
      </c>
      <c r="N1026" s="74" t="str">
        <f t="shared" si="127"/>
        <v/>
      </c>
      <c r="O1026" s="73" t="str">
        <f t="shared" si="128"/>
        <v/>
      </c>
      <c r="P1026" s="65" t="str">
        <f t="shared" ca="1" si="129"/>
        <v/>
      </c>
      <c r="Q1026" s="2"/>
      <c r="R1026" s="2"/>
      <c r="S1026" s="1" t="str">
        <f t="shared" si="122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123"/>
        <v>0</v>
      </c>
      <c r="W1026" s="1" t="str">
        <f t="shared" si="124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customHeight="1" x14ac:dyDescent="0.3">
      <c r="A1027" s="2"/>
      <c r="B1027" s="65" t="str">
        <f t="shared" si="125"/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 t="shared" si="126"/>
        <v/>
      </c>
      <c r="N1027" s="74" t="str">
        <f t="shared" si="127"/>
        <v/>
      </c>
      <c r="O1027" s="73" t="str">
        <f t="shared" si="128"/>
        <v/>
      </c>
      <c r="P1027" s="65" t="str">
        <f t="shared" ca="1" si="129"/>
        <v/>
      </c>
      <c r="Q1027" s="2"/>
      <c r="R1027" s="2"/>
      <c r="S1027" s="1" t="str">
        <f t="shared" si="122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123"/>
        <v>0</v>
      </c>
      <c r="W1027" s="1" t="str">
        <f t="shared" si="124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customHeight="1" x14ac:dyDescent="0.3">
      <c r="A1028" s="2"/>
      <c r="B1028" s="65" t="str">
        <f t="shared" si="125"/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 t="shared" si="126"/>
        <v/>
      </c>
      <c r="N1028" s="74" t="str">
        <f t="shared" si="127"/>
        <v/>
      </c>
      <c r="O1028" s="73" t="str">
        <f t="shared" si="128"/>
        <v/>
      </c>
      <c r="P1028" s="65" t="str">
        <f t="shared" ca="1" si="129"/>
        <v/>
      </c>
      <c r="Q1028" s="2"/>
      <c r="R1028" s="2"/>
      <c r="S1028" s="1" t="str">
        <f t="shared" si="122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123"/>
        <v>0</v>
      </c>
      <c r="W1028" s="1" t="str">
        <f t="shared" si="124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customHeight="1" x14ac:dyDescent="0.3">
      <c r="A1029" s="2"/>
      <c r="B1029" s="65" t="str">
        <f t="shared" si="125"/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 t="shared" si="126"/>
        <v/>
      </c>
      <c r="N1029" s="74" t="str">
        <f t="shared" si="127"/>
        <v/>
      </c>
      <c r="O1029" s="73" t="str">
        <f t="shared" si="128"/>
        <v/>
      </c>
      <c r="P1029" s="65" t="str">
        <f t="shared" ca="1" si="129"/>
        <v/>
      </c>
      <c r="Q1029" s="2"/>
      <c r="R1029" s="2"/>
      <c r="S1029" s="1" t="str">
        <f t="shared" ref="S1029:S1092" si="130"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ref="V1029:V1092" si="131">IF($T1029="",0,1)</f>
        <v>0</v>
      </c>
      <c r="W1029" s="1" t="str">
        <f t="shared" ref="W1029:W1092" si="132">IF($C1029="","",$D1029&amp;"|"&amp;$E1029&amp;"|"&amp;TEXT($C1029,"0")&amp;"|"&amp;TEXT($G1029,"0")&amp;"|"&amp;$F1029&amp;"|"&amp;$J1029)</f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customHeight="1" x14ac:dyDescent="0.3">
      <c r="A1030" s="2"/>
      <c r="B1030" s="65" t="str">
        <f t="shared" si="125"/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 t="shared" si="126"/>
        <v/>
      </c>
      <c r="N1030" s="74" t="str">
        <f t="shared" si="127"/>
        <v/>
      </c>
      <c r="O1030" s="73" t="str">
        <f t="shared" si="128"/>
        <v/>
      </c>
      <c r="P1030" s="65" t="str">
        <f t="shared" ca="1" si="129"/>
        <v/>
      </c>
      <c r="Q1030" s="2"/>
      <c r="R1030" s="2"/>
      <c r="S1030" s="1" t="str">
        <f t="shared" si="130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131"/>
        <v>0</v>
      </c>
      <c r="W1030" s="1" t="str">
        <f t="shared" si="132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customHeight="1" x14ac:dyDescent="0.3">
      <c r="A1031" s="2"/>
      <c r="B1031" s="65" t="str">
        <f t="shared" ref="B1031:B1094" si="133"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 t="shared" ref="M1031:M1094" si="134">IF($C1031="","",IF($D1031="Gider",$E1031,IF($L1031&lt;&gt;"",$L1031,$H1031)))</f>
        <v/>
      </c>
      <c r="N1031" s="74" t="str">
        <f t="shared" ref="N1031:N1094" si="135">IF($C1031="","",IF($D1031="Gider",$H1031,$E1031))</f>
        <v/>
      </c>
      <c r="O1031" s="73" t="str">
        <f t="shared" ref="O1031:O1094" si="136">IF($C1031="","",DATE(YEAR($C1031),MONTH($C1031),1))</f>
        <v/>
      </c>
      <c r="P1031" s="65" t="str">
        <f t="shared" ref="P1031:P1094" ca="1" si="137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TARİH",IF(COUNTIF($W$7:$W$3001,$W1031)&gt;1,"MÜKERRER?",IF($AD1031&gt;0,"KAPALI DÖNEM",IF($I1031="Hayır","ÖDENECEK","UYGUN")))),"EKSİK"))))</f>
        <v/>
      </c>
      <c r="Q1031" s="2"/>
      <c r="R1031" s="2"/>
      <c r="S1031" s="1" t="str">
        <f t="shared" si="130"/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si="131"/>
        <v>0</v>
      </c>
      <c r="W1031" s="1" t="str">
        <f t="shared" si="132"/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customHeight="1" x14ac:dyDescent="0.3">
      <c r="A1032" s="2"/>
      <c r="B1032" s="65" t="str">
        <f t="shared" si="133"/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 t="shared" si="134"/>
        <v/>
      </c>
      <c r="N1032" s="74" t="str">
        <f t="shared" si="135"/>
        <v/>
      </c>
      <c r="O1032" s="73" t="str">
        <f t="shared" si="136"/>
        <v/>
      </c>
      <c r="P1032" s="65" t="str">
        <f t="shared" ca="1" si="137"/>
        <v/>
      </c>
      <c r="Q1032" s="2"/>
      <c r="R1032" s="2"/>
      <c r="S1032" s="1" t="str">
        <f t="shared" si="130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131"/>
        <v>0</v>
      </c>
      <c r="W1032" s="1" t="str">
        <f t="shared" si="132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customHeight="1" x14ac:dyDescent="0.3">
      <c r="A1033" s="2"/>
      <c r="B1033" s="65" t="str">
        <f t="shared" si="133"/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 t="shared" si="134"/>
        <v/>
      </c>
      <c r="N1033" s="74" t="str">
        <f t="shared" si="135"/>
        <v/>
      </c>
      <c r="O1033" s="73" t="str">
        <f t="shared" si="136"/>
        <v/>
      </c>
      <c r="P1033" s="65" t="str">
        <f t="shared" ca="1" si="137"/>
        <v/>
      </c>
      <c r="Q1033" s="2"/>
      <c r="R1033" s="2"/>
      <c r="S1033" s="1" t="str">
        <f t="shared" si="130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131"/>
        <v>0</v>
      </c>
      <c r="W1033" s="1" t="str">
        <f t="shared" si="132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customHeight="1" x14ac:dyDescent="0.3">
      <c r="A1034" s="2"/>
      <c r="B1034" s="65" t="str">
        <f t="shared" si="133"/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 t="shared" si="134"/>
        <v/>
      </c>
      <c r="N1034" s="74" t="str">
        <f t="shared" si="135"/>
        <v/>
      </c>
      <c r="O1034" s="73" t="str">
        <f t="shared" si="136"/>
        <v/>
      </c>
      <c r="P1034" s="65" t="str">
        <f t="shared" ca="1" si="137"/>
        <v/>
      </c>
      <c r="Q1034" s="2"/>
      <c r="R1034" s="2"/>
      <c r="S1034" s="1" t="str">
        <f t="shared" si="130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131"/>
        <v>0</v>
      </c>
      <c r="W1034" s="1" t="str">
        <f t="shared" si="132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customHeight="1" x14ac:dyDescent="0.3">
      <c r="A1035" s="2"/>
      <c r="B1035" s="65" t="str">
        <f t="shared" si="133"/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 t="shared" si="134"/>
        <v/>
      </c>
      <c r="N1035" s="74" t="str">
        <f t="shared" si="135"/>
        <v/>
      </c>
      <c r="O1035" s="73" t="str">
        <f t="shared" si="136"/>
        <v/>
      </c>
      <c r="P1035" s="65" t="str">
        <f t="shared" ca="1" si="137"/>
        <v/>
      </c>
      <c r="Q1035" s="2"/>
      <c r="R1035" s="2"/>
      <c r="S1035" s="1" t="str">
        <f t="shared" si="130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131"/>
        <v>0</v>
      </c>
      <c r="W1035" s="1" t="str">
        <f t="shared" si="132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customHeight="1" x14ac:dyDescent="0.3">
      <c r="A1036" s="2"/>
      <c r="B1036" s="65" t="str">
        <f t="shared" si="133"/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 t="shared" si="134"/>
        <v/>
      </c>
      <c r="N1036" s="74" t="str">
        <f t="shared" si="135"/>
        <v/>
      </c>
      <c r="O1036" s="73" t="str">
        <f t="shared" si="136"/>
        <v/>
      </c>
      <c r="P1036" s="65" t="str">
        <f t="shared" ca="1" si="137"/>
        <v/>
      </c>
      <c r="Q1036" s="2"/>
      <c r="R1036" s="2"/>
      <c r="S1036" s="1" t="str">
        <f t="shared" si="130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131"/>
        <v>0</v>
      </c>
      <c r="W1036" s="1" t="str">
        <f t="shared" si="132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customHeight="1" x14ac:dyDescent="0.3">
      <c r="A1037" s="2"/>
      <c r="B1037" s="65" t="str">
        <f t="shared" si="133"/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 t="shared" si="134"/>
        <v/>
      </c>
      <c r="N1037" s="74" t="str">
        <f t="shared" si="135"/>
        <v/>
      </c>
      <c r="O1037" s="73" t="str">
        <f t="shared" si="136"/>
        <v/>
      </c>
      <c r="P1037" s="65" t="str">
        <f t="shared" ca="1" si="137"/>
        <v/>
      </c>
      <c r="Q1037" s="2"/>
      <c r="R1037" s="2"/>
      <c r="S1037" s="1" t="str">
        <f t="shared" si="130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131"/>
        <v>0</v>
      </c>
      <c r="W1037" s="1" t="str">
        <f t="shared" si="132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customHeight="1" x14ac:dyDescent="0.3">
      <c r="A1038" s="2"/>
      <c r="B1038" s="65" t="str">
        <f t="shared" si="133"/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 t="shared" si="134"/>
        <v/>
      </c>
      <c r="N1038" s="74" t="str">
        <f t="shared" si="135"/>
        <v/>
      </c>
      <c r="O1038" s="73" t="str">
        <f t="shared" si="136"/>
        <v/>
      </c>
      <c r="P1038" s="65" t="str">
        <f t="shared" ca="1" si="137"/>
        <v/>
      </c>
      <c r="Q1038" s="2"/>
      <c r="R1038" s="2"/>
      <c r="S1038" s="1" t="str">
        <f t="shared" si="130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131"/>
        <v>0</v>
      </c>
      <c r="W1038" s="1" t="str">
        <f t="shared" si="132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customHeight="1" x14ac:dyDescent="0.3">
      <c r="A1039" s="2"/>
      <c r="B1039" s="65" t="str">
        <f t="shared" si="133"/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 t="shared" si="134"/>
        <v/>
      </c>
      <c r="N1039" s="74" t="str">
        <f t="shared" si="135"/>
        <v/>
      </c>
      <c r="O1039" s="73" t="str">
        <f t="shared" si="136"/>
        <v/>
      </c>
      <c r="P1039" s="65" t="str">
        <f t="shared" ca="1" si="137"/>
        <v/>
      </c>
      <c r="Q1039" s="2"/>
      <c r="R1039" s="2"/>
      <c r="S1039" s="1" t="str">
        <f t="shared" si="130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131"/>
        <v>0</v>
      </c>
      <c r="W1039" s="1" t="str">
        <f t="shared" si="132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customHeight="1" x14ac:dyDescent="0.3">
      <c r="A1040" s="2"/>
      <c r="B1040" s="65" t="str">
        <f t="shared" si="133"/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 t="shared" si="134"/>
        <v/>
      </c>
      <c r="N1040" s="74" t="str">
        <f t="shared" si="135"/>
        <v/>
      </c>
      <c r="O1040" s="73" t="str">
        <f t="shared" si="136"/>
        <v/>
      </c>
      <c r="P1040" s="65" t="str">
        <f t="shared" ca="1" si="137"/>
        <v/>
      </c>
      <c r="Q1040" s="2"/>
      <c r="R1040" s="2"/>
      <c r="S1040" s="1" t="str">
        <f t="shared" si="130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131"/>
        <v>0</v>
      </c>
      <c r="W1040" s="1" t="str">
        <f t="shared" si="132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customHeight="1" x14ac:dyDescent="0.3">
      <c r="A1041" s="2"/>
      <c r="B1041" s="65" t="str">
        <f t="shared" si="133"/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 t="shared" si="134"/>
        <v/>
      </c>
      <c r="N1041" s="74" t="str">
        <f t="shared" si="135"/>
        <v/>
      </c>
      <c r="O1041" s="73" t="str">
        <f t="shared" si="136"/>
        <v/>
      </c>
      <c r="P1041" s="65" t="str">
        <f t="shared" ca="1" si="137"/>
        <v/>
      </c>
      <c r="Q1041" s="2"/>
      <c r="R1041" s="2"/>
      <c r="S1041" s="1" t="str">
        <f t="shared" si="130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131"/>
        <v>0</v>
      </c>
      <c r="W1041" s="1" t="str">
        <f t="shared" si="132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customHeight="1" x14ac:dyDescent="0.3">
      <c r="A1042" s="2"/>
      <c r="B1042" s="65" t="str">
        <f t="shared" si="133"/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 t="shared" si="134"/>
        <v/>
      </c>
      <c r="N1042" s="74" t="str">
        <f t="shared" si="135"/>
        <v/>
      </c>
      <c r="O1042" s="73" t="str">
        <f t="shared" si="136"/>
        <v/>
      </c>
      <c r="P1042" s="65" t="str">
        <f t="shared" ca="1" si="137"/>
        <v/>
      </c>
      <c r="Q1042" s="2"/>
      <c r="R1042" s="2"/>
      <c r="S1042" s="1" t="str">
        <f t="shared" si="130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131"/>
        <v>0</v>
      </c>
      <c r="W1042" s="1" t="str">
        <f t="shared" si="132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customHeight="1" x14ac:dyDescent="0.3">
      <c r="A1043" s="2"/>
      <c r="B1043" s="65" t="str">
        <f t="shared" si="133"/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 t="shared" si="134"/>
        <v/>
      </c>
      <c r="N1043" s="74" t="str">
        <f t="shared" si="135"/>
        <v/>
      </c>
      <c r="O1043" s="73" t="str">
        <f t="shared" si="136"/>
        <v/>
      </c>
      <c r="P1043" s="65" t="str">
        <f t="shared" ca="1" si="137"/>
        <v/>
      </c>
      <c r="Q1043" s="2"/>
      <c r="R1043" s="2"/>
      <c r="S1043" s="1" t="str">
        <f t="shared" si="130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131"/>
        <v>0</v>
      </c>
      <c r="W1043" s="1" t="str">
        <f t="shared" si="132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customHeight="1" x14ac:dyDescent="0.3">
      <c r="A1044" s="2"/>
      <c r="B1044" s="65" t="str">
        <f t="shared" si="133"/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 t="shared" si="134"/>
        <v/>
      </c>
      <c r="N1044" s="74" t="str">
        <f t="shared" si="135"/>
        <v/>
      </c>
      <c r="O1044" s="73" t="str">
        <f t="shared" si="136"/>
        <v/>
      </c>
      <c r="P1044" s="65" t="str">
        <f t="shared" ca="1" si="137"/>
        <v/>
      </c>
      <c r="Q1044" s="2"/>
      <c r="R1044" s="2"/>
      <c r="S1044" s="1" t="str">
        <f t="shared" si="130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131"/>
        <v>0</v>
      </c>
      <c r="W1044" s="1" t="str">
        <f t="shared" si="132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customHeight="1" x14ac:dyDescent="0.3">
      <c r="A1045" s="2"/>
      <c r="B1045" s="65" t="str">
        <f t="shared" si="133"/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 t="shared" si="134"/>
        <v/>
      </c>
      <c r="N1045" s="74" t="str">
        <f t="shared" si="135"/>
        <v/>
      </c>
      <c r="O1045" s="73" t="str">
        <f t="shared" si="136"/>
        <v/>
      </c>
      <c r="P1045" s="65" t="str">
        <f t="shared" ca="1" si="137"/>
        <v/>
      </c>
      <c r="Q1045" s="2"/>
      <c r="R1045" s="2"/>
      <c r="S1045" s="1" t="str">
        <f t="shared" si="130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131"/>
        <v>0</v>
      </c>
      <c r="W1045" s="1" t="str">
        <f t="shared" si="132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customHeight="1" x14ac:dyDescent="0.3">
      <c r="A1046" s="2"/>
      <c r="B1046" s="65" t="str">
        <f t="shared" si="133"/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 t="shared" si="134"/>
        <v/>
      </c>
      <c r="N1046" s="74" t="str">
        <f t="shared" si="135"/>
        <v/>
      </c>
      <c r="O1046" s="73" t="str">
        <f t="shared" si="136"/>
        <v/>
      </c>
      <c r="P1046" s="65" t="str">
        <f t="shared" ca="1" si="137"/>
        <v/>
      </c>
      <c r="Q1046" s="2"/>
      <c r="R1046" s="2"/>
      <c r="S1046" s="1" t="str">
        <f t="shared" si="130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131"/>
        <v>0</v>
      </c>
      <c r="W1046" s="1" t="str">
        <f t="shared" si="132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customHeight="1" x14ac:dyDescent="0.3">
      <c r="A1047" s="2"/>
      <c r="B1047" s="65" t="str">
        <f t="shared" si="133"/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 t="shared" si="134"/>
        <v/>
      </c>
      <c r="N1047" s="74" t="str">
        <f t="shared" si="135"/>
        <v/>
      </c>
      <c r="O1047" s="73" t="str">
        <f t="shared" si="136"/>
        <v/>
      </c>
      <c r="P1047" s="65" t="str">
        <f t="shared" ca="1" si="137"/>
        <v/>
      </c>
      <c r="Q1047" s="2"/>
      <c r="R1047" s="2"/>
      <c r="S1047" s="1" t="str">
        <f t="shared" si="130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131"/>
        <v>0</v>
      </c>
      <c r="W1047" s="1" t="str">
        <f t="shared" si="132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customHeight="1" x14ac:dyDescent="0.3">
      <c r="A1048" s="2"/>
      <c r="B1048" s="65" t="str">
        <f t="shared" si="133"/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 t="shared" si="134"/>
        <v/>
      </c>
      <c r="N1048" s="74" t="str">
        <f t="shared" si="135"/>
        <v/>
      </c>
      <c r="O1048" s="73" t="str">
        <f t="shared" si="136"/>
        <v/>
      </c>
      <c r="P1048" s="65" t="str">
        <f t="shared" ca="1" si="137"/>
        <v/>
      </c>
      <c r="Q1048" s="2"/>
      <c r="R1048" s="2"/>
      <c r="S1048" s="1" t="str">
        <f t="shared" si="130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131"/>
        <v>0</v>
      </c>
      <c r="W1048" s="1" t="str">
        <f t="shared" si="132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customHeight="1" x14ac:dyDescent="0.3">
      <c r="A1049" s="2"/>
      <c r="B1049" s="65" t="str">
        <f t="shared" si="133"/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 t="shared" si="134"/>
        <v/>
      </c>
      <c r="N1049" s="74" t="str">
        <f t="shared" si="135"/>
        <v/>
      </c>
      <c r="O1049" s="73" t="str">
        <f t="shared" si="136"/>
        <v/>
      </c>
      <c r="P1049" s="65" t="str">
        <f t="shared" ca="1" si="137"/>
        <v/>
      </c>
      <c r="Q1049" s="2"/>
      <c r="R1049" s="2"/>
      <c r="S1049" s="1" t="str">
        <f t="shared" si="130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131"/>
        <v>0</v>
      </c>
      <c r="W1049" s="1" t="str">
        <f t="shared" si="132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customHeight="1" x14ac:dyDescent="0.3">
      <c r="A1050" s="2"/>
      <c r="B1050" s="65" t="str">
        <f t="shared" si="133"/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 t="shared" si="134"/>
        <v/>
      </c>
      <c r="N1050" s="74" t="str">
        <f t="shared" si="135"/>
        <v/>
      </c>
      <c r="O1050" s="73" t="str">
        <f t="shared" si="136"/>
        <v/>
      </c>
      <c r="P1050" s="65" t="str">
        <f t="shared" ca="1" si="137"/>
        <v/>
      </c>
      <c r="Q1050" s="2"/>
      <c r="R1050" s="2"/>
      <c r="S1050" s="1" t="str">
        <f t="shared" si="130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131"/>
        <v>0</v>
      </c>
      <c r="W1050" s="1" t="str">
        <f t="shared" si="132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customHeight="1" x14ac:dyDescent="0.3">
      <c r="A1051" s="2"/>
      <c r="B1051" s="65" t="str">
        <f t="shared" si="133"/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 t="shared" si="134"/>
        <v/>
      </c>
      <c r="N1051" s="74" t="str">
        <f t="shared" si="135"/>
        <v/>
      </c>
      <c r="O1051" s="73" t="str">
        <f t="shared" si="136"/>
        <v/>
      </c>
      <c r="P1051" s="65" t="str">
        <f t="shared" ca="1" si="137"/>
        <v/>
      </c>
      <c r="Q1051" s="2"/>
      <c r="R1051" s="2"/>
      <c r="S1051" s="1" t="str">
        <f t="shared" si="130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131"/>
        <v>0</v>
      </c>
      <c r="W1051" s="1" t="str">
        <f t="shared" si="132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customHeight="1" x14ac:dyDescent="0.3">
      <c r="A1052" s="2"/>
      <c r="B1052" s="65" t="str">
        <f t="shared" si="133"/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 t="shared" si="134"/>
        <v/>
      </c>
      <c r="N1052" s="74" t="str">
        <f t="shared" si="135"/>
        <v/>
      </c>
      <c r="O1052" s="73" t="str">
        <f t="shared" si="136"/>
        <v/>
      </c>
      <c r="P1052" s="65" t="str">
        <f t="shared" ca="1" si="137"/>
        <v/>
      </c>
      <c r="Q1052" s="2"/>
      <c r="R1052" s="2"/>
      <c r="S1052" s="1" t="str">
        <f t="shared" si="130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131"/>
        <v>0</v>
      </c>
      <c r="W1052" s="1" t="str">
        <f t="shared" si="132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customHeight="1" x14ac:dyDescent="0.3">
      <c r="A1053" s="2"/>
      <c r="B1053" s="65" t="str">
        <f t="shared" si="133"/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 t="shared" si="134"/>
        <v/>
      </c>
      <c r="N1053" s="74" t="str">
        <f t="shared" si="135"/>
        <v/>
      </c>
      <c r="O1053" s="73" t="str">
        <f t="shared" si="136"/>
        <v/>
      </c>
      <c r="P1053" s="65" t="str">
        <f t="shared" ca="1" si="137"/>
        <v/>
      </c>
      <c r="Q1053" s="2"/>
      <c r="R1053" s="2"/>
      <c r="S1053" s="1" t="str">
        <f t="shared" si="130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131"/>
        <v>0</v>
      </c>
      <c r="W1053" s="1" t="str">
        <f t="shared" si="132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customHeight="1" x14ac:dyDescent="0.3">
      <c r="A1054" s="2"/>
      <c r="B1054" s="65" t="str">
        <f t="shared" si="133"/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 t="shared" si="134"/>
        <v/>
      </c>
      <c r="N1054" s="74" t="str">
        <f t="shared" si="135"/>
        <v/>
      </c>
      <c r="O1054" s="73" t="str">
        <f t="shared" si="136"/>
        <v/>
      </c>
      <c r="P1054" s="65" t="str">
        <f t="shared" ca="1" si="137"/>
        <v/>
      </c>
      <c r="Q1054" s="2"/>
      <c r="R1054" s="2"/>
      <c r="S1054" s="1" t="str">
        <f t="shared" si="130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131"/>
        <v>0</v>
      </c>
      <c r="W1054" s="1" t="str">
        <f t="shared" si="132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customHeight="1" x14ac:dyDescent="0.3">
      <c r="A1055" s="2"/>
      <c r="B1055" s="65" t="str">
        <f t="shared" si="133"/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 t="shared" si="134"/>
        <v/>
      </c>
      <c r="N1055" s="74" t="str">
        <f t="shared" si="135"/>
        <v/>
      </c>
      <c r="O1055" s="73" t="str">
        <f t="shared" si="136"/>
        <v/>
      </c>
      <c r="P1055" s="65" t="str">
        <f t="shared" ca="1" si="137"/>
        <v/>
      </c>
      <c r="Q1055" s="2"/>
      <c r="R1055" s="2"/>
      <c r="S1055" s="1" t="str">
        <f t="shared" si="130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131"/>
        <v>0</v>
      </c>
      <c r="W1055" s="1" t="str">
        <f t="shared" si="132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customHeight="1" x14ac:dyDescent="0.3">
      <c r="A1056" s="2"/>
      <c r="B1056" s="65" t="str">
        <f t="shared" si="133"/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 t="shared" si="134"/>
        <v/>
      </c>
      <c r="N1056" s="74" t="str">
        <f t="shared" si="135"/>
        <v/>
      </c>
      <c r="O1056" s="73" t="str">
        <f t="shared" si="136"/>
        <v/>
      </c>
      <c r="P1056" s="65" t="str">
        <f t="shared" ca="1" si="137"/>
        <v/>
      </c>
      <c r="Q1056" s="2"/>
      <c r="R1056" s="2"/>
      <c r="S1056" s="1" t="str">
        <f t="shared" si="130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131"/>
        <v>0</v>
      </c>
      <c r="W1056" s="1" t="str">
        <f t="shared" si="132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customHeight="1" x14ac:dyDescent="0.3">
      <c r="A1057" s="2"/>
      <c r="B1057" s="65" t="str">
        <f t="shared" si="133"/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 t="shared" si="134"/>
        <v/>
      </c>
      <c r="N1057" s="74" t="str">
        <f t="shared" si="135"/>
        <v/>
      </c>
      <c r="O1057" s="73" t="str">
        <f t="shared" si="136"/>
        <v/>
      </c>
      <c r="P1057" s="65" t="str">
        <f t="shared" ca="1" si="137"/>
        <v/>
      </c>
      <c r="Q1057" s="2"/>
      <c r="R1057" s="2"/>
      <c r="S1057" s="1" t="str">
        <f t="shared" si="130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131"/>
        <v>0</v>
      </c>
      <c r="W1057" s="1" t="str">
        <f t="shared" si="132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customHeight="1" x14ac:dyDescent="0.3">
      <c r="A1058" s="2"/>
      <c r="B1058" s="65" t="str">
        <f t="shared" si="133"/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 t="shared" si="134"/>
        <v/>
      </c>
      <c r="N1058" s="74" t="str">
        <f t="shared" si="135"/>
        <v/>
      </c>
      <c r="O1058" s="73" t="str">
        <f t="shared" si="136"/>
        <v/>
      </c>
      <c r="P1058" s="65" t="str">
        <f t="shared" ca="1" si="137"/>
        <v/>
      </c>
      <c r="Q1058" s="2"/>
      <c r="R1058" s="2"/>
      <c r="S1058" s="1" t="str">
        <f t="shared" si="130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131"/>
        <v>0</v>
      </c>
      <c r="W1058" s="1" t="str">
        <f t="shared" si="132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customHeight="1" x14ac:dyDescent="0.3">
      <c r="A1059" s="2"/>
      <c r="B1059" s="65" t="str">
        <f t="shared" si="133"/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 t="shared" si="134"/>
        <v/>
      </c>
      <c r="N1059" s="74" t="str">
        <f t="shared" si="135"/>
        <v/>
      </c>
      <c r="O1059" s="73" t="str">
        <f t="shared" si="136"/>
        <v/>
      </c>
      <c r="P1059" s="65" t="str">
        <f t="shared" ca="1" si="137"/>
        <v/>
      </c>
      <c r="Q1059" s="2"/>
      <c r="R1059" s="2"/>
      <c r="S1059" s="1" t="str">
        <f t="shared" si="130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131"/>
        <v>0</v>
      </c>
      <c r="W1059" s="1" t="str">
        <f t="shared" si="132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customHeight="1" x14ac:dyDescent="0.3">
      <c r="A1060" s="2"/>
      <c r="B1060" s="65" t="str">
        <f t="shared" si="133"/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 t="shared" si="134"/>
        <v/>
      </c>
      <c r="N1060" s="74" t="str">
        <f t="shared" si="135"/>
        <v/>
      </c>
      <c r="O1060" s="73" t="str">
        <f t="shared" si="136"/>
        <v/>
      </c>
      <c r="P1060" s="65" t="str">
        <f t="shared" ca="1" si="137"/>
        <v/>
      </c>
      <c r="Q1060" s="2"/>
      <c r="R1060" s="2"/>
      <c r="S1060" s="1" t="str">
        <f t="shared" si="130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131"/>
        <v>0</v>
      </c>
      <c r="W1060" s="1" t="str">
        <f t="shared" si="132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customHeight="1" x14ac:dyDescent="0.3">
      <c r="A1061" s="2"/>
      <c r="B1061" s="65" t="str">
        <f t="shared" si="133"/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 t="shared" si="134"/>
        <v/>
      </c>
      <c r="N1061" s="74" t="str">
        <f t="shared" si="135"/>
        <v/>
      </c>
      <c r="O1061" s="73" t="str">
        <f t="shared" si="136"/>
        <v/>
      </c>
      <c r="P1061" s="65" t="str">
        <f t="shared" ca="1" si="137"/>
        <v/>
      </c>
      <c r="Q1061" s="2"/>
      <c r="R1061" s="2"/>
      <c r="S1061" s="1" t="str">
        <f t="shared" si="130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131"/>
        <v>0</v>
      </c>
      <c r="W1061" s="1" t="str">
        <f t="shared" si="132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customHeight="1" x14ac:dyDescent="0.3">
      <c r="A1062" s="2"/>
      <c r="B1062" s="65" t="str">
        <f t="shared" si="133"/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 t="shared" si="134"/>
        <v/>
      </c>
      <c r="N1062" s="74" t="str">
        <f t="shared" si="135"/>
        <v/>
      </c>
      <c r="O1062" s="73" t="str">
        <f t="shared" si="136"/>
        <v/>
      </c>
      <c r="P1062" s="65" t="str">
        <f t="shared" ca="1" si="137"/>
        <v/>
      </c>
      <c r="Q1062" s="2"/>
      <c r="R1062" s="2"/>
      <c r="S1062" s="1" t="str">
        <f t="shared" si="130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131"/>
        <v>0</v>
      </c>
      <c r="W1062" s="1" t="str">
        <f t="shared" si="132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customHeight="1" x14ac:dyDescent="0.3">
      <c r="A1063" s="2"/>
      <c r="B1063" s="65" t="str">
        <f t="shared" si="133"/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 t="shared" si="134"/>
        <v/>
      </c>
      <c r="N1063" s="74" t="str">
        <f t="shared" si="135"/>
        <v/>
      </c>
      <c r="O1063" s="73" t="str">
        <f t="shared" si="136"/>
        <v/>
      </c>
      <c r="P1063" s="65" t="str">
        <f t="shared" ca="1" si="137"/>
        <v/>
      </c>
      <c r="Q1063" s="2"/>
      <c r="R1063" s="2"/>
      <c r="S1063" s="1" t="str">
        <f t="shared" si="130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131"/>
        <v>0</v>
      </c>
      <c r="W1063" s="1" t="str">
        <f t="shared" si="132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customHeight="1" x14ac:dyDescent="0.3">
      <c r="A1064" s="2"/>
      <c r="B1064" s="65" t="str">
        <f t="shared" si="133"/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 t="shared" si="134"/>
        <v/>
      </c>
      <c r="N1064" s="74" t="str">
        <f t="shared" si="135"/>
        <v/>
      </c>
      <c r="O1064" s="73" t="str">
        <f t="shared" si="136"/>
        <v/>
      </c>
      <c r="P1064" s="65" t="str">
        <f t="shared" ca="1" si="137"/>
        <v/>
      </c>
      <c r="Q1064" s="2"/>
      <c r="R1064" s="2"/>
      <c r="S1064" s="1" t="str">
        <f t="shared" si="130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131"/>
        <v>0</v>
      </c>
      <c r="W1064" s="1" t="str">
        <f t="shared" si="132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customHeight="1" x14ac:dyDescent="0.3">
      <c r="A1065" s="2"/>
      <c r="B1065" s="65" t="str">
        <f t="shared" si="133"/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 t="shared" si="134"/>
        <v/>
      </c>
      <c r="N1065" s="74" t="str">
        <f t="shared" si="135"/>
        <v/>
      </c>
      <c r="O1065" s="73" t="str">
        <f t="shared" si="136"/>
        <v/>
      </c>
      <c r="P1065" s="65" t="str">
        <f t="shared" ca="1" si="137"/>
        <v/>
      </c>
      <c r="Q1065" s="2"/>
      <c r="R1065" s="2"/>
      <c r="S1065" s="1" t="str">
        <f t="shared" si="130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131"/>
        <v>0</v>
      </c>
      <c r="W1065" s="1" t="str">
        <f t="shared" si="132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customHeight="1" x14ac:dyDescent="0.3">
      <c r="A1066" s="2"/>
      <c r="B1066" s="65" t="str">
        <f t="shared" si="133"/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 t="shared" si="134"/>
        <v/>
      </c>
      <c r="N1066" s="74" t="str">
        <f t="shared" si="135"/>
        <v/>
      </c>
      <c r="O1066" s="73" t="str">
        <f t="shared" si="136"/>
        <v/>
      </c>
      <c r="P1066" s="65" t="str">
        <f t="shared" ca="1" si="137"/>
        <v/>
      </c>
      <c r="Q1066" s="2"/>
      <c r="R1066" s="2"/>
      <c r="S1066" s="1" t="str">
        <f t="shared" si="130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131"/>
        <v>0</v>
      </c>
      <c r="W1066" s="1" t="str">
        <f t="shared" si="132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customHeight="1" x14ac:dyDescent="0.3">
      <c r="A1067" s="2"/>
      <c r="B1067" s="65" t="str">
        <f t="shared" si="133"/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 t="shared" si="134"/>
        <v/>
      </c>
      <c r="N1067" s="74" t="str">
        <f t="shared" si="135"/>
        <v/>
      </c>
      <c r="O1067" s="73" t="str">
        <f t="shared" si="136"/>
        <v/>
      </c>
      <c r="P1067" s="65" t="str">
        <f t="shared" ca="1" si="137"/>
        <v/>
      </c>
      <c r="Q1067" s="2"/>
      <c r="R1067" s="2"/>
      <c r="S1067" s="1" t="str">
        <f t="shared" si="130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131"/>
        <v>0</v>
      </c>
      <c r="W1067" s="1" t="str">
        <f t="shared" si="132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customHeight="1" x14ac:dyDescent="0.3">
      <c r="A1068" s="2"/>
      <c r="B1068" s="65" t="str">
        <f t="shared" si="133"/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 t="shared" si="134"/>
        <v/>
      </c>
      <c r="N1068" s="74" t="str">
        <f t="shared" si="135"/>
        <v/>
      </c>
      <c r="O1068" s="73" t="str">
        <f t="shared" si="136"/>
        <v/>
      </c>
      <c r="P1068" s="65" t="str">
        <f t="shared" ca="1" si="137"/>
        <v/>
      </c>
      <c r="Q1068" s="2"/>
      <c r="R1068" s="2"/>
      <c r="S1068" s="1" t="str">
        <f t="shared" si="130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131"/>
        <v>0</v>
      </c>
      <c r="W1068" s="1" t="str">
        <f t="shared" si="132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customHeight="1" x14ac:dyDescent="0.3">
      <c r="A1069" s="2"/>
      <c r="B1069" s="65" t="str">
        <f t="shared" si="133"/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 t="shared" si="134"/>
        <v/>
      </c>
      <c r="N1069" s="74" t="str">
        <f t="shared" si="135"/>
        <v/>
      </c>
      <c r="O1069" s="73" t="str">
        <f t="shared" si="136"/>
        <v/>
      </c>
      <c r="P1069" s="65" t="str">
        <f t="shared" ca="1" si="137"/>
        <v/>
      </c>
      <c r="Q1069" s="2"/>
      <c r="R1069" s="2"/>
      <c r="S1069" s="1" t="str">
        <f t="shared" si="130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131"/>
        <v>0</v>
      </c>
      <c r="W1069" s="1" t="str">
        <f t="shared" si="132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customHeight="1" x14ac:dyDescent="0.3">
      <c r="A1070" s="2"/>
      <c r="B1070" s="65" t="str">
        <f t="shared" si="133"/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 t="shared" si="134"/>
        <v/>
      </c>
      <c r="N1070" s="74" t="str">
        <f t="shared" si="135"/>
        <v/>
      </c>
      <c r="O1070" s="73" t="str">
        <f t="shared" si="136"/>
        <v/>
      </c>
      <c r="P1070" s="65" t="str">
        <f t="shared" ca="1" si="137"/>
        <v/>
      </c>
      <c r="Q1070" s="2"/>
      <c r="R1070" s="2"/>
      <c r="S1070" s="1" t="str">
        <f t="shared" si="130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131"/>
        <v>0</v>
      </c>
      <c r="W1070" s="1" t="str">
        <f t="shared" si="132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customHeight="1" x14ac:dyDescent="0.3">
      <c r="A1071" s="2"/>
      <c r="B1071" s="65" t="str">
        <f t="shared" si="133"/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 t="shared" si="134"/>
        <v/>
      </c>
      <c r="N1071" s="74" t="str">
        <f t="shared" si="135"/>
        <v/>
      </c>
      <c r="O1071" s="73" t="str">
        <f t="shared" si="136"/>
        <v/>
      </c>
      <c r="P1071" s="65" t="str">
        <f t="shared" ca="1" si="137"/>
        <v/>
      </c>
      <c r="Q1071" s="2"/>
      <c r="R1071" s="2"/>
      <c r="S1071" s="1" t="str">
        <f t="shared" si="130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131"/>
        <v>0</v>
      </c>
      <c r="W1071" s="1" t="str">
        <f t="shared" si="132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customHeight="1" x14ac:dyDescent="0.3">
      <c r="A1072" s="2"/>
      <c r="B1072" s="65" t="str">
        <f t="shared" si="133"/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 t="shared" si="134"/>
        <v/>
      </c>
      <c r="N1072" s="74" t="str">
        <f t="shared" si="135"/>
        <v/>
      </c>
      <c r="O1072" s="73" t="str">
        <f t="shared" si="136"/>
        <v/>
      </c>
      <c r="P1072" s="65" t="str">
        <f t="shared" ca="1" si="137"/>
        <v/>
      </c>
      <c r="Q1072" s="2"/>
      <c r="R1072" s="2"/>
      <c r="S1072" s="1" t="str">
        <f t="shared" si="130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131"/>
        <v>0</v>
      </c>
      <c r="W1072" s="1" t="str">
        <f t="shared" si="132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customHeight="1" x14ac:dyDescent="0.3">
      <c r="A1073" s="2"/>
      <c r="B1073" s="65" t="str">
        <f t="shared" si="133"/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 t="shared" si="134"/>
        <v/>
      </c>
      <c r="N1073" s="74" t="str">
        <f t="shared" si="135"/>
        <v/>
      </c>
      <c r="O1073" s="73" t="str">
        <f t="shared" si="136"/>
        <v/>
      </c>
      <c r="P1073" s="65" t="str">
        <f t="shared" ca="1" si="137"/>
        <v/>
      </c>
      <c r="Q1073" s="2"/>
      <c r="R1073" s="2"/>
      <c r="S1073" s="1" t="str">
        <f t="shared" si="130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131"/>
        <v>0</v>
      </c>
      <c r="W1073" s="1" t="str">
        <f t="shared" si="132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customHeight="1" x14ac:dyDescent="0.3">
      <c r="A1074" s="2"/>
      <c r="B1074" s="65" t="str">
        <f t="shared" si="133"/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 t="shared" si="134"/>
        <v/>
      </c>
      <c r="N1074" s="74" t="str">
        <f t="shared" si="135"/>
        <v/>
      </c>
      <c r="O1074" s="73" t="str">
        <f t="shared" si="136"/>
        <v/>
      </c>
      <c r="P1074" s="65" t="str">
        <f t="shared" ca="1" si="137"/>
        <v/>
      </c>
      <c r="Q1074" s="2"/>
      <c r="R1074" s="2"/>
      <c r="S1074" s="1" t="str">
        <f t="shared" si="130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131"/>
        <v>0</v>
      </c>
      <c r="W1074" s="1" t="str">
        <f t="shared" si="132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customHeight="1" x14ac:dyDescent="0.3">
      <c r="A1075" s="2"/>
      <c r="B1075" s="65" t="str">
        <f t="shared" si="133"/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 t="shared" si="134"/>
        <v/>
      </c>
      <c r="N1075" s="74" t="str">
        <f t="shared" si="135"/>
        <v/>
      </c>
      <c r="O1075" s="73" t="str">
        <f t="shared" si="136"/>
        <v/>
      </c>
      <c r="P1075" s="65" t="str">
        <f t="shared" ca="1" si="137"/>
        <v/>
      </c>
      <c r="Q1075" s="2"/>
      <c r="R1075" s="2"/>
      <c r="S1075" s="1" t="str">
        <f t="shared" si="130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131"/>
        <v>0</v>
      </c>
      <c r="W1075" s="1" t="str">
        <f t="shared" si="132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customHeight="1" x14ac:dyDescent="0.3">
      <c r="A1076" s="2"/>
      <c r="B1076" s="65" t="str">
        <f t="shared" si="133"/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 t="shared" si="134"/>
        <v/>
      </c>
      <c r="N1076" s="74" t="str">
        <f t="shared" si="135"/>
        <v/>
      </c>
      <c r="O1076" s="73" t="str">
        <f t="shared" si="136"/>
        <v/>
      </c>
      <c r="P1076" s="65" t="str">
        <f t="shared" ca="1" si="137"/>
        <v/>
      </c>
      <c r="Q1076" s="2"/>
      <c r="R1076" s="2"/>
      <c r="S1076" s="1" t="str">
        <f t="shared" si="130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131"/>
        <v>0</v>
      </c>
      <c r="W1076" s="1" t="str">
        <f t="shared" si="132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customHeight="1" x14ac:dyDescent="0.3">
      <c r="A1077" s="2"/>
      <c r="B1077" s="65" t="str">
        <f t="shared" si="133"/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 t="shared" si="134"/>
        <v/>
      </c>
      <c r="N1077" s="74" t="str">
        <f t="shared" si="135"/>
        <v/>
      </c>
      <c r="O1077" s="73" t="str">
        <f t="shared" si="136"/>
        <v/>
      </c>
      <c r="P1077" s="65" t="str">
        <f t="shared" ca="1" si="137"/>
        <v/>
      </c>
      <c r="Q1077" s="2"/>
      <c r="R1077" s="2"/>
      <c r="S1077" s="1" t="str">
        <f t="shared" si="130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131"/>
        <v>0</v>
      </c>
      <c r="W1077" s="1" t="str">
        <f t="shared" si="132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customHeight="1" x14ac:dyDescent="0.3">
      <c r="A1078" s="2"/>
      <c r="B1078" s="65" t="str">
        <f t="shared" si="133"/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 t="shared" si="134"/>
        <v/>
      </c>
      <c r="N1078" s="74" t="str">
        <f t="shared" si="135"/>
        <v/>
      </c>
      <c r="O1078" s="73" t="str">
        <f t="shared" si="136"/>
        <v/>
      </c>
      <c r="P1078" s="65" t="str">
        <f t="shared" ca="1" si="137"/>
        <v/>
      </c>
      <c r="Q1078" s="2"/>
      <c r="R1078" s="2"/>
      <c r="S1078" s="1" t="str">
        <f t="shared" si="130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131"/>
        <v>0</v>
      </c>
      <c r="W1078" s="1" t="str">
        <f t="shared" si="132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customHeight="1" x14ac:dyDescent="0.3">
      <c r="A1079" s="2"/>
      <c r="B1079" s="65" t="str">
        <f t="shared" si="133"/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 t="shared" si="134"/>
        <v/>
      </c>
      <c r="N1079" s="74" t="str">
        <f t="shared" si="135"/>
        <v/>
      </c>
      <c r="O1079" s="73" t="str">
        <f t="shared" si="136"/>
        <v/>
      </c>
      <c r="P1079" s="65" t="str">
        <f t="shared" ca="1" si="137"/>
        <v/>
      </c>
      <c r="Q1079" s="2"/>
      <c r="R1079" s="2"/>
      <c r="S1079" s="1" t="str">
        <f t="shared" si="130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131"/>
        <v>0</v>
      </c>
      <c r="W1079" s="1" t="str">
        <f t="shared" si="132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customHeight="1" x14ac:dyDescent="0.3">
      <c r="A1080" s="2"/>
      <c r="B1080" s="65" t="str">
        <f t="shared" si="133"/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 t="shared" si="134"/>
        <v/>
      </c>
      <c r="N1080" s="74" t="str">
        <f t="shared" si="135"/>
        <v/>
      </c>
      <c r="O1080" s="73" t="str">
        <f t="shared" si="136"/>
        <v/>
      </c>
      <c r="P1080" s="65" t="str">
        <f t="shared" ca="1" si="137"/>
        <v/>
      </c>
      <c r="Q1080" s="2"/>
      <c r="R1080" s="2"/>
      <c r="S1080" s="1" t="str">
        <f t="shared" si="130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131"/>
        <v>0</v>
      </c>
      <c r="W1080" s="1" t="str">
        <f t="shared" si="132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customHeight="1" x14ac:dyDescent="0.3">
      <c r="A1081" s="2"/>
      <c r="B1081" s="65" t="str">
        <f t="shared" si="133"/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 t="shared" si="134"/>
        <v/>
      </c>
      <c r="N1081" s="74" t="str">
        <f t="shared" si="135"/>
        <v/>
      </c>
      <c r="O1081" s="73" t="str">
        <f t="shared" si="136"/>
        <v/>
      </c>
      <c r="P1081" s="65" t="str">
        <f t="shared" ca="1" si="137"/>
        <v/>
      </c>
      <c r="Q1081" s="2"/>
      <c r="R1081" s="2"/>
      <c r="S1081" s="1" t="str">
        <f t="shared" si="130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131"/>
        <v>0</v>
      </c>
      <c r="W1081" s="1" t="str">
        <f t="shared" si="132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customHeight="1" x14ac:dyDescent="0.3">
      <c r="A1082" s="2"/>
      <c r="B1082" s="65" t="str">
        <f t="shared" si="133"/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 t="shared" si="134"/>
        <v/>
      </c>
      <c r="N1082" s="74" t="str">
        <f t="shared" si="135"/>
        <v/>
      </c>
      <c r="O1082" s="73" t="str">
        <f t="shared" si="136"/>
        <v/>
      </c>
      <c r="P1082" s="65" t="str">
        <f t="shared" ca="1" si="137"/>
        <v/>
      </c>
      <c r="Q1082" s="2"/>
      <c r="R1082" s="2"/>
      <c r="S1082" s="1" t="str">
        <f t="shared" si="130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131"/>
        <v>0</v>
      </c>
      <c r="W1082" s="1" t="str">
        <f t="shared" si="132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customHeight="1" x14ac:dyDescent="0.3">
      <c r="A1083" s="2"/>
      <c r="B1083" s="65" t="str">
        <f t="shared" si="133"/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 t="shared" si="134"/>
        <v/>
      </c>
      <c r="N1083" s="74" t="str">
        <f t="shared" si="135"/>
        <v/>
      </c>
      <c r="O1083" s="73" t="str">
        <f t="shared" si="136"/>
        <v/>
      </c>
      <c r="P1083" s="65" t="str">
        <f t="shared" ca="1" si="137"/>
        <v/>
      </c>
      <c r="Q1083" s="2"/>
      <c r="R1083" s="2"/>
      <c r="S1083" s="1" t="str">
        <f t="shared" si="130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131"/>
        <v>0</v>
      </c>
      <c r="W1083" s="1" t="str">
        <f t="shared" si="132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customHeight="1" x14ac:dyDescent="0.3">
      <c r="A1084" s="2"/>
      <c r="B1084" s="65" t="str">
        <f t="shared" si="133"/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 t="shared" si="134"/>
        <v/>
      </c>
      <c r="N1084" s="74" t="str">
        <f t="shared" si="135"/>
        <v/>
      </c>
      <c r="O1084" s="73" t="str">
        <f t="shared" si="136"/>
        <v/>
      </c>
      <c r="P1084" s="65" t="str">
        <f t="shared" ca="1" si="137"/>
        <v/>
      </c>
      <c r="Q1084" s="2"/>
      <c r="R1084" s="2"/>
      <c r="S1084" s="1" t="str">
        <f t="shared" si="130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131"/>
        <v>0</v>
      </c>
      <c r="W1084" s="1" t="str">
        <f t="shared" si="132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customHeight="1" x14ac:dyDescent="0.3">
      <c r="A1085" s="2"/>
      <c r="B1085" s="65" t="str">
        <f t="shared" si="133"/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 t="shared" si="134"/>
        <v/>
      </c>
      <c r="N1085" s="74" t="str">
        <f t="shared" si="135"/>
        <v/>
      </c>
      <c r="O1085" s="73" t="str">
        <f t="shared" si="136"/>
        <v/>
      </c>
      <c r="P1085" s="65" t="str">
        <f t="shared" ca="1" si="137"/>
        <v/>
      </c>
      <c r="Q1085" s="2"/>
      <c r="R1085" s="2"/>
      <c r="S1085" s="1" t="str">
        <f t="shared" si="130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131"/>
        <v>0</v>
      </c>
      <c r="W1085" s="1" t="str">
        <f t="shared" si="132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customHeight="1" x14ac:dyDescent="0.3">
      <c r="A1086" s="2"/>
      <c r="B1086" s="65" t="str">
        <f t="shared" si="133"/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 t="shared" si="134"/>
        <v/>
      </c>
      <c r="N1086" s="74" t="str">
        <f t="shared" si="135"/>
        <v/>
      </c>
      <c r="O1086" s="73" t="str">
        <f t="shared" si="136"/>
        <v/>
      </c>
      <c r="P1086" s="65" t="str">
        <f t="shared" ca="1" si="137"/>
        <v/>
      </c>
      <c r="Q1086" s="2"/>
      <c r="R1086" s="2"/>
      <c r="S1086" s="1" t="str">
        <f t="shared" si="130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131"/>
        <v>0</v>
      </c>
      <c r="W1086" s="1" t="str">
        <f t="shared" si="132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customHeight="1" x14ac:dyDescent="0.3">
      <c r="A1087" s="2"/>
      <c r="B1087" s="65" t="str">
        <f t="shared" si="133"/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 t="shared" si="134"/>
        <v/>
      </c>
      <c r="N1087" s="74" t="str">
        <f t="shared" si="135"/>
        <v/>
      </c>
      <c r="O1087" s="73" t="str">
        <f t="shared" si="136"/>
        <v/>
      </c>
      <c r="P1087" s="65" t="str">
        <f t="shared" ca="1" si="137"/>
        <v/>
      </c>
      <c r="Q1087" s="2"/>
      <c r="R1087" s="2"/>
      <c r="S1087" s="1" t="str">
        <f t="shared" si="130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131"/>
        <v>0</v>
      </c>
      <c r="W1087" s="1" t="str">
        <f t="shared" si="132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customHeight="1" x14ac:dyDescent="0.3">
      <c r="A1088" s="2"/>
      <c r="B1088" s="65" t="str">
        <f t="shared" si="133"/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 t="shared" si="134"/>
        <v/>
      </c>
      <c r="N1088" s="74" t="str">
        <f t="shared" si="135"/>
        <v/>
      </c>
      <c r="O1088" s="73" t="str">
        <f t="shared" si="136"/>
        <v/>
      </c>
      <c r="P1088" s="65" t="str">
        <f t="shared" ca="1" si="137"/>
        <v/>
      </c>
      <c r="Q1088" s="2"/>
      <c r="R1088" s="2"/>
      <c r="S1088" s="1" t="str">
        <f t="shared" si="130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131"/>
        <v>0</v>
      </c>
      <c r="W1088" s="1" t="str">
        <f t="shared" si="132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customHeight="1" x14ac:dyDescent="0.3">
      <c r="A1089" s="2"/>
      <c r="B1089" s="65" t="str">
        <f t="shared" si="133"/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 t="shared" si="134"/>
        <v/>
      </c>
      <c r="N1089" s="74" t="str">
        <f t="shared" si="135"/>
        <v/>
      </c>
      <c r="O1089" s="73" t="str">
        <f t="shared" si="136"/>
        <v/>
      </c>
      <c r="P1089" s="65" t="str">
        <f t="shared" ca="1" si="137"/>
        <v/>
      </c>
      <c r="Q1089" s="2"/>
      <c r="R1089" s="2"/>
      <c r="S1089" s="1" t="str">
        <f t="shared" si="130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131"/>
        <v>0</v>
      </c>
      <c r="W1089" s="1" t="str">
        <f t="shared" si="132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customHeight="1" x14ac:dyDescent="0.3">
      <c r="A1090" s="2"/>
      <c r="B1090" s="65" t="str">
        <f t="shared" si="133"/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 t="shared" si="134"/>
        <v/>
      </c>
      <c r="N1090" s="74" t="str">
        <f t="shared" si="135"/>
        <v/>
      </c>
      <c r="O1090" s="73" t="str">
        <f t="shared" si="136"/>
        <v/>
      </c>
      <c r="P1090" s="65" t="str">
        <f t="shared" ca="1" si="137"/>
        <v/>
      </c>
      <c r="Q1090" s="2"/>
      <c r="R1090" s="2"/>
      <c r="S1090" s="1" t="str">
        <f t="shared" si="130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131"/>
        <v>0</v>
      </c>
      <c r="W1090" s="1" t="str">
        <f t="shared" si="132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customHeight="1" x14ac:dyDescent="0.3">
      <c r="A1091" s="2"/>
      <c r="B1091" s="65" t="str">
        <f t="shared" si="133"/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 t="shared" si="134"/>
        <v/>
      </c>
      <c r="N1091" s="74" t="str">
        <f t="shared" si="135"/>
        <v/>
      </c>
      <c r="O1091" s="73" t="str">
        <f t="shared" si="136"/>
        <v/>
      </c>
      <c r="P1091" s="65" t="str">
        <f t="shared" ca="1" si="137"/>
        <v/>
      </c>
      <c r="Q1091" s="2"/>
      <c r="R1091" s="2"/>
      <c r="S1091" s="1" t="str">
        <f t="shared" si="130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131"/>
        <v>0</v>
      </c>
      <c r="W1091" s="1" t="str">
        <f t="shared" si="132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customHeight="1" x14ac:dyDescent="0.3">
      <c r="A1092" s="2"/>
      <c r="B1092" s="65" t="str">
        <f t="shared" si="133"/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 t="shared" si="134"/>
        <v/>
      </c>
      <c r="N1092" s="74" t="str">
        <f t="shared" si="135"/>
        <v/>
      </c>
      <c r="O1092" s="73" t="str">
        <f t="shared" si="136"/>
        <v/>
      </c>
      <c r="P1092" s="65" t="str">
        <f t="shared" ca="1" si="137"/>
        <v/>
      </c>
      <c r="Q1092" s="2"/>
      <c r="R1092" s="2"/>
      <c r="S1092" s="1" t="str">
        <f t="shared" si="130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131"/>
        <v>0</v>
      </c>
      <c r="W1092" s="1" t="str">
        <f t="shared" si="132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customHeight="1" x14ac:dyDescent="0.3">
      <c r="A1093" s="2"/>
      <c r="B1093" s="65" t="str">
        <f t="shared" si="133"/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 t="shared" si="134"/>
        <v/>
      </c>
      <c r="N1093" s="74" t="str">
        <f t="shared" si="135"/>
        <v/>
      </c>
      <c r="O1093" s="73" t="str">
        <f t="shared" si="136"/>
        <v/>
      </c>
      <c r="P1093" s="65" t="str">
        <f t="shared" ca="1" si="137"/>
        <v/>
      </c>
      <c r="Q1093" s="2"/>
      <c r="R1093" s="2"/>
      <c r="S1093" s="1" t="str">
        <f t="shared" ref="S1093:S1156" si="138"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ref="V1093:V1156" si="139">IF($T1093="",0,1)</f>
        <v>0</v>
      </c>
      <c r="W1093" s="1" t="str">
        <f t="shared" ref="W1093:W1156" si="140">IF($C1093="","",$D1093&amp;"|"&amp;$E1093&amp;"|"&amp;TEXT($C1093,"0")&amp;"|"&amp;TEXT($G1093,"0")&amp;"|"&amp;$F1093&amp;"|"&amp;$J1093)</f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customHeight="1" x14ac:dyDescent="0.3">
      <c r="A1094" s="2"/>
      <c r="B1094" s="65" t="str">
        <f t="shared" si="133"/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 t="shared" si="134"/>
        <v/>
      </c>
      <c r="N1094" s="74" t="str">
        <f t="shared" si="135"/>
        <v/>
      </c>
      <c r="O1094" s="73" t="str">
        <f t="shared" si="136"/>
        <v/>
      </c>
      <c r="P1094" s="65" t="str">
        <f t="shared" ca="1" si="137"/>
        <v/>
      </c>
      <c r="Q1094" s="2"/>
      <c r="R1094" s="2"/>
      <c r="S1094" s="1" t="str">
        <f t="shared" si="138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139"/>
        <v>0</v>
      </c>
      <c r="W1094" s="1" t="str">
        <f t="shared" si="140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customHeight="1" x14ac:dyDescent="0.3">
      <c r="A1095" s="2"/>
      <c r="B1095" s="65" t="str">
        <f t="shared" ref="B1095:B1158" si="141"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 t="shared" ref="M1095:M1158" si="142">IF($C1095="","",IF($D1095="Gider",$E1095,IF($L1095&lt;&gt;"",$L1095,$H1095)))</f>
        <v/>
      </c>
      <c r="N1095" s="74" t="str">
        <f t="shared" ref="N1095:N1158" si="143">IF($C1095="","",IF($D1095="Gider",$H1095,$E1095))</f>
        <v/>
      </c>
      <c r="O1095" s="73" t="str">
        <f t="shared" ref="O1095:O1158" si="144">IF($C1095="","",DATE(YEAR($C1095),MONTH($C1095),1))</f>
        <v/>
      </c>
      <c r="P1095" s="65" t="str">
        <f t="shared" ref="P1095:P1158" ca="1" si="145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TARİH",IF(COUNTIF($W$7:$W$3001,$W1095)&gt;1,"MÜKERRER?",IF($AD1095&gt;0,"KAPALI DÖNEM",IF($I1095="Hayır","ÖDENECEK","UYGUN")))),"EKSİK"))))</f>
        <v/>
      </c>
      <c r="Q1095" s="2"/>
      <c r="R1095" s="2"/>
      <c r="S1095" s="1" t="str">
        <f t="shared" si="138"/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si="139"/>
        <v>0</v>
      </c>
      <c r="W1095" s="1" t="str">
        <f t="shared" si="140"/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customHeight="1" x14ac:dyDescent="0.3">
      <c r="A1096" s="2"/>
      <c r="B1096" s="65" t="str">
        <f t="shared" si="141"/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 t="shared" si="142"/>
        <v/>
      </c>
      <c r="N1096" s="74" t="str">
        <f t="shared" si="143"/>
        <v/>
      </c>
      <c r="O1096" s="73" t="str">
        <f t="shared" si="144"/>
        <v/>
      </c>
      <c r="P1096" s="65" t="str">
        <f t="shared" ca="1" si="145"/>
        <v/>
      </c>
      <c r="Q1096" s="2"/>
      <c r="R1096" s="2"/>
      <c r="S1096" s="1" t="str">
        <f t="shared" si="138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139"/>
        <v>0</v>
      </c>
      <c r="W1096" s="1" t="str">
        <f t="shared" si="140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customHeight="1" x14ac:dyDescent="0.3">
      <c r="A1097" s="2"/>
      <c r="B1097" s="65" t="str">
        <f t="shared" si="141"/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 t="shared" si="142"/>
        <v/>
      </c>
      <c r="N1097" s="74" t="str">
        <f t="shared" si="143"/>
        <v/>
      </c>
      <c r="O1097" s="73" t="str">
        <f t="shared" si="144"/>
        <v/>
      </c>
      <c r="P1097" s="65" t="str">
        <f t="shared" ca="1" si="145"/>
        <v/>
      </c>
      <c r="Q1097" s="2"/>
      <c r="R1097" s="2"/>
      <c r="S1097" s="1" t="str">
        <f t="shared" si="138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139"/>
        <v>0</v>
      </c>
      <c r="W1097" s="1" t="str">
        <f t="shared" si="140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customHeight="1" x14ac:dyDescent="0.3">
      <c r="A1098" s="2"/>
      <c r="B1098" s="65" t="str">
        <f t="shared" si="141"/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 t="shared" si="142"/>
        <v/>
      </c>
      <c r="N1098" s="74" t="str">
        <f t="shared" si="143"/>
        <v/>
      </c>
      <c r="O1098" s="73" t="str">
        <f t="shared" si="144"/>
        <v/>
      </c>
      <c r="P1098" s="65" t="str">
        <f t="shared" ca="1" si="145"/>
        <v/>
      </c>
      <c r="Q1098" s="2"/>
      <c r="R1098" s="2"/>
      <c r="S1098" s="1" t="str">
        <f t="shared" si="138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139"/>
        <v>0</v>
      </c>
      <c r="W1098" s="1" t="str">
        <f t="shared" si="140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customHeight="1" x14ac:dyDescent="0.3">
      <c r="A1099" s="2"/>
      <c r="B1099" s="65" t="str">
        <f t="shared" si="141"/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 t="shared" si="142"/>
        <v/>
      </c>
      <c r="N1099" s="74" t="str">
        <f t="shared" si="143"/>
        <v/>
      </c>
      <c r="O1099" s="73" t="str">
        <f t="shared" si="144"/>
        <v/>
      </c>
      <c r="P1099" s="65" t="str">
        <f t="shared" ca="1" si="145"/>
        <v/>
      </c>
      <c r="Q1099" s="2"/>
      <c r="R1099" s="2"/>
      <c r="S1099" s="1" t="str">
        <f t="shared" si="138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139"/>
        <v>0</v>
      </c>
      <c r="W1099" s="1" t="str">
        <f t="shared" si="140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customHeight="1" x14ac:dyDescent="0.3">
      <c r="A1100" s="2"/>
      <c r="B1100" s="65" t="str">
        <f t="shared" si="141"/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 t="shared" si="142"/>
        <v/>
      </c>
      <c r="N1100" s="74" t="str">
        <f t="shared" si="143"/>
        <v/>
      </c>
      <c r="O1100" s="73" t="str">
        <f t="shared" si="144"/>
        <v/>
      </c>
      <c r="P1100" s="65" t="str">
        <f t="shared" ca="1" si="145"/>
        <v/>
      </c>
      <c r="Q1100" s="2"/>
      <c r="R1100" s="2"/>
      <c r="S1100" s="1" t="str">
        <f t="shared" si="138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139"/>
        <v>0</v>
      </c>
      <c r="W1100" s="1" t="str">
        <f t="shared" si="140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customHeight="1" x14ac:dyDescent="0.3">
      <c r="A1101" s="2"/>
      <c r="B1101" s="65" t="str">
        <f t="shared" si="141"/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 t="shared" si="142"/>
        <v/>
      </c>
      <c r="N1101" s="74" t="str">
        <f t="shared" si="143"/>
        <v/>
      </c>
      <c r="O1101" s="73" t="str">
        <f t="shared" si="144"/>
        <v/>
      </c>
      <c r="P1101" s="65" t="str">
        <f t="shared" ca="1" si="145"/>
        <v/>
      </c>
      <c r="Q1101" s="2"/>
      <c r="R1101" s="2"/>
      <c r="S1101" s="1" t="str">
        <f t="shared" si="138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139"/>
        <v>0</v>
      </c>
      <c r="W1101" s="1" t="str">
        <f t="shared" si="140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customHeight="1" x14ac:dyDescent="0.3">
      <c r="A1102" s="2"/>
      <c r="B1102" s="65" t="str">
        <f t="shared" si="141"/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 t="shared" si="142"/>
        <v/>
      </c>
      <c r="N1102" s="74" t="str">
        <f t="shared" si="143"/>
        <v/>
      </c>
      <c r="O1102" s="73" t="str">
        <f t="shared" si="144"/>
        <v/>
      </c>
      <c r="P1102" s="65" t="str">
        <f t="shared" ca="1" si="145"/>
        <v/>
      </c>
      <c r="Q1102" s="2"/>
      <c r="R1102" s="2"/>
      <c r="S1102" s="1" t="str">
        <f t="shared" si="138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139"/>
        <v>0</v>
      </c>
      <c r="W1102" s="1" t="str">
        <f t="shared" si="140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customHeight="1" x14ac:dyDescent="0.3">
      <c r="A1103" s="2"/>
      <c r="B1103" s="65" t="str">
        <f t="shared" si="141"/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 t="shared" si="142"/>
        <v/>
      </c>
      <c r="N1103" s="74" t="str">
        <f t="shared" si="143"/>
        <v/>
      </c>
      <c r="O1103" s="73" t="str">
        <f t="shared" si="144"/>
        <v/>
      </c>
      <c r="P1103" s="65" t="str">
        <f t="shared" ca="1" si="145"/>
        <v/>
      </c>
      <c r="Q1103" s="2"/>
      <c r="R1103" s="2"/>
      <c r="S1103" s="1" t="str">
        <f t="shared" si="138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139"/>
        <v>0</v>
      </c>
      <c r="W1103" s="1" t="str">
        <f t="shared" si="140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customHeight="1" x14ac:dyDescent="0.3">
      <c r="A1104" s="2"/>
      <c r="B1104" s="65" t="str">
        <f t="shared" si="141"/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 t="shared" si="142"/>
        <v/>
      </c>
      <c r="N1104" s="74" t="str">
        <f t="shared" si="143"/>
        <v/>
      </c>
      <c r="O1104" s="73" t="str">
        <f t="shared" si="144"/>
        <v/>
      </c>
      <c r="P1104" s="65" t="str">
        <f t="shared" ca="1" si="145"/>
        <v/>
      </c>
      <c r="Q1104" s="2"/>
      <c r="R1104" s="2"/>
      <c r="S1104" s="1" t="str">
        <f t="shared" si="138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139"/>
        <v>0</v>
      </c>
      <c r="W1104" s="1" t="str">
        <f t="shared" si="140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customHeight="1" x14ac:dyDescent="0.3">
      <c r="A1105" s="2"/>
      <c r="B1105" s="65" t="str">
        <f t="shared" si="141"/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 t="shared" si="142"/>
        <v/>
      </c>
      <c r="N1105" s="74" t="str">
        <f t="shared" si="143"/>
        <v/>
      </c>
      <c r="O1105" s="73" t="str">
        <f t="shared" si="144"/>
        <v/>
      </c>
      <c r="P1105" s="65" t="str">
        <f t="shared" ca="1" si="145"/>
        <v/>
      </c>
      <c r="Q1105" s="2"/>
      <c r="R1105" s="2"/>
      <c r="S1105" s="1" t="str">
        <f t="shared" si="138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139"/>
        <v>0</v>
      </c>
      <c r="W1105" s="1" t="str">
        <f t="shared" si="140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customHeight="1" x14ac:dyDescent="0.3">
      <c r="A1106" s="2"/>
      <c r="B1106" s="65" t="str">
        <f t="shared" si="141"/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 t="shared" si="142"/>
        <v/>
      </c>
      <c r="N1106" s="74" t="str">
        <f t="shared" si="143"/>
        <v/>
      </c>
      <c r="O1106" s="73" t="str">
        <f t="shared" si="144"/>
        <v/>
      </c>
      <c r="P1106" s="65" t="str">
        <f t="shared" ca="1" si="145"/>
        <v/>
      </c>
      <c r="Q1106" s="2"/>
      <c r="R1106" s="2"/>
      <c r="S1106" s="1" t="str">
        <f t="shared" si="138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139"/>
        <v>0</v>
      </c>
      <c r="W1106" s="1" t="str">
        <f t="shared" si="140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customHeight="1" x14ac:dyDescent="0.3">
      <c r="A1107" s="2"/>
      <c r="B1107" s="65" t="str">
        <f t="shared" si="141"/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 t="shared" si="142"/>
        <v/>
      </c>
      <c r="N1107" s="74" t="str">
        <f t="shared" si="143"/>
        <v/>
      </c>
      <c r="O1107" s="73" t="str">
        <f t="shared" si="144"/>
        <v/>
      </c>
      <c r="P1107" s="65" t="str">
        <f t="shared" ca="1" si="145"/>
        <v/>
      </c>
      <c r="Q1107" s="2"/>
      <c r="R1107" s="2"/>
      <c r="S1107" s="1" t="str">
        <f t="shared" si="138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139"/>
        <v>0</v>
      </c>
      <c r="W1107" s="1" t="str">
        <f t="shared" si="140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customHeight="1" x14ac:dyDescent="0.3">
      <c r="A1108" s="2"/>
      <c r="B1108" s="65" t="str">
        <f t="shared" si="141"/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 t="shared" si="142"/>
        <v/>
      </c>
      <c r="N1108" s="74" t="str">
        <f t="shared" si="143"/>
        <v/>
      </c>
      <c r="O1108" s="73" t="str">
        <f t="shared" si="144"/>
        <v/>
      </c>
      <c r="P1108" s="65" t="str">
        <f t="shared" ca="1" si="145"/>
        <v/>
      </c>
      <c r="Q1108" s="2"/>
      <c r="R1108" s="2"/>
      <c r="S1108" s="1" t="str">
        <f t="shared" si="138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139"/>
        <v>0</v>
      </c>
      <c r="W1108" s="1" t="str">
        <f t="shared" si="140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customHeight="1" x14ac:dyDescent="0.3">
      <c r="A1109" s="2"/>
      <c r="B1109" s="65" t="str">
        <f t="shared" si="141"/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 t="shared" si="142"/>
        <v/>
      </c>
      <c r="N1109" s="74" t="str">
        <f t="shared" si="143"/>
        <v/>
      </c>
      <c r="O1109" s="73" t="str">
        <f t="shared" si="144"/>
        <v/>
      </c>
      <c r="P1109" s="65" t="str">
        <f t="shared" ca="1" si="145"/>
        <v/>
      </c>
      <c r="Q1109" s="2"/>
      <c r="R1109" s="2"/>
      <c r="S1109" s="1" t="str">
        <f t="shared" si="138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139"/>
        <v>0</v>
      </c>
      <c r="W1109" s="1" t="str">
        <f t="shared" si="140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customHeight="1" x14ac:dyDescent="0.3">
      <c r="A1110" s="2"/>
      <c r="B1110" s="65" t="str">
        <f t="shared" si="141"/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 t="shared" si="142"/>
        <v/>
      </c>
      <c r="N1110" s="74" t="str">
        <f t="shared" si="143"/>
        <v/>
      </c>
      <c r="O1110" s="73" t="str">
        <f t="shared" si="144"/>
        <v/>
      </c>
      <c r="P1110" s="65" t="str">
        <f t="shared" ca="1" si="145"/>
        <v/>
      </c>
      <c r="Q1110" s="2"/>
      <c r="R1110" s="2"/>
      <c r="S1110" s="1" t="str">
        <f t="shared" si="138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139"/>
        <v>0</v>
      </c>
      <c r="W1110" s="1" t="str">
        <f t="shared" si="140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customHeight="1" x14ac:dyDescent="0.3">
      <c r="A1111" s="2"/>
      <c r="B1111" s="65" t="str">
        <f t="shared" si="141"/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 t="shared" si="142"/>
        <v/>
      </c>
      <c r="N1111" s="74" t="str">
        <f t="shared" si="143"/>
        <v/>
      </c>
      <c r="O1111" s="73" t="str">
        <f t="shared" si="144"/>
        <v/>
      </c>
      <c r="P1111" s="65" t="str">
        <f t="shared" ca="1" si="145"/>
        <v/>
      </c>
      <c r="Q1111" s="2"/>
      <c r="R1111" s="2"/>
      <c r="S1111" s="1" t="str">
        <f t="shared" si="138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139"/>
        <v>0</v>
      </c>
      <c r="W1111" s="1" t="str">
        <f t="shared" si="140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customHeight="1" x14ac:dyDescent="0.3">
      <c r="A1112" s="2"/>
      <c r="B1112" s="65" t="str">
        <f t="shared" si="141"/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 t="shared" si="142"/>
        <v/>
      </c>
      <c r="N1112" s="74" t="str">
        <f t="shared" si="143"/>
        <v/>
      </c>
      <c r="O1112" s="73" t="str">
        <f t="shared" si="144"/>
        <v/>
      </c>
      <c r="P1112" s="65" t="str">
        <f t="shared" ca="1" si="145"/>
        <v/>
      </c>
      <c r="Q1112" s="2"/>
      <c r="R1112" s="2"/>
      <c r="S1112" s="1" t="str">
        <f t="shared" si="138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139"/>
        <v>0</v>
      </c>
      <c r="W1112" s="1" t="str">
        <f t="shared" si="140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customHeight="1" x14ac:dyDescent="0.3">
      <c r="A1113" s="2"/>
      <c r="B1113" s="65" t="str">
        <f t="shared" si="141"/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 t="shared" si="142"/>
        <v/>
      </c>
      <c r="N1113" s="74" t="str">
        <f t="shared" si="143"/>
        <v/>
      </c>
      <c r="O1113" s="73" t="str">
        <f t="shared" si="144"/>
        <v/>
      </c>
      <c r="P1113" s="65" t="str">
        <f t="shared" ca="1" si="145"/>
        <v/>
      </c>
      <c r="Q1113" s="2"/>
      <c r="R1113" s="2"/>
      <c r="S1113" s="1" t="str">
        <f t="shared" si="138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139"/>
        <v>0</v>
      </c>
      <c r="W1113" s="1" t="str">
        <f t="shared" si="140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customHeight="1" x14ac:dyDescent="0.3">
      <c r="A1114" s="2"/>
      <c r="B1114" s="65" t="str">
        <f t="shared" si="141"/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 t="shared" si="142"/>
        <v/>
      </c>
      <c r="N1114" s="74" t="str">
        <f t="shared" si="143"/>
        <v/>
      </c>
      <c r="O1114" s="73" t="str">
        <f t="shared" si="144"/>
        <v/>
      </c>
      <c r="P1114" s="65" t="str">
        <f t="shared" ca="1" si="145"/>
        <v/>
      </c>
      <c r="Q1114" s="2"/>
      <c r="R1114" s="2"/>
      <c r="S1114" s="1" t="str">
        <f t="shared" si="138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139"/>
        <v>0</v>
      </c>
      <c r="W1114" s="1" t="str">
        <f t="shared" si="140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customHeight="1" x14ac:dyDescent="0.3">
      <c r="A1115" s="2"/>
      <c r="B1115" s="65" t="str">
        <f t="shared" si="141"/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 t="shared" si="142"/>
        <v/>
      </c>
      <c r="N1115" s="74" t="str">
        <f t="shared" si="143"/>
        <v/>
      </c>
      <c r="O1115" s="73" t="str">
        <f t="shared" si="144"/>
        <v/>
      </c>
      <c r="P1115" s="65" t="str">
        <f t="shared" ca="1" si="145"/>
        <v/>
      </c>
      <c r="Q1115" s="2"/>
      <c r="R1115" s="2"/>
      <c r="S1115" s="1" t="str">
        <f t="shared" si="138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139"/>
        <v>0</v>
      </c>
      <c r="W1115" s="1" t="str">
        <f t="shared" si="140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customHeight="1" x14ac:dyDescent="0.3">
      <c r="A1116" s="2"/>
      <c r="B1116" s="65" t="str">
        <f t="shared" si="141"/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 t="shared" si="142"/>
        <v/>
      </c>
      <c r="N1116" s="74" t="str">
        <f t="shared" si="143"/>
        <v/>
      </c>
      <c r="O1116" s="73" t="str">
        <f t="shared" si="144"/>
        <v/>
      </c>
      <c r="P1116" s="65" t="str">
        <f t="shared" ca="1" si="145"/>
        <v/>
      </c>
      <c r="Q1116" s="2"/>
      <c r="R1116" s="2"/>
      <c r="S1116" s="1" t="str">
        <f t="shared" si="138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139"/>
        <v>0</v>
      </c>
      <c r="W1116" s="1" t="str">
        <f t="shared" si="140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customHeight="1" x14ac:dyDescent="0.3">
      <c r="A1117" s="2"/>
      <c r="B1117" s="65" t="str">
        <f t="shared" si="141"/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 t="shared" si="142"/>
        <v/>
      </c>
      <c r="N1117" s="74" t="str">
        <f t="shared" si="143"/>
        <v/>
      </c>
      <c r="O1117" s="73" t="str">
        <f t="shared" si="144"/>
        <v/>
      </c>
      <c r="P1117" s="65" t="str">
        <f t="shared" ca="1" si="145"/>
        <v/>
      </c>
      <c r="Q1117" s="2"/>
      <c r="R1117" s="2"/>
      <c r="S1117" s="1" t="str">
        <f t="shared" si="138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139"/>
        <v>0</v>
      </c>
      <c r="W1117" s="1" t="str">
        <f t="shared" si="140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customHeight="1" x14ac:dyDescent="0.3">
      <c r="A1118" s="2"/>
      <c r="B1118" s="65" t="str">
        <f t="shared" si="141"/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 t="shared" si="142"/>
        <v/>
      </c>
      <c r="N1118" s="74" t="str">
        <f t="shared" si="143"/>
        <v/>
      </c>
      <c r="O1118" s="73" t="str">
        <f t="shared" si="144"/>
        <v/>
      </c>
      <c r="P1118" s="65" t="str">
        <f t="shared" ca="1" si="145"/>
        <v/>
      </c>
      <c r="Q1118" s="2"/>
      <c r="R1118" s="2"/>
      <c r="S1118" s="1" t="str">
        <f t="shared" si="138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139"/>
        <v>0</v>
      </c>
      <c r="W1118" s="1" t="str">
        <f t="shared" si="140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customHeight="1" x14ac:dyDescent="0.3">
      <c r="A1119" s="2"/>
      <c r="B1119" s="65" t="str">
        <f t="shared" si="141"/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 t="shared" si="142"/>
        <v/>
      </c>
      <c r="N1119" s="74" t="str">
        <f t="shared" si="143"/>
        <v/>
      </c>
      <c r="O1119" s="73" t="str">
        <f t="shared" si="144"/>
        <v/>
      </c>
      <c r="P1119" s="65" t="str">
        <f t="shared" ca="1" si="145"/>
        <v/>
      </c>
      <c r="Q1119" s="2"/>
      <c r="R1119" s="2"/>
      <c r="S1119" s="1" t="str">
        <f t="shared" si="138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139"/>
        <v>0</v>
      </c>
      <c r="W1119" s="1" t="str">
        <f t="shared" si="140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customHeight="1" x14ac:dyDescent="0.3">
      <c r="A1120" s="2"/>
      <c r="B1120" s="65" t="str">
        <f t="shared" si="141"/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 t="shared" si="142"/>
        <v/>
      </c>
      <c r="N1120" s="74" t="str">
        <f t="shared" si="143"/>
        <v/>
      </c>
      <c r="O1120" s="73" t="str">
        <f t="shared" si="144"/>
        <v/>
      </c>
      <c r="P1120" s="65" t="str">
        <f t="shared" ca="1" si="145"/>
        <v/>
      </c>
      <c r="Q1120" s="2"/>
      <c r="R1120" s="2"/>
      <c r="S1120" s="1" t="str">
        <f t="shared" si="138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139"/>
        <v>0</v>
      </c>
      <c r="W1120" s="1" t="str">
        <f t="shared" si="140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customHeight="1" x14ac:dyDescent="0.3">
      <c r="A1121" s="2"/>
      <c r="B1121" s="65" t="str">
        <f t="shared" si="141"/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 t="shared" si="142"/>
        <v/>
      </c>
      <c r="N1121" s="74" t="str">
        <f t="shared" si="143"/>
        <v/>
      </c>
      <c r="O1121" s="73" t="str">
        <f t="shared" si="144"/>
        <v/>
      </c>
      <c r="P1121" s="65" t="str">
        <f t="shared" ca="1" si="145"/>
        <v/>
      </c>
      <c r="Q1121" s="2"/>
      <c r="R1121" s="2"/>
      <c r="S1121" s="1" t="str">
        <f t="shared" si="138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139"/>
        <v>0</v>
      </c>
      <c r="W1121" s="1" t="str">
        <f t="shared" si="140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customHeight="1" x14ac:dyDescent="0.3">
      <c r="A1122" s="2"/>
      <c r="B1122" s="65" t="str">
        <f t="shared" si="141"/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 t="shared" si="142"/>
        <v/>
      </c>
      <c r="N1122" s="74" t="str">
        <f t="shared" si="143"/>
        <v/>
      </c>
      <c r="O1122" s="73" t="str">
        <f t="shared" si="144"/>
        <v/>
      </c>
      <c r="P1122" s="65" t="str">
        <f t="shared" ca="1" si="145"/>
        <v/>
      </c>
      <c r="Q1122" s="2"/>
      <c r="R1122" s="2"/>
      <c r="S1122" s="1" t="str">
        <f t="shared" si="138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139"/>
        <v>0</v>
      </c>
      <c r="W1122" s="1" t="str">
        <f t="shared" si="140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customHeight="1" x14ac:dyDescent="0.3">
      <c r="A1123" s="2"/>
      <c r="B1123" s="65" t="str">
        <f t="shared" si="141"/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 t="shared" si="142"/>
        <v/>
      </c>
      <c r="N1123" s="74" t="str">
        <f t="shared" si="143"/>
        <v/>
      </c>
      <c r="O1123" s="73" t="str">
        <f t="shared" si="144"/>
        <v/>
      </c>
      <c r="P1123" s="65" t="str">
        <f t="shared" ca="1" si="145"/>
        <v/>
      </c>
      <c r="Q1123" s="2"/>
      <c r="R1123" s="2"/>
      <c r="S1123" s="1" t="str">
        <f t="shared" si="138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139"/>
        <v>0</v>
      </c>
      <c r="W1123" s="1" t="str">
        <f t="shared" si="140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customHeight="1" x14ac:dyDescent="0.3">
      <c r="A1124" s="2"/>
      <c r="B1124" s="65" t="str">
        <f t="shared" si="141"/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 t="shared" si="142"/>
        <v/>
      </c>
      <c r="N1124" s="74" t="str">
        <f t="shared" si="143"/>
        <v/>
      </c>
      <c r="O1124" s="73" t="str">
        <f t="shared" si="144"/>
        <v/>
      </c>
      <c r="P1124" s="65" t="str">
        <f t="shared" ca="1" si="145"/>
        <v/>
      </c>
      <c r="Q1124" s="2"/>
      <c r="R1124" s="2"/>
      <c r="S1124" s="1" t="str">
        <f t="shared" si="138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139"/>
        <v>0</v>
      </c>
      <c r="W1124" s="1" t="str">
        <f t="shared" si="140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customHeight="1" x14ac:dyDescent="0.3">
      <c r="A1125" s="2"/>
      <c r="B1125" s="65" t="str">
        <f t="shared" si="141"/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 t="shared" si="142"/>
        <v/>
      </c>
      <c r="N1125" s="74" t="str">
        <f t="shared" si="143"/>
        <v/>
      </c>
      <c r="O1125" s="73" t="str">
        <f t="shared" si="144"/>
        <v/>
      </c>
      <c r="P1125" s="65" t="str">
        <f t="shared" ca="1" si="145"/>
        <v/>
      </c>
      <c r="Q1125" s="2"/>
      <c r="R1125" s="2"/>
      <c r="S1125" s="1" t="str">
        <f t="shared" si="138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139"/>
        <v>0</v>
      </c>
      <c r="W1125" s="1" t="str">
        <f t="shared" si="140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customHeight="1" x14ac:dyDescent="0.3">
      <c r="A1126" s="2"/>
      <c r="B1126" s="65" t="str">
        <f t="shared" si="141"/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 t="shared" si="142"/>
        <v/>
      </c>
      <c r="N1126" s="74" t="str">
        <f t="shared" si="143"/>
        <v/>
      </c>
      <c r="O1126" s="73" t="str">
        <f t="shared" si="144"/>
        <v/>
      </c>
      <c r="P1126" s="65" t="str">
        <f t="shared" ca="1" si="145"/>
        <v/>
      </c>
      <c r="Q1126" s="2"/>
      <c r="R1126" s="2"/>
      <c r="S1126" s="1" t="str">
        <f t="shared" si="138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139"/>
        <v>0</v>
      </c>
      <c r="W1126" s="1" t="str">
        <f t="shared" si="140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customHeight="1" x14ac:dyDescent="0.3">
      <c r="A1127" s="2"/>
      <c r="B1127" s="65" t="str">
        <f t="shared" si="141"/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 t="shared" si="142"/>
        <v/>
      </c>
      <c r="N1127" s="74" t="str">
        <f t="shared" si="143"/>
        <v/>
      </c>
      <c r="O1127" s="73" t="str">
        <f t="shared" si="144"/>
        <v/>
      </c>
      <c r="P1127" s="65" t="str">
        <f t="shared" ca="1" si="145"/>
        <v/>
      </c>
      <c r="Q1127" s="2"/>
      <c r="R1127" s="2"/>
      <c r="S1127" s="1" t="str">
        <f t="shared" si="138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139"/>
        <v>0</v>
      </c>
      <c r="W1127" s="1" t="str">
        <f t="shared" si="140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customHeight="1" x14ac:dyDescent="0.3">
      <c r="A1128" s="2"/>
      <c r="B1128" s="65" t="str">
        <f t="shared" si="141"/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 t="shared" si="142"/>
        <v/>
      </c>
      <c r="N1128" s="74" t="str">
        <f t="shared" si="143"/>
        <v/>
      </c>
      <c r="O1128" s="73" t="str">
        <f t="shared" si="144"/>
        <v/>
      </c>
      <c r="P1128" s="65" t="str">
        <f t="shared" ca="1" si="145"/>
        <v/>
      </c>
      <c r="Q1128" s="2"/>
      <c r="R1128" s="2"/>
      <c r="S1128" s="1" t="str">
        <f t="shared" si="138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139"/>
        <v>0</v>
      </c>
      <c r="W1128" s="1" t="str">
        <f t="shared" si="140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customHeight="1" x14ac:dyDescent="0.3">
      <c r="A1129" s="2"/>
      <c r="B1129" s="65" t="str">
        <f t="shared" si="141"/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 t="shared" si="142"/>
        <v/>
      </c>
      <c r="N1129" s="74" t="str">
        <f t="shared" si="143"/>
        <v/>
      </c>
      <c r="O1129" s="73" t="str">
        <f t="shared" si="144"/>
        <v/>
      </c>
      <c r="P1129" s="65" t="str">
        <f t="shared" ca="1" si="145"/>
        <v/>
      </c>
      <c r="Q1129" s="2"/>
      <c r="R1129" s="2"/>
      <c r="S1129" s="1" t="str">
        <f t="shared" si="138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139"/>
        <v>0</v>
      </c>
      <c r="W1129" s="1" t="str">
        <f t="shared" si="140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customHeight="1" x14ac:dyDescent="0.3">
      <c r="A1130" s="2"/>
      <c r="B1130" s="65" t="str">
        <f t="shared" si="141"/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 t="shared" si="142"/>
        <v/>
      </c>
      <c r="N1130" s="74" t="str">
        <f t="shared" si="143"/>
        <v/>
      </c>
      <c r="O1130" s="73" t="str">
        <f t="shared" si="144"/>
        <v/>
      </c>
      <c r="P1130" s="65" t="str">
        <f t="shared" ca="1" si="145"/>
        <v/>
      </c>
      <c r="Q1130" s="2"/>
      <c r="R1130" s="2"/>
      <c r="S1130" s="1" t="str">
        <f t="shared" si="138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139"/>
        <v>0</v>
      </c>
      <c r="W1130" s="1" t="str">
        <f t="shared" si="140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customHeight="1" x14ac:dyDescent="0.3">
      <c r="A1131" s="2"/>
      <c r="B1131" s="65" t="str">
        <f t="shared" si="141"/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 t="shared" si="142"/>
        <v/>
      </c>
      <c r="N1131" s="74" t="str">
        <f t="shared" si="143"/>
        <v/>
      </c>
      <c r="O1131" s="73" t="str">
        <f t="shared" si="144"/>
        <v/>
      </c>
      <c r="P1131" s="65" t="str">
        <f t="shared" ca="1" si="145"/>
        <v/>
      </c>
      <c r="Q1131" s="2"/>
      <c r="R1131" s="2"/>
      <c r="S1131" s="1" t="str">
        <f t="shared" si="138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139"/>
        <v>0</v>
      </c>
      <c r="W1131" s="1" t="str">
        <f t="shared" si="140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customHeight="1" x14ac:dyDescent="0.3">
      <c r="A1132" s="2"/>
      <c r="B1132" s="65" t="str">
        <f t="shared" si="141"/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 t="shared" si="142"/>
        <v/>
      </c>
      <c r="N1132" s="74" t="str">
        <f t="shared" si="143"/>
        <v/>
      </c>
      <c r="O1132" s="73" t="str">
        <f t="shared" si="144"/>
        <v/>
      </c>
      <c r="P1132" s="65" t="str">
        <f t="shared" ca="1" si="145"/>
        <v/>
      </c>
      <c r="Q1132" s="2"/>
      <c r="R1132" s="2"/>
      <c r="S1132" s="1" t="str">
        <f t="shared" si="138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139"/>
        <v>0</v>
      </c>
      <c r="W1132" s="1" t="str">
        <f t="shared" si="140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customHeight="1" x14ac:dyDescent="0.3">
      <c r="A1133" s="2"/>
      <c r="B1133" s="65" t="str">
        <f t="shared" si="141"/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 t="shared" si="142"/>
        <v/>
      </c>
      <c r="N1133" s="74" t="str">
        <f t="shared" si="143"/>
        <v/>
      </c>
      <c r="O1133" s="73" t="str">
        <f t="shared" si="144"/>
        <v/>
      </c>
      <c r="P1133" s="65" t="str">
        <f t="shared" ca="1" si="145"/>
        <v/>
      </c>
      <c r="Q1133" s="2"/>
      <c r="R1133" s="2"/>
      <c r="S1133" s="1" t="str">
        <f t="shared" si="138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139"/>
        <v>0</v>
      </c>
      <c r="W1133" s="1" t="str">
        <f t="shared" si="140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customHeight="1" x14ac:dyDescent="0.3">
      <c r="A1134" s="2"/>
      <c r="B1134" s="65" t="str">
        <f t="shared" si="141"/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 t="shared" si="142"/>
        <v/>
      </c>
      <c r="N1134" s="74" t="str">
        <f t="shared" si="143"/>
        <v/>
      </c>
      <c r="O1134" s="73" t="str">
        <f t="shared" si="144"/>
        <v/>
      </c>
      <c r="P1134" s="65" t="str">
        <f t="shared" ca="1" si="145"/>
        <v/>
      </c>
      <c r="Q1134" s="2"/>
      <c r="R1134" s="2"/>
      <c r="S1134" s="1" t="str">
        <f t="shared" si="138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139"/>
        <v>0</v>
      </c>
      <c r="W1134" s="1" t="str">
        <f t="shared" si="140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customHeight="1" x14ac:dyDescent="0.3">
      <c r="A1135" s="2"/>
      <c r="B1135" s="65" t="str">
        <f t="shared" si="141"/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 t="shared" si="142"/>
        <v/>
      </c>
      <c r="N1135" s="74" t="str">
        <f t="shared" si="143"/>
        <v/>
      </c>
      <c r="O1135" s="73" t="str">
        <f t="shared" si="144"/>
        <v/>
      </c>
      <c r="P1135" s="65" t="str">
        <f t="shared" ca="1" si="145"/>
        <v/>
      </c>
      <c r="Q1135" s="2"/>
      <c r="R1135" s="2"/>
      <c r="S1135" s="1" t="str">
        <f t="shared" si="138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139"/>
        <v>0</v>
      </c>
      <c r="W1135" s="1" t="str">
        <f t="shared" si="140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customHeight="1" x14ac:dyDescent="0.3">
      <c r="A1136" s="2"/>
      <c r="B1136" s="65" t="str">
        <f t="shared" si="141"/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 t="shared" si="142"/>
        <v/>
      </c>
      <c r="N1136" s="74" t="str">
        <f t="shared" si="143"/>
        <v/>
      </c>
      <c r="O1136" s="73" t="str">
        <f t="shared" si="144"/>
        <v/>
      </c>
      <c r="P1136" s="65" t="str">
        <f t="shared" ca="1" si="145"/>
        <v/>
      </c>
      <c r="Q1136" s="2"/>
      <c r="R1136" s="2"/>
      <c r="S1136" s="1" t="str">
        <f t="shared" si="138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139"/>
        <v>0</v>
      </c>
      <c r="W1136" s="1" t="str">
        <f t="shared" si="140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customHeight="1" x14ac:dyDescent="0.3">
      <c r="A1137" s="2"/>
      <c r="B1137" s="65" t="str">
        <f t="shared" si="141"/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 t="shared" si="142"/>
        <v/>
      </c>
      <c r="N1137" s="74" t="str">
        <f t="shared" si="143"/>
        <v/>
      </c>
      <c r="O1137" s="73" t="str">
        <f t="shared" si="144"/>
        <v/>
      </c>
      <c r="P1137" s="65" t="str">
        <f t="shared" ca="1" si="145"/>
        <v/>
      </c>
      <c r="Q1137" s="2"/>
      <c r="R1137" s="2"/>
      <c r="S1137" s="1" t="str">
        <f t="shared" si="138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139"/>
        <v>0</v>
      </c>
      <c r="W1137" s="1" t="str">
        <f t="shared" si="140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customHeight="1" x14ac:dyDescent="0.3">
      <c r="A1138" s="2"/>
      <c r="B1138" s="65" t="str">
        <f t="shared" si="141"/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 t="shared" si="142"/>
        <v/>
      </c>
      <c r="N1138" s="74" t="str">
        <f t="shared" si="143"/>
        <v/>
      </c>
      <c r="O1138" s="73" t="str">
        <f t="shared" si="144"/>
        <v/>
      </c>
      <c r="P1138" s="65" t="str">
        <f t="shared" ca="1" si="145"/>
        <v/>
      </c>
      <c r="Q1138" s="2"/>
      <c r="R1138" s="2"/>
      <c r="S1138" s="1" t="str">
        <f t="shared" si="138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139"/>
        <v>0</v>
      </c>
      <c r="W1138" s="1" t="str">
        <f t="shared" si="140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customHeight="1" x14ac:dyDescent="0.3">
      <c r="A1139" s="2"/>
      <c r="B1139" s="65" t="str">
        <f t="shared" si="141"/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 t="shared" si="142"/>
        <v/>
      </c>
      <c r="N1139" s="74" t="str">
        <f t="shared" si="143"/>
        <v/>
      </c>
      <c r="O1139" s="73" t="str">
        <f t="shared" si="144"/>
        <v/>
      </c>
      <c r="P1139" s="65" t="str">
        <f t="shared" ca="1" si="145"/>
        <v/>
      </c>
      <c r="Q1139" s="2"/>
      <c r="R1139" s="2"/>
      <c r="S1139" s="1" t="str">
        <f t="shared" si="138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139"/>
        <v>0</v>
      </c>
      <c r="W1139" s="1" t="str">
        <f t="shared" si="140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customHeight="1" x14ac:dyDescent="0.3">
      <c r="A1140" s="2"/>
      <c r="B1140" s="65" t="str">
        <f t="shared" si="141"/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 t="shared" si="142"/>
        <v/>
      </c>
      <c r="N1140" s="74" t="str">
        <f t="shared" si="143"/>
        <v/>
      </c>
      <c r="O1140" s="73" t="str">
        <f t="shared" si="144"/>
        <v/>
      </c>
      <c r="P1140" s="65" t="str">
        <f t="shared" ca="1" si="145"/>
        <v/>
      </c>
      <c r="Q1140" s="2"/>
      <c r="R1140" s="2"/>
      <c r="S1140" s="1" t="str">
        <f t="shared" si="138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139"/>
        <v>0</v>
      </c>
      <c r="W1140" s="1" t="str">
        <f t="shared" si="140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customHeight="1" x14ac:dyDescent="0.3">
      <c r="A1141" s="2"/>
      <c r="B1141" s="65" t="str">
        <f t="shared" si="141"/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 t="shared" si="142"/>
        <v/>
      </c>
      <c r="N1141" s="74" t="str">
        <f t="shared" si="143"/>
        <v/>
      </c>
      <c r="O1141" s="73" t="str">
        <f t="shared" si="144"/>
        <v/>
      </c>
      <c r="P1141" s="65" t="str">
        <f t="shared" ca="1" si="145"/>
        <v/>
      </c>
      <c r="Q1141" s="2"/>
      <c r="R1141" s="2"/>
      <c r="S1141" s="1" t="str">
        <f t="shared" si="138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139"/>
        <v>0</v>
      </c>
      <c r="W1141" s="1" t="str">
        <f t="shared" si="140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customHeight="1" x14ac:dyDescent="0.3">
      <c r="A1142" s="2"/>
      <c r="B1142" s="65" t="str">
        <f t="shared" si="141"/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 t="shared" si="142"/>
        <v/>
      </c>
      <c r="N1142" s="74" t="str">
        <f t="shared" si="143"/>
        <v/>
      </c>
      <c r="O1142" s="73" t="str">
        <f t="shared" si="144"/>
        <v/>
      </c>
      <c r="P1142" s="65" t="str">
        <f t="shared" ca="1" si="145"/>
        <v/>
      </c>
      <c r="Q1142" s="2"/>
      <c r="R1142" s="2"/>
      <c r="S1142" s="1" t="str">
        <f t="shared" si="138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139"/>
        <v>0</v>
      </c>
      <c r="W1142" s="1" t="str">
        <f t="shared" si="140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customHeight="1" x14ac:dyDescent="0.3">
      <c r="A1143" s="2"/>
      <c r="B1143" s="65" t="str">
        <f t="shared" si="141"/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 t="shared" si="142"/>
        <v/>
      </c>
      <c r="N1143" s="74" t="str">
        <f t="shared" si="143"/>
        <v/>
      </c>
      <c r="O1143" s="73" t="str">
        <f t="shared" si="144"/>
        <v/>
      </c>
      <c r="P1143" s="65" t="str">
        <f t="shared" ca="1" si="145"/>
        <v/>
      </c>
      <c r="Q1143" s="2"/>
      <c r="R1143" s="2"/>
      <c r="S1143" s="1" t="str">
        <f t="shared" si="138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139"/>
        <v>0</v>
      </c>
      <c r="W1143" s="1" t="str">
        <f t="shared" si="140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customHeight="1" x14ac:dyDescent="0.3">
      <c r="A1144" s="2"/>
      <c r="B1144" s="65" t="str">
        <f t="shared" si="141"/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 t="shared" si="142"/>
        <v/>
      </c>
      <c r="N1144" s="74" t="str">
        <f t="shared" si="143"/>
        <v/>
      </c>
      <c r="O1144" s="73" t="str">
        <f t="shared" si="144"/>
        <v/>
      </c>
      <c r="P1144" s="65" t="str">
        <f t="shared" ca="1" si="145"/>
        <v/>
      </c>
      <c r="Q1144" s="2"/>
      <c r="R1144" s="2"/>
      <c r="S1144" s="1" t="str">
        <f t="shared" si="138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139"/>
        <v>0</v>
      </c>
      <c r="W1144" s="1" t="str">
        <f t="shared" si="140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customHeight="1" x14ac:dyDescent="0.3">
      <c r="A1145" s="2"/>
      <c r="B1145" s="65" t="str">
        <f t="shared" si="141"/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 t="shared" si="142"/>
        <v/>
      </c>
      <c r="N1145" s="74" t="str">
        <f t="shared" si="143"/>
        <v/>
      </c>
      <c r="O1145" s="73" t="str">
        <f t="shared" si="144"/>
        <v/>
      </c>
      <c r="P1145" s="65" t="str">
        <f t="shared" ca="1" si="145"/>
        <v/>
      </c>
      <c r="Q1145" s="2"/>
      <c r="R1145" s="2"/>
      <c r="S1145" s="1" t="str">
        <f t="shared" si="138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139"/>
        <v>0</v>
      </c>
      <c r="W1145" s="1" t="str">
        <f t="shared" si="140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customHeight="1" x14ac:dyDescent="0.3">
      <c r="A1146" s="2"/>
      <c r="B1146" s="65" t="str">
        <f t="shared" si="141"/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 t="shared" si="142"/>
        <v/>
      </c>
      <c r="N1146" s="74" t="str">
        <f t="shared" si="143"/>
        <v/>
      </c>
      <c r="O1146" s="73" t="str">
        <f t="shared" si="144"/>
        <v/>
      </c>
      <c r="P1146" s="65" t="str">
        <f t="shared" ca="1" si="145"/>
        <v/>
      </c>
      <c r="Q1146" s="2"/>
      <c r="R1146" s="2"/>
      <c r="S1146" s="1" t="str">
        <f t="shared" si="138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139"/>
        <v>0</v>
      </c>
      <c r="W1146" s="1" t="str">
        <f t="shared" si="140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customHeight="1" x14ac:dyDescent="0.3">
      <c r="A1147" s="2"/>
      <c r="B1147" s="65" t="str">
        <f t="shared" si="141"/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 t="shared" si="142"/>
        <v/>
      </c>
      <c r="N1147" s="74" t="str">
        <f t="shared" si="143"/>
        <v/>
      </c>
      <c r="O1147" s="73" t="str">
        <f t="shared" si="144"/>
        <v/>
      </c>
      <c r="P1147" s="65" t="str">
        <f t="shared" ca="1" si="145"/>
        <v/>
      </c>
      <c r="Q1147" s="2"/>
      <c r="R1147" s="2"/>
      <c r="S1147" s="1" t="str">
        <f t="shared" si="138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139"/>
        <v>0</v>
      </c>
      <c r="W1147" s="1" t="str">
        <f t="shared" si="140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customHeight="1" x14ac:dyDescent="0.3">
      <c r="A1148" s="2"/>
      <c r="B1148" s="65" t="str">
        <f t="shared" si="141"/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 t="shared" si="142"/>
        <v/>
      </c>
      <c r="N1148" s="74" t="str">
        <f t="shared" si="143"/>
        <v/>
      </c>
      <c r="O1148" s="73" t="str">
        <f t="shared" si="144"/>
        <v/>
      </c>
      <c r="P1148" s="65" t="str">
        <f t="shared" ca="1" si="145"/>
        <v/>
      </c>
      <c r="Q1148" s="2"/>
      <c r="R1148" s="2"/>
      <c r="S1148" s="1" t="str">
        <f t="shared" si="138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139"/>
        <v>0</v>
      </c>
      <c r="W1148" s="1" t="str">
        <f t="shared" si="140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customHeight="1" x14ac:dyDescent="0.3">
      <c r="A1149" s="2"/>
      <c r="B1149" s="65" t="str">
        <f t="shared" si="141"/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 t="shared" si="142"/>
        <v/>
      </c>
      <c r="N1149" s="74" t="str">
        <f t="shared" si="143"/>
        <v/>
      </c>
      <c r="O1149" s="73" t="str">
        <f t="shared" si="144"/>
        <v/>
      </c>
      <c r="P1149" s="65" t="str">
        <f t="shared" ca="1" si="145"/>
        <v/>
      </c>
      <c r="Q1149" s="2"/>
      <c r="R1149" s="2"/>
      <c r="S1149" s="1" t="str">
        <f t="shared" si="138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139"/>
        <v>0</v>
      </c>
      <c r="W1149" s="1" t="str">
        <f t="shared" si="140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customHeight="1" x14ac:dyDescent="0.3">
      <c r="A1150" s="2"/>
      <c r="B1150" s="65" t="str">
        <f t="shared" si="141"/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 t="shared" si="142"/>
        <v/>
      </c>
      <c r="N1150" s="74" t="str">
        <f t="shared" si="143"/>
        <v/>
      </c>
      <c r="O1150" s="73" t="str">
        <f t="shared" si="144"/>
        <v/>
      </c>
      <c r="P1150" s="65" t="str">
        <f t="shared" ca="1" si="145"/>
        <v/>
      </c>
      <c r="Q1150" s="2"/>
      <c r="R1150" s="2"/>
      <c r="S1150" s="1" t="str">
        <f t="shared" si="138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139"/>
        <v>0</v>
      </c>
      <c r="W1150" s="1" t="str">
        <f t="shared" si="140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customHeight="1" x14ac:dyDescent="0.3">
      <c r="A1151" s="2"/>
      <c r="B1151" s="65" t="str">
        <f t="shared" si="141"/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 t="shared" si="142"/>
        <v/>
      </c>
      <c r="N1151" s="74" t="str">
        <f t="shared" si="143"/>
        <v/>
      </c>
      <c r="O1151" s="73" t="str">
        <f t="shared" si="144"/>
        <v/>
      </c>
      <c r="P1151" s="65" t="str">
        <f t="shared" ca="1" si="145"/>
        <v/>
      </c>
      <c r="Q1151" s="2"/>
      <c r="R1151" s="2"/>
      <c r="S1151" s="1" t="str">
        <f t="shared" si="138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139"/>
        <v>0</v>
      </c>
      <c r="W1151" s="1" t="str">
        <f t="shared" si="140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customHeight="1" x14ac:dyDescent="0.3">
      <c r="A1152" s="2"/>
      <c r="B1152" s="65" t="str">
        <f t="shared" si="141"/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 t="shared" si="142"/>
        <v/>
      </c>
      <c r="N1152" s="74" t="str">
        <f t="shared" si="143"/>
        <v/>
      </c>
      <c r="O1152" s="73" t="str">
        <f t="shared" si="144"/>
        <v/>
      </c>
      <c r="P1152" s="65" t="str">
        <f t="shared" ca="1" si="145"/>
        <v/>
      </c>
      <c r="Q1152" s="2"/>
      <c r="R1152" s="2"/>
      <c r="S1152" s="1" t="str">
        <f t="shared" si="138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139"/>
        <v>0</v>
      </c>
      <c r="W1152" s="1" t="str">
        <f t="shared" si="140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customHeight="1" x14ac:dyDescent="0.3">
      <c r="A1153" s="2"/>
      <c r="B1153" s="65" t="str">
        <f t="shared" si="141"/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 t="shared" si="142"/>
        <v/>
      </c>
      <c r="N1153" s="74" t="str">
        <f t="shared" si="143"/>
        <v/>
      </c>
      <c r="O1153" s="73" t="str">
        <f t="shared" si="144"/>
        <v/>
      </c>
      <c r="P1153" s="65" t="str">
        <f t="shared" ca="1" si="145"/>
        <v/>
      </c>
      <c r="Q1153" s="2"/>
      <c r="R1153" s="2"/>
      <c r="S1153" s="1" t="str">
        <f t="shared" si="138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139"/>
        <v>0</v>
      </c>
      <c r="W1153" s="1" t="str">
        <f t="shared" si="140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customHeight="1" x14ac:dyDescent="0.3">
      <c r="A1154" s="2"/>
      <c r="B1154" s="65" t="str">
        <f t="shared" si="141"/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 t="shared" si="142"/>
        <v/>
      </c>
      <c r="N1154" s="74" t="str">
        <f t="shared" si="143"/>
        <v/>
      </c>
      <c r="O1154" s="73" t="str">
        <f t="shared" si="144"/>
        <v/>
      </c>
      <c r="P1154" s="65" t="str">
        <f t="shared" ca="1" si="145"/>
        <v/>
      </c>
      <c r="Q1154" s="2"/>
      <c r="R1154" s="2"/>
      <c r="S1154" s="1" t="str">
        <f t="shared" si="138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139"/>
        <v>0</v>
      </c>
      <c r="W1154" s="1" t="str">
        <f t="shared" si="140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customHeight="1" x14ac:dyDescent="0.3">
      <c r="A1155" s="2"/>
      <c r="B1155" s="65" t="str">
        <f t="shared" si="141"/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 t="shared" si="142"/>
        <v/>
      </c>
      <c r="N1155" s="74" t="str">
        <f t="shared" si="143"/>
        <v/>
      </c>
      <c r="O1155" s="73" t="str">
        <f t="shared" si="144"/>
        <v/>
      </c>
      <c r="P1155" s="65" t="str">
        <f t="shared" ca="1" si="145"/>
        <v/>
      </c>
      <c r="Q1155" s="2"/>
      <c r="R1155" s="2"/>
      <c r="S1155" s="1" t="str">
        <f t="shared" si="138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139"/>
        <v>0</v>
      </c>
      <c r="W1155" s="1" t="str">
        <f t="shared" si="140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customHeight="1" x14ac:dyDescent="0.3">
      <c r="A1156" s="2"/>
      <c r="B1156" s="65" t="str">
        <f t="shared" si="141"/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 t="shared" si="142"/>
        <v/>
      </c>
      <c r="N1156" s="74" t="str">
        <f t="shared" si="143"/>
        <v/>
      </c>
      <c r="O1156" s="73" t="str">
        <f t="shared" si="144"/>
        <v/>
      </c>
      <c r="P1156" s="65" t="str">
        <f t="shared" ca="1" si="145"/>
        <v/>
      </c>
      <c r="Q1156" s="2"/>
      <c r="R1156" s="2"/>
      <c r="S1156" s="1" t="str">
        <f t="shared" si="138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139"/>
        <v>0</v>
      </c>
      <c r="W1156" s="1" t="str">
        <f t="shared" si="140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customHeight="1" x14ac:dyDescent="0.3">
      <c r="A1157" s="2"/>
      <c r="B1157" s="65" t="str">
        <f t="shared" si="141"/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 t="shared" si="142"/>
        <v/>
      </c>
      <c r="N1157" s="74" t="str">
        <f t="shared" si="143"/>
        <v/>
      </c>
      <c r="O1157" s="73" t="str">
        <f t="shared" si="144"/>
        <v/>
      </c>
      <c r="P1157" s="65" t="str">
        <f t="shared" ca="1" si="145"/>
        <v/>
      </c>
      <c r="Q1157" s="2"/>
      <c r="R1157" s="2"/>
      <c r="S1157" s="1" t="str">
        <f t="shared" ref="S1157:S1220" si="146"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ref="V1157:V1220" si="147">IF($T1157="",0,1)</f>
        <v>0</v>
      </c>
      <c r="W1157" s="1" t="str">
        <f t="shared" ref="W1157:W1220" si="148">IF($C1157="","",$D1157&amp;"|"&amp;$E1157&amp;"|"&amp;TEXT($C1157,"0")&amp;"|"&amp;TEXT($G1157,"0")&amp;"|"&amp;$F1157&amp;"|"&amp;$J1157)</f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customHeight="1" x14ac:dyDescent="0.3">
      <c r="A1158" s="2"/>
      <c r="B1158" s="65" t="str">
        <f t="shared" si="141"/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 t="shared" si="142"/>
        <v/>
      </c>
      <c r="N1158" s="74" t="str">
        <f t="shared" si="143"/>
        <v/>
      </c>
      <c r="O1158" s="73" t="str">
        <f t="shared" si="144"/>
        <v/>
      </c>
      <c r="P1158" s="65" t="str">
        <f t="shared" ca="1" si="145"/>
        <v/>
      </c>
      <c r="Q1158" s="2"/>
      <c r="R1158" s="2"/>
      <c r="S1158" s="1" t="str">
        <f t="shared" si="146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147"/>
        <v>0</v>
      </c>
      <c r="W1158" s="1" t="str">
        <f t="shared" si="148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customHeight="1" x14ac:dyDescent="0.3">
      <c r="A1159" s="2"/>
      <c r="B1159" s="65" t="str">
        <f t="shared" ref="B1159:B1222" si="149"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 t="shared" ref="M1159:M1222" si="150">IF($C1159="","",IF($D1159="Gider",$E1159,IF($L1159&lt;&gt;"",$L1159,$H1159)))</f>
        <v/>
      </c>
      <c r="N1159" s="74" t="str">
        <f t="shared" ref="N1159:N1222" si="151">IF($C1159="","",IF($D1159="Gider",$H1159,$E1159))</f>
        <v/>
      </c>
      <c r="O1159" s="73" t="str">
        <f t="shared" ref="O1159:O1222" si="152">IF($C1159="","",DATE(YEAR($C1159),MONTH($C1159),1))</f>
        <v/>
      </c>
      <c r="P1159" s="65" t="str">
        <f t="shared" ref="P1159:P1222" ca="1" si="153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TARİH",IF(COUNTIF($W$7:$W$3001,$W1159)&gt;1,"MÜKERRER?",IF($AD1159&gt;0,"KAPALI DÖNEM",IF($I1159="Hayır","ÖDENECEK","UYGUN")))),"EKSİK"))))</f>
        <v/>
      </c>
      <c r="Q1159" s="2"/>
      <c r="R1159" s="2"/>
      <c r="S1159" s="1" t="str">
        <f t="shared" si="146"/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si="147"/>
        <v>0</v>
      </c>
      <c r="W1159" s="1" t="str">
        <f t="shared" si="148"/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customHeight="1" x14ac:dyDescent="0.3">
      <c r="A1160" s="2"/>
      <c r="B1160" s="65" t="str">
        <f t="shared" si="149"/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 t="shared" si="150"/>
        <v/>
      </c>
      <c r="N1160" s="74" t="str">
        <f t="shared" si="151"/>
        <v/>
      </c>
      <c r="O1160" s="73" t="str">
        <f t="shared" si="152"/>
        <v/>
      </c>
      <c r="P1160" s="65" t="str">
        <f t="shared" ca="1" si="153"/>
        <v/>
      </c>
      <c r="Q1160" s="2"/>
      <c r="R1160" s="2"/>
      <c r="S1160" s="1" t="str">
        <f t="shared" si="146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147"/>
        <v>0</v>
      </c>
      <c r="W1160" s="1" t="str">
        <f t="shared" si="148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customHeight="1" x14ac:dyDescent="0.3">
      <c r="A1161" s="2"/>
      <c r="B1161" s="65" t="str">
        <f t="shared" si="149"/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 t="shared" si="150"/>
        <v/>
      </c>
      <c r="N1161" s="74" t="str">
        <f t="shared" si="151"/>
        <v/>
      </c>
      <c r="O1161" s="73" t="str">
        <f t="shared" si="152"/>
        <v/>
      </c>
      <c r="P1161" s="65" t="str">
        <f t="shared" ca="1" si="153"/>
        <v/>
      </c>
      <c r="Q1161" s="2"/>
      <c r="R1161" s="2"/>
      <c r="S1161" s="1" t="str">
        <f t="shared" si="146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147"/>
        <v>0</v>
      </c>
      <c r="W1161" s="1" t="str">
        <f t="shared" si="148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customHeight="1" x14ac:dyDescent="0.3">
      <c r="A1162" s="2"/>
      <c r="B1162" s="65" t="str">
        <f t="shared" si="149"/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 t="shared" si="150"/>
        <v/>
      </c>
      <c r="N1162" s="74" t="str">
        <f t="shared" si="151"/>
        <v/>
      </c>
      <c r="O1162" s="73" t="str">
        <f t="shared" si="152"/>
        <v/>
      </c>
      <c r="P1162" s="65" t="str">
        <f t="shared" ca="1" si="153"/>
        <v/>
      </c>
      <c r="Q1162" s="2"/>
      <c r="R1162" s="2"/>
      <c r="S1162" s="1" t="str">
        <f t="shared" si="146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147"/>
        <v>0</v>
      </c>
      <c r="W1162" s="1" t="str">
        <f t="shared" si="148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customHeight="1" x14ac:dyDescent="0.3">
      <c r="A1163" s="2"/>
      <c r="B1163" s="65" t="str">
        <f t="shared" si="149"/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 t="shared" si="150"/>
        <v/>
      </c>
      <c r="N1163" s="74" t="str">
        <f t="shared" si="151"/>
        <v/>
      </c>
      <c r="O1163" s="73" t="str">
        <f t="shared" si="152"/>
        <v/>
      </c>
      <c r="P1163" s="65" t="str">
        <f t="shared" ca="1" si="153"/>
        <v/>
      </c>
      <c r="Q1163" s="2"/>
      <c r="R1163" s="2"/>
      <c r="S1163" s="1" t="str">
        <f t="shared" si="146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147"/>
        <v>0</v>
      </c>
      <c r="W1163" s="1" t="str">
        <f t="shared" si="148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customHeight="1" x14ac:dyDescent="0.3">
      <c r="A1164" s="2"/>
      <c r="B1164" s="65" t="str">
        <f t="shared" si="149"/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 t="shared" si="150"/>
        <v/>
      </c>
      <c r="N1164" s="74" t="str">
        <f t="shared" si="151"/>
        <v/>
      </c>
      <c r="O1164" s="73" t="str">
        <f t="shared" si="152"/>
        <v/>
      </c>
      <c r="P1164" s="65" t="str">
        <f t="shared" ca="1" si="153"/>
        <v/>
      </c>
      <c r="Q1164" s="2"/>
      <c r="R1164" s="2"/>
      <c r="S1164" s="1" t="str">
        <f t="shared" si="146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147"/>
        <v>0</v>
      </c>
      <c r="W1164" s="1" t="str">
        <f t="shared" si="148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customHeight="1" x14ac:dyDescent="0.3">
      <c r="A1165" s="2"/>
      <c r="B1165" s="65" t="str">
        <f t="shared" si="149"/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 t="shared" si="150"/>
        <v/>
      </c>
      <c r="N1165" s="74" t="str">
        <f t="shared" si="151"/>
        <v/>
      </c>
      <c r="O1165" s="73" t="str">
        <f t="shared" si="152"/>
        <v/>
      </c>
      <c r="P1165" s="65" t="str">
        <f t="shared" ca="1" si="153"/>
        <v/>
      </c>
      <c r="Q1165" s="2"/>
      <c r="R1165" s="2"/>
      <c r="S1165" s="1" t="str">
        <f t="shared" si="146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147"/>
        <v>0</v>
      </c>
      <c r="W1165" s="1" t="str">
        <f t="shared" si="148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customHeight="1" x14ac:dyDescent="0.3">
      <c r="A1166" s="2"/>
      <c r="B1166" s="65" t="str">
        <f t="shared" si="149"/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 t="shared" si="150"/>
        <v/>
      </c>
      <c r="N1166" s="74" t="str">
        <f t="shared" si="151"/>
        <v/>
      </c>
      <c r="O1166" s="73" t="str">
        <f t="shared" si="152"/>
        <v/>
      </c>
      <c r="P1166" s="65" t="str">
        <f t="shared" ca="1" si="153"/>
        <v/>
      </c>
      <c r="Q1166" s="2"/>
      <c r="R1166" s="2"/>
      <c r="S1166" s="1" t="str">
        <f t="shared" si="146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147"/>
        <v>0</v>
      </c>
      <c r="W1166" s="1" t="str">
        <f t="shared" si="148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customHeight="1" x14ac:dyDescent="0.3">
      <c r="A1167" s="2"/>
      <c r="B1167" s="65" t="str">
        <f t="shared" si="149"/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 t="shared" si="150"/>
        <v/>
      </c>
      <c r="N1167" s="74" t="str">
        <f t="shared" si="151"/>
        <v/>
      </c>
      <c r="O1167" s="73" t="str">
        <f t="shared" si="152"/>
        <v/>
      </c>
      <c r="P1167" s="65" t="str">
        <f t="shared" ca="1" si="153"/>
        <v/>
      </c>
      <c r="Q1167" s="2"/>
      <c r="R1167" s="2"/>
      <c r="S1167" s="1" t="str">
        <f t="shared" si="146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147"/>
        <v>0</v>
      </c>
      <c r="W1167" s="1" t="str">
        <f t="shared" si="148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customHeight="1" x14ac:dyDescent="0.3">
      <c r="A1168" s="2"/>
      <c r="B1168" s="65" t="str">
        <f t="shared" si="149"/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 t="shared" si="150"/>
        <v/>
      </c>
      <c r="N1168" s="74" t="str">
        <f t="shared" si="151"/>
        <v/>
      </c>
      <c r="O1168" s="73" t="str">
        <f t="shared" si="152"/>
        <v/>
      </c>
      <c r="P1168" s="65" t="str">
        <f t="shared" ca="1" si="153"/>
        <v/>
      </c>
      <c r="Q1168" s="2"/>
      <c r="R1168" s="2"/>
      <c r="S1168" s="1" t="str">
        <f t="shared" si="146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147"/>
        <v>0</v>
      </c>
      <c r="W1168" s="1" t="str">
        <f t="shared" si="148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customHeight="1" x14ac:dyDescent="0.3">
      <c r="A1169" s="2"/>
      <c r="B1169" s="65" t="str">
        <f t="shared" si="149"/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 t="shared" si="150"/>
        <v/>
      </c>
      <c r="N1169" s="74" t="str">
        <f t="shared" si="151"/>
        <v/>
      </c>
      <c r="O1169" s="73" t="str">
        <f t="shared" si="152"/>
        <v/>
      </c>
      <c r="P1169" s="65" t="str">
        <f t="shared" ca="1" si="153"/>
        <v/>
      </c>
      <c r="Q1169" s="2"/>
      <c r="R1169" s="2"/>
      <c r="S1169" s="1" t="str">
        <f t="shared" si="146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147"/>
        <v>0</v>
      </c>
      <c r="W1169" s="1" t="str">
        <f t="shared" si="148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customHeight="1" x14ac:dyDescent="0.3">
      <c r="A1170" s="2"/>
      <c r="B1170" s="65" t="str">
        <f t="shared" si="149"/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 t="shared" si="150"/>
        <v/>
      </c>
      <c r="N1170" s="74" t="str">
        <f t="shared" si="151"/>
        <v/>
      </c>
      <c r="O1170" s="73" t="str">
        <f t="shared" si="152"/>
        <v/>
      </c>
      <c r="P1170" s="65" t="str">
        <f t="shared" ca="1" si="153"/>
        <v/>
      </c>
      <c r="Q1170" s="2"/>
      <c r="R1170" s="2"/>
      <c r="S1170" s="1" t="str">
        <f t="shared" si="146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147"/>
        <v>0</v>
      </c>
      <c r="W1170" s="1" t="str">
        <f t="shared" si="148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customHeight="1" x14ac:dyDescent="0.3">
      <c r="A1171" s="2"/>
      <c r="B1171" s="65" t="str">
        <f t="shared" si="149"/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 t="shared" si="150"/>
        <v/>
      </c>
      <c r="N1171" s="74" t="str">
        <f t="shared" si="151"/>
        <v/>
      </c>
      <c r="O1171" s="73" t="str">
        <f t="shared" si="152"/>
        <v/>
      </c>
      <c r="P1171" s="65" t="str">
        <f t="shared" ca="1" si="153"/>
        <v/>
      </c>
      <c r="Q1171" s="2"/>
      <c r="R1171" s="2"/>
      <c r="S1171" s="1" t="str">
        <f t="shared" si="146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147"/>
        <v>0</v>
      </c>
      <c r="W1171" s="1" t="str">
        <f t="shared" si="148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customHeight="1" x14ac:dyDescent="0.3">
      <c r="A1172" s="2"/>
      <c r="B1172" s="65" t="str">
        <f t="shared" si="149"/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 t="shared" si="150"/>
        <v/>
      </c>
      <c r="N1172" s="74" t="str">
        <f t="shared" si="151"/>
        <v/>
      </c>
      <c r="O1172" s="73" t="str">
        <f t="shared" si="152"/>
        <v/>
      </c>
      <c r="P1172" s="65" t="str">
        <f t="shared" ca="1" si="153"/>
        <v/>
      </c>
      <c r="Q1172" s="2"/>
      <c r="R1172" s="2"/>
      <c r="S1172" s="1" t="str">
        <f t="shared" si="146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147"/>
        <v>0</v>
      </c>
      <c r="W1172" s="1" t="str">
        <f t="shared" si="148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customHeight="1" x14ac:dyDescent="0.3">
      <c r="A1173" s="2"/>
      <c r="B1173" s="65" t="str">
        <f t="shared" si="149"/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 t="shared" si="150"/>
        <v/>
      </c>
      <c r="N1173" s="74" t="str">
        <f t="shared" si="151"/>
        <v/>
      </c>
      <c r="O1173" s="73" t="str">
        <f t="shared" si="152"/>
        <v/>
      </c>
      <c r="P1173" s="65" t="str">
        <f t="shared" ca="1" si="153"/>
        <v/>
      </c>
      <c r="Q1173" s="2"/>
      <c r="R1173" s="2"/>
      <c r="S1173" s="1" t="str">
        <f t="shared" si="146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147"/>
        <v>0</v>
      </c>
      <c r="W1173" s="1" t="str">
        <f t="shared" si="148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customHeight="1" x14ac:dyDescent="0.3">
      <c r="A1174" s="2"/>
      <c r="B1174" s="65" t="str">
        <f t="shared" si="149"/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 t="shared" si="150"/>
        <v/>
      </c>
      <c r="N1174" s="74" t="str">
        <f t="shared" si="151"/>
        <v/>
      </c>
      <c r="O1174" s="73" t="str">
        <f t="shared" si="152"/>
        <v/>
      </c>
      <c r="P1174" s="65" t="str">
        <f t="shared" ca="1" si="153"/>
        <v/>
      </c>
      <c r="Q1174" s="2"/>
      <c r="R1174" s="2"/>
      <c r="S1174" s="1" t="str">
        <f t="shared" si="146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147"/>
        <v>0</v>
      </c>
      <c r="W1174" s="1" t="str">
        <f t="shared" si="148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customHeight="1" x14ac:dyDescent="0.3">
      <c r="A1175" s="2"/>
      <c r="B1175" s="65" t="str">
        <f t="shared" si="149"/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 t="shared" si="150"/>
        <v/>
      </c>
      <c r="N1175" s="74" t="str">
        <f t="shared" si="151"/>
        <v/>
      </c>
      <c r="O1175" s="73" t="str">
        <f t="shared" si="152"/>
        <v/>
      </c>
      <c r="P1175" s="65" t="str">
        <f t="shared" ca="1" si="153"/>
        <v/>
      </c>
      <c r="Q1175" s="2"/>
      <c r="R1175" s="2"/>
      <c r="S1175" s="1" t="str">
        <f t="shared" si="146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147"/>
        <v>0</v>
      </c>
      <c r="W1175" s="1" t="str">
        <f t="shared" si="148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customHeight="1" x14ac:dyDescent="0.3">
      <c r="A1176" s="2"/>
      <c r="B1176" s="65" t="str">
        <f t="shared" si="149"/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 t="shared" si="150"/>
        <v/>
      </c>
      <c r="N1176" s="74" t="str">
        <f t="shared" si="151"/>
        <v/>
      </c>
      <c r="O1176" s="73" t="str">
        <f t="shared" si="152"/>
        <v/>
      </c>
      <c r="P1176" s="65" t="str">
        <f t="shared" ca="1" si="153"/>
        <v/>
      </c>
      <c r="Q1176" s="2"/>
      <c r="R1176" s="2"/>
      <c r="S1176" s="1" t="str">
        <f t="shared" si="146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147"/>
        <v>0</v>
      </c>
      <c r="W1176" s="1" t="str">
        <f t="shared" si="148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customHeight="1" x14ac:dyDescent="0.3">
      <c r="A1177" s="2"/>
      <c r="B1177" s="65" t="str">
        <f t="shared" si="149"/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 t="shared" si="150"/>
        <v/>
      </c>
      <c r="N1177" s="74" t="str">
        <f t="shared" si="151"/>
        <v/>
      </c>
      <c r="O1177" s="73" t="str">
        <f t="shared" si="152"/>
        <v/>
      </c>
      <c r="P1177" s="65" t="str">
        <f t="shared" ca="1" si="153"/>
        <v/>
      </c>
      <c r="Q1177" s="2"/>
      <c r="R1177" s="2"/>
      <c r="S1177" s="1" t="str">
        <f t="shared" si="146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147"/>
        <v>0</v>
      </c>
      <c r="W1177" s="1" t="str">
        <f t="shared" si="148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customHeight="1" x14ac:dyDescent="0.3">
      <c r="A1178" s="2"/>
      <c r="B1178" s="65" t="str">
        <f t="shared" si="149"/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 t="shared" si="150"/>
        <v/>
      </c>
      <c r="N1178" s="74" t="str">
        <f t="shared" si="151"/>
        <v/>
      </c>
      <c r="O1178" s="73" t="str">
        <f t="shared" si="152"/>
        <v/>
      </c>
      <c r="P1178" s="65" t="str">
        <f t="shared" ca="1" si="153"/>
        <v/>
      </c>
      <c r="Q1178" s="2"/>
      <c r="R1178" s="2"/>
      <c r="S1178" s="1" t="str">
        <f t="shared" si="146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147"/>
        <v>0</v>
      </c>
      <c r="W1178" s="1" t="str">
        <f t="shared" si="148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customHeight="1" x14ac:dyDescent="0.3">
      <c r="A1179" s="2"/>
      <c r="B1179" s="65" t="str">
        <f t="shared" si="149"/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 t="shared" si="150"/>
        <v/>
      </c>
      <c r="N1179" s="74" t="str">
        <f t="shared" si="151"/>
        <v/>
      </c>
      <c r="O1179" s="73" t="str">
        <f t="shared" si="152"/>
        <v/>
      </c>
      <c r="P1179" s="65" t="str">
        <f t="shared" ca="1" si="153"/>
        <v/>
      </c>
      <c r="Q1179" s="2"/>
      <c r="R1179" s="2"/>
      <c r="S1179" s="1" t="str">
        <f t="shared" si="146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147"/>
        <v>0</v>
      </c>
      <c r="W1179" s="1" t="str">
        <f t="shared" si="148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customHeight="1" x14ac:dyDescent="0.3">
      <c r="A1180" s="2"/>
      <c r="B1180" s="65" t="str">
        <f t="shared" si="149"/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 t="shared" si="150"/>
        <v/>
      </c>
      <c r="N1180" s="74" t="str">
        <f t="shared" si="151"/>
        <v/>
      </c>
      <c r="O1180" s="73" t="str">
        <f t="shared" si="152"/>
        <v/>
      </c>
      <c r="P1180" s="65" t="str">
        <f t="shared" ca="1" si="153"/>
        <v/>
      </c>
      <c r="Q1180" s="2"/>
      <c r="R1180" s="2"/>
      <c r="S1180" s="1" t="str">
        <f t="shared" si="146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147"/>
        <v>0</v>
      </c>
      <c r="W1180" s="1" t="str">
        <f t="shared" si="148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customHeight="1" x14ac:dyDescent="0.3">
      <c r="A1181" s="2"/>
      <c r="B1181" s="65" t="str">
        <f t="shared" si="149"/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 t="shared" si="150"/>
        <v/>
      </c>
      <c r="N1181" s="74" t="str">
        <f t="shared" si="151"/>
        <v/>
      </c>
      <c r="O1181" s="73" t="str">
        <f t="shared" si="152"/>
        <v/>
      </c>
      <c r="P1181" s="65" t="str">
        <f t="shared" ca="1" si="153"/>
        <v/>
      </c>
      <c r="Q1181" s="2"/>
      <c r="R1181" s="2"/>
      <c r="S1181" s="1" t="str">
        <f t="shared" si="146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147"/>
        <v>0</v>
      </c>
      <c r="W1181" s="1" t="str">
        <f t="shared" si="148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customHeight="1" x14ac:dyDescent="0.3">
      <c r="A1182" s="2"/>
      <c r="B1182" s="65" t="str">
        <f t="shared" si="149"/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 t="shared" si="150"/>
        <v/>
      </c>
      <c r="N1182" s="74" t="str">
        <f t="shared" si="151"/>
        <v/>
      </c>
      <c r="O1182" s="73" t="str">
        <f t="shared" si="152"/>
        <v/>
      </c>
      <c r="P1182" s="65" t="str">
        <f t="shared" ca="1" si="153"/>
        <v/>
      </c>
      <c r="Q1182" s="2"/>
      <c r="R1182" s="2"/>
      <c r="S1182" s="1" t="str">
        <f t="shared" si="146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147"/>
        <v>0</v>
      </c>
      <c r="W1182" s="1" t="str">
        <f t="shared" si="148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customHeight="1" x14ac:dyDescent="0.3">
      <c r="A1183" s="2"/>
      <c r="B1183" s="65" t="str">
        <f t="shared" si="149"/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 t="shared" si="150"/>
        <v/>
      </c>
      <c r="N1183" s="74" t="str">
        <f t="shared" si="151"/>
        <v/>
      </c>
      <c r="O1183" s="73" t="str">
        <f t="shared" si="152"/>
        <v/>
      </c>
      <c r="P1183" s="65" t="str">
        <f t="shared" ca="1" si="153"/>
        <v/>
      </c>
      <c r="Q1183" s="2"/>
      <c r="R1183" s="2"/>
      <c r="S1183" s="1" t="str">
        <f t="shared" si="146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147"/>
        <v>0</v>
      </c>
      <c r="W1183" s="1" t="str">
        <f t="shared" si="148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customHeight="1" x14ac:dyDescent="0.3">
      <c r="A1184" s="2"/>
      <c r="B1184" s="65" t="str">
        <f t="shared" si="149"/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 t="shared" si="150"/>
        <v/>
      </c>
      <c r="N1184" s="74" t="str">
        <f t="shared" si="151"/>
        <v/>
      </c>
      <c r="O1184" s="73" t="str">
        <f t="shared" si="152"/>
        <v/>
      </c>
      <c r="P1184" s="65" t="str">
        <f t="shared" ca="1" si="153"/>
        <v/>
      </c>
      <c r="Q1184" s="2"/>
      <c r="R1184" s="2"/>
      <c r="S1184" s="1" t="str">
        <f t="shared" si="146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147"/>
        <v>0</v>
      </c>
      <c r="W1184" s="1" t="str">
        <f t="shared" si="148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customHeight="1" x14ac:dyDescent="0.3">
      <c r="A1185" s="2"/>
      <c r="B1185" s="65" t="str">
        <f t="shared" si="149"/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 t="shared" si="150"/>
        <v/>
      </c>
      <c r="N1185" s="74" t="str">
        <f t="shared" si="151"/>
        <v/>
      </c>
      <c r="O1185" s="73" t="str">
        <f t="shared" si="152"/>
        <v/>
      </c>
      <c r="P1185" s="65" t="str">
        <f t="shared" ca="1" si="153"/>
        <v/>
      </c>
      <c r="Q1185" s="2"/>
      <c r="R1185" s="2"/>
      <c r="S1185" s="1" t="str">
        <f t="shared" si="146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147"/>
        <v>0</v>
      </c>
      <c r="W1185" s="1" t="str">
        <f t="shared" si="148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customHeight="1" x14ac:dyDescent="0.3">
      <c r="A1186" s="2"/>
      <c r="B1186" s="65" t="str">
        <f t="shared" si="149"/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 t="shared" si="150"/>
        <v/>
      </c>
      <c r="N1186" s="74" t="str">
        <f t="shared" si="151"/>
        <v/>
      </c>
      <c r="O1186" s="73" t="str">
        <f t="shared" si="152"/>
        <v/>
      </c>
      <c r="P1186" s="65" t="str">
        <f t="shared" ca="1" si="153"/>
        <v/>
      </c>
      <c r="Q1186" s="2"/>
      <c r="R1186" s="2"/>
      <c r="S1186" s="1" t="str">
        <f t="shared" si="146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147"/>
        <v>0</v>
      </c>
      <c r="W1186" s="1" t="str">
        <f t="shared" si="148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customHeight="1" x14ac:dyDescent="0.3">
      <c r="A1187" s="2"/>
      <c r="B1187" s="65" t="str">
        <f t="shared" si="149"/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 t="shared" si="150"/>
        <v/>
      </c>
      <c r="N1187" s="74" t="str">
        <f t="shared" si="151"/>
        <v/>
      </c>
      <c r="O1187" s="73" t="str">
        <f t="shared" si="152"/>
        <v/>
      </c>
      <c r="P1187" s="65" t="str">
        <f t="shared" ca="1" si="153"/>
        <v/>
      </c>
      <c r="Q1187" s="2"/>
      <c r="R1187" s="2"/>
      <c r="S1187" s="1" t="str">
        <f t="shared" si="146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147"/>
        <v>0</v>
      </c>
      <c r="W1187" s="1" t="str">
        <f t="shared" si="148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customHeight="1" x14ac:dyDescent="0.3">
      <c r="A1188" s="2"/>
      <c r="B1188" s="65" t="str">
        <f t="shared" si="149"/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 t="shared" si="150"/>
        <v/>
      </c>
      <c r="N1188" s="74" t="str">
        <f t="shared" si="151"/>
        <v/>
      </c>
      <c r="O1188" s="73" t="str">
        <f t="shared" si="152"/>
        <v/>
      </c>
      <c r="P1188" s="65" t="str">
        <f t="shared" ca="1" si="153"/>
        <v/>
      </c>
      <c r="Q1188" s="2"/>
      <c r="R1188" s="2"/>
      <c r="S1188" s="1" t="str">
        <f t="shared" si="146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147"/>
        <v>0</v>
      </c>
      <c r="W1188" s="1" t="str">
        <f t="shared" si="148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customHeight="1" x14ac:dyDescent="0.3">
      <c r="A1189" s="2"/>
      <c r="B1189" s="65" t="str">
        <f t="shared" si="149"/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 t="shared" si="150"/>
        <v/>
      </c>
      <c r="N1189" s="74" t="str">
        <f t="shared" si="151"/>
        <v/>
      </c>
      <c r="O1189" s="73" t="str">
        <f t="shared" si="152"/>
        <v/>
      </c>
      <c r="P1189" s="65" t="str">
        <f t="shared" ca="1" si="153"/>
        <v/>
      </c>
      <c r="Q1189" s="2"/>
      <c r="R1189" s="2"/>
      <c r="S1189" s="1" t="str">
        <f t="shared" si="146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147"/>
        <v>0</v>
      </c>
      <c r="W1189" s="1" t="str">
        <f t="shared" si="148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customHeight="1" x14ac:dyDescent="0.3">
      <c r="A1190" s="2"/>
      <c r="B1190" s="65" t="str">
        <f t="shared" si="149"/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 t="shared" si="150"/>
        <v/>
      </c>
      <c r="N1190" s="74" t="str">
        <f t="shared" si="151"/>
        <v/>
      </c>
      <c r="O1190" s="73" t="str">
        <f t="shared" si="152"/>
        <v/>
      </c>
      <c r="P1190" s="65" t="str">
        <f t="shared" ca="1" si="153"/>
        <v/>
      </c>
      <c r="Q1190" s="2"/>
      <c r="R1190" s="2"/>
      <c r="S1190" s="1" t="str">
        <f t="shared" si="146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147"/>
        <v>0</v>
      </c>
      <c r="W1190" s="1" t="str">
        <f t="shared" si="148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customHeight="1" x14ac:dyDescent="0.3">
      <c r="A1191" s="2"/>
      <c r="B1191" s="65" t="str">
        <f t="shared" si="149"/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 t="shared" si="150"/>
        <v/>
      </c>
      <c r="N1191" s="74" t="str">
        <f t="shared" si="151"/>
        <v/>
      </c>
      <c r="O1191" s="73" t="str">
        <f t="shared" si="152"/>
        <v/>
      </c>
      <c r="P1191" s="65" t="str">
        <f t="shared" ca="1" si="153"/>
        <v/>
      </c>
      <c r="Q1191" s="2"/>
      <c r="R1191" s="2"/>
      <c r="S1191" s="1" t="str">
        <f t="shared" si="146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147"/>
        <v>0</v>
      </c>
      <c r="W1191" s="1" t="str">
        <f t="shared" si="148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customHeight="1" x14ac:dyDescent="0.3">
      <c r="A1192" s="2"/>
      <c r="B1192" s="65" t="str">
        <f t="shared" si="149"/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 t="shared" si="150"/>
        <v/>
      </c>
      <c r="N1192" s="74" t="str">
        <f t="shared" si="151"/>
        <v/>
      </c>
      <c r="O1192" s="73" t="str">
        <f t="shared" si="152"/>
        <v/>
      </c>
      <c r="P1192" s="65" t="str">
        <f t="shared" ca="1" si="153"/>
        <v/>
      </c>
      <c r="Q1192" s="2"/>
      <c r="R1192" s="2"/>
      <c r="S1192" s="1" t="str">
        <f t="shared" si="146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147"/>
        <v>0</v>
      </c>
      <c r="W1192" s="1" t="str">
        <f t="shared" si="148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customHeight="1" x14ac:dyDescent="0.3">
      <c r="A1193" s="2"/>
      <c r="B1193" s="65" t="str">
        <f t="shared" si="149"/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 t="shared" si="150"/>
        <v/>
      </c>
      <c r="N1193" s="74" t="str">
        <f t="shared" si="151"/>
        <v/>
      </c>
      <c r="O1193" s="73" t="str">
        <f t="shared" si="152"/>
        <v/>
      </c>
      <c r="P1193" s="65" t="str">
        <f t="shared" ca="1" si="153"/>
        <v/>
      </c>
      <c r="Q1193" s="2"/>
      <c r="R1193" s="2"/>
      <c r="S1193" s="1" t="str">
        <f t="shared" si="146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147"/>
        <v>0</v>
      </c>
      <c r="W1193" s="1" t="str">
        <f t="shared" si="148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customHeight="1" x14ac:dyDescent="0.3">
      <c r="A1194" s="2"/>
      <c r="B1194" s="65" t="str">
        <f t="shared" si="149"/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 t="shared" si="150"/>
        <v/>
      </c>
      <c r="N1194" s="74" t="str">
        <f t="shared" si="151"/>
        <v/>
      </c>
      <c r="O1194" s="73" t="str">
        <f t="shared" si="152"/>
        <v/>
      </c>
      <c r="P1194" s="65" t="str">
        <f t="shared" ca="1" si="153"/>
        <v/>
      </c>
      <c r="Q1194" s="2"/>
      <c r="R1194" s="2"/>
      <c r="S1194" s="1" t="str">
        <f t="shared" si="146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147"/>
        <v>0</v>
      </c>
      <c r="W1194" s="1" t="str">
        <f t="shared" si="148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customHeight="1" x14ac:dyDescent="0.3">
      <c r="A1195" s="2"/>
      <c r="B1195" s="65" t="str">
        <f t="shared" si="149"/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 t="shared" si="150"/>
        <v/>
      </c>
      <c r="N1195" s="74" t="str">
        <f t="shared" si="151"/>
        <v/>
      </c>
      <c r="O1195" s="73" t="str">
        <f t="shared" si="152"/>
        <v/>
      </c>
      <c r="P1195" s="65" t="str">
        <f t="shared" ca="1" si="153"/>
        <v/>
      </c>
      <c r="Q1195" s="2"/>
      <c r="R1195" s="2"/>
      <c r="S1195" s="1" t="str">
        <f t="shared" si="146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147"/>
        <v>0</v>
      </c>
      <c r="W1195" s="1" t="str">
        <f t="shared" si="148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customHeight="1" x14ac:dyDescent="0.3">
      <c r="A1196" s="2"/>
      <c r="B1196" s="65" t="str">
        <f t="shared" si="149"/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 t="shared" si="150"/>
        <v/>
      </c>
      <c r="N1196" s="74" t="str">
        <f t="shared" si="151"/>
        <v/>
      </c>
      <c r="O1196" s="73" t="str">
        <f t="shared" si="152"/>
        <v/>
      </c>
      <c r="P1196" s="65" t="str">
        <f t="shared" ca="1" si="153"/>
        <v/>
      </c>
      <c r="Q1196" s="2"/>
      <c r="R1196" s="2"/>
      <c r="S1196" s="1" t="str">
        <f t="shared" si="146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147"/>
        <v>0</v>
      </c>
      <c r="W1196" s="1" t="str">
        <f t="shared" si="148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customHeight="1" x14ac:dyDescent="0.3">
      <c r="A1197" s="2"/>
      <c r="B1197" s="65" t="str">
        <f t="shared" si="149"/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 t="shared" si="150"/>
        <v/>
      </c>
      <c r="N1197" s="74" t="str">
        <f t="shared" si="151"/>
        <v/>
      </c>
      <c r="O1197" s="73" t="str">
        <f t="shared" si="152"/>
        <v/>
      </c>
      <c r="P1197" s="65" t="str">
        <f t="shared" ca="1" si="153"/>
        <v/>
      </c>
      <c r="Q1197" s="2"/>
      <c r="R1197" s="2"/>
      <c r="S1197" s="1" t="str">
        <f t="shared" si="146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147"/>
        <v>0</v>
      </c>
      <c r="W1197" s="1" t="str">
        <f t="shared" si="148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customHeight="1" x14ac:dyDescent="0.3">
      <c r="A1198" s="2"/>
      <c r="B1198" s="65" t="str">
        <f t="shared" si="149"/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 t="shared" si="150"/>
        <v/>
      </c>
      <c r="N1198" s="74" t="str">
        <f t="shared" si="151"/>
        <v/>
      </c>
      <c r="O1198" s="73" t="str">
        <f t="shared" si="152"/>
        <v/>
      </c>
      <c r="P1198" s="65" t="str">
        <f t="shared" ca="1" si="153"/>
        <v/>
      </c>
      <c r="Q1198" s="2"/>
      <c r="R1198" s="2"/>
      <c r="S1198" s="1" t="str">
        <f t="shared" si="146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147"/>
        <v>0</v>
      </c>
      <c r="W1198" s="1" t="str">
        <f t="shared" si="148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customHeight="1" x14ac:dyDescent="0.3">
      <c r="A1199" s="2"/>
      <c r="B1199" s="65" t="str">
        <f t="shared" si="149"/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 t="shared" si="150"/>
        <v/>
      </c>
      <c r="N1199" s="74" t="str">
        <f t="shared" si="151"/>
        <v/>
      </c>
      <c r="O1199" s="73" t="str">
        <f t="shared" si="152"/>
        <v/>
      </c>
      <c r="P1199" s="65" t="str">
        <f t="shared" ca="1" si="153"/>
        <v/>
      </c>
      <c r="Q1199" s="2"/>
      <c r="R1199" s="2"/>
      <c r="S1199" s="1" t="str">
        <f t="shared" si="146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147"/>
        <v>0</v>
      </c>
      <c r="W1199" s="1" t="str">
        <f t="shared" si="148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customHeight="1" x14ac:dyDescent="0.3">
      <c r="A1200" s="2"/>
      <c r="B1200" s="65" t="str">
        <f t="shared" si="149"/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 t="shared" si="150"/>
        <v/>
      </c>
      <c r="N1200" s="74" t="str">
        <f t="shared" si="151"/>
        <v/>
      </c>
      <c r="O1200" s="73" t="str">
        <f t="shared" si="152"/>
        <v/>
      </c>
      <c r="P1200" s="65" t="str">
        <f t="shared" ca="1" si="153"/>
        <v/>
      </c>
      <c r="Q1200" s="2"/>
      <c r="R1200" s="2"/>
      <c r="S1200" s="1" t="str">
        <f t="shared" si="146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147"/>
        <v>0</v>
      </c>
      <c r="W1200" s="1" t="str">
        <f t="shared" si="148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customHeight="1" x14ac:dyDescent="0.3">
      <c r="A1201" s="2"/>
      <c r="B1201" s="65" t="str">
        <f t="shared" si="149"/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 t="shared" si="150"/>
        <v/>
      </c>
      <c r="N1201" s="74" t="str">
        <f t="shared" si="151"/>
        <v/>
      </c>
      <c r="O1201" s="73" t="str">
        <f t="shared" si="152"/>
        <v/>
      </c>
      <c r="P1201" s="65" t="str">
        <f t="shared" ca="1" si="153"/>
        <v/>
      </c>
      <c r="Q1201" s="2"/>
      <c r="R1201" s="2"/>
      <c r="S1201" s="1" t="str">
        <f t="shared" si="146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147"/>
        <v>0</v>
      </c>
      <c r="W1201" s="1" t="str">
        <f t="shared" si="148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customHeight="1" x14ac:dyDescent="0.3">
      <c r="A1202" s="2"/>
      <c r="B1202" s="65" t="str">
        <f t="shared" si="149"/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 t="shared" si="150"/>
        <v/>
      </c>
      <c r="N1202" s="74" t="str">
        <f t="shared" si="151"/>
        <v/>
      </c>
      <c r="O1202" s="73" t="str">
        <f t="shared" si="152"/>
        <v/>
      </c>
      <c r="P1202" s="65" t="str">
        <f t="shared" ca="1" si="153"/>
        <v/>
      </c>
      <c r="Q1202" s="2"/>
      <c r="R1202" s="2"/>
      <c r="S1202" s="1" t="str">
        <f t="shared" si="146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147"/>
        <v>0</v>
      </c>
      <c r="W1202" s="1" t="str">
        <f t="shared" si="148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customHeight="1" x14ac:dyDescent="0.3">
      <c r="A1203" s="2"/>
      <c r="B1203" s="65" t="str">
        <f t="shared" si="149"/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 t="shared" si="150"/>
        <v/>
      </c>
      <c r="N1203" s="74" t="str">
        <f t="shared" si="151"/>
        <v/>
      </c>
      <c r="O1203" s="73" t="str">
        <f t="shared" si="152"/>
        <v/>
      </c>
      <c r="P1203" s="65" t="str">
        <f t="shared" ca="1" si="153"/>
        <v/>
      </c>
      <c r="Q1203" s="2"/>
      <c r="R1203" s="2"/>
      <c r="S1203" s="1" t="str">
        <f t="shared" si="146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147"/>
        <v>0</v>
      </c>
      <c r="W1203" s="1" t="str">
        <f t="shared" si="148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customHeight="1" x14ac:dyDescent="0.3">
      <c r="A1204" s="2"/>
      <c r="B1204" s="65" t="str">
        <f t="shared" si="149"/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 t="shared" si="150"/>
        <v/>
      </c>
      <c r="N1204" s="74" t="str">
        <f t="shared" si="151"/>
        <v/>
      </c>
      <c r="O1204" s="73" t="str">
        <f t="shared" si="152"/>
        <v/>
      </c>
      <c r="P1204" s="65" t="str">
        <f t="shared" ca="1" si="153"/>
        <v/>
      </c>
      <c r="Q1204" s="2"/>
      <c r="R1204" s="2"/>
      <c r="S1204" s="1" t="str">
        <f t="shared" si="146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147"/>
        <v>0</v>
      </c>
      <c r="W1204" s="1" t="str">
        <f t="shared" si="148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customHeight="1" x14ac:dyDescent="0.3">
      <c r="A1205" s="2"/>
      <c r="B1205" s="65" t="str">
        <f t="shared" si="149"/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 t="shared" si="150"/>
        <v/>
      </c>
      <c r="N1205" s="74" t="str">
        <f t="shared" si="151"/>
        <v/>
      </c>
      <c r="O1205" s="73" t="str">
        <f t="shared" si="152"/>
        <v/>
      </c>
      <c r="P1205" s="65" t="str">
        <f t="shared" ca="1" si="153"/>
        <v/>
      </c>
      <c r="Q1205" s="2"/>
      <c r="R1205" s="2"/>
      <c r="S1205" s="1" t="str">
        <f t="shared" si="146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147"/>
        <v>0</v>
      </c>
      <c r="W1205" s="1" t="str">
        <f t="shared" si="148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customHeight="1" x14ac:dyDescent="0.3">
      <c r="A1206" s="2"/>
      <c r="B1206" s="65" t="str">
        <f t="shared" si="149"/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 t="shared" si="150"/>
        <v/>
      </c>
      <c r="N1206" s="74" t="str">
        <f t="shared" si="151"/>
        <v/>
      </c>
      <c r="O1206" s="73" t="str">
        <f t="shared" si="152"/>
        <v/>
      </c>
      <c r="P1206" s="65" t="str">
        <f t="shared" ca="1" si="153"/>
        <v/>
      </c>
      <c r="Q1206" s="2"/>
      <c r="R1206" s="2"/>
      <c r="S1206" s="1" t="str">
        <f t="shared" si="146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147"/>
        <v>0</v>
      </c>
      <c r="W1206" s="1" t="str">
        <f t="shared" si="148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customHeight="1" x14ac:dyDescent="0.3">
      <c r="A1207" s="2"/>
      <c r="B1207" s="65" t="str">
        <f t="shared" si="149"/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 t="shared" si="150"/>
        <v/>
      </c>
      <c r="N1207" s="74" t="str">
        <f t="shared" si="151"/>
        <v/>
      </c>
      <c r="O1207" s="73" t="str">
        <f t="shared" si="152"/>
        <v/>
      </c>
      <c r="P1207" s="65" t="str">
        <f t="shared" ca="1" si="153"/>
        <v/>
      </c>
      <c r="Q1207" s="2"/>
      <c r="R1207" s="2"/>
      <c r="S1207" s="1" t="str">
        <f t="shared" si="146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147"/>
        <v>0</v>
      </c>
      <c r="W1207" s="1" t="str">
        <f t="shared" si="148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customHeight="1" x14ac:dyDescent="0.3">
      <c r="A1208" s="2"/>
      <c r="B1208" s="65" t="str">
        <f t="shared" si="149"/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 t="shared" si="150"/>
        <v/>
      </c>
      <c r="N1208" s="74" t="str">
        <f t="shared" si="151"/>
        <v/>
      </c>
      <c r="O1208" s="73" t="str">
        <f t="shared" si="152"/>
        <v/>
      </c>
      <c r="P1208" s="65" t="str">
        <f t="shared" ca="1" si="153"/>
        <v/>
      </c>
      <c r="Q1208" s="2"/>
      <c r="R1208" s="2"/>
      <c r="S1208" s="1" t="str">
        <f t="shared" si="146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147"/>
        <v>0</v>
      </c>
      <c r="W1208" s="1" t="str">
        <f t="shared" si="148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customHeight="1" x14ac:dyDescent="0.3">
      <c r="A1209" s="2"/>
      <c r="B1209" s="65" t="str">
        <f t="shared" si="149"/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 t="shared" si="150"/>
        <v/>
      </c>
      <c r="N1209" s="74" t="str">
        <f t="shared" si="151"/>
        <v/>
      </c>
      <c r="O1209" s="73" t="str">
        <f t="shared" si="152"/>
        <v/>
      </c>
      <c r="P1209" s="65" t="str">
        <f t="shared" ca="1" si="153"/>
        <v/>
      </c>
      <c r="Q1209" s="2"/>
      <c r="R1209" s="2"/>
      <c r="S1209" s="1" t="str">
        <f t="shared" si="146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147"/>
        <v>0</v>
      </c>
      <c r="W1209" s="1" t="str">
        <f t="shared" si="148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customHeight="1" x14ac:dyDescent="0.3">
      <c r="A1210" s="2"/>
      <c r="B1210" s="65" t="str">
        <f t="shared" si="149"/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 t="shared" si="150"/>
        <v/>
      </c>
      <c r="N1210" s="74" t="str">
        <f t="shared" si="151"/>
        <v/>
      </c>
      <c r="O1210" s="73" t="str">
        <f t="shared" si="152"/>
        <v/>
      </c>
      <c r="P1210" s="65" t="str">
        <f t="shared" ca="1" si="153"/>
        <v/>
      </c>
      <c r="Q1210" s="2"/>
      <c r="R1210" s="2"/>
      <c r="S1210" s="1" t="str">
        <f t="shared" si="146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147"/>
        <v>0</v>
      </c>
      <c r="W1210" s="1" t="str">
        <f t="shared" si="148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customHeight="1" x14ac:dyDescent="0.3">
      <c r="A1211" s="2"/>
      <c r="B1211" s="65" t="str">
        <f t="shared" si="149"/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 t="shared" si="150"/>
        <v/>
      </c>
      <c r="N1211" s="74" t="str">
        <f t="shared" si="151"/>
        <v/>
      </c>
      <c r="O1211" s="73" t="str">
        <f t="shared" si="152"/>
        <v/>
      </c>
      <c r="P1211" s="65" t="str">
        <f t="shared" ca="1" si="153"/>
        <v/>
      </c>
      <c r="Q1211" s="2"/>
      <c r="R1211" s="2"/>
      <c r="S1211" s="1" t="str">
        <f t="shared" si="146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147"/>
        <v>0</v>
      </c>
      <c r="W1211" s="1" t="str">
        <f t="shared" si="148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customHeight="1" x14ac:dyDescent="0.3">
      <c r="A1212" s="2"/>
      <c r="B1212" s="65" t="str">
        <f t="shared" si="149"/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 t="shared" si="150"/>
        <v/>
      </c>
      <c r="N1212" s="74" t="str">
        <f t="shared" si="151"/>
        <v/>
      </c>
      <c r="O1212" s="73" t="str">
        <f t="shared" si="152"/>
        <v/>
      </c>
      <c r="P1212" s="65" t="str">
        <f t="shared" ca="1" si="153"/>
        <v/>
      </c>
      <c r="Q1212" s="2"/>
      <c r="R1212" s="2"/>
      <c r="S1212" s="1" t="str">
        <f t="shared" si="146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147"/>
        <v>0</v>
      </c>
      <c r="W1212" s="1" t="str">
        <f t="shared" si="148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customHeight="1" x14ac:dyDescent="0.3">
      <c r="A1213" s="2"/>
      <c r="B1213" s="65" t="str">
        <f t="shared" si="149"/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 t="shared" si="150"/>
        <v/>
      </c>
      <c r="N1213" s="74" t="str">
        <f t="shared" si="151"/>
        <v/>
      </c>
      <c r="O1213" s="73" t="str">
        <f t="shared" si="152"/>
        <v/>
      </c>
      <c r="P1213" s="65" t="str">
        <f t="shared" ca="1" si="153"/>
        <v/>
      </c>
      <c r="Q1213" s="2"/>
      <c r="R1213" s="2"/>
      <c r="S1213" s="1" t="str">
        <f t="shared" si="146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147"/>
        <v>0</v>
      </c>
      <c r="W1213" s="1" t="str">
        <f t="shared" si="148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customHeight="1" x14ac:dyDescent="0.3">
      <c r="A1214" s="2"/>
      <c r="B1214" s="65" t="str">
        <f t="shared" si="149"/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 t="shared" si="150"/>
        <v/>
      </c>
      <c r="N1214" s="74" t="str">
        <f t="shared" si="151"/>
        <v/>
      </c>
      <c r="O1214" s="73" t="str">
        <f t="shared" si="152"/>
        <v/>
      </c>
      <c r="P1214" s="65" t="str">
        <f t="shared" ca="1" si="153"/>
        <v/>
      </c>
      <c r="Q1214" s="2"/>
      <c r="R1214" s="2"/>
      <c r="S1214" s="1" t="str">
        <f t="shared" si="146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147"/>
        <v>0</v>
      </c>
      <c r="W1214" s="1" t="str">
        <f t="shared" si="148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customHeight="1" x14ac:dyDescent="0.3">
      <c r="A1215" s="2"/>
      <c r="B1215" s="65" t="str">
        <f t="shared" si="149"/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 t="shared" si="150"/>
        <v/>
      </c>
      <c r="N1215" s="74" t="str">
        <f t="shared" si="151"/>
        <v/>
      </c>
      <c r="O1215" s="73" t="str">
        <f t="shared" si="152"/>
        <v/>
      </c>
      <c r="P1215" s="65" t="str">
        <f t="shared" ca="1" si="153"/>
        <v/>
      </c>
      <c r="Q1215" s="2"/>
      <c r="R1215" s="2"/>
      <c r="S1215" s="1" t="str">
        <f t="shared" si="146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147"/>
        <v>0</v>
      </c>
      <c r="W1215" s="1" t="str">
        <f t="shared" si="148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customHeight="1" x14ac:dyDescent="0.3">
      <c r="A1216" s="2"/>
      <c r="B1216" s="65" t="str">
        <f t="shared" si="149"/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 t="shared" si="150"/>
        <v/>
      </c>
      <c r="N1216" s="74" t="str">
        <f t="shared" si="151"/>
        <v/>
      </c>
      <c r="O1216" s="73" t="str">
        <f t="shared" si="152"/>
        <v/>
      </c>
      <c r="P1216" s="65" t="str">
        <f t="shared" ca="1" si="153"/>
        <v/>
      </c>
      <c r="Q1216" s="2"/>
      <c r="R1216" s="2"/>
      <c r="S1216" s="1" t="str">
        <f t="shared" si="146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147"/>
        <v>0</v>
      </c>
      <c r="W1216" s="1" t="str">
        <f t="shared" si="148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customHeight="1" x14ac:dyDescent="0.3">
      <c r="A1217" s="2"/>
      <c r="B1217" s="65" t="str">
        <f t="shared" si="149"/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 t="shared" si="150"/>
        <v/>
      </c>
      <c r="N1217" s="74" t="str">
        <f t="shared" si="151"/>
        <v/>
      </c>
      <c r="O1217" s="73" t="str">
        <f t="shared" si="152"/>
        <v/>
      </c>
      <c r="P1217" s="65" t="str">
        <f t="shared" ca="1" si="153"/>
        <v/>
      </c>
      <c r="Q1217" s="2"/>
      <c r="R1217" s="2"/>
      <c r="S1217" s="1" t="str">
        <f t="shared" si="146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147"/>
        <v>0</v>
      </c>
      <c r="W1217" s="1" t="str">
        <f t="shared" si="148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customHeight="1" x14ac:dyDescent="0.3">
      <c r="A1218" s="2"/>
      <c r="B1218" s="65" t="str">
        <f t="shared" si="149"/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 t="shared" si="150"/>
        <v/>
      </c>
      <c r="N1218" s="74" t="str">
        <f t="shared" si="151"/>
        <v/>
      </c>
      <c r="O1218" s="73" t="str">
        <f t="shared" si="152"/>
        <v/>
      </c>
      <c r="P1218" s="65" t="str">
        <f t="shared" ca="1" si="153"/>
        <v/>
      </c>
      <c r="Q1218" s="2"/>
      <c r="R1218" s="2"/>
      <c r="S1218" s="1" t="str">
        <f t="shared" si="146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147"/>
        <v>0</v>
      </c>
      <c r="W1218" s="1" t="str">
        <f t="shared" si="148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customHeight="1" x14ac:dyDescent="0.3">
      <c r="A1219" s="2"/>
      <c r="B1219" s="65" t="str">
        <f t="shared" si="149"/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 t="shared" si="150"/>
        <v/>
      </c>
      <c r="N1219" s="74" t="str">
        <f t="shared" si="151"/>
        <v/>
      </c>
      <c r="O1219" s="73" t="str">
        <f t="shared" si="152"/>
        <v/>
      </c>
      <c r="P1219" s="65" t="str">
        <f t="shared" ca="1" si="153"/>
        <v/>
      </c>
      <c r="Q1219" s="2"/>
      <c r="R1219" s="2"/>
      <c r="S1219" s="1" t="str">
        <f t="shared" si="146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147"/>
        <v>0</v>
      </c>
      <c r="W1219" s="1" t="str">
        <f t="shared" si="148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customHeight="1" x14ac:dyDescent="0.3">
      <c r="A1220" s="2"/>
      <c r="B1220" s="65" t="str">
        <f t="shared" si="149"/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 t="shared" si="150"/>
        <v/>
      </c>
      <c r="N1220" s="74" t="str">
        <f t="shared" si="151"/>
        <v/>
      </c>
      <c r="O1220" s="73" t="str">
        <f t="shared" si="152"/>
        <v/>
      </c>
      <c r="P1220" s="65" t="str">
        <f t="shared" ca="1" si="153"/>
        <v/>
      </c>
      <c r="Q1220" s="2"/>
      <c r="R1220" s="2"/>
      <c r="S1220" s="1" t="str">
        <f t="shared" si="146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147"/>
        <v>0</v>
      </c>
      <c r="W1220" s="1" t="str">
        <f t="shared" si="148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customHeight="1" x14ac:dyDescent="0.3">
      <c r="A1221" s="2"/>
      <c r="B1221" s="65" t="str">
        <f t="shared" si="149"/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 t="shared" si="150"/>
        <v/>
      </c>
      <c r="N1221" s="74" t="str">
        <f t="shared" si="151"/>
        <v/>
      </c>
      <c r="O1221" s="73" t="str">
        <f t="shared" si="152"/>
        <v/>
      </c>
      <c r="P1221" s="65" t="str">
        <f t="shared" ca="1" si="153"/>
        <v/>
      </c>
      <c r="Q1221" s="2"/>
      <c r="R1221" s="2"/>
      <c r="S1221" s="1" t="str">
        <f t="shared" ref="S1221:S1284" si="154"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ref="V1221:V1284" si="155">IF($T1221="",0,1)</f>
        <v>0</v>
      </c>
      <c r="W1221" s="1" t="str">
        <f t="shared" ref="W1221:W1284" si="156">IF($C1221="","",$D1221&amp;"|"&amp;$E1221&amp;"|"&amp;TEXT($C1221,"0")&amp;"|"&amp;TEXT($G1221,"0")&amp;"|"&amp;$F1221&amp;"|"&amp;$J1221)</f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customHeight="1" x14ac:dyDescent="0.3">
      <c r="A1222" s="2"/>
      <c r="B1222" s="65" t="str">
        <f t="shared" si="149"/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 t="shared" si="150"/>
        <v/>
      </c>
      <c r="N1222" s="74" t="str">
        <f t="shared" si="151"/>
        <v/>
      </c>
      <c r="O1222" s="73" t="str">
        <f t="shared" si="152"/>
        <v/>
      </c>
      <c r="P1222" s="65" t="str">
        <f t="shared" ca="1" si="153"/>
        <v/>
      </c>
      <c r="Q1222" s="2"/>
      <c r="R1222" s="2"/>
      <c r="S1222" s="1" t="str">
        <f t="shared" si="154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155"/>
        <v>0</v>
      </c>
      <c r="W1222" s="1" t="str">
        <f t="shared" si="156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customHeight="1" x14ac:dyDescent="0.3">
      <c r="A1223" s="2"/>
      <c r="B1223" s="65" t="str">
        <f t="shared" ref="B1223:B1286" si="157"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 t="shared" ref="M1223:M1286" si="158">IF($C1223="","",IF($D1223="Gider",$E1223,IF($L1223&lt;&gt;"",$L1223,$H1223)))</f>
        <v/>
      </c>
      <c r="N1223" s="74" t="str">
        <f t="shared" ref="N1223:N1286" si="159">IF($C1223="","",IF($D1223="Gider",$H1223,$E1223))</f>
        <v/>
      </c>
      <c r="O1223" s="73" t="str">
        <f t="shared" ref="O1223:O1286" si="160">IF($C1223="","",DATE(YEAR($C1223),MONTH($C1223),1))</f>
        <v/>
      </c>
      <c r="P1223" s="65" t="str">
        <f t="shared" ref="P1223:P1286" ca="1" si="161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TARİH",IF(COUNTIF($W$7:$W$3001,$W1223)&gt;1,"MÜKERRER?",IF($AD1223&gt;0,"KAPALI DÖNEM",IF($I1223="Hayır","ÖDENECEK","UYGUN")))),"EKSİK"))))</f>
        <v/>
      </c>
      <c r="Q1223" s="2"/>
      <c r="R1223" s="2"/>
      <c r="S1223" s="1" t="str">
        <f t="shared" si="154"/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si="155"/>
        <v>0</v>
      </c>
      <c r="W1223" s="1" t="str">
        <f t="shared" si="156"/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customHeight="1" x14ac:dyDescent="0.3">
      <c r="A1224" s="2"/>
      <c r="B1224" s="65" t="str">
        <f t="shared" si="157"/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 t="shared" si="158"/>
        <v/>
      </c>
      <c r="N1224" s="74" t="str">
        <f t="shared" si="159"/>
        <v/>
      </c>
      <c r="O1224" s="73" t="str">
        <f t="shared" si="160"/>
        <v/>
      </c>
      <c r="P1224" s="65" t="str">
        <f t="shared" ca="1" si="161"/>
        <v/>
      </c>
      <c r="Q1224" s="2"/>
      <c r="R1224" s="2"/>
      <c r="S1224" s="1" t="str">
        <f t="shared" si="154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155"/>
        <v>0</v>
      </c>
      <c r="W1224" s="1" t="str">
        <f t="shared" si="156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customHeight="1" x14ac:dyDescent="0.3">
      <c r="A1225" s="2"/>
      <c r="B1225" s="65" t="str">
        <f t="shared" si="157"/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 t="shared" si="158"/>
        <v/>
      </c>
      <c r="N1225" s="74" t="str">
        <f t="shared" si="159"/>
        <v/>
      </c>
      <c r="O1225" s="73" t="str">
        <f t="shared" si="160"/>
        <v/>
      </c>
      <c r="P1225" s="65" t="str">
        <f t="shared" ca="1" si="161"/>
        <v/>
      </c>
      <c r="Q1225" s="2"/>
      <c r="R1225" s="2"/>
      <c r="S1225" s="1" t="str">
        <f t="shared" si="154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155"/>
        <v>0</v>
      </c>
      <c r="W1225" s="1" t="str">
        <f t="shared" si="156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customHeight="1" x14ac:dyDescent="0.3">
      <c r="A1226" s="2"/>
      <c r="B1226" s="65" t="str">
        <f t="shared" si="157"/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 t="shared" si="158"/>
        <v/>
      </c>
      <c r="N1226" s="74" t="str">
        <f t="shared" si="159"/>
        <v/>
      </c>
      <c r="O1226" s="73" t="str">
        <f t="shared" si="160"/>
        <v/>
      </c>
      <c r="P1226" s="65" t="str">
        <f t="shared" ca="1" si="161"/>
        <v/>
      </c>
      <c r="Q1226" s="2"/>
      <c r="R1226" s="2"/>
      <c r="S1226" s="1" t="str">
        <f t="shared" si="154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155"/>
        <v>0</v>
      </c>
      <c r="W1226" s="1" t="str">
        <f t="shared" si="156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customHeight="1" x14ac:dyDescent="0.3">
      <c r="A1227" s="2"/>
      <c r="B1227" s="65" t="str">
        <f t="shared" si="157"/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 t="shared" si="158"/>
        <v/>
      </c>
      <c r="N1227" s="74" t="str">
        <f t="shared" si="159"/>
        <v/>
      </c>
      <c r="O1227" s="73" t="str">
        <f t="shared" si="160"/>
        <v/>
      </c>
      <c r="P1227" s="65" t="str">
        <f t="shared" ca="1" si="161"/>
        <v/>
      </c>
      <c r="Q1227" s="2"/>
      <c r="R1227" s="2"/>
      <c r="S1227" s="1" t="str">
        <f t="shared" si="154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155"/>
        <v>0</v>
      </c>
      <c r="W1227" s="1" t="str">
        <f t="shared" si="156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customHeight="1" x14ac:dyDescent="0.3">
      <c r="A1228" s="2"/>
      <c r="B1228" s="65" t="str">
        <f t="shared" si="157"/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 t="shared" si="158"/>
        <v/>
      </c>
      <c r="N1228" s="74" t="str">
        <f t="shared" si="159"/>
        <v/>
      </c>
      <c r="O1228" s="73" t="str">
        <f t="shared" si="160"/>
        <v/>
      </c>
      <c r="P1228" s="65" t="str">
        <f t="shared" ca="1" si="161"/>
        <v/>
      </c>
      <c r="Q1228" s="2"/>
      <c r="R1228" s="2"/>
      <c r="S1228" s="1" t="str">
        <f t="shared" si="154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155"/>
        <v>0</v>
      </c>
      <c r="W1228" s="1" t="str">
        <f t="shared" si="156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customHeight="1" x14ac:dyDescent="0.3">
      <c r="A1229" s="2"/>
      <c r="B1229" s="65" t="str">
        <f t="shared" si="157"/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 t="shared" si="158"/>
        <v/>
      </c>
      <c r="N1229" s="74" t="str">
        <f t="shared" si="159"/>
        <v/>
      </c>
      <c r="O1229" s="73" t="str">
        <f t="shared" si="160"/>
        <v/>
      </c>
      <c r="P1229" s="65" t="str">
        <f t="shared" ca="1" si="161"/>
        <v/>
      </c>
      <c r="Q1229" s="2"/>
      <c r="R1229" s="2"/>
      <c r="S1229" s="1" t="str">
        <f t="shared" si="154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155"/>
        <v>0</v>
      </c>
      <c r="W1229" s="1" t="str">
        <f t="shared" si="156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customHeight="1" x14ac:dyDescent="0.3">
      <c r="A1230" s="2"/>
      <c r="B1230" s="65" t="str">
        <f t="shared" si="157"/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 t="shared" si="158"/>
        <v/>
      </c>
      <c r="N1230" s="74" t="str">
        <f t="shared" si="159"/>
        <v/>
      </c>
      <c r="O1230" s="73" t="str">
        <f t="shared" si="160"/>
        <v/>
      </c>
      <c r="P1230" s="65" t="str">
        <f t="shared" ca="1" si="161"/>
        <v/>
      </c>
      <c r="Q1230" s="2"/>
      <c r="R1230" s="2"/>
      <c r="S1230" s="1" t="str">
        <f t="shared" si="154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155"/>
        <v>0</v>
      </c>
      <c r="W1230" s="1" t="str">
        <f t="shared" si="156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customHeight="1" x14ac:dyDescent="0.3">
      <c r="A1231" s="2"/>
      <c r="B1231" s="65" t="str">
        <f t="shared" si="157"/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 t="shared" si="158"/>
        <v/>
      </c>
      <c r="N1231" s="74" t="str">
        <f t="shared" si="159"/>
        <v/>
      </c>
      <c r="O1231" s="73" t="str">
        <f t="shared" si="160"/>
        <v/>
      </c>
      <c r="P1231" s="65" t="str">
        <f t="shared" ca="1" si="161"/>
        <v/>
      </c>
      <c r="Q1231" s="2"/>
      <c r="R1231" s="2"/>
      <c r="S1231" s="1" t="str">
        <f t="shared" si="154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155"/>
        <v>0</v>
      </c>
      <c r="W1231" s="1" t="str">
        <f t="shared" si="156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customHeight="1" x14ac:dyDescent="0.3">
      <c r="A1232" s="2"/>
      <c r="B1232" s="65" t="str">
        <f t="shared" si="157"/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 t="shared" si="158"/>
        <v/>
      </c>
      <c r="N1232" s="74" t="str">
        <f t="shared" si="159"/>
        <v/>
      </c>
      <c r="O1232" s="73" t="str">
        <f t="shared" si="160"/>
        <v/>
      </c>
      <c r="P1232" s="65" t="str">
        <f t="shared" ca="1" si="161"/>
        <v/>
      </c>
      <c r="Q1232" s="2"/>
      <c r="R1232" s="2"/>
      <c r="S1232" s="1" t="str">
        <f t="shared" si="154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155"/>
        <v>0</v>
      </c>
      <c r="W1232" s="1" t="str">
        <f t="shared" si="156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customHeight="1" x14ac:dyDescent="0.3">
      <c r="A1233" s="2"/>
      <c r="B1233" s="65" t="str">
        <f t="shared" si="157"/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 t="shared" si="158"/>
        <v/>
      </c>
      <c r="N1233" s="74" t="str">
        <f t="shared" si="159"/>
        <v/>
      </c>
      <c r="O1233" s="73" t="str">
        <f t="shared" si="160"/>
        <v/>
      </c>
      <c r="P1233" s="65" t="str">
        <f t="shared" ca="1" si="161"/>
        <v/>
      </c>
      <c r="Q1233" s="2"/>
      <c r="R1233" s="2"/>
      <c r="S1233" s="1" t="str">
        <f t="shared" si="154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155"/>
        <v>0</v>
      </c>
      <c r="W1233" s="1" t="str">
        <f t="shared" si="156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customHeight="1" x14ac:dyDescent="0.3">
      <c r="A1234" s="2"/>
      <c r="B1234" s="65" t="str">
        <f t="shared" si="157"/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 t="shared" si="158"/>
        <v/>
      </c>
      <c r="N1234" s="74" t="str">
        <f t="shared" si="159"/>
        <v/>
      </c>
      <c r="O1234" s="73" t="str">
        <f t="shared" si="160"/>
        <v/>
      </c>
      <c r="P1234" s="65" t="str">
        <f t="shared" ca="1" si="161"/>
        <v/>
      </c>
      <c r="Q1234" s="2"/>
      <c r="R1234" s="2"/>
      <c r="S1234" s="1" t="str">
        <f t="shared" si="154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155"/>
        <v>0</v>
      </c>
      <c r="W1234" s="1" t="str">
        <f t="shared" si="156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customHeight="1" x14ac:dyDescent="0.3">
      <c r="A1235" s="2"/>
      <c r="B1235" s="65" t="str">
        <f t="shared" si="157"/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 t="shared" si="158"/>
        <v/>
      </c>
      <c r="N1235" s="74" t="str">
        <f t="shared" si="159"/>
        <v/>
      </c>
      <c r="O1235" s="73" t="str">
        <f t="shared" si="160"/>
        <v/>
      </c>
      <c r="P1235" s="65" t="str">
        <f t="shared" ca="1" si="161"/>
        <v/>
      </c>
      <c r="Q1235" s="2"/>
      <c r="R1235" s="2"/>
      <c r="S1235" s="1" t="str">
        <f t="shared" si="154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155"/>
        <v>0</v>
      </c>
      <c r="W1235" s="1" t="str">
        <f t="shared" si="156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customHeight="1" x14ac:dyDescent="0.3">
      <c r="A1236" s="2"/>
      <c r="B1236" s="65" t="str">
        <f t="shared" si="157"/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 t="shared" si="158"/>
        <v/>
      </c>
      <c r="N1236" s="74" t="str">
        <f t="shared" si="159"/>
        <v/>
      </c>
      <c r="O1236" s="73" t="str">
        <f t="shared" si="160"/>
        <v/>
      </c>
      <c r="P1236" s="65" t="str">
        <f t="shared" ca="1" si="161"/>
        <v/>
      </c>
      <c r="Q1236" s="2"/>
      <c r="R1236" s="2"/>
      <c r="S1236" s="1" t="str">
        <f t="shared" si="154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155"/>
        <v>0</v>
      </c>
      <c r="W1236" s="1" t="str">
        <f t="shared" si="156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customHeight="1" x14ac:dyDescent="0.3">
      <c r="A1237" s="2"/>
      <c r="B1237" s="65" t="str">
        <f t="shared" si="157"/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 t="shared" si="158"/>
        <v/>
      </c>
      <c r="N1237" s="74" t="str">
        <f t="shared" si="159"/>
        <v/>
      </c>
      <c r="O1237" s="73" t="str">
        <f t="shared" si="160"/>
        <v/>
      </c>
      <c r="P1237" s="65" t="str">
        <f t="shared" ca="1" si="161"/>
        <v/>
      </c>
      <c r="Q1237" s="2"/>
      <c r="R1237" s="2"/>
      <c r="S1237" s="1" t="str">
        <f t="shared" si="154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155"/>
        <v>0</v>
      </c>
      <c r="W1237" s="1" t="str">
        <f t="shared" si="156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customHeight="1" x14ac:dyDescent="0.3">
      <c r="A1238" s="2"/>
      <c r="B1238" s="65" t="str">
        <f t="shared" si="157"/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 t="shared" si="158"/>
        <v/>
      </c>
      <c r="N1238" s="74" t="str">
        <f t="shared" si="159"/>
        <v/>
      </c>
      <c r="O1238" s="73" t="str">
        <f t="shared" si="160"/>
        <v/>
      </c>
      <c r="P1238" s="65" t="str">
        <f t="shared" ca="1" si="161"/>
        <v/>
      </c>
      <c r="Q1238" s="2"/>
      <c r="R1238" s="2"/>
      <c r="S1238" s="1" t="str">
        <f t="shared" si="154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155"/>
        <v>0</v>
      </c>
      <c r="W1238" s="1" t="str">
        <f t="shared" si="156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customHeight="1" x14ac:dyDescent="0.3">
      <c r="A1239" s="2"/>
      <c r="B1239" s="65" t="str">
        <f t="shared" si="157"/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 t="shared" si="158"/>
        <v/>
      </c>
      <c r="N1239" s="74" t="str">
        <f t="shared" si="159"/>
        <v/>
      </c>
      <c r="O1239" s="73" t="str">
        <f t="shared" si="160"/>
        <v/>
      </c>
      <c r="P1239" s="65" t="str">
        <f t="shared" ca="1" si="161"/>
        <v/>
      </c>
      <c r="Q1239" s="2"/>
      <c r="R1239" s="2"/>
      <c r="S1239" s="1" t="str">
        <f t="shared" si="154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155"/>
        <v>0</v>
      </c>
      <c r="W1239" s="1" t="str">
        <f t="shared" si="156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customHeight="1" x14ac:dyDescent="0.3">
      <c r="A1240" s="2"/>
      <c r="B1240" s="65" t="str">
        <f t="shared" si="157"/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 t="shared" si="158"/>
        <v/>
      </c>
      <c r="N1240" s="74" t="str">
        <f t="shared" si="159"/>
        <v/>
      </c>
      <c r="O1240" s="73" t="str">
        <f t="shared" si="160"/>
        <v/>
      </c>
      <c r="P1240" s="65" t="str">
        <f t="shared" ca="1" si="161"/>
        <v/>
      </c>
      <c r="Q1240" s="2"/>
      <c r="R1240" s="2"/>
      <c r="S1240" s="1" t="str">
        <f t="shared" si="154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155"/>
        <v>0</v>
      </c>
      <c r="W1240" s="1" t="str">
        <f t="shared" si="156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customHeight="1" x14ac:dyDescent="0.3">
      <c r="A1241" s="2"/>
      <c r="B1241" s="65" t="str">
        <f t="shared" si="157"/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 t="shared" si="158"/>
        <v/>
      </c>
      <c r="N1241" s="74" t="str">
        <f t="shared" si="159"/>
        <v/>
      </c>
      <c r="O1241" s="73" t="str">
        <f t="shared" si="160"/>
        <v/>
      </c>
      <c r="P1241" s="65" t="str">
        <f t="shared" ca="1" si="161"/>
        <v/>
      </c>
      <c r="Q1241" s="2"/>
      <c r="R1241" s="2"/>
      <c r="S1241" s="1" t="str">
        <f t="shared" si="154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155"/>
        <v>0</v>
      </c>
      <c r="W1241" s="1" t="str">
        <f t="shared" si="156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customHeight="1" x14ac:dyDescent="0.3">
      <c r="A1242" s="2"/>
      <c r="B1242" s="65" t="str">
        <f t="shared" si="157"/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 t="shared" si="158"/>
        <v/>
      </c>
      <c r="N1242" s="74" t="str">
        <f t="shared" si="159"/>
        <v/>
      </c>
      <c r="O1242" s="73" t="str">
        <f t="shared" si="160"/>
        <v/>
      </c>
      <c r="P1242" s="65" t="str">
        <f t="shared" ca="1" si="161"/>
        <v/>
      </c>
      <c r="Q1242" s="2"/>
      <c r="R1242" s="2"/>
      <c r="S1242" s="1" t="str">
        <f t="shared" si="154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155"/>
        <v>0</v>
      </c>
      <c r="W1242" s="1" t="str">
        <f t="shared" si="156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customHeight="1" x14ac:dyDescent="0.3">
      <c r="A1243" s="2"/>
      <c r="B1243" s="65" t="str">
        <f t="shared" si="157"/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 t="shared" si="158"/>
        <v/>
      </c>
      <c r="N1243" s="74" t="str">
        <f t="shared" si="159"/>
        <v/>
      </c>
      <c r="O1243" s="73" t="str">
        <f t="shared" si="160"/>
        <v/>
      </c>
      <c r="P1243" s="65" t="str">
        <f t="shared" ca="1" si="161"/>
        <v/>
      </c>
      <c r="Q1243" s="2"/>
      <c r="R1243" s="2"/>
      <c r="S1243" s="1" t="str">
        <f t="shared" si="154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155"/>
        <v>0</v>
      </c>
      <c r="W1243" s="1" t="str">
        <f t="shared" si="156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customHeight="1" x14ac:dyDescent="0.3">
      <c r="A1244" s="2"/>
      <c r="B1244" s="65" t="str">
        <f t="shared" si="157"/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 t="shared" si="158"/>
        <v/>
      </c>
      <c r="N1244" s="74" t="str">
        <f t="shared" si="159"/>
        <v/>
      </c>
      <c r="O1244" s="73" t="str">
        <f t="shared" si="160"/>
        <v/>
      </c>
      <c r="P1244" s="65" t="str">
        <f t="shared" ca="1" si="161"/>
        <v/>
      </c>
      <c r="Q1244" s="2"/>
      <c r="R1244" s="2"/>
      <c r="S1244" s="1" t="str">
        <f t="shared" si="154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155"/>
        <v>0</v>
      </c>
      <c r="W1244" s="1" t="str">
        <f t="shared" si="156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customHeight="1" x14ac:dyDescent="0.3">
      <c r="A1245" s="2"/>
      <c r="B1245" s="65" t="str">
        <f t="shared" si="157"/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 t="shared" si="158"/>
        <v/>
      </c>
      <c r="N1245" s="74" t="str">
        <f t="shared" si="159"/>
        <v/>
      </c>
      <c r="O1245" s="73" t="str">
        <f t="shared" si="160"/>
        <v/>
      </c>
      <c r="P1245" s="65" t="str">
        <f t="shared" ca="1" si="161"/>
        <v/>
      </c>
      <c r="Q1245" s="2"/>
      <c r="R1245" s="2"/>
      <c r="S1245" s="1" t="str">
        <f t="shared" si="154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155"/>
        <v>0</v>
      </c>
      <c r="W1245" s="1" t="str">
        <f t="shared" si="156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customHeight="1" x14ac:dyDescent="0.3">
      <c r="A1246" s="2"/>
      <c r="B1246" s="65" t="str">
        <f t="shared" si="157"/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 t="shared" si="158"/>
        <v/>
      </c>
      <c r="N1246" s="74" t="str">
        <f t="shared" si="159"/>
        <v/>
      </c>
      <c r="O1246" s="73" t="str">
        <f t="shared" si="160"/>
        <v/>
      </c>
      <c r="P1246" s="65" t="str">
        <f t="shared" ca="1" si="161"/>
        <v/>
      </c>
      <c r="Q1246" s="2"/>
      <c r="R1246" s="2"/>
      <c r="S1246" s="1" t="str">
        <f t="shared" si="154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155"/>
        <v>0</v>
      </c>
      <c r="W1246" s="1" t="str">
        <f t="shared" si="156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customHeight="1" x14ac:dyDescent="0.3">
      <c r="A1247" s="2"/>
      <c r="B1247" s="65" t="str">
        <f t="shared" si="157"/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 t="shared" si="158"/>
        <v/>
      </c>
      <c r="N1247" s="74" t="str">
        <f t="shared" si="159"/>
        <v/>
      </c>
      <c r="O1247" s="73" t="str">
        <f t="shared" si="160"/>
        <v/>
      </c>
      <c r="P1247" s="65" t="str">
        <f t="shared" ca="1" si="161"/>
        <v/>
      </c>
      <c r="Q1247" s="2"/>
      <c r="R1247" s="2"/>
      <c r="S1247" s="1" t="str">
        <f t="shared" si="154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155"/>
        <v>0</v>
      </c>
      <c r="W1247" s="1" t="str">
        <f t="shared" si="156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customHeight="1" x14ac:dyDescent="0.3">
      <c r="A1248" s="2"/>
      <c r="B1248" s="65" t="str">
        <f t="shared" si="157"/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 t="shared" si="158"/>
        <v/>
      </c>
      <c r="N1248" s="74" t="str">
        <f t="shared" si="159"/>
        <v/>
      </c>
      <c r="O1248" s="73" t="str">
        <f t="shared" si="160"/>
        <v/>
      </c>
      <c r="P1248" s="65" t="str">
        <f t="shared" ca="1" si="161"/>
        <v/>
      </c>
      <c r="Q1248" s="2"/>
      <c r="R1248" s="2"/>
      <c r="S1248" s="1" t="str">
        <f t="shared" si="154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155"/>
        <v>0</v>
      </c>
      <c r="W1248" s="1" t="str">
        <f t="shared" si="156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customHeight="1" x14ac:dyDescent="0.3">
      <c r="A1249" s="2"/>
      <c r="B1249" s="65" t="str">
        <f t="shared" si="157"/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 t="shared" si="158"/>
        <v/>
      </c>
      <c r="N1249" s="74" t="str">
        <f t="shared" si="159"/>
        <v/>
      </c>
      <c r="O1249" s="73" t="str">
        <f t="shared" si="160"/>
        <v/>
      </c>
      <c r="P1249" s="65" t="str">
        <f t="shared" ca="1" si="161"/>
        <v/>
      </c>
      <c r="Q1249" s="2"/>
      <c r="R1249" s="2"/>
      <c r="S1249" s="1" t="str">
        <f t="shared" si="154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155"/>
        <v>0</v>
      </c>
      <c r="W1249" s="1" t="str">
        <f t="shared" si="156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customHeight="1" x14ac:dyDescent="0.3">
      <c r="A1250" s="2"/>
      <c r="B1250" s="65" t="str">
        <f t="shared" si="157"/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 t="shared" si="158"/>
        <v/>
      </c>
      <c r="N1250" s="74" t="str">
        <f t="shared" si="159"/>
        <v/>
      </c>
      <c r="O1250" s="73" t="str">
        <f t="shared" si="160"/>
        <v/>
      </c>
      <c r="P1250" s="65" t="str">
        <f t="shared" ca="1" si="161"/>
        <v/>
      </c>
      <c r="Q1250" s="2"/>
      <c r="R1250" s="2"/>
      <c r="S1250" s="1" t="str">
        <f t="shared" si="154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155"/>
        <v>0</v>
      </c>
      <c r="W1250" s="1" t="str">
        <f t="shared" si="156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customHeight="1" x14ac:dyDescent="0.3">
      <c r="A1251" s="2"/>
      <c r="B1251" s="65" t="str">
        <f t="shared" si="157"/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 t="shared" si="158"/>
        <v/>
      </c>
      <c r="N1251" s="74" t="str">
        <f t="shared" si="159"/>
        <v/>
      </c>
      <c r="O1251" s="73" t="str">
        <f t="shared" si="160"/>
        <v/>
      </c>
      <c r="P1251" s="65" t="str">
        <f t="shared" ca="1" si="161"/>
        <v/>
      </c>
      <c r="Q1251" s="2"/>
      <c r="R1251" s="2"/>
      <c r="S1251" s="1" t="str">
        <f t="shared" si="154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155"/>
        <v>0</v>
      </c>
      <c r="W1251" s="1" t="str">
        <f t="shared" si="156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customHeight="1" x14ac:dyDescent="0.3">
      <c r="A1252" s="2"/>
      <c r="B1252" s="65" t="str">
        <f t="shared" si="157"/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 t="shared" si="158"/>
        <v/>
      </c>
      <c r="N1252" s="74" t="str">
        <f t="shared" si="159"/>
        <v/>
      </c>
      <c r="O1252" s="73" t="str">
        <f t="shared" si="160"/>
        <v/>
      </c>
      <c r="P1252" s="65" t="str">
        <f t="shared" ca="1" si="161"/>
        <v/>
      </c>
      <c r="Q1252" s="2"/>
      <c r="R1252" s="2"/>
      <c r="S1252" s="1" t="str">
        <f t="shared" si="154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155"/>
        <v>0</v>
      </c>
      <c r="W1252" s="1" t="str">
        <f t="shared" si="156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customHeight="1" x14ac:dyDescent="0.3">
      <c r="A1253" s="2"/>
      <c r="B1253" s="65" t="str">
        <f t="shared" si="157"/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 t="shared" si="158"/>
        <v/>
      </c>
      <c r="N1253" s="74" t="str">
        <f t="shared" si="159"/>
        <v/>
      </c>
      <c r="O1253" s="73" t="str">
        <f t="shared" si="160"/>
        <v/>
      </c>
      <c r="P1253" s="65" t="str">
        <f t="shared" ca="1" si="161"/>
        <v/>
      </c>
      <c r="Q1253" s="2"/>
      <c r="R1253" s="2"/>
      <c r="S1253" s="1" t="str">
        <f t="shared" si="154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155"/>
        <v>0</v>
      </c>
      <c r="W1253" s="1" t="str">
        <f t="shared" si="156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customHeight="1" x14ac:dyDescent="0.3">
      <c r="A1254" s="2"/>
      <c r="B1254" s="65" t="str">
        <f t="shared" si="157"/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 t="shared" si="158"/>
        <v/>
      </c>
      <c r="N1254" s="74" t="str">
        <f t="shared" si="159"/>
        <v/>
      </c>
      <c r="O1254" s="73" t="str">
        <f t="shared" si="160"/>
        <v/>
      </c>
      <c r="P1254" s="65" t="str">
        <f t="shared" ca="1" si="161"/>
        <v/>
      </c>
      <c r="Q1254" s="2"/>
      <c r="R1254" s="2"/>
      <c r="S1254" s="1" t="str">
        <f t="shared" si="154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155"/>
        <v>0</v>
      </c>
      <c r="W1254" s="1" t="str">
        <f t="shared" si="156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customHeight="1" x14ac:dyDescent="0.3">
      <c r="A1255" s="2"/>
      <c r="B1255" s="65" t="str">
        <f t="shared" si="157"/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 t="shared" si="158"/>
        <v/>
      </c>
      <c r="N1255" s="74" t="str">
        <f t="shared" si="159"/>
        <v/>
      </c>
      <c r="O1255" s="73" t="str">
        <f t="shared" si="160"/>
        <v/>
      </c>
      <c r="P1255" s="65" t="str">
        <f t="shared" ca="1" si="161"/>
        <v/>
      </c>
      <c r="Q1255" s="2"/>
      <c r="R1255" s="2"/>
      <c r="S1255" s="1" t="str">
        <f t="shared" si="154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155"/>
        <v>0</v>
      </c>
      <c r="W1255" s="1" t="str">
        <f t="shared" si="156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customHeight="1" x14ac:dyDescent="0.3">
      <c r="A1256" s="2"/>
      <c r="B1256" s="65" t="str">
        <f t="shared" si="157"/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 t="shared" si="158"/>
        <v/>
      </c>
      <c r="N1256" s="74" t="str">
        <f t="shared" si="159"/>
        <v/>
      </c>
      <c r="O1256" s="73" t="str">
        <f t="shared" si="160"/>
        <v/>
      </c>
      <c r="P1256" s="65" t="str">
        <f t="shared" ca="1" si="161"/>
        <v/>
      </c>
      <c r="Q1256" s="2"/>
      <c r="R1256" s="2"/>
      <c r="S1256" s="1" t="str">
        <f t="shared" si="154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155"/>
        <v>0</v>
      </c>
      <c r="W1256" s="1" t="str">
        <f t="shared" si="156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customHeight="1" x14ac:dyDescent="0.3">
      <c r="A1257" s="2"/>
      <c r="B1257" s="65" t="str">
        <f t="shared" si="157"/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 t="shared" si="158"/>
        <v/>
      </c>
      <c r="N1257" s="74" t="str">
        <f t="shared" si="159"/>
        <v/>
      </c>
      <c r="O1257" s="73" t="str">
        <f t="shared" si="160"/>
        <v/>
      </c>
      <c r="P1257" s="65" t="str">
        <f t="shared" ca="1" si="161"/>
        <v/>
      </c>
      <c r="Q1257" s="2"/>
      <c r="R1257" s="2"/>
      <c r="S1257" s="1" t="str">
        <f t="shared" si="154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155"/>
        <v>0</v>
      </c>
      <c r="W1257" s="1" t="str">
        <f t="shared" si="156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customHeight="1" x14ac:dyDescent="0.3">
      <c r="A1258" s="2"/>
      <c r="B1258" s="65" t="str">
        <f t="shared" si="157"/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 t="shared" si="158"/>
        <v/>
      </c>
      <c r="N1258" s="74" t="str">
        <f t="shared" si="159"/>
        <v/>
      </c>
      <c r="O1258" s="73" t="str">
        <f t="shared" si="160"/>
        <v/>
      </c>
      <c r="P1258" s="65" t="str">
        <f t="shared" ca="1" si="161"/>
        <v/>
      </c>
      <c r="Q1258" s="2"/>
      <c r="R1258" s="2"/>
      <c r="S1258" s="1" t="str">
        <f t="shared" si="154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155"/>
        <v>0</v>
      </c>
      <c r="W1258" s="1" t="str">
        <f t="shared" si="156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customHeight="1" x14ac:dyDescent="0.3">
      <c r="A1259" s="2"/>
      <c r="B1259" s="65" t="str">
        <f t="shared" si="157"/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 t="shared" si="158"/>
        <v/>
      </c>
      <c r="N1259" s="74" t="str">
        <f t="shared" si="159"/>
        <v/>
      </c>
      <c r="O1259" s="73" t="str">
        <f t="shared" si="160"/>
        <v/>
      </c>
      <c r="P1259" s="65" t="str">
        <f t="shared" ca="1" si="161"/>
        <v/>
      </c>
      <c r="Q1259" s="2"/>
      <c r="R1259" s="2"/>
      <c r="S1259" s="1" t="str">
        <f t="shared" si="154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155"/>
        <v>0</v>
      </c>
      <c r="W1259" s="1" t="str">
        <f t="shared" si="156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customHeight="1" x14ac:dyDescent="0.3">
      <c r="A1260" s="2"/>
      <c r="B1260" s="65" t="str">
        <f t="shared" si="157"/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 t="shared" si="158"/>
        <v/>
      </c>
      <c r="N1260" s="74" t="str">
        <f t="shared" si="159"/>
        <v/>
      </c>
      <c r="O1260" s="73" t="str">
        <f t="shared" si="160"/>
        <v/>
      </c>
      <c r="P1260" s="65" t="str">
        <f t="shared" ca="1" si="161"/>
        <v/>
      </c>
      <c r="Q1260" s="2"/>
      <c r="R1260" s="2"/>
      <c r="S1260" s="1" t="str">
        <f t="shared" si="154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155"/>
        <v>0</v>
      </c>
      <c r="W1260" s="1" t="str">
        <f t="shared" si="156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customHeight="1" x14ac:dyDescent="0.3">
      <c r="A1261" s="2"/>
      <c r="B1261" s="65" t="str">
        <f t="shared" si="157"/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 t="shared" si="158"/>
        <v/>
      </c>
      <c r="N1261" s="74" t="str">
        <f t="shared" si="159"/>
        <v/>
      </c>
      <c r="O1261" s="73" t="str">
        <f t="shared" si="160"/>
        <v/>
      </c>
      <c r="P1261" s="65" t="str">
        <f t="shared" ca="1" si="161"/>
        <v/>
      </c>
      <c r="Q1261" s="2"/>
      <c r="R1261" s="2"/>
      <c r="S1261" s="1" t="str">
        <f t="shared" si="154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155"/>
        <v>0</v>
      </c>
      <c r="W1261" s="1" t="str">
        <f t="shared" si="156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customHeight="1" x14ac:dyDescent="0.3">
      <c r="A1262" s="2"/>
      <c r="B1262" s="65" t="str">
        <f t="shared" si="157"/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 t="shared" si="158"/>
        <v/>
      </c>
      <c r="N1262" s="74" t="str">
        <f t="shared" si="159"/>
        <v/>
      </c>
      <c r="O1262" s="73" t="str">
        <f t="shared" si="160"/>
        <v/>
      </c>
      <c r="P1262" s="65" t="str">
        <f t="shared" ca="1" si="161"/>
        <v/>
      </c>
      <c r="Q1262" s="2"/>
      <c r="R1262" s="2"/>
      <c r="S1262" s="1" t="str">
        <f t="shared" si="154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155"/>
        <v>0</v>
      </c>
      <c r="W1262" s="1" t="str">
        <f t="shared" si="156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customHeight="1" x14ac:dyDescent="0.3">
      <c r="A1263" s="2"/>
      <c r="B1263" s="65" t="str">
        <f t="shared" si="157"/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 t="shared" si="158"/>
        <v/>
      </c>
      <c r="N1263" s="74" t="str">
        <f t="shared" si="159"/>
        <v/>
      </c>
      <c r="O1263" s="73" t="str">
        <f t="shared" si="160"/>
        <v/>
      </c>
      <c r="P1263" s="65" t="str">
        <f t="shared" ca="1" si="161"/>
        <v/>
      </c>
      <c r="Q1263" s="2"/>
      <c r="R1263" s="2"/>
      <c r="S1263" s="1" t="str">
        <f t="shared" si="154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155"/>
        <v>0</v>
      </c>
      <c r="W1263" s="1" t="str">
        <f t="shared" si="156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customHeight="1" x14ac:dyDescent="0.3">
      <c r="A1264" s="2"/>
      <c r="B1264" s="65" t="str">
        <f t="shared" si="157"/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 t="shared" si="158"/>
        <v/>
      </c>
      <c r="N1264" s="74" t="str">
        <f t="shared" si="159"/>
        <v/>
      </c>
      <c r="O1264" s="73" t="str">
        <f t="shared" si="160"/>
        <v/>
      </c>
      <c r="P1264" s="65" t="str">
        <f t="shared" ca="1" si="161"/>
        <v/>
      </c>
      <c r="Q1264" s="2"/>
      <c r="R1264" s="2"/>
      <c r="S1264" s="1" t="str">
        <f t="shared" si="154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155"/>
        <v>0</v>
      </c>
      <c r="W1264" s="1" t="str">
        <f t="shared" si="156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customHeight="1" x14ac:dyDescent="0.3">
      <c r="A1265" s="2"/>
      <c r="B1265" s="65" t="str">
        <f t="shared" si="157"/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 t="shared" si="158"/>
        <v/>
      </c>
      <c r="N1265" s="74" t="str">
        <f t="shared" si="159"/>
        <v/>
      </c>
      <c r="O1265" s="73" t="str">
        <f t="shared" si="160"/>
        <v/>
      </c>
      <c r="P1265" s="65" t="str">
        <f t="shared" ca="1" si="161"/>
        <v/>
      </c>
      <c r="Q1265" s="2"/>
      <c r="R1265" s="2"/>
      <c r="S1265" s="1" t="str">
        <f t="shared" si="154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155"/>
        <v>0</v>
      </c>
      <c r="W1265" s="1" t="str">
        <f t="shared" si="156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customHeight="1" x14ac:dyDescent="0.3">
      <c r="A1266" s="2"/>
      <c r="B1266" s="65" t="str">
        <f t="shared" si="157"/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 t="shared" si="158"/>
        <v/>
      </c>
      <c r="N1266" s="74" t="str">
        <f t="shared" si="159"/>
        <v/>
      </c>
      <c r="O1266" s="73" t="str">
        <f t="shared" si="160"/>
        <v/>
      </c>
      <c r="P1266" s="65" t="str">
        <f t="shared" ca="1" si="161"/>
        <v/>
      </c>
      <c r="Q1266" s="2"/>
      <c r="R1266" s="2"/>
      <c r="S1266" s="1" t="str">
        <f t="shared" si="154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155"/>
        <v>0</v>
      </c>
      <c r="W1266" s="1" t="str">
        <f t="shared" si="156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customHeight="1" x14ac:dyDescent="0.3">
      <c r="A1267" s="2"/>
      <c r="B1267" s="65" t="str">
        <f t="shared" si="157"/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 t="shared" si="158"/>
        <v/>
      </c>
      <c r="N1267" s="74" t="str">
        <f t="shared" si="159"/>
        <v/>
      </c>
      <c r="O1267" s="73" t="str">
        <f t="shared" si="160"/>
        <v/>
      </c>
      <c r="P1267" s="65" t="str">
        <f t="shared" ca="1" si="161"/>
        <v/>
      </c>
      <c r="Q1267" s="2"/>
      <c r="R1267" s="2"/>
      <c r="S1267" s="1" t="str">
        <f t="shared" si="154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155"/>
        <v>0</v>
      </c>
      <c r="W1267" s="1" t="str">
        <f t="shared" si="156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customHeight="1" x14ac:dyDescent="0.3">
      <c r="A1268" s="2"/>
      <c r="B1268" s="65" t="str">
        <f t="shared" si="157"/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 t="shared" si="158"/>
        <v/>
      </c>
      <c r="N1268" s="74" t="str">
        <f t="shared" si="159"/>
        <v/>
      </c>
      <c r="O1268" s="73" t="str">
        <f t="shared" si="160"/>
        <v/>
      </c>
      <c r="P1268" s="65" t="str">
        <f t="shared" ca="1" si="161"/>
        <v/>
      </c>
      <c r="Q1268" s="2"/>
      <c r="R1268" s="2"/>
      <c r="S1268" s="1" t="str">
        <f t="shared" si="154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155"/>
        <v>0</v>
      </c>
      <c r="W1268" s="1" t="str">
        <f t="shared" si="156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customHeight="1" x14ac:dyDescent="0.3">
      <c r="A1269" s="2"/>
      <c r="B1269" s="65" t="str">
        <f t="shared" si="157"/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 t="shared" si="158"/>
        <v/>
      </c>
      <c r="N1269" s="74" t="str">
        <f t="shared" si="159"/>
        <v/>
      </c>
      <c r="O1269" s="73" t="str">
        <f t="shared" si="160"/>
        <v/>
      </c>
      <c r="P1269" s="65" t="str">
        <f t="shared" ca="1" si="161"/>
        <v/>
      </c>
      <c r="Q1269" s="2"/>
      <c r="R1269" s="2"/>
      <c r="S1269" s="1" t="str">
        <f t="shared" si="154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155"/>
        <v>0</v>
      </c>
      <c r="W1269" s="1" t="str">
        <f t="shared" si="156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customHeight="1" x14ac:dyDescent="0.3">
      <c r="A1270" s="2"/>
      <c r="B1270" s="65" t="str">
        <f t="shared" si="157"/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 t="shared" si="158"/>
        <v/>
      </c>
      <c r="N1270" s="74" t="str">
        <f t="shared" si="159"/>
        <v/>
      </c>
      <c r="O1270" s="73" t="str">
        <f t="shared" si="160"/>
        <v/>
      </c>
      <c r="P1270" s="65" t="str">
        <f t="shared" ca="1" si="161"/>
        <v/>
      </c>
      <c r="Q1270" s="2"/>
      <c r="R1270" s="2"/>
      <c r="S1270" s="1" t="str">
        <f t="shared" si="154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155"/>
        <v>0</v>
      </c>
      <c r="W1270" s="1" t="str">
        <f t="shared" si="156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customHeight="1" x14ac:dyDescent="0.3">
      <c r="A1271" s="2"/>
      <c r="B1271" s="65" t="str">
        <f t="shared" si="157"/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 t="shared" si="158"/>
        <v/>
      </c>
      <c r="N1271" s="74" t="str">
        <f t="shared" si="159"/>
        <v/>
      </c>
      <c r="O1271" s="73" t="str">
        <f t="shared" si="160"/>
        <v/>
      </c>
      <c r="P1271" s="65" t="str">
        <f t="shared" ca="1" si="161"/>
        <v/>
      </c>
      <c r="Q1271" s="2"/>
      <c r="R1271" s="2"/>
      <c r="S1271" s="1" t="str">
        <f t="shared" si="154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155"/>
        <v>0</v>
      </c>
      <c r="W1271" s="1" t="str">
        <f t="shared" si="156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customHeight="1" x14ac:dyDescent="0.3">
      <c r="A1272" s="2"/>
      <c r="B1272" s="65" t="str">
        <f t="shared" si="157"/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 t="shared" si="158"/>
        <v/>
      </c>
      <c r="N1272" s="74" t="str">
        <f t="shared" si="159"/>
        <v/>
      </c>
      <c r="O1272" s="73" t="str">
        <f t="shared" si="160"/>
        <v/>
      </c>
      <c r="P1272" s="65" t="str">
        <f t="shared" ca="1" si="161"/>
        <v/>
      </c>
      <c r="Q1272" s="2"/>
      <c r="R1272" s="2"/>
      <c r="S1272" s="1" t="str">
        <f t="shared" si="154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155"/>
        <v>0</v>
      </c>
      <c r="W1272" s="1" t="str">
        <f t="shared" si="156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customHeight="1" x14ac:dyDescent="0.3">
      <c r="A1273" s="2"/>
      <c r="B1273" s="65" t="str">
        <f t="shared" si="157"/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 t="shared" si="158"/>
        <v/>
      </c>
      <c r="N1273" s="74" t="str">
        <f t="shared" si="159"/>
        <v/>
      </c>
      <c r="O1273" s="73" t="str">
        <f t="shared" si="160"/>
        <v/>
      </c>
      <c r="P1273" s="65" t="str">
        <f t="shared" ca="1" si="161"/>
        <v/>
      </c>
      <c r="Q1273" s="2"/>
      <c r="R1273" s="2"/>
      <c r="S1273" s="1" t="str">
        <f t="shared" si="154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155"/>
        <v>0</v>
      </c>
      <c r="W1273" s="1" t="str">
        <f t="shared" si="156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customHeight="1" x14ac:dyDescent="0.3">
      <c r="A1274" s="2"/>
      <c r="B1274" s="65" t="str">
        <f t="shared" si="157"/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 t="shared" si="158"/>
        <v/>
      </c>
      <c r="N1274" s="74" t="str">
        <f t="shared" si="159"/>
        <v/>
      </c>
      <c r="O1274" s="73" t="str">
        <f t="shared" si="160"/>
        <v/>
      </c>
      <c r="P1274" s="65" t="str">
        <f t="shared" ca="1" si="161"/>
        <v/>
      </c>
      <c r="Q1274" s="2"/>
      <c r="R1274" s="2"/>
      <c r="S1274" s="1" t="str">
        <f t="shared" si="154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155"/>
        <v>0</v>
      </c>
      <c r="W1274" s="1" t="str">
        <f t="shared" si="156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customHeight="1" x14ac:dyDescent="0.3">
      <c r="A1275" s="2"/>
      <c r="B1275" s="65" t="str">
        <f t="shared" si="157"/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 t="shared" si="158"/>
        <v/>
      </c>
      <c r="N1275" s="74" t="str">
        <f t="shared" si="159"/>
        <v/>
      </c>
      <c r="O1275" s="73" t="str">
        <f t="shared" si="160"/>
        <v/>
      </c>
      <c r="P1275" s="65" t="str">
        <f t="shared" ca="1" si="161"/>
        <v/>
      </c>
      <c r="Q1275" s="2"/>
      <c r="R1275" s="2"/>
      <c r="S1275" s="1" t="str">
        <f t="shared" si="154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155"/>
        <v>0</v>
      </c>
      <c r="W1275" s="1" t="str">
        <f t="shared" si="156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customHeight="1" x14ac:dyDescent="0.3">
      <c r="A1276" s="2"/>
      <c r="B1276" s="65" t="str">
        <f t="shared" si="157"/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 t="shared" si="158"/>
        <v/>
      </c>
      <c r="N1276" s="74" t="str">
        <f t="shared" si="159"/>
        <v/>
      </c>
      <c r="O1276" s="73" t="str">
        <f t="shared" si="160"/>
        <v/>
      </c>
      <c r="P1276" s="65" t="str">
        <f t="shared" ca="1" si="161"/>
        <v/>
      </c>
      <c r="Q1276" s="2"/>
      <c r="R1276" s="2"/>
      <c r="S1276" s="1" t="str">
        <f t="shared" si="154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155"/>
        <v>0</v>
      </c>
      <c r="W1276" s="1" t="str">
        <f t="shared" si="156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customHeight="1" x14ac:dyDescent="0.3">
      <c r="A1277" s="2"/>
      <c r="B1277" s="65" t="str">
        <f t="shared" si="157"/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 t="shared" si="158"/>
        <v/>
      </c>
      <c r="N1277" s="74" t="str">
        <f t="shared" si="159"/>
        <v/>
      </c>
      <c r="O1277" s="73" t="str">
        <f t="shared" si="160"/>
        <v/>
      </c>
      <c r="P1277" s="65" t="str">
        <f t="shared" ca="1" si="161"/>
        <v/>
      </c>
      <c r="Q1277" s="2"/>
      <c r="R1277" s="2"/>
      <c r="S1277" s="1" t="str">
        <f t="shared" si="154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155"/>
        <v>0</v>
      </c>
      <c r="W1277" s="1" t="str">
        <f t="shared" si="156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customHeight="1" x14ac:dyDescent="0.3">
      <c r="A1278" s="2"/>
      <c r="B1278" s="65" t="str">
        <f t="shared" si="157"/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 t="shared" si="158"/>
        <v/>
      </c>
      <c r="N1278" s="74" t="str">
        <f t="shared" si="159"/>
        <v/>
      </c>
      <c r="O1278" s="73" t="str">
        <f t="shared" si="160"/>
        <v/>
      </c>
      <c r="P1278" s="65" t="str">
        <f t="shared" ca="1" si="161"/>
        <v/>
      </c>
      <c r="Q1278" s="2"/>
      <c r="R1278" s="2"/>
      <c r="S1278" s="1" t="str">
        <f t="shared" si="154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155"/>
        <v>0</v>
      </c>
      <c r="W1278" s="1" t="str">
        <f t="shared" si="156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customHeight="1" x14ac:dyDescent="0.3">
      <c r="A1279" s="2"/>
      <c r="B1279" s="65" t="str">
        <f t="shared" si="157"/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 t="shared" si="158"/>
        <v/>
      </c>
      <c r="N1279" s="74" t="str">
        <f t="shared" si="159"/>
        <v/>
      </c>
      <c r="O1279" s="73" t="str">
        <f t="shared" si="160"/>
        <v/>
      </c>
      <c r="P1279" s="65" t="str">
        <f t="shared" ca="1" si="161"/>
        <v/>
      </c>
      <c r="Q1279" s="2"/>
      <c r="R1279" s="2"/>
      <c r="S1279" s="1" t="str">
        <f t="shared" si="154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155"/>
        <v>0</v>
      </c>
      <c r="W1279" s="1" t="str">
        <f t="shared" si="156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customHeight="1" x14ac:dyDescent="0.3">
      <c r="A1280" s="2"/>
      <c r="B1280" s="65" t="str">
        <f t="shared" si="157"/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 t="shared" si="158"/>
        <v/>
      </c>
      <c r="N1280" s="74" t="str">
        <f t="shared" si="159"/>
        <v/>
      </c>
      <c r="O1280" s="73" t="str">
        <f t="shared" si="160"/>
        <v/>
      </c>
      <c r="P1280" s="65" t="str">
        <f t="shared" ca="1" si="161"/>
        <v/>
      </c>
      <c r="Q1280" s="2"/>
      <c r="R1280" s="2"/>
      <c r="S1280" s="1" t="str">
        <f t="shared" si="154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155"/>
        <v>0</v>
      </c>
      <c r="W1280" s="1" t="str">
        <f t="shared" si="156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customHeight="1" x14ac:dyDescent="0.3">
      <c r="A1281" s="2"/>
      <c r="B1281" s="65" t="str">
        <f t="shared" si="157"/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 t="shared" si="158"/>
        <v/>
      </c>
      <c r="N1281" s="74" t="str">
        <f t="shared" si="159"/>
        <v/>
      </c>
      <c r="O1281" s="73" t="str">
        <f t="shared" si="160"/>
        <v/>
      </c>
      <c r="P1281" s="65" t="str">
        <f t="shared" ca="1" si="161"/>
        <v/>
      </c>
      <c r="Q1281" s="2"/>
      <c r="R1281" s="2"/>
      <c r="S1281" s="1" t="str">
        <f t="shared" si="154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155"/>
        <v>0</v>
      </c>
      <c r="W1281" s="1" t="str">
        <f t="shared" si="156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customHeight="1" x14ac:dyDescent="0.3">
      <c r="A1282" s="2"/>
      <c r="B1282" s="65" t="str">
        <f t="shared" si="157"/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 t="shared" si="158"/>
        <v/>
      </c>
      <c r="N1282" s="74" t="str">
        <f t="shared" si="159"/>
        <v/>
      </c>
      <c r="O1282" s="73" t="str">
        <f t="shared" si="160"/>
        <v/>
      </c>
      <c r="P1282" s="65" t="str">
        <f t="shared" ca="1" si="161"/>
        <v/>
      </c>
      <c r="Q1282" s="2"/>
      <c r="R1282" s="2"/>
      <c r="S1282" s="1" t="str">
        <f t="shared" si="154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155"/>
        <v>0</v>
      </c>
      <c r="W1282" s="1" t="str">
        <f t="shared" si="156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customHeight="1" x14ac:dyDescent="0.3">
      <c r="A1283" s="2"/>
      <c r="B1283" s="65" t="str">
        <f t="shared" si="157"/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 t="shared" si="158"/>
        <v/>
      </c>
      <c r="N1283" s="74" t="str">
        <f t="shared" si="159"/>
        <v/>
      </c>
      <c r="O1283" s="73" t="str">
        <f t="shared" si="160"/>
        <v/>
      </c>
      <c r="P1283" s="65" t="str">
        <f t="shared" ca="1" si="161"/>
        <v/>
      </c>
      <c r="Q1283" s="2"/>
      <c r="R1283" s="2"/>
      <c r="S1283" s="1" t="str">
        <f t="shared" si="154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155"/>
        <v>0</v>
      </c>
      <c r="W1283" s="1" t="str">
        <f t="shared" si="156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customHeight="1" x14ac:dyDescent="0.3">
      <c r="A1284" s="2"/>
      <c r="B1284" s="65" t="str">
        <f t="shared" si="157"/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 t="shared" si="158"/>
        <v/>
      </c>
      <c r="N1284" s="74" t="str">
        <f t="shared" si="159"/>
        <v/>
      </c>
      <c r="O1284" s="73" t="str">
        <f t="shared" si="160"/>
        <v/>
      </c>
      <c r="P1284" s="65" t="str">
        <f t="shared" ca="1" si="161"/>
        <v/>
      </c>
      <c r="Q1284" s="2"/>
      <c r="R1284" s="2"/>
      <c r="S1284" s="1" t="str">
        <f t="shared" si="154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155"/>
        <v>0</v>
      </c>
      <c r="W1284" s="1" t="str">
        <f t="shared" si="156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customHeight="1" x14ac:dyDescent="0.3">
      <c r="A1285" s="2"/>
      <c r="B1285" s="65" t="str">
        <f t="shared" si="157"/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 t="shared" si="158"/>
        <v/>
      </c>
      <c r="N1285" s="74" t="str">
        <f t="shared" si="159"/>
        <v/>
      </c>
      <c r="O1285" s="73" t="str">
        <f t="shared" si="160"/>
        <v/>
      </c>
      <c r="P1285" s="65" t="str">
        <f t="shared" ca="1" si="161"/>
        <v/>
      </c>
      <c r="Q1285" s="2"/>
      <c r="R1285" s="2"/>
      <c r="S1285" s="1" t="str">
        <f t="shared" ref="S1285:S1348" si="162"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ref="V1285:V1348" si="163">IF($T1285="",0,1)</f>
        <v>0</v>
      </c>
      <c r="W1285" s="1" t="str">
        <f t="shared" ref="W1285:W1348" si="164">IF($C1285="","",$D1285&amp;"|"&amp;$E1285&amp;"|"&amp;TEXT($C1285,"0")&amp;"|"&amp;TEXT($G1285,"0")&amp;"|"&amp;$F1285&amp;"|"&amp;$J1285)</f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customHeight="1" x14ac:dyDescent="0.3">
      <c r="A1286" s="2"/>
      <c r="B1286" s="65" t="str">
        <f t="shared" si="157"/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 t="shared" si="158"/>
        <v/>
      </c>
      <c r="N1286" s="74" t="str">
        <f t="shared" si="159"/>
        <v/>
      </c>
      <c r="O1286" s="73" t="str">
        <f t="shared" si="160"/>
        <v/>
      </c>
      <c r="P1286" s="65" t="str">
        <f t="shared" ca="1" si="161"/>
        <v/>
      </c>
      <c r="Q1286" s="2"/>
      <c r="R1286" s="2"/>
      <c r="S1286" s="1" t="str">
        <f t="shared" si="162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163"/>
        <v>0</v>
      </c>
      <c r="W1286" s="1" t="str">
        <f t="shared" si="164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customHeight="1" x14ac:dyDescent="0.3">
      <c r="A1287" s="2"/>
      <c r="B1287" s="65" t="str">
        <f t="shared" ref="B1287:B1350" si="165"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 t="shared" ref="M1287:M1350" si="166">IF($C1287="","",IF($D1287="Gider",$E1287,IF($L1287&lt;&gt;"",$L1287,$H1287)))</f>
        <v/>
      </c>
      <c r="N1287" s="74" t="str">
        <f t="shared" ref="N1287:N1350" si="167">IF($C1287="","",IF($D1287="Gider",$H1287,$E1287))</f>
        <v/>
      </c>
      <c r="O1287" s="73" t="str">
        <f t="shared" ref="O1287:O1350" si="168">IF($C1287="","",DATE(YEAR($C1287),MONTH($C1287),1))</f>
        <v/>
      </c>
      <c r="P1287" s="65" t="str">
        <f t="shared" ref="P1287:P1350" ca="1" si="169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TARİH",IF(COUNTIF($W$7:$W$3001,$W1287)&gt;1,"MÜKERRER?",IF($AD1287&gt;0,"KAPALI DÖNEM",IF($I1287="Hayır","ÖDENECEK","UYGUN")))),"EKSİK"))))</f>
        <v/>
      </c>
      <c r="Q1287" s="2"/>
      <c r="R1287" s="2"/>
      <c r="S1287" s="1" t="str">
        <f t="shared" si="162"/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si="163"/>
        <v>0</v>
      </c>
      <c r="W1287" s="1" t="str">
        <f t="shared" si="164"/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customHeight="1" x14ac:dyDescent="0.3">
      <c r="A1288" s="2"/>
      <c r="B1288" s="65" t="str">
        <f t="shared" si="165"/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 t="shared" si="166"/>
        <v/>
      </c>
      <c r="N1288" s="74" t="str">
        <f t="shared" si="167"/>
        <v/>
      </c>
      <c r="O1288" s="73" t="str">
        <f t="shared" si="168"/>
        <v/>
      </c>
      <c r="P1288" s="65" t="str">
        <f t="shared" ca="1" si="169"/>
        <v/>
      </c>
      <c r="Q1288" s="2"/>
      <c r="R1288" s="2"/>
      <c r="S1288" s="1" t="str">
        <f t="shared" si="162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163"/>
        <v>0</v>
      </c>
      <c r="W1288" s="1" t="str">
        <f t="shared" si="164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customHeight="1" x14ac:dyDescent="0.3">
      <c r="A1289" s="2"/>
      <c r="B1289" s="65" t="str">
        <f t="shared" si="165"/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 t="shared" si="166"/>
        <v/>
      </c>
      <c r="N1289" s="74" t="str">
        <f t="shared" si="167"/>
        <v/>
      </c>
      <c r="O1289" s="73" t="str">
        <f t="shared" si="168"/>
        <v/>
      </c>
      <c r="P1289" s="65" t="str">
        <f t="shared" ca="1" si="169"/>
        <v/>
      </c>
      <c r="Q1289" s="2"/>
      <c r="R1289" s="2"/>
      <c r="S1289" s="1" t="str">
        <f t="shared" si="162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163"/>
        <v>0</v>
      </c>
      <c r="W1289" s="1" t="str">
        <f t="shared" si="164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customHeight="1" x14ac:dyDescent="0.3">
      <c r="A1290" s="2"/>
      <c r="B1290" s="65" t="str">
        <f t="shared" si="165"/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 t="shared" si="166"/>
        <v/>
      </c>
      <c r="N1290" s="74" t="str">
        <f t="shared" si="167"/>
        <v/>
      </c>
      <c r="O1290" s="73" t="str">
        <f t="shared" si="168"/>
        <v/>
      </c>
      <c r="P1290" s="65" t="str">
        <f t="shared" ca="1" si="169"/>
        <v/>
      </c>
      <c r="Q1290" s="2"/>
      <c r="R1290" s="2"/>
      <c r="S1290" s="1" t="str">
        <f t="shared" si="162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163"/>
        <v>0</v>
      </c>
      <c r="W1290" s="1" t="str">
        <f t="shared" si="164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customHeight="1" x14ac:dyDescent="0.3">
      <c r="A1291" s="2"/>
      <c r="B1291" s="65" t="str">
        <f t="shared" si="165"/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 t="shared" si="166"/>
        <v/>
      </c>
      <c r="N1291" s="74" t="str">
        <f t="shared" si="167"/>
        <v/>
      </c>
      <c r="O1291" s="73" t="str">
        <f t="shared" si="168"/>
        <v/>
      </c>
      <c r="P1291" s="65" t="str">
        <f t="shared" ca="1" si="169"/>
        <v/>
      </c>
      <c r="Q1291" s="2"/>
      <c r="R1291" s="2"/>
      <c r="S1291" s="1" t="str">
        <f t="shared" si="162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163"/>
        <v>0</v>
      </c>
      <c r="W1291" s="1" t="str">
        <f t="shared" si="164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customHeight="1" x14ac:dyDescent="0.3">
      <c r="A1292" s="2"/>
      <c r="B1292" s="65" t="str">
        <f t="shared" si="165"/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 t="shared" si="166"/>
        <v/>
      </c>
      <c r="N1292" s="74" t="str">
        <f t="shared" si="167"/>
        <v/>
      </c>
      <c r="O1292" s="73" t="str">
        <f t="shared" si="168"/>
        <v/>
      </c>
      <c r="P1292" s="65" t="str">
        <f t="shared" ca="1" si="169"/>
        <v/>
      </c>
      <c r="Q1292" s="2"/>
      <c r="R1292" s="2"/>
      <c r="S1292" s="1" t="str">
        <f t="shared" si="162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163"/>
        <v>0</v>
      </c>
      <c r="W1292" s="1" t="str">
        <f t="shared" si="164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customHeight="1" x14ac:dyDescent="0.3">
      <c r="A1293" s="2"/>
      <c r="B1293" s="65" t="str">
        <f t="shared" si="165"/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 t="shared" si="166"/>
        <v/>
      </c>
      <c r="N1293" s="74" t="str">
        <f t="shared" si="167"/>
        <v/>
      </c>
      <c r="O1293" s="73" t="str">
        <f t="shared" si="168"/>
        <v/>
      </c>
      <c r="P1293" s="65" t="str">
        <f t="shared" ca="1" si="169"/>
        <v/>
      </c>
      <c r="Q1293" s="2"/>
      <c r="R1293" s="2"/>
      <c r="S1293" s="1" t="str">
        <f t="shared" si="162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163"/>
        <v>0</v>
      </c>
      <c r="W1293" s="1" t="str">
        <f t="shared" si="164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customHeight="1" x14ac:dyDescent="0.3">
      <c r="A1294" s="2"/>
      <c r="B1294" s="65" t="str">
        <f t="shared" si="165"/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 t="shared" si="166"/>
        <v/>
      </c>
      <c r="N1294" s="74" t="str">
        <f t="shared" si="167"/>
        <v/>
      </c>
      <c r="O1294" s="73" t="str">
        <f t="shared" si="168"/>
        <v/>
      </c>
      <c r="P1294" s="65" t="str">
        <f t="shared" ca="1" si="169"/>
        <v/>
      </c>
      <c r="Q1294" s="2"/>
      <c r="R1294" s="2"/>
      <c r="S1294" s="1" t="str">
        <f t="shared" si="162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163"/>
        <v>0</v>
      </c>
      <c r="W1294" s="1" t="str">
        <f t="shared" si="164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customHeight="1" x14ac:dyDescent="0.3">
      <c r="A1295" s="2"/>
      <c r="B1295" s="65" t="str">
        <f t="shared" si="165"/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 t="shared" si="166"/>
        <v/>
      </c>
      <c r="N1295" s="74" t="str">
        <f t="shared" si="167"/>
        <v/>
      </c>
      <c r="O1295" s="73" t="str">
        <f t="shared" si="168"/>
        <v/>
      </c>
      <c r="P1295" s="65" t="str">
        <f t="shared" ca="1" si="169"/>
        <v/>
      </c>
      <c r="Q1295" s="2"/>
      <c r="R1295" s="2"/>
      <c r="S1295" s="1" t="str">
        <f t="shared" si="162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163"/>
        <v>0</v>
      </c>
      <c r="W1295" s="1" t="str">
        <f t="shared" si="164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customHeight="1" x14ac:dyDescent="0.3">
      <c r="A1296" s="2"/>
      <c r="B1296" s="65" t="str">
        <f t="shared" si="165"/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 t="shared" si="166"/>
        <v/>
      </c>
      <c r="N1296" s="74" t="str">
        <f t="shared" si="167"/>
        <v/>
      </c>
      <c r="O1296" s="73" t="str">
        <f t="shared" si="168"/>
        <v/>
      </c>
      <c r="P1296" s="65" t="str">
        <f t="shared" ca="1" si="169"/>
        <v/>
      </c>
      <c r="Q1296" s="2"/>
      <c r="R1296" s="2"/>
      <c r="S1296" s="1" t="str">
        <f t="shared" si="162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163"/>
        <v>0</v>
      </c>
      <c r="W1296" s="1" t="str">
        <f t="shared" si="164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customHeight="1" x14ac:dyDescent="0.3">
      <c r="A1297" s="2"/>
      <c r="B1297" s="65" t="str">
        <f t="shared" si="165"/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 t="shared" si="166"/>
        <v/>
      </c>
      <c r="N1297" s="74" t="str">
        <f t="shared" si="167"/>
        <v/>
      </c>
      <c r="O1297" s="73" t="str">
        <f t="shared" si="168"/>
        <v/>
      </c>
      <c r="P1297" s="65" t="str">
        <f t="shared" ca="1" si="169"/>
        <v/>
      </c>
      <c r="Q1297" s="2"/>
      <c r="R1297" s="2"/>
      <c r="S1297" s="1" t="str">
        <f t="shared" si="162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163"/>
        <v>0</v>
      </c>
      <c r="W1297" s="1" t="str">
        <f t="shared" si="164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customHeight="1" x14ac:dyDescent="0.3">
      <c r="A1298" s="2"/>
      <c r="B1298" s="65" t="str">
        <f t="shared" si="165"/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 t="shared" si="166"/>
        <v/>
      </c>
      <c r="N1298" s="74" t="str">
        <f t="shared" si="167"/>
        <v/>
      </c>
      <c r="O1298" s="73" t="str">
        <f t="shared" si="168"/>
        <v/>
      </c>
      <c r="P1298" s="65" t="str">
        <f t="shared" ca="1" si="169"/>
        <v/>
      </c>
      <c r="Q1298" s="2"/>
      <c r="R1298" s="2"/>
      <c r="S1298" s="1" t="str">
        <f t="shared" si="162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163"/>
        <v>0</v>
      </c>
      <c r="W1298" s="1" t="str">
        <f t="shared" si="164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customHeight="1" x14ac:dyDescent="0.3">
      <c r="A1299" s="2"/>
      <c r="B1299" s="65" t="str">
        <f t="shared" si="165"/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 t="shared" si="166"/>
        <v/>
      </c>
      <c r="N1299" s="74" t="str">
        <f t="shared" si="167"/>
        <v/>
      </c>
      <c r="O1299" s="73" t="str">
        <f t="shared" si="168"/>
        <v/>
      </c>
      <c r="P1299" s="65" t="str">
        <f t="shared" ca="1" si="169"/>
        <v/>
      </c>
      <c r="Q1299" s="2"/>
      <c r="R1299" s="2"/>
      <c r="S1299" s="1" t="str">
        <f t="shared" si="162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163"/>
        <v>0</v>
      </c>
      <c r="W1299" s="1" t="str">
        <f t="shared" si="164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customHeight="1" x14ac:dyDescent="0.3">
      <c r="A1300" s="2"/>
      <c r="B1300" s="65" t="str">
        <f t="shared" si="165"/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 t="shared" si="166"/>
        <v/>
      </c>
      <c r="N1300" s="74" t="str">
        <f t="shared" si="167"/>
        <v/>
      </c>
      <c r="O1300" s="73" t="str">
        <f t="shared" si="168"/>
        <v/>
      </c>
      <c r="P1300" s="65" t="str">
        <f t="shared" ca="1" si="169"/>
        <v/>
      </c>
      <c r="Q1300" s="2"/>
      <c r="R1300" s="2"/>
      <c r="S1300" s="1" t="str">
        <f t="shared" si="162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163"/>
        <v>0</v>
      </c>
      <c r="W1300" s="1" t="str">
        <f t="shared" si="164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customHeight="1" x14ac:dyDescent="0.3">
      <c r="A1301" s="2"/>
      <c r="B1301" s="65" t="str">
        <f t="shared" si="165"/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 t="shared" si="166"/>
        <v/>
      </c>
      <c r="N1301" s="74" t="str">
        <f t="shared" si="167"/>
        <v/>
      </c>
      <c r="O1301" s="73" t="str">
        <f t="shared" si="168"/>
        <v/>
      </c>
      <c r="P1301" s="65" t="str">
        <f t="shared" ca="1" si="169"/>
        <v/>
      </c>
      <c r="Q1301" s="2"/>
      <c r="R1301" s="2"/>
      <c r="S1301" s="1" t="str">
        <f t="shared" si="162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163"/>
        <v>0</v>
      </c>
      <c r="W1301" s="1" t="str">
        <f t="shared" si="164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customHeight="1" x14ac:dyDescent="0.3">
      <c r="A1302" s="2"/>
      <c r="B1302" s="65" t="str">
        <f t="shared" si="165"/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 t="shared" si="166"/>
        <v/>
      </c>
      <c r="N1302" s="74" t="str">
        <f t="shared" si="167"/>
        <v/>
      </c>
      <c r="O1302" s="73" t="str">
        <f t="shared" si="168"/>
        <v/>
      </c>
      <c r="P1302" s="65" t="str">
        <f t="shared" ca="1" si="169"/>
        <v/>
      </c>
      <c r="Q1302" s="2"/>
      <c r="R1302" s="2"/>
      <c r="S1302" s="1" t="str">
        <f t="shared" si="162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163"/>
        <v>0</v>
      </c>
      <c r="W1302" s="1" t="str">
        <f t="shared" si="164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customHeight="1" x14ac:dyDescent="0.3">
      <c r="A1303" s="2"/>
      <c r="B1303" s="65" t="str">
        <f t="shared" si="165"/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 t="shared" si="166"/>
        <v/>
      </c>
      <c r="N1303" s="74" t="str">
        <f t="shared" si="167"/>
        <v/>
      </c>
      <c r="O1303" s="73" t="str">
        <f t="shared" si="168"/>
        <v/>
      </c>
      <c r="P1303" s="65" t="str">
        <f t="shared" ca="1" si="169"/>
        <v/>
      </c>
      <c r="Q1303" s="2"/>
      <c r="R1303" s="2"/>
      <c r="S1303" s="1" t="str">
        <f t="shared" si="162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163"/>
        <v>0</v>
      </c>
      <c r="W1303" s="1" t="str">
        <f t="shared" si="164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customHeight="1" x14ac:dyDescent="0.3">
      <c r="A1304" s="2"/>
      <c r="B1304" s="65" t="str">
        <f t="shared" si="165"/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 t="shared" si="166"/>
        <v/>
      </c>
      <c r="N1304" s="74" t="str">
        <f t="shared" si="167"/>
        <v/>
      </c>
      <c r="O1304" s="73" t="str">
        <f t="shared" si="168"/>
        <v/>
      </c>
      <c r="P1304" s="65" t="str">
        <f t="shared" ca="1" si="169"/>
        <v/>
      </c>
      <c r="Q1304" s="2"/>
      <c r="R1304" s="2"/>
      <c r="S1304" s="1" t="str">
        <f t="shared" si="162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163"/>
        <v>0</v>
      </c>
      <c r="W1304" s="1" t="str">
        <f t="shared" si="164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customHeight="1" x14ac:dyDescent="0.3">
      <c r="A1305" s="2"/>
      <c r="B1305" s="65" t="str">
        <f t="shared" si="165"/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 t="shared" si="166"/>
        <v/>
      </c>
      <c r="N1305" s="74" t="str">
        <f t="shared" si="167"/>
        <v/>
      </c>
      <c r="O1305" s="73" t="str">
        <f t="shared" si="168"/>
        <v/>
      </c>
      <c r="P1305" s="65" t="str">
        <f t="shared" ca="1" si="169"/>
        <v/>
      </c>
      <c r="Q1305" s="2"/>
      <c r="R1305" s="2"/>
      <c r="S1305" s="1" t="str">
        <f t="shared" si="162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163"/>
        <v>0</v>
      </c>
      <c r="W1305" s="1" t="str">
        <f t="shared" si="164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customHeight="1" x14ac:dyDescent="0.3">
      <c r="A1306" s="2"/>
      <c r="B1306" s="65" t="str">
        <f t="shared" si="165"/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 t="shared" si="166"/>
        <v/>
      </c>
      <c r="N1306" s="74" t="str">
        <f t="shared" si="167"/>
        <v/>
      </c>
      <c r="O1306" s="73" t="str">
        <f t="shared" si="168"/>
        <v/>
      </c>
      <c r="P1306" s="65" t="str">
        <f t="shared" ca="1" si="169"/>
        <v/>
      </c>
      <c r="Q1306" s="2"/>
      <c r="R1306" s="2"/>
      <c r="S1306" s="1" t="str">
        <f t="shared" si="162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163"/>
        <v>0</v>
      </c>
      <c r="W1306" s="1" t="str">
        <f t="shared" si="164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customHeight="1" x14ac:dyDescent="0.3">
      <c r="A1307" s="2"/>
      <c r="B1307" s="65" t="str">
        <f t="shared" si="165"/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 t="shared" si="166"/>
        <v/>
      </c>
      <c r="N1307" s="74" t="str">
        <f t="shared" si="167"/>
        <v/>
      </c>
      <c r="O1307" s="73" t="str">
        <f t="shared" si="168"/>
        <v/>
      </c>
      <c r="P1307" s="65" t="str">
        <f t="shared" ca="1" si="169"/>
        <v/>
      </c>
      <c r="Q1307" s="2"/>
      <c r="R1307" s="2"/>
      <c r="S1307" s="1" t="str">
        <f t="shared" si="162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163"/>
        <v>0</v>
      </c>
      <c r="W1307" s="1" t="str">
        <f t="shared" si="164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customHeight="1" x14ac:dyDescent="0.3">
      <c r="A1308" s="2"/>
      <c r="B1308" s="65" t="str">
        <f t="shared" si="165"/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 t="shared" si="166"/>
        <v/>
      </c>
      <c r="N1308" s="74" t="str">
        <f t="shared" si="167"/>
        <v/>
      </c>
      <c r="O1308" s="73" t="str">
        <f t="shared" si="168"/>
        <v/>
      </c>
      <c r="P1308" s="65" t="str">
        <f t="shared" ca="1" si="169"/>
        <v/>
      </c>
      <c r="Q1308" s="2"/>
      <c r="R1308" s="2"/>
      <c r="S1308" s="1" t="str">
        <f t="shared" si="162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163"/>
        <v>0</v>
      </c>
      <c r="W1308" s="1" t="str">
        <f t="shared" si="164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customHeight="1" x14ac:dyDescent="0.3">
      <c r="A1309" s="2"/>
      <c r="B1309" s="65" t="str">
        <f t="shared" si="165"/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 t="shared" si="166"/>
        <v/>
      </c>
      <c r="N1309" s="74" t="str">
        <f t="shared" si="167"/>
        <v/>
      </c>
      <c r="O1309" s="73" t="str">
        <f t="shared" si="168"/>
        <v/>
      </c>
      <c r="P1309" s="65" t="str">
        <f t="shared" ca="1" si="169"/>
        <v/>
      </c>
      <c r="Q1309" s="2"/>
      <c r="R1309" s="2"/>
      <c r="S1309" s="1" t="str">
        <f t="shared" si="162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163"/>
        <v>0</v>
      </c>
      <c r="W1309" s="1" t="str">
        <f t="shared" si="164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customHeight="1" x14ac:dyDescent="0.3">
      <c r="A1310" s="2"/>
      <c r="B1310" s="65" t="str">
        <f t="shared" si="165"/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 t="shared" si="166"/>
        <v/>
      </c>
      <c r="N1310" s="74" t="str">
        <f t="shared" si="167"/>
        <v/>
      </c>
      <c r="O1310" s="73" t="str">
        <f t="shared" si="168"/>
        <v/>
      </c>
      <c r="P1310" s="65" t="str">
        <f t="shared" ca="1" si="169"/>
        <v/>
      </c>
      <c r="Q1310" s="2"/>
      <c r="R1310" s="2"/>
      <c r="S1310" s="1" t="str">
        <f t="shared" si="162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163"/>
        <v>0</v>
      </c>
      <c r="W1310" s="1" t="str">
        <f t="shared" si="164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customHeight="1" x14ac:dyDescent="0.3">
      <c r="A1311" s="2"/>
      <c r="B1311" s="65" t="str">
        <f t="shared" si="165"/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 t="shared" si="166"/>
        <v/>
      </c>
      <c r="N1311" s="74" t="str">
        <f t="shared" si="167"/>
        <v/>
      </c>
      <c r="O1311" s="73" t="str">
        <f t="shared" si="168"/>
        <v/>
      </c>
      <c r="P1311" s="65" t="str">
        <f t="shared" ca="1" si="169"/>
        <v/>
      </c>
      <c r="Q1311" s="2"/>
      <c r="R1311" s="2"/>
      <c r="S1311" s="1" t="str">
        <f t="shared" si="162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163"/>
        <v>0</v>
      </c>
      <c r="W1311" s="1" t="str">
        <f t="shared" si="164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customHeight="1" x14ac:dyDescent="0.3">
      <c r="A1312" s="2"/>
      <c r="B1312" s="65" t="str">
        <f t="shared" si="165"/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 t="shared" si="166"/>
        <v/>
      </c>
      <c r="N1312" s="74" t="str">
        <f t="shared" si="167"/>
        <v/>
      </c>
      <c r="O1312" s="73" t="str">
        <f t="shared" si="168"/>
        <v/>
      </c>
      <c r="P1312" s="65" t="str">
        <f t="shared" ca="1" si="169"/>
        <v/>
      </c>
      <c r="Q1312" s="2"/>
      <c r="R1312" s="2"/>
      <c r="S1312" s="1" t="str">
        <f t="shared" si="162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163"/>
        <v>0</v>
      </c>
      <c r="W1312" s="1" t="str">
        <f t="shared" si="164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customHeight="1" x14ac:dyDescent="0.3">
      <c r="A1313" s="2"/>
      <c r="B1313" s="65" t="str">
        <f t="shared" si="165"/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 t="shared" si="166"/>
        <v/>
      </c>
      <c r="N1313" s="74" t="str">
        <f t="shared" si="167"/>
        <v/>
      </c>
      <c r="O1313" s="73" t="str">
        <f t="shared" si="168"/>
        <v/>
      </c>
      <c r="P1313" s="65" t="str">
        <f t="shared" ca="1" si="169"/>
        <v/>
      </c>
      <c r="Q1313" s="2"/>
      <c r="R1313" s="2"/>
      <c r="S1313" s="1" t="str">
        <f t="shared" si="162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163"/>
        <v>0</v>
      </c>
      <c r="W1313" s="1" t="str">
        <f t="shared" si="164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customHeight="1" x14ac:dyDescent="0.3">
      <c r="A1314" s="2"/>
      <c r="B1314" s="65" t="str">
        <f t="shared" si="165"/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 t="shared" si="166"/>
        <v/>
      </c>
      <c r="N1314" s="74" t="str">
        <f t="shared" si="167"/>
        <v/>
      </c>
      <c r="O1314" s="73" t="str">
        <f t="shared" si="168"/>
        <v/>
      </c>
      <c r="P1314" s="65" t="str">
        <f t="shared" ca="1" si="169"/>
        <v/>
      </c>
      <c r="Q1314" s="2"/>
      <c r="R1314" s="2"/>
      <c r="S1314" s="1" t="str">
        <f t="shared" si="162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163"/>
        <v>0</v>
      </c>
      <c r="W1314" s="1" t="str">
        <f t="shared" si="164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customHeight="1" x14ac:dyDescent="0.3">
      <c r="A1315" s="2"/>
      <c r="B1315" s="65" t="str">
        <f t="shared" si="165"/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 t="shared" si="166"/>
        <v/>
      </c>
      <c r="N1315" s="74" t="str">
        <f t="shared" si="167"/>
        <v/>
      </c>
      <c r="O1315" s="73" t="str">
        <f t="shared" si="168"/>
        <v/>
      </c>
      <c r="P1315" s="65" t="str">
        <f t="shared" ca="1" si="169"/>
        <v/>
      </c>
      <c r="Q1315" s="2"/>
      <c r="R1315" s="2"/>
      <c r="S1315" s="1" t="str">
        <f t="shared" si="162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163"/>
        <v>0</v>
      </c>
      <c r="W1315" s="1" t="str">
        <f t="shared" si="164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customHeight="1" x14ac:dyDescent="0.3">
      <c r="A1316" s="2"/>
      <c r="B1316" s="65" t="str">
        <f t="shared" si="165"/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 t="shared" si="166"/>
        <v/>
      </c>
      <c r="N1316" s="74" t="str">
        <f t="shared" si="167"/>
        <v/>
      </c>
      <c r="O1316" s="73" t="str">
        <f t="shared" si="168"/>
        <v/>
      </c>
      <c r="P1316" s="65" t="str">
        <f t="shared" ca="1" si="169"/>
        <v/>
      </c>
      <c r="Q1316" s="2"/>
      <c r="R1316" s="2"/>
      <c r="S1316" s="1" t="str">
        <f t="shared" si="162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163"/>
        <v>0</v>
      </c>
      <c r="W1316" s="1" t="str">
        <f t="shared" si="164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customHeight="1" x14ac:dyDescent="0.3">
      <c r="A1317" s="2"/>
      <c r="B1317" s="65" t="str">
        <f t="shared" si="165"/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 t="shared" si="166"/>
        <v/>
      </c>
      <c r="N1317" s="74" t="str">
        <f t="shared" si="167"/>
        <v/>
      </c>
      <c r="O1317" s="73" t="str">
        <f t="shared" si="168"/>
        <v/>
      </c>
      <c r="P1317" s="65" t="str">
        <f t="shared" ca="1" si="169"/>
        <v/>
      </c>
      <c r="Q1317" s="2"/>
      <c r="R1317" s="2"/>
      <c r="S1317" s="1" t="str">
        <f t="shared" si="162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163"/>
        <v>0</v>
      </c>
      <c r="W1317" s="1" t="str">
        <f t="shared" si="164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customHeight="1" x14ac:dyDescent="0.3">
      <c r="A1318" s="2"/>
      <c r="B1318" s="65" t="str">
        <f t="shared" si="165"/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 t="shared" si="166"/>
        <v/>
      </c>
      <c r="N1318" s="74" t="str">
        <f t="shared" si="167"/>
        <v/>
      </c>
      <c r="O1318" s="73" t="str">
        <f t="shared" si="168"/>
        <v/>
      </c>
      <c r="P1318" s="65" t="str">
        <f t="shared" ca="1" si="169"/>
        <v/>
      </c>
      <c r="Q1318" s="2"/>
      <c r="R1318" s="2"/>
      <c r="S1318" s="1" t="str">
        <f t="shared" si="162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163"/>
        <v>0</v>
      </c>
      <c r="W1318" s="1" t="str">
        <f t="shared" si="164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customHeight="1" x14ac:dyDescent="0.3">
      <c r="A1319" s="2"/>
      <c r="B1319" s="65" t="str">
        <f t="shared" si="165"/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 t="shared" si="166"/>
        <v/>
      </c>
      <c r="N1319" s="74" t="str">
        <f t="shared" si="167"/>
        <v/>
      </c>
      <c r="O1319" s="73" t="str">
        <f t="shared" si="168"/>
        <v/>
      </c>
      <c r="P1319" s="65" t="str">
        <f t="shared" ca="1" si="169"/>
        <v/>
      </c>
      <c r="Q1319" s="2"/>
      <c r="R1319" s="2"/>
      <c r="S1319" s="1" t="str">
        <f t="shared" si="162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163"/>
        <v>0</v>
      </c>
      <c r="W1319" s="1" t="str">
        <f t="shared" si="164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customHeight="1" x14ac:dyDescent="0.3">
      <c r="A1320" s="2"/>
      <c r="B1320" s="65" t="str">
        <f t="shared" si="165"/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 t="shared" si="166"/>
        <v/>
      </c>
      <c r="N1320" s="74" t="str">
        <f t="shared" si="167"/>
        <v/>
      </c>
      <c r="O1320" s="73" t="str">
        <f t="shared" si="168"/>
        <v/>
      </c>
      <c r="P1320" s="65" t="str">
        <f t="shared" ca="1" si="169"/>
        <v/>
      </c>
      <c r="Q1320" s="2"/>
      <c r="R1320" s="2"/>
      <c r="S1320" s="1" t="str">
        <f t="shared" si="162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163"/>
        <v>0</v>
      </c>
      <c r="W1320" s="1" t="str">
        <f t="shared" si="164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customHeight="1" x14ac:dyDescent="0.3">
      <c r="A1321" s="2"/>
      <c r="B1321" s="65" t="str">
        <f t="shared" si="165"/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 t="shared" si="166"/>
        <v/>
      </c>
      <c r="N1321" s="74" t="str">
        <f t="shared" si="167"/>
        <v/>
      </c>
      <c r="O1321" s="73" t="str">
        <f t="shared" si="168"/>
        <v/>
      </c>
      <c r="P1321" s="65" t="str">
        <f t="shared" ca="1" si="169"/>
        <v/>
      </c>
      <c r="Q1321" s="2"/>
      <c r="R1321" s="2"/>
      <c r="S1321" s="1" t="str">
        <f t="shared" si="162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163"/>
        <v>0</v>
      </c>
      <c r="W1321" s="1" t="str">
        <f t="shared" si="164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customHeight="1" x14ac:dyDescent="0.3">
      <c r="A1322" s="2"/>
      <c r="B1322" s="65" t="str">
        <f t="shared" si="165"/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 t="shared" si="166"/>
        <v/>
      </c>
      <c r="N1322" s="74" t="str">
        <f t="shared" si="167"/>
        <v/>
      </c>
      <c r="O1322" s="73" t="str">
        <f t="shared" si="168"/>
        <v/>
      </c>
      <c r="P1322" s="65" t="str">
        <f t="shared" ca="1" si="169"/>
        <v/>
      </c>
      <c r="Q1322" s="2"/>
      <c r="R1322" s="2"/>
      <c r="S1322" s="1" t="str">
        <f t="shared" si="162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163"/>
        <v>0</v>
      </c>
      <c r="W1322" s="1" t="str">
        <f t="shared" si="164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customHeight="1" x14ac:dyDescent="0.3">
      <c r="A1323" s="2"/>
      <c r="B1323" s="65" t="str">
        <f t="shared" si="165"/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 t="shared" si="166"/>
        <v/>
      </c>
      <c r="N1323" s="74" t="str">
        <f t="shared" si="167"/>
        <v/>
      </c>
      <c r="O1323" s="73" t="str">
        <f t="shared" si="168"/>
        <v/>
      </c>
      <c r="P1323" s="65" t="str">
        <f t="shared" ca="1" si="169"/>
        <v/>
      </c>
      <c r="Q1323" s="2"/>
      <c r="R1323" s="2"/>
      <c r="S1323" s="1" t="str">
        <f t="shared" si="162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163"/>
        <v>0</v>
      </c>
      <c r="W1323" s="1" t="str">
        <f t="shared" si="164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customHeight="1" x14ac:dyDescent="0.3">
      <c r="A1324" s="2"/>
      <c r="B1324" s="65" t="str">
        <f t="shared" si="165"/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 t="shared" si="166"/>
        <v/>
      </c>
      <c r="N1324" s="74" t="str">
        <f t="shared" si="167"/>
        <v/>
      </c>
      <c r="O1324" s="73" t="str">
        <f t="shared" si="168"/>
        <v/>
      </c>
      <c r="P1324" s="65" t="str">
        <f t="shared" ca="1" si="169"/>
        <v/>
      </c>
      <c r="Q1324" s="2"/>
      <c r="R1324" s="2"/>
      <c r="S1324" s="1" t="str">
        <f t="shared" si="162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163"/>
        <v>0</v>
      </c>
      <c r="W1324" s="1" t="str">
        <f t="shared" si="164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customHeight="1" x14ac:dyDescent="0.3">
      <c r="A1325" s="2"/>
      <c r="B1325" s="65" t="str">
        <f t="shared" si="165"/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 t="shared" si="166"/>
        <v/>
      </c>
      <c r="N1325" s="74" t="str">
        <f t="shared" si="167"/>
        <v/>
      </c>
      <c r="O1325" s="73" t="str">
        <f t="shared" si="168"/>
        <v/>
      </c>
      <c r="P1325" s="65" t="str">
        <f t="shared" ca="1" si="169"/>
        <v/>
      </c>
      <c r="Q1325" s="2"/>
      <c r="R1325" s="2"/>
      <c r="S1325" s="1" t="str">
        <f t="shared" si="162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163"/>
        <v>0</v>
      </c>
      <c r="W1325" s="1" t="str">
        <f t="shared" si="164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customHeight="1" x14ac:dyDescent="0.3">
      <c r="A1326" s="2"/>
      <c r="B1326" s="65" t="str">
        <f t="shared" si="165"/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 t="shared" si="166"/>
        <v/>
      </c>
      <c r="N1326" s="74" t="str">
        <f t="shared" si="167"/>
        <v/>
      </c>
      <c r="O1326" s="73" t="str">
        <f t="shared" si="168"/>
        <v/>
      </c>
      <c r="P1326" s="65" t="str">
        <f t="shared" ca="1" si="169"/>
        <v/>
      </c>
      <c r="Q1326" s="2"/>
      <c r="R1326" s="2"/>
      <c r="S1326" s="1" t="str">
        <f t="shared" si="162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163"/>
        <v>0</v>
      </c>
      <c r="W1326" s="1" t="str">
        <f t="shared" si="164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customHeight="1" x14ac:dyDescent="0.3">
      <c r="A1327" s="2"/>
      <c r="B1327" s="65" t="str">
        <f t="shared" si="165"/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 t="shared" si="166"/>
        <v/>
      </c>
      <c r="N1327" s="74" t="str">
        <f t="shared" si="167"/>
        <v/>
      </c>
      <c r="O1327" s="73" t="str">
        <f t="shared" si="168"/>
        <v/>
      </c>
      <c r="P1327" s="65" t="str">
        <f t="shared" ca="1" si="169"/>
        <v/>
      </c>
      <c r="Q1327" s="2"/>
      <c r="R1327" s="2"/>
      <c r="S1327" s="1" t="str">
        <f t="shared" si="162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163"/>
        <v>0</v>
      </c>
      <c r="W1327" s="1" t="str">
        <f t="shared" si="164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customHeight="1" x14ac:dyDescent="0.3">
      <c r="A1328" s="2"/>
      <c r="B1328" s="65" t="str">
        <f t="shared" si="165"/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 t="shared" si="166"/>
        <v/>
      </c>
      <c r="N1328" s="74" t="str">
        <f t="shared" si="167"/>
        <v/>
      </c>
      <c r="O1328" s="73" t="str">
        <f t="shared" si="168"/>
        <v/>
      </c>
      <c r="P1328" s="65" t="str">
        <f t="shared" ca="1" si="169"/>
        <v/>
      </c>
      <c r="Q1328" s="2"/>
      <c r="R1328" s="2"/>
      <c r="S1328" s="1" t="str">
        <f t="shared" si="162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163"/>
        <v>0</v>
      </c>
      <c r="W1328" s="1" t="str">
        <f t="shared" si="164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customHeight="1" x14ac:dyDescent="0.3">
      <c r="A1329" s="2"/>
      <c r="B1329" s="65" t="str">
        <f t="shared" si="165"/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 t="shared" si="166"/>
        <v/>
      </c>
      <c r="N1329" s="74" t="str">
        <f t="shared" si="167"/>
        <v/>
      </c>
      <c r="O1329" s="73" t="str">
        <f t="shared" si="168"/>
        <v/>
      </c>
      <c r="P1329" s="65" t="str">
        <f t="shared" ca="1" si="169"/>
        <v/>
      </c>
      <c r="Q1329" s="2"/>
      <c r="R1329" s="2"/>
      <c r="S1329" s="1" t="str">
        <f t="shared" si="162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163"/>
        <v>0</v>
      </c>
      <c r="W1329" s="1" t="str">
        <f t="shared" si="164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customHeight="1" x14ac:dyDescent="0.3">
      <c r="A1330" s="2"/>
      <c r="B1330" s="65" t="str">
        <f t="shared" si="165"/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 t="shared" si="166"/>
        <v/>
      </c>
      <c r="N1330" s="74" t="str">
        <f t="shared" si="167"/>
        <v/>
      </c>
      <c r="O1330" s="73" t="str">
        <f t="shared" si="168"/>
        <v/>
      </c>
      <c r="P1330" s="65" t="str">
        <f t="shared" ca="1" si="169"/>
        <v/>
      </c>
      <c r="Q1330" s="2"/>
      <c r="R1330" s="2"/>
      <c r="S1330" s="1" t="str">
        <f t="shared" si="162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163"/>
        <v>0</v>
      </c>
      <c r="W1330" s="1" t="str">
        <f t="shared" si="164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customHeight="1" x14ac:dyDescent="0.3">
      <c r="A1331" s="2"/>
      <c r="B1331" s="65" t="str">
        <f t="shared" si="165"/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 t="shared" si="166"/>
        <v/>
      </c>
      <c r="N1331" s="74" t="str">
        <f t="shared" si="167"/>
        <v/>
      </c>
      <c r="O1331" s="73" t="str">
        <f t="shared" si="168"/>
        <v/>
      </c>
      <c r="P1331" s="65" t="str">
        <f t="shared" ca="1" si="169"/>
        <v/>
      </c>
      <c r="Q1331" s="2"/>
      <c r="R1331" s="2"/>
      <c r="S1331" s="1" t="str">
        <f t="shared" si="162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163"/>
        <v>0</v>
      </c>
      <c r="W1331" s="1" t="str">
        <f t="shared" si="164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customHeight="1" x14ac:dyDescent="0.3">
      <c r="A1332" s="2"/>
      <c r="B1332" s="65" t="str">
        <f t="shared" si="165"/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 t="shared" si="166"/>
        <v/>
      </c>
      <c r="N1332" s="74" t="str">
        <f t="shared" si="167"/>
        <v/>
      </c>
      <c r="O1332" s="73" t="str">
        <f t="shared" si="168"/>
        <v/>
      </c>
      <c r="P1332" s="65" t="str">
        <f t="shared" ca="1" si="169"/>
        <v/>
      </c>
      <c r="Q1332" s="2"/>
      <c r="R1332" s="2"/>
      <c r="S1332" s="1" t="str">
        <f t="shared" si="162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163"/>
        <v>0</v>
      </c>
      <c r="W1332" s="1" t="str">
        <f t="shared" si="164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customHeight="1" x14ac:dyDescent="0.3">
      <c r="A1333" s="2"/>
      <c r="B1333" s="65" t="str">
        <f t="shared" si="165"/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 t="shared" si="166"/>
        <v/>
      </c>
      <c r="N1333" s="74" t="str">
        <f t="shared" si="167"/>
        <v/>
      </c>
      <c r="O1333" s="73" t="str">
        <f t="shared" si="168"/>
        <v/>
      </c>
      <c r="P1333" s="65" t="str">
        <f t="shared" ca="1" si="169"/>
        <v/>
      </c>
      <c r="Q1333" s="2"/>
      <c r="R1333" s="2"/>
      <c r="S1333" s="1" t="str">
        <f t="shared" si="162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163"/>
        <v>0</v>
      </c>
      <c r="W1333" s="1" t="str">
        <f t="shared" si="164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customHeight="1" x14ac:dyDescent="0.3">
      <c r="A1334" s="2"/>
      <c r="B1334" s="65" t="str">
        <f t="shared" si="165"/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 t="shared" si="166"/>
        <v/>
      </c>
      <c r="N1334" s="74" t="str">
        <f t="shared" si="167"/>
        <v/>
      </c>
      <c r="O1334" s="73" t="str">
        <f t="shared" si="168"/>
        <v/>
      </c>
      <c r="P1334" s="65" t="str">
        <f t="shared" ca="1" si="169"/>
        <v/>
      </c>
      <c r="Q1334" s="2"/>
      <c r="R1334" s="2"/>
      <c r="S1334" s="1" t="str">
        <f t="shared" si="162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163"/>
        <v>0</v>
      </c>
      <c r="W1334" s="1" t="str">
        <f t="shared" si="164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customHeight="1" x14ac:dyDescent="0.3">
      <c r="A1335" s="2"/>
      <c r="B1335" s="65" t="str">
        <f t="shared" si="165"/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 t="shared" si="166"/>
        <v/>
      </c>
      <c r="N1335" s="74" t="str">
        <f t="shared" si="167"/>
        <v/>
      </c>
      <c r="O1335" s="73" t="str">
        <f t="shared" si="168"/>
        <v/>
      </c>
      <c r="P1335" s="65" t="str">
        <f t="shared" ca="1" si="169"/>
        <v/>
      </c>
      <c r="Q1335" s="2"/>
      <c r="R1335" s="2"/>
      <c r="S1335" s="1" t="str">
        <f t="shared" si="162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163"/>
        <v>0</v>
      </c>
      <c r="W1335" s="1" t="str">
        <f t="shared" si="164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customHeight="1" x14ac:dyDescent="0.3">
      <c r="A1336" s="2"/>
      <c r="B1336" s="65" t="str">
        <f t="shared" si="165"/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 t="shared" si="166"/>
        <v/>
      </c>
      <c r="N1336" s="74" t="str">
        <f t="shared" si="167"/>
        <v/>
      </c>
      <c r="O1336" s="73" t="str">
        <f t="shared" si="168"/>
        <v/>
      </c>
      <c r="P1336" s="65" t="str">
        <f t="shared" ca="1" si="169"/>
        <v/>
      </c>
      <c r="Q1336" s="2"/>
      <c r="R1336" s="2"/>
      <c r="S1336" s="1" t="str">
        <f t="shared" si="162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163"/>
        <v>0</v>
      </c>
      <c r="W1336" s="1" t="str">
        <f t="shared" si="164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customHeight="1" x14ac:dyDescent="0.3">
      <c r="A1337" s="2"/>
      <c r="B1337" s="65" t="str">
        <f t="shared" si="165"/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 t="shared" si="166"/>
        <v/>
      </c>
      <c r="N1337" s="74" t="str">
        <f t="shared" si="167"/>
        <v/>
      </c>
      <c r="O1337" s="73" t="str">
        <f t="shared" si="168"/>
        <v/>
      </c>
      <c r="P1337" s="65" t="str">
        <f t="shared" ca="1" si="169"/>
        <v/>
      </c>
      <c r="Q1337" s="2"/>
      <c r="R1337" s="2"/>
      <c r="S1337" s="1" t="str">
        <f t="shared" si="162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163"/>
        <v>0</v>
      </c>
      <c r="W1337" s="1" t="str">
        <f t="shared" si="164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customHeight="1" x14ac:dyDescent="0.3">
      <c r="A1338" s="2"/>
      <c r="B1338" s="65" t="str">
        <f t="shared" si="165"/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 t="shared" si="166"/>
        <v/>
      </c>
      <c r="N1338" s="74" t="str">
        <f t="shared" si="167"/>
        <v/>
      </c>
      <c r="O1338" s="73" t="str">
        <f t="shared" si="168"/>
        <v/>
      </c>
      <c r="P1338" s="65" t="str">
        <f t="shared" ca="1" si="169"/>
        <v/>
      </c>
      <c r="Q1338" s="2"/>
      <c r="R1338" s="2"/>
      <c r="S1338" s="1" t="str">
        <f t="shared" si="162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163"/>
        <v>0</v>
      </c>
      <c r="W1338" s="1" t="str">
        <f t="shared" si="164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customHeight="1" x14ac:dyDescent="0.3">
      <c r="A1339" s="2"/>
      <c r="B1339" s="65" t="str">
        <f t="shared" si="165"/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 t="shared" si="166"/>
        <v/>
      </c>
      <c r="N1339" s="74" t="str">
        <f t="shared" si="167"/>
        <v/>
      </c>
      <c r="O1339" s="73" t="str">
        <f t="shared" si="168"/>
        <v/>
      </c>
      <c r="P1339" s="65" t="str">
        <f t="shared" ca="1" si="169"/>
        <v/>
      </c>
      <c r="Q1339" s="2"/>
      <c r="R1339" s="2"/>
      <c r="S1339" s="1" t="str">
        <f t="shared" si="162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163"/>
        <v>0</v>
      </c>
      <c r="W1339" s="1" t="str">
        <f t="shared" si="164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customHeight="1" x14ac:dyDescent="0.3">
      <c r="A1340" s="2"/>
      <c r="B1340" s="65" t="str">
        <f t="shared" si="165"/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 t="shared" si="166"/>
        <v/>
      </c>
      <c r="N1340" s="74" t="str">
        <f t="shared" si="167"/>
        <v/>
      </c>
      <c r="O1340" s="73" t="str">
        <f t="shared" si="168"/>
        <v/>
      </c>
      <c r="P1340" s="65" t="str">
        <f t="shared" ca="1" si="169"/>
        <v/>
      </c>
      <c r="Q1340" s="2"/>
      <c r="R1340" s="2"/>
      <c r="S1340" s="1" t="str">
        <f t="shared" si="162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163"/>
        <v>0</v>
      </c>
      <c r="W1340" s="1" t="str">
        <f t="shared" si="164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customHeight="1" x14ac:dyDescent="0.3">
      <c r="A1341" s="2"/>
      <c r="B1341" s="65" t="str">
        <f t="shared" si="165"/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 t="shared" si="166"/>
        <v/>
      </c>
      <c r="N1341" s="74" t="str">
        <f t="shared" si="167"/>
        <v/>
      </c>
      <c r="O1341" s="73" t="str">
        <f t="shared" si="168"/>
        <v/>
      </c>
      <c r="P1341" s="65" t="str">
        <f t="shared" ca="1" si="169"/>
        <v/>
      </c>
      <c r="Q1341" s="2"/>
      <c r="R1341" s="2"/>
      <c r="S1341" s="1" t="str">
        <f t="shared" si="162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163"/>
        <v>0</v>
      </c>
      <c r="W1341" s="1" t="str">
        <f t="shared" si="164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customHeight="1" x14ac:dyDescent="0.3">
      <c r="A1342" s="2"/>
      <c r="B1342" s="65" t="str">
        <f t="shared" si="165"/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 t="shared" si="166"/>
        <v/>
      </c>
      <c r="N1342" s="74" t="str">
        <f t="shared" si="167"/>
        <v/>
      </c>
      <c r="O1342" s="73" t="str">
        <f t="shared" si="168"/>
        <v/>
      </c>
      <c r="P1342" s="65" t="str">
        <f t="shared" ca="1" si="169"/>
        <v/>
      </c>
      <c r="Q1342" s="2"/>
      <c r="R1342" s="2"/>
      <c r="S1342" s="1" t="str">
        <f t="shared" si="162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163"/>
        <v>0</v>
      </c>
      <c r="W1342" s="1" t="str">
        <f t="shared" si="164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customHeight="1" x14ac:dyDescent="0.3">
      <c r="A1343" s="2"/>
      <c r="B1343" s="65" t="str">
        <f t="shared" si="165"/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 t="shared" si="166"/>
        <v/>
      </c>
      <c r="N1343" s="74" t="str">
        <f t="shared" si="167"/>
        <v/>
      </c>
      <c r="O1343" s="73" t="str">
        <f t="shared" si="168"/>
        <v/>
      </c>
      <c r="P1343" s="65" t="str">
        <f t="shared" ca="1" si="169"/>
        <v/>
      </c>
      <c r="Q1343" s="2"/>
      <c r="R1343" s="2"/>
      <c r="S1343" s="1" t="str">
        <f t="shared" si="162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163"/>
        <v>0</v>
      </c>
      <c r="W1343" s="1" t="str">
        <f t="shared" si="164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customHeight="1" x14ac:dyDescent="0.3">
      <c r="A1344" s="2"/>
      <c r="B1344" s="65" t="str">
        <f t="shared" si="165"/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 t="shared" si="166"/>
        <v/>
      </c>
      <c r="N1344" s="74" t="str">
        <f t="shared" si="167"/>
        <v/>
      </c>
      <c r="O1344" s="73" t="str">
        <f t="shared" si="168"/>
        <v/>
      </c>
      <c r="P1344" s="65" t="str">
        <f t="shared" ca="1" si="169"/>
        <v/>
      </c>
      <c r="Q1344" s="2"/>
      <c r="R1344" s="2"/>
      <c r="S1344" s="1" t="str">
        <f t="shared" si="162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163"/>
        <v>0</v>
      </c>
      <c r="W1344" s="1" t="str">
        <f t="shared" si="164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customHeight="1" x14ac:dyDescent="0.3">
      <c r="A1345" s="2"/>
      <c r="B1345" s="65" t="str">
        <f t="shared" si="165"/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 t="shared" si="166"/>
        <v/>
      </c>
      <c r="N1345" s="74" t="str">
        <f t="shared" si="167"/>
        <v/>
      </c>
      <c r="O1345" s="73" t="str">
        <f t="shared" si="168"/>
        <v/>
      </c>
      <c r="P1345" s="65" t="str">
        <f t="shared" ca="1" si="169"/>
        <v/>
      </c>
      <c r="Q1345" s="2"/>
      <c r="R1345" s="2"/>
      <c r="S1345" s="1" t="str">
        <f t="shared" si="162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163"/>
        <v>0</v>
      </c>
      <c r="W1345" s="1" t="str">
        <f t="shared" si="164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customHeight="1" x14ac:dyDescent="0.3">
      <c r="A1346" s="2"/>
      <c r="B1346" s="65" t="str">
        <f t="shared" si="165"/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 t="shared" si="166"/>
        <v/>
      </c>
      <c r="N1346" s="74" t="str">
        <f t="shared" si="167"/>
        <v/>
      </c>
      <c r="O1346" s="73" t="str">
        <f t="shared" si="168"/>
        <v/>
      </c>
      <c r="P1346" s="65" t="str">
        <f t="shared" ca="1" si="169"/>
        <v/>
      </c>
      <c r="Q1346" s="2"/>
      <c r="R1346" s="2"/>
      <c r="S1346" s="1" t="str">
        <f t="shared" si="162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163"/>
        <v>0</v>
      </c>
      <c r="W1346" s="1" t="str">
        <f t="shared" si="164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customHeight="1" x14ac:dyDescent="0.3">
      <c r="A1347" s="2"/>
      <c r="B1347" s="65" t="str">
        <f t="shared" si="165"/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 t="shared" si="166"/>
        <v/>
      </c>
      <c r="N1347" s="74" t="str">
        <f t="shared" si="167"/>
        <v/>
      </c>
      <c r="O1347" s="73" t="str">
        <f t="shared" si="168"/>
        <v/>
      </c>
      <c r="P1347" s="65" t="str">
        <f t="shared" ca="1" si="169"/>
        <v/>
      </c>
      <c r="Q1347" s="2"/>
      <c r="R1347" s="2"/>
      <c r="S1347" s="1" t="str">
        <f t="shared" si="162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163"/>
        <v>0</v>
      </c>
      <c r="W1347" s="1" t="str">
        <f t="shared" si="164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customHeight="1" x14ac:dyDescent="0.3">
      <c r="A1348" s="2"/>
      <c r="B1348" s="65" t="str">
        <f t="shared" si="165"/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 t="shared" si="166"/>
        <v/>
      </c>
      <c r="N1348" s="74" t="str">
        <f t="shared" si="167"/>
        <v/>
      </c>
      <c r="O1348" s="73" t="str">
        <f t="shared" si="168"/>
        <v/>
      </c>
      <c r="P1348" s="65" t="str">
        <f t="shared" ca="1" si="169"/>
        <v/>
      </c>
      <c r="Q1348" s="2"/>
      <c r="R1348" s="2"/>
      <c r="S1348" s="1" t="str">
        <f t="shared" si="162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163"/>
        <v>0</v>
      </c>
      <c r="W1348" s="1" t="str">
        <f t="shared" si="164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customHeight="1" x14ac:dyDescent="0.3">
      <c r="A1349" s="2"/>
      <c r="B1349" s="65" t="str">
        <f t="shared" si="165"/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 t="shared" si="166"/>
        <v/>
      </c>
      <c r="N1349" s="74" t="str">
        <f t="shared" si="167"/>
        <v/>
      </c>
      <c r="O1349" s="73" t="str">
        <f t="shared" si="168"/>
        <v/>
      </c>
      <c r="P1349" s="65" t="str">
        <f t="shared" ca="1" si="169"/>
        <v/>
      </c>
      <c r="Q1349" s="2"/>
      <c r="R1349" s="2"/>
      <c r="S1349" s="1" t="str">
        <f t="shared" ref="S1349:S1412" si="170"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ref="V1349:V1412" si="171">IF($T1349="",0,1)</f>
        <v>0</v>
      </c>
      <c r="W1349" s="1" t="str">
        <f t="shared" ref="W1349:W1412" si="172">IF($C1349="","",$D1349&amp;"|"&amp;$E1349&amp;"|"&amp;TEXT($C1349,"0")&amp;"|"&amp;TEXT($G1349,"0")&amp;"|"&amp;$F1349&amp;"|"&amp;$J1349)</f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customHeight="1" x14ac:dyDescent="0.3">
      <c r="A1350" s="2"/>
      <c r="B1350" s="65" t="str">
        <f t="shared" si="165"/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 t="shared" si="166"/>
        <v/>
      </c>
      <c r="N1350" s="74" t="str">
        <f t="shared" si="167"/>
        <v/>
      </c>
      <c r="O1350" s="73" t="str">
        <f t="shared" si="168"/>
        <v/>
      </c>
      <c r="P1350" s="65" t="str">
        <f t="shared" ca="1" si="169"/>
        <v/>
      </c>
      <c r="Q1350" s="2"/>
      <c r="R1350" s="2"/>
      <c r="S1350" s="1" t="str">
        <f t="shared" si="170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171"/>
        <v>0</v>
      </c>
      <c r="W1350" s="1" t="str">
        <f t="shared" si="172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customHeight="1" x14ac:dyDescent="0.3">
      <c r="A1351" s="2"/>
      <c r="B1351" s="65" t="str">
        <f t="shared" ref="B1351:B1414" si="173"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 t="shared" ref="M1351:M1414" si="174">IF($C1351="","",IF($D1351="Gider",$E1351,IF($L1351&lt;&gt;"",$L1351,$H1351)))</f>
        <v/>
      </c>
      <c r="N1351" s="74" t="str">
        <f t="shared" ref="N1351:N1414" si="175">IF($C1351="","",IF($D1351="Gider",$H1351,$E1351))</f>
        <v/>
      </c>
      <c r="O1351" s="73" t="str">
        <f t="shared" ref="O1351:O1414" si="176">IF($C1351="","",DATE(YEAR($C1351),MONTH($C1351),1))</f>
        <v/>
      </c>
      <c r="P1351" s="65" t="str">
        <f t="shared" ref="P1351:P1414" ca="1" si="177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TARİH",IF(COUNTIF($W$7:$W$3001,$W1351)&gt;1,"MÜKERRER?",IF($AD1351&gt;0,"KAPALI DÖNEM",IF($I1351="Hayır","ÖDENECEK","UYGUN")))),"EKSİK"))))</f>
        <v/>
      </c>
      <c r="Q1351" s="2"/>
      <c r="R1351" s="2"/>
      <c r="S1351" s="1" t="str">
        <f t="shared" si="170"/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si="171"/>
        <v>0</v>
      </c>
      <c r="W1351" s="1" t="str">
        <f t="shared" si="172"/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customHeight="1" x14ac:dyDescent="0.3">
      <c r="A1352" s="2"/>
      <c r="B1352" s="65" t="str">
        <f t="shared" si="173"/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 t="shared" si="174"/>
        <v/>
      </c>
      <c r="N1352" s="74" t="str">
        <f t="shared" si="175"/>
        <v/>
      </c>
      <c r="O1352" s="73" t="str">
        <f t="shared" si="176"/>
        <v/>
      </c>
      <c r="P1352" s="65" t="str">
        <f t="shared" ca="1" si="177"/>
        <v/>
      </c>
      <c r="Q1352" s="2"/>
      <c r="R1352" s="2"/>
      <c r="S1352" s="1" t="str">
        <f t="shared" si="170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171"/>
        <v>0</v>
      </c>
      <c r="W1352" s="1" t="str">
        <f t="shared" si="172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customHeight="1" x14ac:dyDescent="0.3">
      <c r="A1353" s="2"/>
      <c r="B1353" s="65" t="str">
        <f t="shared" si="173"/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 t="shared" si="174"/>
        <v/>
      </c>
      <c r="N1353" s="74" t="str">
        <f t="shared" si="175"/>
        <v/>
      </c>
      <c r="O1353" s="73" t="str">
        <f t="shared" si="176"/>
        <v/>
      </c>
      <c r="P1353" s="65" t="str">
        <f t="shared" ca="1" si="177"/>
        <v/>
      </c>
      <c r="Q1353" s="2"/>
      <c r="R1353" s="2"/>
      <c r="S1353" s="1" t="str">
        <f t="shared" si="170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171"/>
        <v>0</v>
      </c>
      <c r="W1353" s="1" t="str">
        <f t="shared" si="172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customHeight="1" x14ac:dyDescent="0.3">
      <c r="A1354" s="2"/>
      <c r="B1354" s="65" t="str">
        <f t="shared" si="173"/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 t="shared" si="174"/>
        <v/>
      </c>
      <c r="N1354" s="74" t="str">
        <f t="shared" si="175"/>
        <v/>
      </c>
      <c r="O1354" s="73" t="str">
        <f t="shared" si="176"/>
        <v/>
      </c>
      <c r="P1354" s="65" t="str">
        <f t="shared" ca="1" si="177"/>
        <v/>
      </c>
      <c r="Q1354" s="2"/>
      <c r="R1354" s="2"/>
      <c r="S1354" s="1" t="str">
        <f t="shared" si="170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171"/>
        <v>0</v>
      </c>
      <c r="W1354" s="1" t="str">
        <f t="shared" si="172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customHeight="1" x14ac:dyDescent="0.3">
      <c r="A1355" s="2"/>
      <c r="B1355" s="65" t="str">
        <f t="shared" si="173"/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 t="shared" si="174"/>
        <v/>
      </c>
      <c r="N1355" s="74" t="str">
        <f t="shared" si="175"/>
        <v/>
      </c>
      <c r="O1355" s="73" t="str">
        <f t="shared" si="176"/>
        <v/>
      </c>
      <c r="P1355" s="65" t="str">
        <f t="shared" ca="1" si="177"/>
        <v/>
      </c>
      <c r="Q1355" s="2"/>
      <c r="R1355" s="2"/>
      <c r="S1355" s="1" t="str">
        <f t="shared" si="170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171"/>
        <v>0</v>
      </c>
      <c r="W1355" s="1" t="str">
        <f t="shared" si="172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customHeight="1" x14ac:dyDescent="0.3">
      <c r="A1356" s="2"/>
      <c r="B1356" s="65" t="str">
        <f t="shared" si="173"/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 t="shared" si="174"/>
        <v/>
      </c>
      <c r="N1356" s="74" t="str">
        <f t="shared" si="175"/>
        <v/>
      </c>
      <c r="O1356" s="73" t="str">
        <f t="shared" si="176"/>
        <v/>
      </c>
      <c r="P1356" s="65" t="str">
        <f t="shared" ca="1" si="177"/>
        <v/>
      </c>
      <c r="Q1356" s="2"/>
      <c r="R1356" s="2"/>
      <c r="S1356" s="1" t="str">
        <f t="shared" si="170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171"/>
        <v>0</v>
      </c>
      <c r="W1356" s="1" t="str">
        <f t="shared" si="172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customHeight="1" x14ac:dyDescent="0.3">
      <c r="A1357" s="2"/>
      <c r="B1357" s="65" t="str">
        <f t="shared" si="173"/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 t="shared" si="174"/>
        <v/>
      </c>
      <c r="N1357" s="74" t="str">
        <f t="shared" si="175"/>
        <v/>
      </c>
      <c r="O1357" s="73" t="str">
        <f t="shared" si="176"/>
        <v/>
      </c>
      <c r="P1357" s="65" t="str">
        <f t="shared" ca="1" si="177"/>
        <v/>
      </c>
      <c r="Q1357" s="2"/>
      <c r="R1357" s="2"/>
      <c r="S1357" s="1" t="str">
        <f t="shared" si="170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171"/>
        <v>0</v>
      </c>
      <c r="W1357" s="1" t="str">
        <f t="shared" si="172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customHeight="1" x14ac:dyDescent="0.3">
      <c r="A1358" s="2"/>
      <c r="B1358" s="65" t="str">
        <f t="shared" si="173"/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 t="shared" si="174"/>
        <v/>
      </c>
      <c r="N1358" s="74" t="str">
        <f t="shared" si="175"/>
        <v/>
      </c>
      <c r="O1358" s="73" t="str">
        <f t="shared" si="176"/>
        <v/>
      </c>
      <c r="P1358" s="65" t="str">
        <f t="shared" ca="1" si="177"/>
        <v/>
      </c>
      <c r="Q1358" s="2"/>
      <c r="R1358" s="2"/>
      <c r="S1358" s="1" t="str">
        <f t="shared" si="170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171"/>
        <v>0</v>
      </c>
      <c r="W1358" s="1" t="str">
        <f t="shared" si="172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customHeight="1" x14ac:dyDescent="0.3">
      <c r="A1359" s="2"/>
      <c r="B1359" s="65" t="str">
        <f t="shared" si="173"/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 t="shared" si="174"/>
        <v/>
      </c>
      <c r="N1359" s="74" t="str">
        <f t="shared" si="175"/>
        <v/>
      </c>
      <c r="O1359" s="73" t="str">
        <f t="shared" si="176"/>
        <v/>
      </c>
      <c r="P1359" s="65" t="str">
        <f t="shared" ca="1" si="177"/>
        <v/>
      </c>
      <c r="Q1359" s="2"/>
      <c r="R1359" s="2"/>
      <c r="S1359" s="1" t="str">
        <f t="shared" si="170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171"/>
        <v>0</v>
      </c>
      <c r="W1359" s="1" t="str">
        <f t="shared" si="172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customHeight="1" x14ac:dyDescent="0.3">
      <c r="A1360" s="2"/>
      <c r="B1360" s="65" t="str">
        <f t="shared" si="173"/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 t="shared" si="174"/>
        <v/>
      </c>
      <c r="N1360" s="74" t="str">
        <f t="shared" si="175"/>
        <v/>
      </c>
      <c r="O1360" s="73" t="str">
        <f t="shared" si="176"/>
        <v/>
      </c>
      <c r="P1360" s="65" t="str">
        <f t="shared" ca="1" si="177"/>
        <v/>
      </c>
      <c r="Q1360" s="2"/>
      <c r="R1360" s="2"/>
      <c r="S1360" s="1" t="str">
        <f t="shared" si="170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171"/>
        <v>0</v>
      </c>
      <c r="W1360" s="1" t="str">
        <f t="shared" si="172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customHeight="1" x14ac:dyDescent="0.3">
      <c r="A1361" s="2"/>
      <c r="B1361" s="65" t="str">
        <f t="shared" si="173"/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 t="shared" si="174"/>
        <v/>
      </c>
      <c r="N1361" s="74" t="str">
        <f t="shared" si="175"/>
        <v/>
      </c>
      <c r="O1361" s="73" t="str">
        <f t="shared" si="176"/>
        <v/>
      </c>
      <c r="P1361" s="65" t="str">
        <f t="shared" ca="1" si="177"/>
        <v/>
      </c>
      <c r="Q1361" s="2"/>
      <c r="R1361" s="2"/>
      <c r="S1361" s="1" t="str">
        <f t="shared" si="170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171"/>
        <v>0</v>
      </c>
      <c r="W1361" s="1" t="str">
        <f t="shared" si="172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customHeight="1" x14ac:dyDescent="0.3">
      <c r="A1362" s="2"/>
      <c r="B1362" s="65" t="str">
        <f t="shared" si="173"/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 t="shared" si="174"/>
        <v/>
      </c>
      <c r="N1362" s="74" t="str">
        <f t="shared" si="175"/>
        <v/>
      </c>
      <c r="O1362" s="73" t="str">
        <f t="shared" si="176"/>
        <v/>
      </c>
      <c r="P1362" s="65" t="str">
        <f t="shared" ca="1" si="177"/>
        <v/>
      </c>
      <c r="Q1362" s="2"/>
      <c r="R1362" s="2"/>
      <c r="S1362" s="1" t="str">
        <f t="shared" si="170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171"/>
        <v>0</v>
      </c>
      <c r="W1362" s="1" t="str">
        <f t="shared" si="172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customHeight="1" x14ac:dyDescent="0.3">
      <c r="A1363" s="2"/>
      <c r="B1363" s="65" t="str">
        <f t="shared" si="173"/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 t="shared" si="174"/>
        <v/>
      </c>
      <c r="N1363" s="74" t="str">
        <f t="shared" si="175"/>
        <v/>
      </c>
      <c r="O1363" s="73" t="str">
        <f t="shared" si="176"/>
        <v/>
      </c>
      <c r="P1363" s="65" t="str">
        <f t="shared" ca="1" si="177"/>
        <v/>
      </c>
      <c r="Q1363" s="2"/>
      <c r="R1363" s="2"/>
      <c r="S1363" s="1" t="str">
        <f t="shared" si="170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171"/>
        <v>0</v>
      </c>
      <c r="W1363" s="1" t="str">
        <f t="shared" si="172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customHeight="1" x14ac:dyDescent="0.3">
      <c r="A1364" s="2"/>
      <c r="B1364" s="65" t="str">
        <f t="shared" si="173"/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 t="shared" si="174"/>
        <v/>
      </c>
      <c r="N1364" s="74" t="str">
        <f t="shared" si="175"/>
        <v/>
      </c>
      <c r="O1364" s="73" t="str">
        <f t="shared" si="176"/>
        <v/>
      </c>
      <c r="P1364" s="65" t="str">
        <f t="shared" ca="1" si="177"/>
        <v/>
      </c>
      <c r="Q1364" s="2"/>
      <c r="R1364" s="2"/>
      <c r="S1364" s="1" t="str">
        <f t="shared" si="170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171"/>
        <v>0</v>
      </c>
      <c r="W1364" s="1" t="str">
        <f t="shared" si="172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customHeight="1" x14ac:dyDescent="0.3">
      <c r="A1365" s="2"/>
      <c r="B1365" s="65" t="str">
        <f t="shared" si="173"/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 t="shared" si="174"/>
        <v/>
      </c>
      <c r="N1365" s="74" t="str">
        <f t="shared" si="175"/>
        <v/>
      </c>
      <c r="O1365" s="73" t="str">
        <f t="shared" si="176"/>
        <v/>
      </c>
      <c r="P1365" s="65" t="str">
        <f t="shared" ca="1" si="177"/>
        <v/>
      </c>
      <c r="Q1365" s="2"/>
      <c r="R1365" s="2"/>
      <c r="S1365" s="1" t="str">
        <f t="shared" si="170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171"/>
        <v>0</v>
      </c>
      <c r="W1365" s="1" t="str">
        <f t="shared" si="172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customHeight="1" x14ac:dyDescent="0.3">
      <c r="A1366" s="2"/>
      <c r="B1366" s="65" t="str">
        <f t="shared" si="173"/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 t="shared" si="174"/>
        <v/>
      </c>
      <c r="N1366" s="74" t="str">
        <f t="shared" si="175"/>
        <v/>
      </c>
      <c r="O1366" s="73" t="str">
        <f t="shared" si="176"/>
        <v/>
      </c>
      <c r="P1366" s="65" t="str">
        <f t="shared" ca="1" si="177"/>
        <v/>
      </c>
      <c r="Q1366" s="2"/>
      <c r="R1366" s="2"/>
      <c r="S1366" s="1" t="str">
        <f t="shared" si="170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171"/>
        <v>0</v>
      </c>
      <c r="W1366" s="1" t="str">
        <f t="shared" si="172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customHeight="1" x14ac:dyDescent="0.3">
      <c r="A1367" s="2"/>
      <c r="B1367" s="65" t="str">
        <f t="shared" si="173"/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 t="shared" si="174"/>
        <v/>
      </c>
      <c r="N1367" s="74" t="str">
        <f t="shared" si="175"/>
        <v/>
      </c>
      <c r="O1367" s="73" t="str">
        <f t="shared" si="176"/>
        <v/>
      </c>
      <c r="P1367" s="65" t="str">
        <f t="shared" ca="1" si="177"/>
        <v/>
      </c>
      <c r="Q1367" s="2"/>
      <c r="R1367" s="2"/>
      <c r="S1367" s="1" t="str">
        <f t="shared" si="170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171"/>
        <v>0</v>
      </c>
      <c r="W1367" s="1" t="str">
        <f t="shared" si="172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customHeight="1" x14ac:dyDescent="0.3">
      <c r="A1368" s="2"/>
      <c r="B1368" s="65" t="str">
        <f t="shared" si="173"/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 t="shared" si="174"/>
        <v/>
      </c>
      <c r="N1368" s="74" t="str">
        <f t="shared" si="175"/>
        <v/>
      </c>
      <c r="O1368" s="73" t="str">
        <f t="shared" si="176"/>
        <v/>
      </c>
      <c r="P1368" s="65" t="str">
        <f t="shared" ca="1" si="177"/>
        <v/>
      </c>
      <c r="Q1368" s="2"/>
      <c r="R1368" s="2"/>
      <c r="S1368" s="1" t="str">
        <f t="shared" si="170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171"/>
        <v>0</v>
      </c>
      <c r="W1368" s="1" t="str">
        <f t="shared" si="172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customHeight="1" x14ac:dyDescent="0.3">
      <c r="A1369" s="2"/>
      <c r="B1369" s="65" t="str">
        <f t="shared" si="173"/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 t="shared" si="174"/>
        <v/>
      </c>
      <c r="N1369" s="74" t="str">
        <f t="shared" si="175"/>
        <v/>
      </c>
      <c r="O1369" s="73" t="str">
        <f t="shared" si="176"/>
        <v/>
      </c>
      <c r="P1369" s="65" t="str">
        <f t="shared" ca="1" si="177"/>
        <v/>
      </c>
      <c r="Q1369" s="2"/>
      <c r="R1369" s="2"/>
      <c r="S1369" s="1" t="str">
        <f t="shared" si="170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171"/>
        <v>0</v>
      </c>
      <c r="W1369" s="1" t="str">
        <f t="shared" si="172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customHeight="1" x14ac:dyDescent="0.3">
      <c r="A1370" s="2"/>
      <c r="B1370" s="65" t="str">
        <f t="shared" si="173"/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 t="shared" si="174"/>
        <v/>
      </c>
      <c r="N1370" s="74" t="str">
        <f t="shared" si="175"/>
        <v/>
      </c>
      <c r="O1370" s="73" t="str">
        <f t="shared" si="176"/>
        <v/>
      </c>
      <c r="P1370" s="65" t="str">
        <f t="shared" ca="1" si="177"/>
        <v/>
      </c>
      <c r="Q1370" s="2"/>
      <c r="R1370" s="2"/>
      <c r="S1370" s="1" t="str">
        <f t="shared" si="170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171"/>
        <v>0</v>
      </c>
      <c r="W1370" s="1" t="str">
        <f t="shared" si="172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customHeight="1" x14ac:dyDescent="0.3">
      <c r="A1371" s="2"/>
      <c r="B1371" s="65" t="str">
        <f t="shared" si="173"/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 t="shared" si="174"/>
        <v/>
      </c>
      <c r="N1371" s="74" t="str">
        <f t="shared" si="175"/>
        <v/>
      </c>
      <c r="O1371" s="73" t="str">
        <f t="shared" si="176"/>
        <v/>
      </c>
      <c r="P1371" s="65" t="str">
        <f t="shared" ca="1" si="177"/>
        <v/>
      </c>
      <c r="Q1371" s="2"/>
      <c r="R1371" s="2"/>
      <c r="S1371" s="1" t="str">
        <f t="shared" si="170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171"/>
        <v>0</v>
      </c>
      <c r="W1371" s="1" t="str">
        <f t="shared" si="172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customHeight="1" x14ac:dyDescent="0.3">
      <c r="A1372" s="2"/>
      <c r="B1372" s="65" t="str">
        <f t="shared" si="173"/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 t="shared" si="174"/>
        <v/>
      </c>
      <c r="N1372" s="74" t="str">
        <f t="shared" si="175"/>
        <v/>
      </c>
      <c r="O1372" s="73" t="str">
        <f t="shared" si="176"/>
        <v/>
      </c>
      <c r="P1372" s="65" t="str">
        <f t="shared" ca="1" si="177"/>
        <v/>
      </c>
      <c r="Q1372" s="2"/>
      <c r="R1372" s="2"/>
      <c r="S1372" s="1" t="str">
        <f t="shared" si="170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171"/>
        <v>0</v>
      </c>
      <c r="W1372" s="1" t="str">
        <f t="shared" si="172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customHeight="1" x14ac:dyDescent="0.3">
      <c r="A1373" s="2"/>
      <c r="B1373" s="65" t="str">
        <f t="shared" si="173"/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 t="shared" si="174"/>
        <v/>
      </c>
      <c r="N1373" s="74" t="str">
        <f t="shared" si="175"/>
        <v/>
      </c>
      <c r="O1373" s="73" t="str">
        <f t="shared" si="176"/>
        <v/>
      </c>
      <c r="P1373" s="65" t="str">
        <f t="shared" ca="1" si="177"/>
        <v/>
      </c>
      <c r="Q1373" s="2"/>
      <c r="R1373" s="2"/>
      <c r="S1373" s="1" t="str">
        <f t="shared" si="170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171"/>
        <v>0</v>
      </c>
      <c r="W1373" s="1" t="str">
        <f t="shared" si="172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customHeight="1" x14ac:dyDescent="0.3">
      <c r="A1374" s="2"/>
      <c r="B1374" s="65" t="str">
        <f t="shared" si="173"/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 t="shared" si="174"/>
        <v/>
      </c>
      <c r="N1374" s="74" t="str">
        <f t="shared" si="175"/>
        <v/>
      </c>
      <c r="O1374" s="73" t="str">
        <f t="shared" si="176"/>
        <v/>
      </c>
      <c r="P1374" s="65" t="str">
        <f t="shared" ca="1" si="177"/>
        <v/>
      </c>
      <c r="Q1374" s="2"/>
      <c r="R1374" s="2"/>
      <c r="S1374" s="1" t="str">
        <f t="shared" si="170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171"/>
        <v>0</v>
      </c>
      <c r="W1374" s="1" t="str">
        <f t="shared" si="172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customHeight="1" x14ac:dyDescent="0.3">
      <c r="A1375" s="2"/>
      <c r="B1375" s="65" t="str">
        <f t="shared" si="173"/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 t="shared" si="174"/>
        <v/>
      </c>
      <c r="N1375" s="74" t="str">
        <f t="shared" si="175"/>
        <v/>
      </c>
      <c r="O1375" s="73" t="str">
        <f t="shared" si="176"/>
        <v/>
      </c>
      <c r="P1375" s="65" t="str">
        <f t="shared" ca="1" si="177"/>
        <v/>
      </c>
      <c r="Q1375" s="2"/>
      <c r="R1375" s="2"/>
      <c r="S1375" s="1" t="str">
        <f t="shared" si="170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171"/>
        <v>0</v>
      </c>
      <c r="W1375" s="1" t="str">
        <f t="shared" si="172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customHeight="1" x14ac:dyDescent="0.3">
      <c r="A1376" s="2"/>
      <c r="B1376" s="65" t="str">
        <f t="shared" si="173"/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 t="shared" si="174"/>
        <v/>
      </c>
      <c r="N1376" s="74" t="str">
        <f t="shared" si="175"/>
        <v/>
      </c>
      <c r="O1376" s="73" t="str">
        <f t="shared" si="176"/>
        <v/>
      </c>
      <c r="P1376" s="65" t="str">
        <f t="shared" ca="1" si="177"/>
        <v/>
      </c>
      <c r="Q1376" s="2"/>
      <c r="R1376" s="2"/>
      <c r="S1376" s="1" t="str">
        <f t="shared" si="170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171"/>
        <v>0</v>
      </c>
      <c r="W1376" s="1" t="str">
        <f t="shared" si="172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customHeight="1" x14ac:dyDescent="0.3">
      <c r="A1377" s="2"/>
      <c r="B1377" s="65" t="str">
        <f t="shared" si="173"/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 t="shared" si="174"/>
        <v/>
      </c>
      <c r="N1377" s="74" t="str">
        <f t="shared" si="175"/>
        <v/>
      </c>
      <c r="O1377" s="73" t="str">
        <f t="shared" si="176"/>
        <v/>
      </c>
      <c r="P1377" s="65" t="str">
        <f t="shared" ca="1" si="177"/>
        <v/>
      </c>
      <c r="Q1377" s="2"/>
      <c r="R1377" s="2"/>
      <c r="S1377" s="1" t="str">
        <f t="shared" si="170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171"/>
        <v>0</v>
      </c>
      <c r="W1377" s="1" t="str">
        <f t="shared" si="172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customHeight="1" x14ac:dyDescent="0.3">
      <c r="A1378" s="2"/>
      <c r="B1378" s="65" t="str">
        <f t="shared" si="173"/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 t="shared" si="174"/>
        <v/>
      </c>
      <c r="N1378" s="74" t="str">
        <f t="shared" si="175"/>
        <v/>
      </c>
      <c r="O1378" s="73" t="str">
        <f t="shared" si="176"/>
        <v/>
      </c>
      <c r="P1378" s="65" t="str">
        <f t="shared" ca="1" si="177"/>
        <v/>
      </c>
      <c r="Q1378" s="2"/>
      <c r="R1378" s="2"/>
      <c r="S1378" s="1" t="str">
        <f t="shared" si="170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171"/>
        <v>0</v>
      </c>
      <c r="W1378" s="1" t="str">
        <f t="shared" si="172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customHeight="1" x14ac:dyDescent="0.3">
      <c r="A1379" s="2"/>
      <c r="B1379" s="65" t="str">
        <f t="shared" si="173"/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 t="shared" si="174"/>
        <v/>
      </c>
      <c r="N1379" s="74" t="str">
        <f t="shared" si="175"/>
        <v/>
      </c>
      <c r="O1379" s="73" t="str">
        <f t="shared" si="176"/>
        <v/>
      </c>
      <c r="P1379" s="65" t="str">
        <f t="shared" ca="1" si="177"/>
        <v/>
      </c>
      <c r="Q1379" s="2"/>
      <c r="R1379" s="2"/>
      <c r="S1379" s="1" t="str">
        <f t="shared" si="170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171"/>
        <v>0</v>
      </c>
      <c r="W1379" s="1" t="str">
        <f t="shared" si="172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customHeight="1" x14ac:dyDescent="0.3">
      <c r="A1380" s="2"/>
      <c r="B1380" s="65" t="str">
        <f t="shared" si="173"/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 t="shared" si="174"/>
        <v/>
      </c>
      <c r="N1380" s="74" t="str">
        <f t="shared" si="175"/>
        <v/>
      </c>
      <c r="O1380" s="73" t="str">
        <f t="shared" si="176"/>
        <v/>
      </c>
      <c r="P1380" s="65" t="str">
        <f t="shared" ca="1" si="177"/>
        <v/>
      </c>
      <c r="Q1380" s="2"/>
      <c r="R1380" s="2"/>
      <c r="S1380" s="1" t="str">
        <f t="shared" si="170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171"/>
        <v>0</v>
      </c>
      <c r="W1380" s="1" t="str">
        <f t="shared" si="172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customHeight="1" x14ac:dyDescent="0.3">
      <c r="A1381" s="2"/>
      <c r="B1381" s="65" t="str">
        <f t="shared" si="173"/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 t="shared" si="174"/>
        <v/>
      </c>
      <c r="N1381" s="74" t="str">
        <f t="shared" si="175"/>
        <v/>
      </c>
      <c r="O1381" s="73" t="str">
        <f t="shared" si="176"/>
        <v/>
      </c>
      <c r="P1381" s="65" t="str">
        <f t="shared" ca="1" si="177"/>
        <v/>
      </c>
      <c r="Q1381" s="2"/>
      <c r="R1381" s="2"/>
      <c r="S1381" s="1" t="str">
        <f t="shared" si="170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171"/>
        <v>0</v>
      </c>
      <c r="W1381" s="1" t="str">
        <f t="shared" si="172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customHeight="1" x14ac:dyDescent="0.3">
      <c r="A1382" s="2"/>
      <c r="B1382" s="65" t="str">
        <f t="shared" si="173"/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 t="shared" si="174"/>
        <v/>
      </c>
      <c r="N1382" s="74" t="str">
        <f t="shared" si="175"/>
        <v/>
      </c>
      <c r="O1382" s="73" t="str">
        <f t="shared" si="176"/>
        <v/>
      </c>
      <c r="P1382" s="65" t="str">
        <f t="shared" ca="1" si="177"/>
        <v/>
      </c>
      <c r="Q1382" s="2"/>
      <c r="R1382" s="2"/>
      <c r="S1382" s="1" t="str">
        <f t="shared" si="170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171"/>
        <v>0</v>
      </c>
      <c r="W1382" s="1" t="str">
        <f t="shared" si="172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customHeight="1" x14ac:dyDescent="0.3">
      <c r="A1383" s="2"/>
      <c r="B1383" s="65" t="str">
        <f t="shared" si="173"/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 t="shared" si="174"/>
        <v/>
      </c>
      <c r="N1383" s="74" t="str">
        <f t="shared" si="175"/>
        <v/>
      </c>
      <c r="O1383" s="73" t="str">
        <f t="shared" si="176"/>
        <v/>
      </c>
      <c r="P1383" s="65" t="str">
        <f t="shared" ca="1" si="177"/>
        <v/>
      </c>
      <c r="Q1383" s="2"/>
      <c r="R1383" s="2"/>
      <c r="S1383" s="1" t="str">
        <f t="shared" si="170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171"/>
        <v>0</v>
      </c>
      <c r="W1383" s="1" t="str">
        <f t="shared" si="172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customHeight="1" x14ac:dyDescent="0.3">
      <c r="A1384" s="2"/>
      <c r="B1384" s="65" t="str">
        <f t="shared" si="173"/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 t="shared" si="174"/>
        <v/>
      </c>
      <c r="N1384" s="74" t="str">
        <f t="shared" si="175"/>
        <v/>
      </c>
      <c r="O1384" s="73" t="str">
        <f t="shared" si="176"/>
        <v/>
      </c>
      <c r="P1384" s="65" t="str">
        <f t="shared" ca="1" si="177"/>
        <v/>
      </c>
      <c r="Q1384" s="2"/>
      <c r="R1384" s="2"/>
      <c r="S1384" s="1" t="str">
        <f t="shared" si="170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171"/>
        <v>0</v>
      </c>
      <c r="W1384" s="1" t="str">
        <f t="shared" si="172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customHeight="1" x14ac:dyDescent="0.3">
      <c r="A1385" s="2"/>
      <c r="B1385" s="65" t="str">
        <f t="shared" si="173"/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 t="shared" si="174"/>
        <v/>
      </c>
      <c r="N1385" s="74" t="str">
        <f t="shared" si="175"/>
        <v/>
      </c>
      <c r="O1385" s="73" t="str">
        <f t="shared" si="176"/>
        <v/>
      </c>
      <c r="P1385" s="65" t="str">
        <f t="shared" ca="1" si="177"/>
        <v/>
      </c>
      <c r="Q1385" s="2"/>
      <c r="R1385" s="2"/>
      <c r="S1385" s="1" t="str">
        <f t="shared" si="170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171"/>
        <v>0</v>
      </c>
      <c r="W1385" s="1" t="str">
        <f t="shared" si="172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customHeight="1" x14ac:dyDescent="0.3">
      <c r="A1386" s="2"/>
      <c r="B1386" s="65" t="str">
        <f t="shared" si="173"/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 t="shared" si="174"/>
        <v/>
      </c>
      <c r="N1386" s="74" t="str">
        <f t="shared" si="175"/>
        <v/>
      </c>
      <c r="O1386" s="73" t="str">
        <f t="shared" si="176"/>
        <v/>
      </c>
      <c r="P1386" s="65" t="str">
        <f t="shared" ca="1" si="177"/>
        <v/>
      </c>
      <c r="Q1386" s="2"/>
      <c r="R1386" s="2"/>
      <c r="S1386" s="1" t="str">
        <f t="shared" si="170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171"/>
        <v>0</v>
      </c>
      <c r="W1386" s="1" t="str">
        <f t="shared" si="172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customHeight="1" x14ac:dyDescent="0.3">
      <c r="A1387" s="2"/>
      <c r="B1387" s="65" t="str">
        <f t="shared" si="173"/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 t="shared" si="174"/>
        <v/>
      </c>
      <c r="N1387" s="74" t="str">
        <f t="shared" si="175"/>
        <v/>
      </c>
      <c r="O1387" s="73" t="str">
        <f t="shared" si="176"/>
        <v/>
      </c>
      <c r="P1387" s="65" t="str">
        <f t="shared" ca="1" si="177"/>
        <v/>
      </c>
      <c r="Q1387" s="2"/>
      <c r="R1387" s="2"/>
      <c r="S1387" s="1" t="str">
        <f t="shared" si="170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171"/>
        <v>0</v>
      </c>
      <c r="W1387" s="1" t="str">
        <f t="shared" si="172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customHeight="1" x14ac:dyDescent="0.3">
      <c r="A1388" s="2"/>
      <c r="B1388" s="65" t="str">
        <f t="shared" si="173"/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 t="shared" si="174"/>
        <v/>
      </c>
      <c r="N1388" s="74" t="str">
        <f t="shared" si="175"/>
        <v/>
      </c>
      <c r="O1388" s="73" t="str">
        <f t="shared" si="176"/>
        <v/>
      </c>
      <c r="P1388" s="65" t="str">
        <f t="shared" ca="1" si="177"/>
        <v/>
      </c>
      <c r="Q1388" s="2"/>
      <c r="R1388" s="2"/>
      <c r="S1388" s="1" t="str">
        <f t="shared" si="170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171"/>
        <v>0</v>
      </c>
      <c r="W1388" s="1" t="str">
        <f t="shared" si="172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customHeight="1" x14ac:dyDescent="0.3">
      <c r="A1389" s="2"/>
      <c r="B1389" s="65" t="str">
        <f t="shared" si="173"/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 t="shared" si="174"/>
        <v/>
      </c>
      <c r="N1389" s="74" t="str">
        <f t="shared" si="175"/>
        <v/>
      </c>
      <c r="O1389" s="73" t="str">
        <f t="shared" si="176"/>
        <v/>
      </c>
      <c r="P1389" s="65" t="str">
        <f t="shared" ca="1" si="177"/>
        <v/>
      </c>
      <c r="Q1389" s="2"/>
      <c r="R1389" s="2"/>
      <c r="S1389" s="1" t="str">
        <f t="shared" si="170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171"/>
        <v>0</v>
      </c>
      <c r="W1389" s="1" t="str">
        <f t="shared" si="172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customHeight="1" x14ac:dyDescent="0.3">
      <c r="A1390" s="2"/>
      <c r="B1390" s="65" t="str">
        <f t="shared" si="173"/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 t="shared" si="174"/>
        <v/>
      </c>
      <c r="N1390" s="74" t="str">
        <f t="shared" si="175"/>
        <v/>
      </c>
      <c r="O1390" s="73" t="str">
        <f t="shared" si="176"/>
        <v/>
      </c>
      <c r="P1390" s="65" t="str">
        <f t="shared" ca="1" si="177"/>
        <v/>
      </c>
      <c r="Q1390" s="2"/>
      <c r="R1390" s="2"/>
      <c r="S1390" s="1" t="str">
        <f t="shared" si="170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171"/>
        <v>0</v>
      </c>
      <c r="W1390" s="1" t="str">
        <f t="shared" si="172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customHeight="1" x14ac:dyDescent="0.3">
      <c r="A1391" s="2"/>
      <c r="B1391" s="65" t="str">
        <f t="shared" si="173"/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 t="shared" si="174"/>
        <v/>
      </c>
      <c r="N1391" s="74" t="str">
        <f t="shared" si="175"/>
        <v/>
      </c>
      <c r="O1391" s="73" t="str">
        <f t="shared" si="176"/>
        <v/>
      </c>
      <c r="P1391" s="65" t="str">
        <f t="shared" ca="1" si="177"/>
        <v/>
      </c>
      <c r="Q1391" s="2"/>
      <c r="R1391" s="2"/>
      <c r="S1391" s="1" t="str">
        <f t="shared" si="170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171"/>
        <v>0</v>
      </c>
      <c r="W1391" s="1" t="str">
        <f t="shared" si="172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customHeight="1" x14ac:dyDescent="0.3">
      <c r="A1392" s="2"/>
      <c r="B1392" s="65" t="str">
        <f t="shared" si="173"/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 t="shared" si="174"/>
        <v/>
      </c>
      <c r="N1392" s="74" t="str">
        <f t="shared" si="175"/>
        <v/>
      </c>
      <c r="O1392" s="73" t="str">
        <f t="shared" si="176"/>
        <v/>
      </c>
      <c r="P1392" s="65" t="str">
        <f t="shared" ca="1" si="177"/>
        <v/>
      </c>
      <c r="Q1392" s="2"/>
      <c r="R1392" s="2"/>
      <c r="S1392" s="1" t="str">
        <f t="shared" si="170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171"/>
        <v>0</v>
      </c>
      <c r="W1392" s="1" t="str">
        <f t="shared" si="172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customHeight="1" x14ac:dyDescent="0.3">
      <c r="A1393" s="2"/>
      <c r="B1393" s="65" t="str">
        <f t="shared" si="173"/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 t="shared" si="174"/>
        <v/>
      </c>
      <c r="N1393" s="74" t="str">
        <f t="shared" si="175"/>
        <v/>
      </c>
      <c r="O1393" s="73" t="str">
        <f t="shared" si="176"/>
        <v/>
      </c>
      <c r="P1393" s="65" t="str">
        <f t="shared" ca="1" si="177"/>
        <v/>
      </c>
      <c r="Q1393" s="2"/>
      <c r="R1393" s="2"/>
      <c r="S1393" s="1" t="str">
        <f t="shared" si="170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171"/>
        <v>0</v>
      </c>
      <c r="W1393" s="1" t="str">
        <f t="shared" si="172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customHeight="1" x14ac:dyDescent="0.3">
      <c r="A1394" s="2"/>
      <c r="B1394" s="65" t="str">
        <f t="shared" si="173"/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 t="shared" si="174"/>
        <v/>
      </c>
      <c r="N1394" s="74" t="str">
        <f t="shared" si="175"/>
        <v/>
      </c>
      <c r="O1394" s="73" t="str">
        <f t="shared" si="176"/>
        <v/>
      </c>
      <c r="P1394" s="65" t="str">
        <f t="shared" ca="1" si="177"/>
        <v/>
      </c>
      <c r="Q1394" s="2"/>
      <c r="R1394" s="2"/>
      <c r="S1394" s="1" t="str">
        <f t="shared" si="170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171"/>
        <v>0</v>
      </c>
      <c r="W1394" s="1" t="str">
        <f t="shared" si="172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customHeight="1" x14ac:dyDescent="0.3">
      <c r="A1395" s="2"/>
      <c r="B1395" s="65" t="str">
        <f t="shared" si="173"/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 t="shared" si="174"/>
        <v/>
      </c>
      <c r="N1395" s="74" t="str">
        <f t="shared" si="175"/>
        <v/>
      </c>
      <c r="O1395" s="73" t="str">
        <f t="shared" si="176"/>
        <v/>
      </c>
      <c r="P1395" s="65" t="str">
        <f t="shared" ca="1" si="177"/>
        <v/>
      </c>
      <c r="Q1395" s="2"/>
      <c r="R1395" s="2"/>
      <c r="S1395" s="1" t="str">
        <f t="shared" si="170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171"/>
        <v>0</v>
      </c>
      <c r="W1395" s="1" t="str">
        <f t="shared" si="172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customHeight="1" x14ac:dyDescent="0.3">
      <c r="A1396" s="2"/>
      <c r="B1396" s="65" t="str">
        <f t="shared" si="173"/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 t="shared" si="174"/>
        <v/>
      </c>
      <c r="N1396" s="74" t="str">
        <f t="shared" si="175"/>
        <v/>
      </c>
      <c r="O1396" s="73" t="str">
        <f t="shared" si="176"/>
        <v/>
      </c>
      <c r="P1396" s="65" t="str">
        <f t="shared" ca="1" si="177"/>
        <v/>
      </c>
      <c r="Q1396" s="2"/>
      <c r="R1396" s="2"/>
      <c r="S1396" s="1" t="str">
        <f t="shared" si="170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171"/>
        <v>0</v>
      </c>
      <c r="W1396" s="1" t="str">
        <f t="shared" si="172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customHeight="1" x14ac:dyDescent="0.3">
      <c r="A1397" s="2"/>
      <c r="B1397" s="65" t="str">
        <f t="shared" si="173"/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 t="shared" si="174"/>
        <v/>
      </c>
      <c r="N1397" s="74" t="str">
        <f t="shared" si="175"/>
        <v/>
      </c>
      <c r="O1397" s="73" t="str">
        <f t="shared" si="176"/>
        <v/>
      </c>
      <c r="P1397" s="65" t="str">
        <f t="shared" ca="1" si="177"/>
        <v/>
      </c>
      <c r="Q1397" s="2"/>
      <c r="R1397" s="2"/>
      <c r="S1397" s="1" t="str">
        <f t="shared" si="170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171"/>
        <v>0</v>
      </c>
      <c r="W1397" s="1" t="str">
        <f t="shared" si="172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customHeight="1" x14ac:dyDescent="0.3">
      <c r="A1398" s="2"/>
      <c r="B1398" s="65" t="str">
        <f t="shared" si="173"/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 t="shared" si="174"/>
        <v/>
      </c>
      <c r="N1398" s="74" t="str">
        <f t="shared" si="175"/>
        <v/>
      </c>
      <c r="O1398" s="73" t="str">
        <f t="shared" si="176"/>
        <v/>
      </c>
      <c r="P1398" s="65" t="str">
        <f t="shared" ca="1" si="177"/>
        <v/>
      </c>
      <c r="Q1398" s="2"/>
      <c r="R1398" s="2"/>
      <c r="S1398" s="1" t="str">
        <f t="shared" si="170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171"/>
        <v>0</v>
      </c>
      <c r="W1398" s="1" t="str">
        <f t="shared" si="172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customHeight="1" x14ac:dyDescent="0.3">
      <c r="A1399" s="2"/>
      <c r="B1399" s="65" t="str">
        <f t="shared" si="173"/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 t="shared" si="174"/>
        <v/>
      </c>
      <c r="N1399" s="74" t="str">
        <f t="shared" si="175"/>
        <v/>
      </c>
      <c r="O1399" s="73" t="str">
        <f t="shared" si="176"/>
        <v/>
      </c>
      <c r="P1399" s="65" t="str">
        <f t="shared" ca="1" si="177"/>
        <v/>
      </c>
      <c r="Q1399" s="2"/>
      <c r="R1399" s="2"/>
      <c r="S1399" s="1" t="str">
        <f t="shared" si="170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171"/>
        <v>0</v>
      </c>
      <c r="W1399" s="1" t="str">
        <f t="shared" si="172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customHeight="1" x14ac:dyDescent="0.3">
      <c r="A1400" s="2"/>
      <c r="B1400" s="65" t="str">
        <f t="shared" si="173"/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 t="shared" si="174"/>
        <v/>
      </c>
      <c r="N1400" s="74" t="str">
        <f t="shared" si="175"/>
        <v/>
      </c>
      <c r="O1400" s="73" t="str">
        <f t="shared" si="176"/>
        <v/>
      </c>
      <c r="P1400" s="65" t="str">
        <f t="shared" ca="1" si="177"/>
        <v/>
      </c>
      <c r="Q1400" s="2"/>
      <c r="R1400" s="2"/>
      <c r="S1400" s="1" t="str">
        <f t="shared" si="170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171"/>
        <v>0</v>
      </c>
      <c r="W1400" s="1" t="str">
        <f t="shared" si="172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customHeight="1" x14ac:dyDescent="0.3">
      <c r="A1401" s="2"/>
      <c r="B1401" s="65" t="str">
        <f t="shared" si="173"/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 t="shared" si="174"/>
        <v/>
      </c>
      <c r="N1401" s="74" t="str">
        <f t="shared" si="175"/>
        <v/>
      </c>
      <c r="O1401" s="73" t="str">
        <f t="shared" si="176"/>
        <v/>
      </c>
      <c r="P1401" s="65" t="str">
        <f t="shared" ca="1" si="177"/>
        <v/>
      </c>
      <c r="Q1401" s="2"/>
      <c r="R1401" s="2"/>
      <c r="S1401" s="1" t="str">
        <f t="shared" si="170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171"/>
        <v>0</v>
      </c>
      <c r="W1401" s="1" t="str">
        <f t="shared" si="172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customHeight="1" x14ac:dyDescent="0.3">
      <c r="A1402" s="2"/>
      <c r="B1402" s="65" t="str">
        <f t="shared" si="173"/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 t="shared" si="174"/>
        <v/>
      </c>
      <c r="N1402" s="74" t="str">
        <f t="shared" si="175"/>
        <v/>
      </c>
      <c r="O1402" s="73" t="str">
        <f t="shared" si="176"/>
        <v/>
      </c>
      <c r="P1402" s="65" t="str">
        <f t="shared" ca="1" si="177"/>
        <v/>
      </c>
      <c r="Q1402" s="2"/>
      <c r="R1402" s="2"/>
      <c r="S1402" s="1" t="str">
        <f t="shared" si="170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171"/>
        <v>0</v>
      </c>
      <c r="W1402" s="1" t="str">
        <f t="shared" si="172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customHeight="1" x14ac:dyDescent="0.3">
      <c r="A1403" s="2"/>
      <c r="B1403" s="65" t="str">
        <f t="shared" si="173"/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 t="shared" si="174"/>
        <v/>
      </c>
      <c r="N1403" s="74" t="str">
        <f t="shared" si="175"/>
        <v/>
      </c>
      <c r="O1403" s="73" t="str">
        <f t="shared" si="176"/>
        <v/>
      </c>
      <c r="P1403" s="65" t="str">
        <f t="shared" ca="1" si="177"/>
        <v/>
      </c>
      <c r="Q1403" s="2"/>
      <c r="R1403" s="2"/>
      <c r="S1403" s="1" t="str">
        <f t="shared" si="170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171"/>
        <v>0</v>
      </c>
      <c r="W1403" s="1" t="str">
        <f t="shared" si="172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customHeight="1" x14ac:dyDescent="0.3">
      <c r="A1404" s="2"/>
      <c r="B1404" s="65" t="str">
        <f t="shared" si="173"/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 t="shared" si="174"/>
        <v/>
      </c>
      <c r="N1404" s="74" t="str">
        <f t="shared" si="175"/>
        <v/>
      </c>
      <c r="O1404" s="73" t="str">
        <f t="shared" si="176"/>
        <v/>
      </c>
      <c r="P1404" s="65" t="str">
        <f t="shared" ca="1" si="177"/>
        <v/>
      </c>
      <c r="Q1404" s="2"/>
      <c r="R1404" s="2"/>
      <c r="S1404" s="1" t="str">
        <f t="shared" si="170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171"/>
        <v>0</v>
      </c>
      <c r="W1404" s="1" t="str">
        <f t="shared" si="172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customHeight="1" x14ac:dyDescent="0.3">
      <c r="A1405" s="2"/>
      <c r="B1405" s="65" t="str">
        <f t="shared" si="173"/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 t="shared" si="174"/>
        <v/>
      </c>
      <c r="N1405" s="74" t="str">
        <f t="shared" si="175"/>
        <v/>
      </c>
      <c r="O1405" s="73" t="str">
        <f t="shared" si="176"/>
        <v/>
      </c>
      <c r="P1405" s="65" t="str">
        <f t="shared" ca="1" si="177"/>
        <v/>
      </c>
      <c r="Q1405" s="2"/>
      <c r="R1405" s="2"/>
      <c r="S1405" s="1" t="str">
        <f t="shared" si="170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171"/>
        <v>0</v>
      </c>
      <c r="W1405" s="1" t="str">
        <f t="shared" si="172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customHeight="1" x14ac:dyDescent="0.3">
      <c r="A1406" s="2"/>
      <c r="B1406" s="65" t="str">
        <f t="shared" si="173"/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 t="shared" si="174"/>
        <v/>
      </c>
      <c r="N1406" s="74" t="str">
        <f t="shared" si="175"/>
        <v/>
      </c>
      <c r="O1406" s="73" t="str">
        <f t="shared" si="176"/>
        <v/>
      </c>
      <c r="P1406" s="65" t="str">
        <f t="shared" ca="1" si="177"/>
        <v/>
      </c>
      <c r="Q1406" s="2"/>
      <c r="R1406" s="2"/>
      <c r="S1406" s="1" t="str">
        <f t="shared" si="170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171"/>
        <v>0</v>
      </c>
      <c r="W1406" s="1" t="str">
        <f t="shared" si="172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customHeight="1" x14ac:dyDescent="0.3">
      <c r="A1407" s="2"/>
      <c r="B1407" s="65" t="str">
        <f t="shared" si="173"/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 t="shared" si="174"/>
        <v/>
      </c>
      <c r="N1407" s="74" t="str">
        <f t="shared" si="175"/>
        <v/>
      </c>
      <c r="O1407" s="73" t="str">
        <f t="shared" si="176"/>
        <v/>
      </c>
      <c r="P1407" s="65" t="str">
        <f t="shared" ca="1" si="177"/>
        <v/>
      </c>
      <c r="Q1407" s="2"/>
      <c r="R1407" s="2"/>
      <c r="S1407" s="1" t="str">
        <f t="shared" si="170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171"/>
        <v>0</v>
      </c>
      <c r="W1407" s="1" t="str">
        <f t="shared" si="172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customHeight="1" x14ac:dyDescent="0.3">
      <c r="A1408" s="2"/>
      <c r="B1408" s="65" t="str">
        <f t="shared" si="173"/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 t="shared" si="174"/>
        <v/>
      </c>
      <c r="N1408" s="74" t="str">
        <f t="shared" si="175"/>
        <v/>
      </c>
      <c r="O1408" s="73" t="str">
        <f t="shared" si="176"/>
        <v/>
      </c>
      <c r="P1408" s="65" t="str">
        <f t="shared" ca="1" si="177"/>
        <v/>
      </c>
      <c r="Q1408" s="2"/>
      <c r="R1408" s="2"/>
      <c r="S1408" s="1" t="str">
        <f t="shared" si="170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171"/>
        <v>0</v>
      </c>
      <c r="W1408" s="1" t="str">
        <f t="shared" si="172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customHeight="1" x14ac:dyDescent="0.3">
      <c r="A1409" s="2"/>
      <c r="B1409" s="65" t="str">
        <f t="shared" si="173"/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 t="shared" si="174"/>
        <v/>
      </c>
      <c r="N1409" s="74" t="str">
        <f t="shared" si="175"/>
        <v/>
      </c>
      <c r="O1409" s="73" t="str">
        <f t="shared" si="176"/>
        <v/>
      </c>
      <c r="P1409" s="65" t="str">
        <f t="shared" ca="1" si="177"/>
        <v/>
      </c>
      <c r="Q1409" s="2"/>
      <c r="R1409" s="2"/>
      <c r="S1409" s="1" t="str">
        <f t="shared" si="170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171"/>
        <v>0</v>
      </c>
      <c r="W1409" s="1" t="str">
        <f t="shared" si="172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customHeight="1" x14ac:dyDescent="0.3">
      <c r="A1410" s="2"/>
      <c r="B1410" s="65" t="str">
        <f t="shared" si="173"/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 t="shared" si="174"/>
        <v/>
      </c>
      <c r="N1410" s="74" t="str">
        <f t="shared" si="175"/>
        <v/>
      </c>
      <c r="O1410" s="73" t="str">
        <f t="shared" si="176"/>
        <v/>
      </c>
      <c r="P1410" s="65" t="str">
        <f t="shared" ca="1" si="177"/>
        <v/>
      </c>
      <c r="Q1410" s="2"/>
      <c r="R1410" s="2"/>
      <c r="S1410" s="1" t="str">
        <f t="shared" si="170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171"/>
        <v>0</v>
      </c>
      <c r="W1410" s="1" t="str">
        <f t="shared" si="172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customHeight="1" x14ac:dyDescent="0.3">
      <c r="A1411" s="2"/>
      <c r="B1411" s="65" t="str">
        <f t="shared" si="173"/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 t="shared" si="174"/>
        <v/>
      </c>
      <c r="N1411" s="74" t="str">
        <f t="shared" si="175"/>
        <v/>
      </c>
      <c r="O1411" s="73" t="str">
        <f t="shared" si="176"/>
        <v/>
      </c>
      <c r="P1411" s="65" t="str">
        <f t="shared" ca="1" si="177"/>
        <v/>
      </c>
      <c r="Q1411" s="2"/>
      <c r="R1411" s="2"/>
      <c r="S1411" s="1" t="str">
        <f t="shared" si="170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171"/>
        <v>0</v>
      </c>
      <c r="W1411" s="1" t="str">
        <f t="shared" si="172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customHeight="1" x14ac:dyDescent="0.3">
      <c r="A1412" s="2"/>
      <c r="B1412" s="65" t="str">
        <f t="shared" si="173"/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 t="shared" si="174"/>
        <v/>
      </c>
      <c r="N1412" s="74" t="str">
        <f t="shared" si="175"/>
        <v/>
      </c>
      <c r="O1412" s="73" t="str">
        <f t="shared" si="176"/>
        <v/>
      </c>
      <c r="P1412" s="65" t="str">
        <f t="shared" ca="1" si="177"/>
        <v/>
      </c>
      <c r="Q1412" s="2"/>
      <c r="R1412" s="2"/>
      <c r="S1412" s="1" t="str">
        <f t="shared" si="170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171"/>
        <v>0</v>
      </c>
      <c r="W1412" s="1" t="str">
        <f t="shared" si="172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customHeight="1" x14ac:dyDescent="0.3">
      <c r="A1413" s="2"/>
      <c r="B1413" s="65" t="str">
        <f t="shared" si="173"/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 t="shared" si="174"/>
        <v/>
      </c>
      <c r="N1413" s="74" t="str">
        <f t="shared" si="175"/>
        <v/>
      </c>
      <c r="O1413" s="73" t="str">
        <f t="shared" si="176"/>
        <v/>
      </c>
      <c r="P1413" s="65" t="str">
        <f t="shared" ca="1" si="177"/>
        <v/>
      </c>
      <c r="Q1413" s="2"/>
      <c r="R1413" s="2"/>
      <c r="S1413" s="1" t="str">
        <f t="shared" ref="S1413:S1476" si="178"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ref="V1413:V1476" si="179">IF($T1413="",0,1)</f>
        <v>0</v>
      </c>
      <c r="W1413" s="1" t="str">
        <f t="shared" ref="W1413:W1476" si="180">IF($C1413="","",$D1413&amp;"|"&amp;$E1413&amp;"|"&amp;TEXT($C1413,"0")&amp;"|"&amp;TEXT($G1413,"0")&amp;"|"&amp;$F1413&amp;"|"&amp;$J1413)</f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customHeight="1" x14ac:dyDescent="0.3">
      <c r="A1414" s="2"/>
      <c r="B1414" s="65" t="str">
        <f t="shared" si="173"/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 t="shared" si="174"/>
        <v/>
      </c>
      <c r="N1414" s="74" t="str">
        <f t="shared" si="175"/>
        <v/>
      </c>
      <c r="O1414" s="73" t="str">
        <f t="shared" si="176"/>
        <v/>
      </c>
      <c r="P1414" s="65" t="str">
        <f t="shared" ca="1" si="177"/>
        <v/>
      </c>
      <c r="Q1414" s="2"/>
      <c r="R1414" s="2"/>
      <c r="S1414" s="1" t="str">
        <f t="shared" si="178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179"/>
        <v>0</v>
      </c>
      <c r="W1414" s="1" t="str">
        <f t="shared" si="180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customHeight="1" x14ac:dyDescent="0.3">
      <c r="A1415" s="2"/>
      <c r="B1415" s="65" t="str">
        <f t="shared" ref="B1415:B1478" si="181"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 t="shared" ref="M1415:M1478" si="182">IF($C1415="","",IF($D1415="Gider",$E1415,IF($L1415&lt;&gt;"",$L1415,$H1415)))</f>
        <v/>
      </c>
      <c r="N1415" s="74" t="str">
        <f t="shared" ref="N1415:N1478" si="183">IF($C1415="","",IF($D1415="Gider",$H1415,$E1415))</f>
        <v/>
      </c>
      <c r="O1415" s="73" t="str">
        <f t="shared" ref="O1415:O1478" si="184">IF($C1415="","",DATE(YEAR($C1415),MONTH($C1415),1))</f>
        <v/>
      </c>
      <c r="P1415" s="65" t="str">
        <f t="shared" ref="P1415:P1478" ca="1" si="185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TARİH",IF(COUNTIF($W$7:$W$3001,$W1415)&gt;1,"MÜKERRER?",IF($AD1415&gt;0,"KAPALI DÖNEM",IF($I1415="Hayır","ÖDENECEK","UYGUN")))),"EKSİK"))))</f>
        <v/>
      </c>
      <c r="Q1415" s="2"/>
      <c r="R1415" s="2"/>
      <c r="S1415" s="1" t="str">
        <f t="shared" si="178"/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si="179"/>
        <v>0</v>
      </c>
      <c r="W1415" s="1" t="str">
        <f t="shared" si="180"/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customHeight="1" x14ac:dyDescent="0.3">
      <c r="A1416" s="2"/>
      <c r="B1416" s="65" t="str">
        <f t="shared" si="181"/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 t="shared" si="182"/>
        <v/>
      </c>
      <c r="N1416" s="74" t="str">
        <f t="shared" si="183"/>
        <v/>
      </c>
      <c r="O1416" s="73" t="str">
        <f t="shared" si="184"/>
        <v/>
      </c>
      <c r="P1416" s="65" t="str">
        <f t="shared" ca="1" si="185"/>
        <v/>
      </c>
      <c r="Q1416" s="2"/>
      <c r="R1416" s="2"/>
      <c r="S1416" s="1" t="str">
        <f t="shared" si="178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179"/>
        <v>0</v>
      </c>
      <c r="W1416" s="1" t="str">
        <f t="shared" si="180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customHeight="1" x14ac:dyDescent="0.3">
      <c r="A1417" s="2"/>
      <c r="B1417" s="65" t="str">
        <f t="shared" si="181"/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 t="shared" si="182"/>
        <v/>
      </c>
      <c r="N1417" s="74" t="str">
        <f t="shared" si="183"/>
        <v/>
      </c>
      <c r="O1417" s="73" t="str">
        <f t="shared" si="184"/>
        <v/>
      </c>
      <c r="P1417" s="65" t="str">
        <f t="shared" ca="1" si="185"/>
        <v/>
      </c>
      <c r="Q1417" s="2"/>
      <c r="R1417" s="2"/>
      <c r="S1417" s="1" t="str">
        <f t="shared" si="178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179"/>
        <v>0</v>
      </c>
      <c r="W1417" s="1" t="str">
        <f t="shared" si="180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customHeight="1" x14ac:dyDescent="0.3">
      <c r="A1418" s="2"/>
      <c r="B1418" s="65" t="str">
        <f t="shared" si="181"/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 t="shared" si="182"/>
        <v/>
      </c>
      <c r="N1418" s="74" t="str">
        <f t="shared" si="183"/>
        <v/>
      </c>
      <c r="O1418" s="73" t="str">
        <f t="shared" si="184"/>
        <v/>
      </c>
      <c r="P1418" s="65" t="str">
        <f t="shared" ca="1" si="185"/>
        <v/>
      </c>
      <c r="Q1418" s="2"/>
      <c r="R1418" s="2"/>
      <c r="S1418" s="1" t="str">
        <f t="shared" si="178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179"/>
        <v>0</v>
      </c>
      <c r="W1418" s="1" t="str">
        <f t="shared" si="180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customHeight="1" x14ac:dyDescent="0.3">
      <c r="A1419" s="2"/>
      <c r="B1419" s="65" t="str">
        <f t="shared" si="181"/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 t="shared" si="182"/>
        <v/>
      </c>
      <c r="N1419" s="74" t="str">
        <f t="shared" si="183"/>
        <v/>
      </c>
      <c r="O1419" s="73" t="str">
        <f t="shared" si="184"/>
        <v/>
      </c>
      <c r="P1419" s="65" t="str">
        <f t="shared" ca="1" si="185"/>
        <v/>
      </c>
      <c r="Q1419" s="2"/>
      <c r="R1419" s="2"/>
      <c r="S1419" s="1" t="str">
        <f t="shared" si="178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179"/>
        <v>0</v>
      </c>
      <c r="W1419" s="1" t="str">
        <f t="shared" si="180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customHeight="1" x14ac:dyDescent="0.3">
      <c r="A1420" s="2"/>
      <c r="B1420" s="65" t="str">
        <f t="shared" si="181"/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 t="shared" si="182"/>
        <v/>
      </c>
      <c r="N1420" s="74" t="str">
        <f t="shared" si="183"/>
        <v/>
      </c>
      <c r="O1420" s="73" t="str">
        <f t="shared" si="184"/>
        <v/>
      </c>
      <c r="P1420" s="65" t="str">
        <f t="shared" ca="1" si="185"/>
        <v/>
      </c>
      <c r="Q1420" s="2"/>
      <c r="R1420" s="2"/>
      <c r="S1420" s="1" t="str">
        <f t="shared" si="178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179"/>
        <v>0</v>
      </c>
      <c r="W1420" s="1" t="str">
        <f t="shared" si="180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customHeight="1" x14ac:dyDescent="0.3">
      <c r="A1421" s="2"/>
      <c r="B1421" s="65" t="str">
        <f t="shared" si="181"/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 t="shared" si="182"/>
        <v/>
      </c>
      <c r="N1421" s="74" t="str">
        <f t="shared" si="183"/>
        <v/>
      </c>
      <c r="O1421" s="73" t="str">
        <f t="shared" si="184"/>
        <v/>
      </c>
      <c r="P1421" s="65" t="str">
        <f t="shared" ca="1" si="185"/>
        <v/>
      </c>
      <c r="Q1421" s="2"/>
      <c r="R1421" s="2"/>
      <c r="S1421" s="1" t="str">
        <f t="shared" si="178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179"/>
        <v>0</v>
      </c>
      <c r="W1421" s="1" t="str">
        <f t="shared" si="180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customHeight="1" x14ac:dyDescent="0.3">
      <c r="A1422" s="2"/>
      <c r="B1422" s="65" t="str">
        <f t="shared" si="181"/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 t="shared" si="182"/>
        <v/>
      </c>
      <c r="N1422" s="74" t="str">
        <f t="shared" si="183"/>
        <v/>
      </c>
      <c r="O1422" s="73" t="str">
        <f t="shared" si="184"/>
        <v/>
      </c>
      <c r="P1422" s="65" t="str">
        <f t="shared" ca="1" si="185"/>
        <v/>
      </c>
      <c r="Q1422" s="2"/>
      <c r="R1422" s="2"/>
      <c r="S1422" s="1" t="str">
        <f t="shared" si="178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179"/>
        <v>0</v>
      </c>
      <c r="W1422" s="1" t="str">
        <f t="shared" si="180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customHeight="1" x14ac:dyDescent="0.3">
      <c r="A1423" s="2"/>
      <c r="B1423" s="65" t="str">
        <f t="shared" si="181"/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 t="shared" si="182"/>
        <v/>
      </c>
      <c r="N1423" s="74" t="str">
        <f t="shared" si="183"/>
        <v/>
      </c>
      <c r="O1423" s="73" t="str">
        <f t="shared" si="184"/>
        <v/>
      </c>
      <c r="P1423" s="65" t="str">
        <f t="shared" ca="1" si="185"/>
        <v/>
      </c>
      <c r="Q1423" s="2"/>
      <c r="R1423" s="2"/>
      <c r="S1423" s="1" t="str">
        <f t="shared" si="178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179"/>
        <v>0</v>
      </c>
      <c r="W1423" s="1" t="str">
        <f t="shared" si="180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customHeight="1" x14ac:dyDescent="0.3">
      <c r="A1424" s="2"/>
      <c r="B1424" s="65" t="str">
        <f t="shared" si="181"/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 t="shared" si="182"/>
        <v/>
      </c>
      <c r="N1424" s="74" t="str">
        <f t="shared" si="183"/>
        <v/>
      </c>
      <c r="O1424" s="73" t="str">
        <f t="shared" si="184"/>
        <v/>
      </c>
      <c r="P1424" s="65" t="str">
        <f t="shared" ca="1" si="185"/>
        <v/>
      </c>
      <c r="Q1424" s="2"/>
      <c r="R1424" s="2"/>
      <c r="S1424" s="1" t="str">
        <f t="shared" si="178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179"/>
        <v>0</v>
      </c>
      <c r="W1424" s="1" t="str">
        <f t="shared" si="180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customHeight="1" x14ac:dyDescent="0.3">
      <c r="A1425" s="2"/>
      <c r="B1425" s="65" t="str">
        <f t="shared" si="181"/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 t="shared" si="182"/>
        <v/>
      </c>
      <c r="N1425" s="74" t="str">
        <f t="shared" si="183"/>
        <v/>
      </c>
      <c r="O1425" s="73" t="str">
        <f t="shared" si="184"/>
        <v/>
      </c>
      <c r="P1425" s="65" t="str">
        <f t="shared" ca="1" si="185"/>
        <v/>
      </c>
      <c r="Q1425" s="2"/>
      <c r="R1425" s="2"/>
      <c r="S1425" s="1" t="str">
        <f t="shared" si="178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179"/>
        <v>0</v>
      </c>
      <c r="W1425" s="1" t="str">
        <f t="shared" si="180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customHeight="1" x14ac:dyDescent="0.3">
      <c r="A1426" s="2"/>
      <c r="B1426" s="65" t="str">
        <f t="shared" si="181"/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 t="shared" si="182"/>
        <v/>
      </c>
      <c r="N1426" s="74" t="str">
        <f t="shared" si="183"/>
        <v/>
      </c>
      <c r="O1426" s="73" t="str">
        <f t="shared" si="184"/>
        <v/>
      </c>
      <c r="P1426" s="65" t="str">
        <f t="shared" ca="1" si="185"/>
        <v/>
      </c>
      <c r="Q1426" s="2"/>
      <c r="R1426" s="2"/>
      <c r="S1426" s="1" t="str">
        <f t="shared" si="178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179"/>
        <v>0</v>
      </c>
      <c r="W1426" s="1" t="str">
        <f t="shared" si="180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customHeight="1" x14ac:dyDescent="0.3">
      <c r="A1427" s="2"/>
      <c r="B1427" s="65" t="str">
        <f t="shared" si="181"/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 t="shared" si="182"/>
        <v/>
      </c>
      <c r="N1427" s="74" t="str">
        <f t="shared" si="183"/>
        <v/>
      </c>
      <c r="O1427" s="73" t="str">
        <f t="shared" si="184"/>
        <v/>
      </c>
      <c r="P1427" s="65" t="str">
        <f t="shared" ca="1" si="185"/>
        <v/>
      </c>
      <c r="Q1427" s="2"/>
      <c r="R1427" s="2"/>
      <c r="S1427" s="1" t="str">
        <f t="shared" si="178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179"/>
        <v>0</v>
      </c>
      <c r="W1427" s="1" t="str">
        <f t="shared" si="180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customHeight="1" x14ac:dyDescent="0.3">
      <c r="A1428" s="2"/>
      <c r="B1428" s="65" t="str">
        <f t="shared" si="181"/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 t="shared" si="182"/>
        <v/>
      </c>
      <c r="N1428" s="74" t="str">
        <f t="shared" si="183"/>
        <v/>
      </c>
      <c r="O1428" s="73" t="str">
        <f t="shared" si="184"/>
        <v/>
      </c>
      <c r="P1428" s="65" t="str">
        <f t="shared" ca="1" si="185"/>
        <v/>
      </c>
      <c r="Q1428" s="2"/>
      <c r="R1428" s="2"/>
      <c r="S1428" s="1" t="str">
        <f t="shared" si="178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179"/>
        <v>0</v>
      </c>
      <c r="W1428" s="1" t="str">
        <f t="shared" si="180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customHeight="1" x14ac:dyDescent="0.3">
      <c r="A1429" s="2"/>
      <c r="B1429" s="65" t="str">
        <f t="shared" si="181"/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 t="shared" si="182"/>
        <v/>
      </c>
      <c r="N1429" s="74" t="str">
        <f t="shared" si="183"/>
        <v/>
      </c>
      <c r="O1429" s="73" t="str">
        <f t="shared" si="184"/>
        <v/>
      </c>
      <c r="P1429" s="65" t="str">
        <f t="shared" ca="1" si="185"/>
        <v/>
      </c>
      <c r="Q1429" s="2"/>
      <c r="R1429" s="2"/>
      <c r="S1429" s="1" t="str">
        <f t="shared" si="178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179"/>
        <v>0</v>
      </c>
      <c r="W1429" s="1" t="str">
        <f t="shared" si="180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customHeight="1" x14ac:dyDescent="0.3">
      <c r="A1430" s="2"/>
      <c r="B1430" s="65" t="str">
        <f t="shared" si="181"/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 t="shared" si="182"/>
        <v/>
      </c>
      <c r="N1430" s="74" t="str">
        <f t="shared" si="183"/>
        <v/>
      </c>
      <c r="O1430" s="73" t="str">
        <f t="shared" si="184"/>
        <v/>
      </c>
      <c r="P1430" s="65" t="str">
        <f t="shared" ca="1" si="185"/>
        <v/>
      </c>
      <c r="Q1430" s="2"/>
      <c r="R1430" s="2"/>
      <c r="S1430" s="1" t="str">
        <f t="shared" si="178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179"/>
        <v>0</v>
      </c>
      <c r="W1430" s="1" t="str">
        <f t="shared" si="180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customHeight="1" x14ac:dyDescent="0.3">
      <c r="A1431" s="2"/>
      <c r="B1431" s="65" t="str">
        <f t="shared" si="181"/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 t="shared" si="182"/>
        <v/>
      </c>
      <c r="N1431" s="74" t="str">
        <f t="shared" si="183"/>
        <v/>
      </c>
      <c r="O1431" s="73" t="str">
        <f t="shared" si="184"/>
        <v/>
      </c>
      <c r="P1431" s="65" t="str">
        <f t="shared" ca="1" si="185"/>
        <v/>
      </c>
      <c r="Q1431" s="2"/>
      <c r="R1431" s="2"/>
      <c r="S1431" s="1" t="str">
        <f t="shared" si="178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179"/>
        <v>0</v>
      </c>
      <c r="W1431" s="1" t="str">
        <f t="shared" si="180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customHeight="1" x14ac:dyDescent="0.3">
      <c r="A1432" s="2"/>
      <c r="B1432" s="65" t="str">
        <f t="shared" si="181"/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 t="shared" si="182"/>
        <v/>
      </c>
      <c r="N1432" s="74" t="str">
        <f t="shared" si="183"/>
        <v/>
      </c>
      <c r="O1432" s="73" t="str">
        <f t="shared" si="184"/>
        <v/>
      </c>
      <c r="P1432" s="65" t="str">
        <f t="shared" ca="1" si="185"/>
        <v/>
      </c>
      <c r="Q1432" s="2"/>
      <c r="R1432" s="2"/>
      <c r="S1432" s="1" t="str">
        <f t="shared" si="178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179"/>
        <v>0</v>
      </c>
      <c r="W1432" s="1" t="str">
        <f t="shared" si="180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customHeight="1" x14ac:dyDescent="0.3">
      <c r="A1433" s="2"/>
      <c r="B1433" s="65" t="str">
        <f t="shared" si="181"/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 t="shared" si="182"/>
        <v/>
      </c>
      <c r="N1433" s="74" t="str">
        <f t="shared" si="183"/>
        <v/>
      </c>
      <c r="O1433" s="73" t="str">
        <f t="shared" si="184"/>
        <v/>
      </c>
      <c r="P1433" s="65" t="str">
        <f t="shared" ca="1" si="185"/>
        <v/>
      </c>
      <c r="Q1433" s="2"/>
      <c r="R1433" s="2"/>
      <c r="S1433" s="1" t="str">
        <f t="shared" si="178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179"/>
        <v>0</v>
      </c>
      <c r="W1433" s="1" t="str">
        <f t="shared" si="180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customHeight="1" x14ac:dyDescent="0.3">
      <c r="A1434" s="2"/>
      <c r="B1434" s="65" t="str">
        <f t="shared" si="181"/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 t="shared" si="182"/>
        <v/>
      </c>
      <c r="N1434" s="74" t="str">
        <f t="shared" si="183"/>
        <v/>
      </c>
      <c r="O1434" s="73" t="str">
        <f t="shared" si="184"/>
        <v/>
      </c>
      <c r="P1434" s="65" t="str">
        <f t="shared" ca="1" si="185"/>
        <v/>
      </c>
      <c r="Q1434" s="2"/>
      <c r="R1434" s="2"/>
      <c r="S1434" s="1" t="str">
        <f t="shared" si="178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179"/>
        <v>0</v>
      </c>
      <c r="W1434" s="1" t="str">
        <f t="shared" si="180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customHeight="1" x14ac:dyDescent="0.3">
      <c r="A1435" s="2"/>
      <c r="B1435" s="65" t="str">
        <f t="shared" si="181"/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 t="shared" si="182"/>
        <v/>
      </c>
      <c r="N1435" s="74" t="str">
        <f t="shared" si="183"/>
        <v/>
      </c>
      <c r="O1435" s="73" t="str">
        <f t="shared" si="184"/>
        <v/>
      </c>
      <c r="P1435" s="65" t="str">
        <f t="shared" ca="1" si="185"/>
        <v/>
      </c>
      <c r="Q1435" s="2"/>
      <c r="R1435" s="2"/>
      <c r="S1435" s="1" t="str">
        <f t="shared" si="178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179"/>
        <v>0</v>
      </c>
      <c r="W1435" s="1" t="str">
        <f t="shared" si="180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customHeight="1" x14ac:dyDescent="0.3">
      <c r="A1436" s="2"/>
      <c r="B1436" s="65" t="str">
        <f t="shared" si="181"/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 t="shared" si="182"/>
        <v/>
      </c>
      <c r="N1436" s="74" t="str">
        <f t="shared" si="183"/>
        <v/>
      </c>
      <c r="O1436" s="73" t="str">
        <f t="shared" si="184"/>
        <v/>
      </c>
      <c r="P1436" s="65" t="str">
        <f t="shared" ca="1" si="185"/>
        <v/>
      </c>
      <c r="Q1436" s="2"/>
      <c r="R1436" s="2"/>
      <c r="S1436" s="1" t="str">
        <f t="shared" si="178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179"/>
        <v>0</v>
      </c>
      <c r="W1436" s="1" t="str">
        <f t="shared" si="180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customHeight="1" x14ac:dyDescent="0.3">
      <c r="A1437" s="2"/>
      <c r="B1437" s="65" t="str">
        <f t="shared" si="181"/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 t="shared" si="182"/>
        <v/>
      </c>
      <c r="N1437" s="74" t="str">
        <f t="shared" si="183"/>
        <v/>
      </c>
      <c r="O1437" s="73" t="str">
        <f t="shared" si="184"/>
        <v/>
      </c>
      <c r="P1437" s="65" t="str">
        <f t="shared" ca="1" si="185"/>
        <v/>
      </c>
      <c r="Q1437" s="2"/>
      <c r="R1437" s="2"/>
      <c r="S1437" s="1" t="str">
        <f t="shared" si="178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179"/>
        <v>0</v>
      </c>
      <c r="W1437" s="1" t="str">
        <f t="shared" si="180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customHeight="1" x14ac:dyDescent="0.3">
      <c r="A1438" s="2"/>
      <c r="B1438" s="65" t="str">
        <f t="shared" si="181"/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 t="shared" si="182"/>
        <v/>
      </c>
      <c r="N1438" s="74" t="str">
        <f t="shared" si="183"/>
        <v/>
      </c>
      <c r="O1438" s="73" t="str">
        <f t="shared" si="184"/>
        <v/>
      </c>
      <c r="P1438" s="65" t="str">
        <f t="shared" ca="1" si="185"/>
        <v/>
      </c>
      <c r="Q1438" s="2"/>
      <c r="R1438" s="2"/>
      <c r="S1438" s="1" t="str">
        <f t="shared" si="178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179"/>
        <v>0</v>
      </c>
      <c r="W1438" s="1" t="str">
        <f t="shared" si="180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customHeight="1" x14ac:dyDescent="0.3">
      <c r="A1439" s="2"/>
      <c r="B1439" s="65" t="str">
        <f t="shared" si="181"/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 t="shared" si="182"/>
        <v/>
      </c>
      <c r="N1439" s="74" t="str">
        <f t="shared" si="183"/>
        <v/>
      </c>
      <c r="O1439" s="73" t="str">
        <f t="shared" si="184"/>
        <v/>
      </c>
      <c r="P1439" s="65" t="str">
        <f t="shared" ca="1" si="185"/>
        <v/>
      </c>
      <c r="Q1439" s="2"/>
      <c r="R1439" s="2"/>
      <c r="S1439" s="1" t="str">
        <f t="shared" si="178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179"/>
        <v>0</v>
      </c>
      <c r="W1439" s="1" t="str">
        <f t="shared" si="180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customHeight="1" x14ac:dyDescent="0.3">
      <c r="A1440" s="2"/>
      <c r="B1440" s="65" t="str">
        <f t="shared" si="181"/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 t="shared" si="182"/>
        <v/>
      </c>
      <c r="N1440" s="74" t="str">
        <f t="shared" si="183"/>
        <v/>
      </c>
      <c r="O1440" s="73" t="str">
        <f t="shared" si="184"/>
        <v/>
      </c>
      <c r="P1440" s="65" t="str">
        <f t="shared" ca="1" si="185"/>
        <v/>
      </c>
      <c r="Q1440" s="2"/>
      <c r="R1440" s="2"/>
      <c r="S1440" s="1" t="str">
        <f t="shared" si="178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179"/>
        <v>0</v>
      </c>
      <c r="W1440" s="1" t="str">
        <f t="shared" si="180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customHeight="1" x14ac:dyDescent="0.3">
      <c r="A1441" s="2"/>
      <c r="B1441" s="65" t="str">
        <f t="shared" si="181"/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 t="shared" si="182"/>
        <v/>
      </c>
      <c r="N1441" s="74" t="str">
        <f t="shared" si="183"/>
        <v/>
      </c>
      <c r="O1441" s="73" t="str">
        <f t="shared" si="184"/>
        <v/>
      </c>
      <c r="P1441" s="65" t="str">
        <f t="shared" ca="1" si="185"/>
        <v/>
      </c>
      <c r="Q1441" s="2"/>
      <c r="R1441" s="2"/>
      <c r="S1441" s="1" t="str">
        <f t="shared" si="178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179"/>
        <v>0</v>
      </c>
      <c r="W1441" s="1" t="str">
        <f t="shared" si="180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customHeight="1" x14ac:dyDescent="0.3">
      <c r="A1442" s="2"/>
      <c r="B1442" s="65" t="str">
        <f t="shared" si="181"/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 t="shared" si="182"/>
        <v/>
      </c>
      <c r="N1442" s="74" t="str">
        <f t="shared" si="183"/>
        <v/>
      </c>
      <c r="O1442" s="73" t="str">
        <f t="shared" si="184"/>
        <v/>
      </c>
      <c r="P1442" s="65" t="str">
        <f t="shared" ca="1" si="185"/>
        <v/>
      </c>
      <c r="Q1442" s="2"/>
      <c r="R1442" s="2"/>
      <c r="S1442" s="1" t="str">
        <f t="shared" si="178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179"/>
        <v>0</v>
      </c>
      <c r="W1442" s="1" t="str">
        <f t="shared" si="180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customHeight="1" x14ac:dyDescent="0.3">
      <c r="A1443" s="2"/>
      <c r="B1443" s="65" t="str">
        <f t="shared" si="181"/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 t="shared" si="182"/>
        <v/>
      </c>
      <c r="N1443" s="74" t="str">
        <f t="shared" si="183"/>
        <v/>
      </c>
      <c r="O1443" s="73" t="str">
        <f t="shared" si="184"/>
        <v/>
      </c>
      <c r="P1443" s="65" t="str">
        <f t="shared" ca="1" si="185"/>
        <v/>
      </c>
      <c r="Q1443" s="2"/>
      <c r="R1443" s="2"/>
      <c r="S1443" s="1" t="str">
        <f t="shared" si="178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179"/>
        <v>0</v>
      </c>
      <c r="W1443" s="1" t="str">
        <f t="shared" si="180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customHeight="1" x14ac:dyDescent="0.3">
      <c r="A1444" s="2"/>
      <c r="B1444" s="65" t="str">
        <f t="shared" si="181"/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 t="shared" si="182"/>
        <v/>
      </c>
      <c r="N1444" s="74" t="str">
        <f t="shared" si="183"/>
        <v/>
      </c>
      <c r="O1444" s="73" t="str">
        <f t="shared" si="184"/>
        <v/>
      </c>
      <c r="P1444" s="65" t="str">
        <f t="shared" ca="1" si="185"/>
        <v/>
      </c>
      <c r="Q1444" s="2"/>
      <c r="R1444" s="2"/>
      <c r="S1444" s="1" t="str">
        <f t="shared" si="178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179"/>
        <v>0</v>
      </c>
      <c r="W1444" s="1" t="str">
        <f t="shared" si="180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customHeight="1" x14ac:dyDescent="0.3">
      <c r="A1445" s="2"/>
      <c r="B1445" s="65" t="str">
        <f t="shared" si="181"/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 t="shared" si="182"/>
        <v/>
      </c>
      <c r="N1445" s="74" t="str">
        <f t="shared" si="183"/>
        <v/>
      </c>
      <c r="O1445" s="73" t="str">
        <f t="shared" si="184"/>
        <v/>
      </c>
      <c r="P1445" s="65" t="str">
        <f t="shared" ca="1" si="185"/>
        <v/>
      </c>
      <c r="Q1445" s="2"/>
      <c r="R1445" s="2"/>
      <c r="S1445" s="1" t="str">
        <f t="shared" si="178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179"/>
        <v>0</v>
      </c>
      <c r="W1445" s="1" t="str">
        <f t="shared" si="180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customHeight="1" x14ac:dyDescent="0.3">
      <c r="A1446" s="2"/>
      <c r="B1446" s="65" t="str">
        <f t="shared" si="181"/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 t="shared" si="182"/>
        <v/>
      </c>
      <c r="N1446" s="74" t="str">
        <f t="shared" si="183"/>
        <v/>
      </c>
      <c r="O1446" s="73" t="str">
        <f t="shared" si="184"/>
        <v/>
      </c>
      <c r="P1446" s="65" t="str">
        <f t="shared" ca="1" si="185"/>
        <v/>
      </c>
      <c r="Q1446" s="2"/>
      <c r="R1446" s="2"/>
      <c r="S1446" s="1" t="str">
        <f t="shared" si="178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179"/>
        <v>0</v>
      </c>
      <c r="W1446" s="1" t="str">
        <f t="shared" si="180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customHeight="1" x14ac:dyDescent="0.3">
      <c r="A1447" s="2"/>
      <c r="B1447" s="65" t="str">
        <f t="shared" si="181"/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 t="shared" si="182"/>
        <v/>
      </c>
      <c r="N1447" s="74" t="str">
        <f t="shared" si="183"/>
        <v/>
      </c>
      <c r="O1447" s="73" t="str">
        <f t="shared" si="184"/>
        <v/>
      </c>
      <c r="P1447" s="65" t="str">
        <f t="shared" ca="1" si="185"/>
        <v/>
      </c>
      <c r="Q1447" s="2"/>
      <c r="R1447" s="2"/>
      <c r="S1447" s="1" t="str">
        <f t="shared" si="178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179"/>
        <v>0</v>
      </c>
      <c r="W1447" s="1" t="str">
        <f t="shared" si="180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customHeight="1" x14ac:dyDescent="0.3">
      <c r="A1448" s="2"/>
      <c r="B1448" s="65" t="str">
        <f t="shared" si="181"/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 t="shared" si="182"/>
        <v/>
      </c>
      <c r="N1448" s="74" t="str">
        <f t="shared" si="183"/>
        <v/>
      </c>
      <c r="O1448" s="73" t="str">
        <f t="shared" si="184"/>
        <v/>
      </c>
      <c r="P1448" s="65" t="str">
        <f t="shared" ca="1" si="185"/>
        <v/>
      </c>
      <c r="Q1448" s="2"/>
      <c r="R1448" s="2"/>
      <c r="S1448" s="1" t="str">
        <f t="shared" si="178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179"/>
        <v>0</v>
      </c>
      <c r="W1448" s="1" t="str">
        <f t="shared" si="180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customHeight="1" x14ac:dyDescent="0.3">
      <c r="A1449" s="2"/>
      <c r="B1449" s="65" t="str">
        <f t="shared" si="181"/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 t="shared" si="182"/>
        <v/>
      </c>
      <c r="N1449" s="74" t="str">
        <f t="shared" si="183"/>
        <v/>
      </c>
      <c r="O1449" s="73" t="str">
        <f t="shared" si="184"/>
        <v/>
      </c>
      <c r="P1449" s="65" t="str">
        <f t="shared" ca="1" si="185"/>
        <v/>
      </c>
      <c r="Q1449" s="2"/>
      <c r="R1449" s="2"/>
      <c r="S1449" s="1" t="str">
        <f t="shared" si="178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179"/>
        <v>0</v>
      </c>
      <c r="W1449" s="1" t="str">
        <f t="shared" si="180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customHeight="1" x14ac:dyDescent="0.3">
      <c r="A1450" s="2"/>
      <c r="B1450" s="65" t="str">
        <f t="shared" si="181"/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 t="shared" si="182"/>
        <v/>
      </c>
      <c r="N1450" s="74" t="str">
        <f t="shared" si="183"/>
        <v/>
      </c>
      <c r="O1450" s="73" t="str">
        <f t="shared" si="184"/>
        <v/>
      </c>
      <c r="P1450" s="65" t="str">
        <f t="shared" ca="1" si="185"/>
        <v/>
      </c>
      <c r="Q1450" s="2"/>
      <c r="R1450" s="2"/>
      <c r="S1450" s="1" t="str">
        <f t="shared" si="178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179"/>
        <v>0</v>
      </c>
      <c r="W1450" s="1" t="str">
        <f t="shared" si="180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customHeight="1" x14ac:dyDescent="0.3">
      <c r="A1451" s="2"/>
      <c r="B1451" s="65" t="str">
        <f t="shared" si="181"/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 t="shared" si="182"/>
        <v/>
      </c>
      <c r="N1451" s="74" t="str">
        <f t="shared" si="183"/>
        <v/>
      </c>
      <c r="O1451" s="73" t="str">
        <f t="shared" si="184"/>
        <v/>
      </c>
      <c r="P1451" s="65" t="str">
        <f t="shared" ca="1" si="185"/>
        <v/>
      </c>
      <c r="Q1451" s="2"/>
      <c r="R1451" s="2"/>
      <c r="S1451" s="1" t="str">
        <f t="shared" si="178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179"/>
        <v>0</v>
      </c>
      <c r="W1451" s="1" t="str">
        <f t="shared" si="180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customHeight="1" x14ac:dyDescent="0.3">
      <c r="A1452" s="2"/>
      <c r="B1452" s="65" t="str">
        <f t="shared" si="181"/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 t="shared" si="182"/>
        <v/>
      </c>
      <c r="N1452" s="74" t="str">
        <f t="shared" si="183"/>
        <v/>
      </c>
      <c r="O1452" s="73" t="str">
        <f t="shared" si="184"/>
        <v/>
      </c>
      <c r="P1452" s="65" t="str">
        <f t="shared" ca="1" si="185"/>
        <v/>
      </c>
      <c r="Q1452" s="2"/>
      <c r="R1452" s="2"/>
      <c r="S1452" s="1" t="str">
        <f t="shared" si="178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179"/>
        <v>0</v>
      </c>
      <c r="W1452" s="1" t="str">
        <f t="shared" si="180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customHeight="1" x14ac:dyDescent="0.3">
      <c r="A1453" s="2"/>
      <c r="B1453" s="65" t="str">
        <f t="shared" si="181"/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 t="shared" si="182"/>
        <v/>
      </c>
      <c r="N1453" s="74" t="str">
        <f t="shared" si="183"/>
        <v/>
      </c>
      <c r="O1453" s="73" t="str">
        <f t="shared" si="184"/>
        <v/>
      </c>
      <c r="P1453" s="65" t="str">
        <f t="shared" ca="1" si="185"/>
        <v/>
      </c>
      <c r="Q1453" s="2"/>
      <c r="R1453" s="2"/>
      <c r="S1453" s="1" t="str">
        <f t="shared" si="178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179"/>
        <v>0</v>
      </c>
      <c r="W1453" s="1" t="str">
        <f t="shared" si="180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customHeight="1" x14ac:dyDescent="0.3">
      <c r="A1454" s="2"/>
      <c r="B1454" s="65" t="str">
        <f t="shared" si="181"/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 t="shared" si="182"/>
        <v/>
      </c>
      <c r="N1454" s="74" t="str">
        <f t="shared" si="183"/>
        <v/>
      </c>
      <c r="O1454" s="73" t="str">
        <f t="shared" si="184"/>
        <v/>
      </c>
      <c r="P1454" s="65" t="str">
        <f t="shared" ca="1" si="185"/>
        <v/>
      </c>
      <c r="Q1454" s="2"/>
      <c r="R1454" s="2"/>
      <c r="S1454" s="1" t="str">
        <f t="shared" si="178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179"/>
        <v>0</v>
      </c>
      <c r="W1454" s="1" t="str">
        <f t="shared" si="180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customHeight="1" x14ac:dyDescent="0.3">
      <c r="A1455" s="2"/>
      <c r="B1455" s="65" t="str">
        <f t="shared" si="181"/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 t="shared" si="182"/>
        <v/>
      </c>
      <c r="N1455" s="74" t="str">
        <f t="shared" si="183"/>
        <v/>
      </c>
      <c r="O1455" s="73" t="str">
        <f t="shared" si="184"/>
        <v/>
      </c>
      <c r="P1455" s="65" t="str">
        <f t="shared" ca="1" si="185"/>
        <v/>
      </c>
      <c r="Q1455" s="2"/>
      <c r="R1455" s="2"/>
      <c r="S1455" s="1" t="str">
        <f t="shared" si="178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179"/>
        <v>0</v>
      </c>
      <c r="W1455" s="1" t="str">
        <f t="shared" si="180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customHeight="1" x14ac:dyDescent="0.3">
      <c r="A1456" s="2"/>
      <c r="B1456" s="65" t="str">
        <f t="shared" si="181"/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 t="shared" si="182"/>
        <v/>
      </c>
      <c r="N1456" s="74" t="str">
        <f t="shared" si="183"/>
        <v/>
      </c>
      <c r="O1456" s="73" t="str">
        <f t="shared" si="184"/>
        <v/>
      </c>
      <c r="P1456" s="65" t="str">
        <f t="shared" ca="1" si="185"/>
        <v/>
      </c>
      <c r="Q1456" s="2"/>
      <c r="R1456" s="2"/>
      <c r="S1456" s="1" t="str">
        <f t="shared" si="178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179"/>
        <v>0</v>
      </c>
      <c r="W1456" s="1" t="str">
        <f t="shared" si="180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customHeight="1" x14ac:dyDescent="0.3">
      <c r="A1457" s="2"/>
      <c r="B1457" s="65" t="str">
        <f t="shared" si="181"/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 t="shared" si="182"/>
        <v/>
      </c>
      <c r="N1457" s="74" t="str">
        <f t="shared" si="183"/>
        <v/>
      </c>
      <c r="O1457" s="73" t="str">
        <f t="shared" si="184"/>
        <v/>
      </c>
      <c r="P1457" s="65" t="str">
        <f t="shared" ca="1" si="185"/>
        <v/>
      </c>
      <c r="Q1457" s="2"/>
      <c r="R1457" s="2"/>
      <c r="S1457" s="1" t="str">
        <f t="shared" si="178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179"/>
        <v>0</v>
      </c>
      <c r="W1457" s="1" t="str">
        <f t="shared" si="180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customHeight="1" x14ac:dyDescent="0.3">
      <c r="A1458" s="2"/>
      <c r="B1458" s="65" t="str">
        <f t="shared" si="181"/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 t="shared" si="182"/>
        <v/>
      </c>
      <c r="N1458" s="74" t="str">
        <f t="shared" si="183"/>
        <v/>
      </c>
      <c r="O1458" s="73" t="str">
        <f t="shared" si="184"/>
        <v/>
      </c>
      <c r="P1458" s="65" t="str">
        <f t="shared" ca="1" si="185"/>
        <v/>
      </c>
      <c r="Q1458" s="2"/>
      <c r="R1458" s="2"/>
      <c r="S1458" s="1" t="str">
        <f t="shared" si="178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179"/>
        <v>0</v>
      </c>
      <c r="W1458" s="1" t="str">
        <f t="shared" si="180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customHeight="1" x14ac:dyDescent="0.3">
      <c r="A1459" s="2"/>
      <c r="B1459" s="65" t="str">
        <f t="shared" si="181"/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 t="shared" si="182"/>
        <v/>
      </c>
      <c r="N1459" s="74" t="str">
        <f t="shared" si="183"/>
        <v/>
      </c>
      <c r="O1459" s="73" t="str">
        <f t="shared" si="184"/>
        <v/>
      </c>
      <c r="P1459" s="65" t="str">
        <f t="shared" ca="1" si="185"/>
        <v/>
      </c>
      <c r="Q1459" s="2"/>
      <c r="R1459" s="2"/>
      <c r="S1459" s="1" t="str">
        <f t="shared" si="178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179"/>
        <v>0</v>
      </c>
      <c r="W1459" s="1" t="str">
        <f t="shared" si="180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customHeight="1" x14ac:dyDescent="0.3">
      <c r="A1460" s="2"/>
      <c r="B1460" s="65" t="str">
        <f t="shared" si="181"/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 t="shared" si="182"/>
        <v/>
      </c>
      <c r="N1460" s="74" t="str">
        <f t="shared" si="183"/>
        <v/>
      </c>
      <c r="O1460" s="73" t="str">
        <f t="shared" si="184"/>
        <v/>
      </c>
      <c r="P1460" s="65" t="str">
        <f t="shared" ca="1" si="185"/>
        <v/>
      </c>
      <c r="Q1460" s="2"/>
      <c r="R1460" s="2"/>
      <c r="S1460" s="1" t="str">
        <f t="shared" si="178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179"/>
        <v>0</v>
      </c>
      <c r="W1460" s="1" t="str">
        <f t="shared" si="180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customHeight="1" x14ac:dyDescent="0.3">
      <c r="A1461" s="2"/>
      <c r="B1461" s="65" t="str">
        <f t="shared" si="181"/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 t="shared" si="182"/>
        <v/>
      </c>
      <c r="N1461" s="74" t="str">
        <f t="shared" si="183"/>
        <v/>
      </c>
      <c r="O1461" s="73" t="str">
        <f t="shared" si="184"/>
        <v/>
      </c>
      <c r="P1461" s="65" t="str">
        <f t="shared" ca="1" si="185"/>
        <v/>
      </c>
      <c r="Q1461" s="2"/>
      <c r="R1461" s="2"/>
      <c r="S1461" s="1" t="str">
        <f t="shared" si="178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179"/>
        <v>0</v>
      </c>
      <c r="W1461" s="1" t="str">
        <f t="shared" si="180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customHeight="1" x14ac:dyDescent="0.3">
      <c r="A1462" s="2"/>
      <c r="B1462" s="65" t="str">
        <f t="shared" si="181"/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 t="shared" si="182"/>
        <v/>
      </c>
      <c r="N1462" s="74" t="str">
        <f t="shared" si="183"/>
        <v/>
      </c>
      <c r="O1462" s="73" t="str">
        <f t="shared" si="184"/>
        <v/>
      </c>
      <c r="P1462" s="65" t="str">
        <f t="shared" ca="1" si="185"/>
        <v/>
      </c>
      <c r="Q1462" s="2"/>
      <c r="R1462" s="2"/>
      <c r="S1462" s="1" t="str">
        <f t="shared" si="178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179"/>
        <v>0</v>
      </c>
      <c r="W1462" s="1" t="str">
        <f t="shared" si="180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customHeight="1" x14ac:dyDescent="0.3">
      <c r="A1463" s="2"/>
      <c r="B1463" s="65" t="str">
        <f t="shared" si="181"/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 t="shared" si="182"/>
        <v/>
      </c>
      <c r="N1463" s="74" t="str">
        <f t="shared" si="183"/>
        <v/>
      </c>
      <c r="O1463" s="73" t="str">
        <f t="shared" si="184"/>
        <v/>
      </c>
      <c r="P1463" s="65" t="str">
        <f t="shared" ca="1" si="185"/>
        <v/>
      </c>
      <c r="Q1463" s="2"/>
      <c r="R1463" s="2"/>
      <c r="S1463" s="1" t="str">
        <f t="shared" si="178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179"/>
        <v>0</v>
      </c>
      <c r="W1463" s="1" t="str">
        <f t="shared" si="180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customHeight="1" x14ac:dyDescent="0.3">
      <c r="A1464" s="2"/>
      <c r="B1464" s="65" t="str">
        <f t="shared" si="181"/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 t="shared" si="182"/>
        <v/>
      </c>
      <c r="N1464" s="74" t="str">
        <f t="shared" si="183"/>
        <v/>
      </c>
      <c r="O1464" s="73" t="str">
        <f t="shared" si="184"/>
        <v/>
      </c>
      <c r="P1464" s="65" t="str">
        <f t="shared" ca="1" si="185"/>
        <v/>
      </c>
      <c r="Q1464" s="2"/>
      <c r="R1464" s="2"/>
      <c r="S1464" s="1" t="str">
        <f t="shared" si="178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179"/>
        <v>0</v>
      </c>
      <c r="W1464" s="1" t="str">
        <f t="shared" si="180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customHeight="1" x14ac:dyDescent="0.3">
      <c r="A1465" s="2"/>
      <c r="B1465" s="65" t="str">
        <f t="shared" si="181"/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 t="shared" si="182"/>
        <v/>
      </c>
      <c r="N1465" s="74" t="str">
        <f t="shared" si="183"/>
        <v/>
      </c>
      <c r="O1465" s="73" t="str">
        <f t="shared" si="184"/>
        <v/>
      </c>
      <c r="P1465" s="65" t="str">
        <f t="shared" ca="1" si="185"/>
        <v/>
      </c>
      <c r="Q1465" s="2"/>
      <c r="R1465" s="2"/>
      <c r="S1465" s="1" t="str">
        <f t="shared" si="178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179"/>
        <v>0</v>
      </c>
      <c r="W1465" s="1" t="str">
        <f t="shared" si="180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customHeight="1" x14ac:dyDescent="0.3">
      <c r="A1466" s="2"/>
      <c r="B1466" s="65" t="str">
        <f t="shared" si="181"/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 t="shared" si="182"/>
        <v/>
      </c>
      <c r="N1466" s="74" t="str">
        <f t="shared" si="183"/>
        <v/>
      </c>
      <c r="O1466" s="73" t="str">
        <f t="shared" si="184"/>
        <v/>
      </c>
      <c r="P1466" s="65" t="str">
        <f t="shared" ca="1" si="185"/>
        <v/>
      </c>
      <c r="Q1466" s="2"/>
      <c r="R1466" s="2"/>
      <c r="S1466" s="1" t="str">
        <f t="shared" si="178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179"/>
        <v>0</v>
      </c>
      <c r="W1466" s="1" t="str">
        <f t="shared" si="180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customHeight="1" x14ac:dyDescent="0.3">
      <c r="A1467" s="2"/>
      <c r="B1467" s="65" t="str">
        <f t="shared" si="181"/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 t="shared" si="182"/>
        <v/>
      </c>
      <c r="N1467" s="74" t="str">
        <f t="shared" si="183"/>
        <v/>
      </c>
      <c r="O1467" s="73" t="str">
        <f t="shared" si="184"/>
        <v/>
      </c>
      <c r="P1467" s="65" t="str">
        <f t="shared" ca="1" si="185"/>
        <v/>
      </c>
      <c r="Q1467" s="2"/>
      <c r="R1467" s="2"/>
      <c r="S1467" s="1" t="str">
        <f t="shared" si="178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179"/>
        <v>0</v>
      </c>
      <c r="W1467" s="1" t="str">
        <f t="shared" si="180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customHeight="1" x14ac:dyDescent="0.3">
      <c r="A1468" s="2"/>
      <c r="B1468" s="65" t="str">
        <f t="shared" si="181"/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 t="shared" si="182"/>
        <v/>
      </c>
      <c r="N1468" s="74" t="str">
        <f t="shared" si="183"/>
        <v/>
      </c>
      <c r="O1468" s="73" t="str">
        <f t="shared" si="184"/>
        <v/>
      </c>
      <c r="P1468" s="65" t="str">
        <f t="shared" ca="1" si="185"/>
        <v/>
      </c>
      <c r="Q1468" s="2"/>
      <c r="R1468" s="2"/>
      <c r="S1468" s="1" t="str">
        <f t="shared" si="178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179"/>
        <v>0</v>
      </c>
      <c r="W1468" s="1" t="str">
        <f t="shared" si="180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customHeight="1" x14ac:dyDescent="0.3">
      <c r="A1469" s="2"/>
      <c r="B1469" s="65" t="str">
        <f t="shared" si="181"/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 t="shared" si="182"/>
        <v/>
      </c>
      <c r="N1469" s="74" t="str">
        <f t="shared" si="183"/>
        <v/>
      </c>
      <c r="O1469" s="73" t="str">
        <f t="shared" si="184"/>
        <v/>
      </c>
      <c r="P1469" s="65" t="str">
        <f t="shared" ca="1" si="185"/>
        <v/>
      </c>
      <c r="Q1469" s="2"/>
      <c r="R1469" s="2"/>
      <c r="S1469" s="1" t="str">
        <f t="shared" si="178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179"/>
        <v>0</v>
      </c>
      <c r="W1469" s="1" t="str">
        <f t="shared" si="180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customHeight="1" x14ac:dyDescent="0.3">
      <c r="A1470" s="2"/>
      <c r="B1470" s="65" t="str">
        <f t="shared" si="181"/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 t="shared" si="182"/>
        <v/>
      </c>
      <c r="N1470" s="74" t="str">
        <f t="shared" si="183"/>
        <v/>
      </c>
      <c r="O1470" s="73" t="str">
        <f t="shared" si="184"/>
        <v/>
      </c>
      <c r="P1470" s="65" t="str">
        <f t="shared" ca="1" si="185"/>
        <v/>
      </c>
      <c r="Q1470" s="2"/>
      <c r="R1470" s="2"/>
      <c r="S1470" s="1" t="str">
        <f t="shared" si="178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179"/>
        <v>0</v>
      </c>
      <c r="W1470" s="1" t="str">
        <f t="shared" si="180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customHeight="1" x14ac:dyDescent="0.3">
      <c r="A1471" s="2"/>
      <c r="B1471" s="65" t="str">
        <f t="shared" si="181"/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 t="shared" si="182"/>
        <v/>
      </c>
      <c r="N1471" s="74" t="str">
        <f t="shared" si="183"/>
        <v/>
      </c>
      <c r="O1471" s="73" t="str">
        <f t="shared" si="184"/>
        <v/>
      </c>
      <c r="P1471" s="65" t="str">
        <f t="shared" ca="1" si="185"/>
        <v/>
      </c>
      <c r="Q1471" s="2"/>
      <c r="R1471" s="2"/>
      <c r="S1471" s="1" t="str">
        <f t="shared" si="178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179"/>
        <v>0</v>
      </c>
      <c r="W1471" s="1" t="str">
        <f t="shared" si="180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customHeight="1" x14ac:dyDescent="0.3">
      <c r="A1472" s="2"/>
      <c r="B1472" s="65" t="str">
        <f t="shared" si="181"/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 t="shared" si="182"/>
        <v/>
      </c>
      <c r="N1472" s="74" t="str">
        <f t="shared" si="183"/>
        <v/>
      </c>
      <c r="O1472" s="73" t="str">
        <f t="shared" si="184"/>
        <v/>
      </c>
      <c r="P1472" s="65" t="str">
        <f t="shared" ca="1" si="185"/>
        <v/>
      </c>
      <c r="Q1472" s="2"/>
      <c r="R1472" s="2"/>
      <c r="S1472" s="1" t="str">
        <f t="shared" si="178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179"/>
        <v>0</v>
      </c>
      <c r="W1472" s="1" t="str">
        <f t="shared" si="180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customHeight="1" x14ac:dyDescent="0.3">
      <c r="A1473" s="2"/>
      <c r="B1473" s="65" t="str">
        <f t="shared" si="181"/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 t="shared" si="182"/>
        <v/>
      </c>
      <c r="N1473" s="74" t="str">
        <f t="shared" si="183"/>
        <v/>
      </c>
      <c r="O1473" s="73" t="str">
        <f t="shared" si="184"/>
        <v/>
      </c>
      <c r="P1473" s="65" t="str">
        <f t="shared" ca="1" si="185"/>
        <v/>
      </c>
      <c r="Q1473" s="2"/>
      <c r="R1473" s="2"/>
      <c r="S1473" s="1" t="str">
        <f t="shared" si="178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179"/>
        <v>0</v>
      </c>
      <c r="W1473" s="1" t="str">
        <f t="shared" si="180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customHeight="1" x14ac:dyDescent="0.3">
      <c r="A1474" s="2"/>
      <c r="B1474" s="65" t="str">
        <f t="shared" si="181"/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 t="shared" si="182"/>
        <v/>
      </c>
      <c r="N1474" s="74" t="str">
        <f t="shared" si="183"/>
        <v/>
      </c>
      <c r="O1474" s="73" t="str">
        <f t="shared" si="184"/>
        <v/>
      </c>
      <c r="P1474" s="65" t="str">
        <f t="shared" ca="1" si="185"/>
        <v/>
      </c>
      <c r="Q1474" s="2"/>
      <c r="R1474" s="2"/>
      <c r="S1474" s="1" t="str">
        <f t="shared" si="178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179"/>
        <v>0</v>
      </c>
      <c r="W1474" s="1" t="str">
        <f t="shared" si="180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customHeight="1" x14ac:dyDescent="0.3">
      <c r="A1475" s="2"/>
      <c r="B1475" s="65" t="str">
        <f t="shared" si="181"/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 t="shared" si="182"/>
        <v/>
      </c>
      <c r="N1475" s="74" t="str">
        <f t="shared" si="183"/>
        <v/>
      </c>
      <c r="O1475" s="73" t="str">
        <f t="shared" si="184"/>
        <v/>
      </c>
      <c r="P1475" s="65" t="str">
        <f t="shared" ca="1" si="185"/>
        <v/>
      </c>
      <c r="Q1475" s="2"/>
      <c r="R1475" s="2"/>
      <c r="S1475" s="1" t="str">
        <f t="shared" si="178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179"/>
        <v>0</v>
      </c>
      <c r="W1475" s="1" t="str">
        <f t="shared" si="180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customHeight="1" x14ac:dyDescent="0.3">
      <c r="A1476" s="2"/>
      <c r="B1476" s="65" t="str">
        <f t="shared" si="181"/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 t="shared" si="182"/>
        <v/>
      </c>
      <c r="N1476" s="74" t="str">
        <f t="shared" si="183"/>
        <v/>
      </c>
      <c r="O1476" s="73" t="str">
        <f t="shared" si="184"/>
        <v/>
      </c>
      <c r="P1476" s="65" t="str">
        <f t="shared" ca="1" si="185"/>
        <v/>
      </c>
      <c r="Q1476" s="2"/>
      <c r="R1476" s="2"/>
      <c r="S1476" s="1" t="str">
        <f t="shared" si="178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179"/>
        <v>0</v>
      </c>
      <c r="W1476" s="1" t="str">
        <f t="shared" si="180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customHeight="1" x14ac:dyDescent="0.3">
      <c r="A1477" s="2"/>
      <c r="B1477" s="65" t="str">
        <f t="shared" si="181"/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 t="shared" si="182"/>
        <v/>
      </c>
      <c r="N1477" s="74" t="str">
        <f t="shared" si="183"/>
        <v/>
      </c>
      <c r="O1477" s="73" t="str">
        <f t="shared" si="184"/>
        <v/>
      </c>
      <c r="P1477" s="65" t="str">
        <f t="shared" ca="1" si="185"/>
        <v/>
      </c>
      <c r="Q1477" s="2"/>
      <c r="R1477" s="2"/>
      <c r="S1477" s="1" t="str">
        <f t="shared" ref="S1477:S1540" si="186"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ref="V1477:V1540" si="187">IF($T1477="",0,1)</f>
        <v>0</v>
      </c>
      <c r="W1477" s="1" t="str">
        <f t="shared" ref="W1477:W1540" si="188">IF($C1477="","",$D1477&amp;"|"&amp;$E1477&amp;"|"&amp;TEXT($C1477,"0")&amp;"|"&amp;TEXT($G1477,"0")&amp;"|"&amp;$F1477&amp;"|"&amp;$J1477)</f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customHeight="1" x14ac:dyDescent="0.3">
      <c r="A1478" s="2"/>
      <c r="B1478" s="65" t="str">
        <f t="shared" si="181"/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 t="shared" si="182"/>
        <v/>
      </c>
      <c r="N1478" s="74" t="str">
        <f t="shared" si="183"/>
        <v/>
      </c>
      <c r="O1478" s="73" t="str">
        <f t="shared" si="184"/>
        <v/>
      </c>
      <c r="P1478" s="65" t="str">
        <f t="shared" ca="1" si="185"/>
        <v/>
      </c>
      <c r="Q1478" s="2"/>
      <c r="R1478" s="2"/>
      <c r="S1478" s="1" t="str">
        <f t="shared" si="186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187"/>
        <v>0</v>
      </c>
      <c r="W1478" s="1" t="str">
        <f t="shared" si="188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customHeight="1" x14ac:dyDescent="0.3">
      <c r="A1479" s="2"/>
      <c r="B1479" s="65" t="str">
        <f t="shared" ref="B1479:B1542" si="189"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 t="shared" ref="M1479:M1542" si="190">IF($C1479="","",IF($D1479="Gider",$E1479,IF($L1479&lt;&gt;"",$L1479,$H1479)))</f>
        <v/>
      </c>
      <c r="N1479" s="74" t="str">
        <f t="shared" ref="N1479:N1542" si="191">IF($C1479="","",IF($D1479="Gider",$H1479,$E1479))</f>
        <v/>
      </c>
      <c r="O1479" s="73" t="str">
        <f t="shared" ref="O1479:O1542" si="192">IF($C1479="","",DATE(YEAR($C1479),MONTH($C1479),1))</f>
        <v/>
      </c>
      <c r="P1479" s="65" t="str">
        <f t="shared" ref="P1479:P1542" ca="1" si="193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TARİH",IF(COUNTIF($W$7:$W$3001,$W1479)&gt;1,"MÜKERRER?",IF($AD1479&gt;0,"KAPALI DÖNEM",IF($I1479="Hayır","ÖDENECEK","UYGUN")))),"EKSİK"))))</f>
        <v/>
      </c>
      <c r="Q1479" s="2"/>
      <c r="R1479" s="2"/>
      <c r="S1479" s="1" t="str">
        <f t="shared" si="186"/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si="187"/>
        <v>0</v>
      </c>
      <c r="W1479" s="1" t="str">
        <f t="shared" si="188"/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customHeight="1" x14ac:dyDescent="0.3">
      <c r="A1480" s="2"/>
      <c r="B1480" s="65" t="str">
        <f t="shared" si="189"/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 t="shared" si="190"/>
        <v/>
      </c>
      <c r="N1480" s="74" t="str">
        <f t="shared" si="191"/>
        <v/>
      </c>
      <c r="O1480" s="73" t="str">
        <f t="shared" si="192"/>
        <v/>
      </c>
      <c r="P1480" s="65" t="str">
        <f t="shared" ca="1" si="193"/>
        <v/>
      </c>
      <c r="Q1480" s="2"/>
      <c r="R1480" s="2"/>
      <c r="S1480" s="1" t="str">
        <f t="shared" si="186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187"/>
        <v>0</v>
      </c>
      <c r="W1480" s="1" t="str">
        <f t="shared" si="188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customHeight="1" x14ac:dyDescent="0.3">
      <c r="A1481" s="2"/>
      <c r="B1481" s="65" t="str">
        <f t="shared" si="189"/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 t="shared" si="190"/>
        <v/>
      </c>
      <c r="N1481" s="74" t="str">
        <f t="shared" si="191"/>
        <v/>
      </c>
      <c r="O1481" s="73" t="str">
        <f t="shared" si="192"/>
        <v/>
      </c>
      <c r="P1481" s="65" t="str">
        <f t="shared" ca="1" si="193"/>
        <v/>
      </c>
      <c r="Q1481" s="2"/>
      <c r="R1481" s="2"/>
      <c r="S1481" s="1" t="str">
        <f t="shared" si="186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187"/>
        <v>0</v>
      </c>
      <c r="W1481" s="1" t="str">
        <f t="shared" si="188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customHeight="1" x14ac:dyDescent="0.3">
      <c r="A1482" s="2"/>
      <c r="B1482" s="65" t="str">
        <f t="shared" si="189"/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 t="shared" si="190"/>
        <v/>
      </c>
      <c r="N1482" s="74" t="str">
        <f t="shared" si="191"/>
        <v/>
      </c>
      <c r="O1482" s="73" t="str">
        <f t="shared" si="192"/>
        <v/>
      </c>
      <c r="P1482" s="65" t="str">
        <f t="shared" ca="1" si="193"/>
        <v/>
      </c>
      <c r="Q1482" s="2"/>
      <c r="R1482" s="2"/>
      <c r="S1482" s="1" t="str">
        <f t="shared" si="186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187"/>
        <v>0</v>
      </c>
      <c r="W1482" s="1" t="str">
        <f t="shared" si="188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customHeight="1" x14ac:dyDescent="0.3">
      <c r="A1483" s="2"/>
      <c r="B1483" s="65" t="str">
        <f t="shared" si="189"/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 t="shared" si="190"/>
        <v/>
      </c>
      <c r="N1483" s="74" t="str">
        <f t="shared" si="191"/>
        <v/>
      </c>
      <c r="O1483" s="73" t="str">
        <f t="shared" si="192"/>
        <v/>
      </c>
      <c r="P1483" s="65" t="str">
        <f t="shared" ca="1" si="193"/>
        <v/>
      </c>
      <c r="Q1483" s="2"/>
      <c r="R1483" s="2"/>
      <c r="S1483" s="1" t="str">
        <f t="shared" si="186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187"/>
        <v>0</v>
      </c>
      <c r="W1483" s="1" t="str">
        <f t="shared" si="188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customHeight="1" x14ac:dyDescent="0.3">
      <c r="A1484" s="2"/>
      <c r="B1484" s="65" t="str">
        <f t="shared" si="189"/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 t="shared" si="190"/>
        <v/>
      </c>
      <c r="N1484" s="74" t="str">
        <f t="shared" si="191"/>
        <v/>
      </c>
      <c r="O1484" s="73" t="str">
        <f t="shared" si="192"/>
        <v/>
      </c>
      <c r="P1484" s="65" t="str">
        <f t="shared" ca="1" si="193"/>
        <v/>
      </c>
      <c r="Q1484" s="2"/>
      <c r="R1484" s="2"/>
      <c r="S1484" s="1" t="str">
        <f t="shared" si="186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187"/>
        <v>0</v>
      </c>
      <c r="W1484" s="1" t="str">
        <f t="shared" si="188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customHeight="1" x14ac:dyDescent="0.3">
      <c r="A1485" s="2"/>
      <c r="B1485" s="65" t="str">
        <f t="shared" si="189"/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 t="shared" si="190"/>
        <v/>
      </c>
      <c r="N1485" s="74" t="str">
        <f t="shared" si="191"/>
        <v/>
      </c>
      <c r="O1485" s="73" t="str">
        <f t="shared" si="192"/>
        <v/>
      </c>
      <c r="P1485" s="65" t="str">
        <f t="shared" ca="1" si="193"/>
        <v/>
      </c>
      <c r="Q1485" s="2"/>
      <c r="R1485" s="2"/>
      <c r="S1485" s="1" t="str">
        <f t="shared" si="186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187"/>
        <v>0</v>
      </c>
      <c r="W1485" s="1" t="str">
        <f t="shared" si="188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customHeight="1" x14ac:dyDescent="0.3">
      <c r="A1486" s="2"/>
      <c r="B1486" s="65" t="str">
        <f t="shared" si="189"/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 t="shared" si="190"/>
        <v/>
      </c>
      <c r="N1486" s="74" t="str">
        <f t="shared" si="191"/>
        <v/>
      </c>
      <c r="O1486" s="73" t="str">
        <f t="shared" si="192"/>
        <v/>
      </c>
      <c r="P1486" s="65" t="str">
        <f t="shared" ca="1" si="193"/>
        <v/>
      </c>
      <c r="Q1486" s="2"/>
      <c r="R1486" s="2"/>
      <c r="S1486" s="1" t="str">
        <f t="shared" si="186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187"/>
        <v>0</v>
      </c>
      <c r="W1486" s="1" t="str">
        <f t="shared" si="188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customHeight="1" x14ac:dyDescent="0.3">
      <c r="A1487" s="2"/>
      <c r="B1487" s="65" t="str">
        <f t="shared" si="189"/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 t="shared" si="190"/>
        <v/>
      </c>
      <c r="N1487" s="74" t="str">
        <f t="shared" si="191"/>
        <v/>
      </c>
      <c r="O1487" s="73" t="str">
        <f t="shared" si="192"/>
        <v/>
      </c>
      <c r="P1487" s="65" t="str">
        <f t="shared" ca="1" si="193"/>
        <v/>
      </c>
      <c r="Q1487" s="2"/>
      <c r="R1487" s="2"/>
      <c r="S1487" s="1" t="str">
        <f t="shared" si="186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187"/>
        <v>0</v>
      </c>
      <c r="W1487" s="1" t="str">
        <f t="shared" si="188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customHeight="1" x14ac:dyDescent="0.3">
      <c r="A1488" s="2"/>
      <c r="B1488" s="65" t="str">
        <f t="shared" si="189"/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 t="shared" si="190"/>
        <v/>
      </c>
      <c r="N1488" s="74" t="str">
        <f t="shared" si="191"/>
        <v/>
      </c>
      <c r="O1488" s="73" t="str">
        <f t="shared" si="192"/>
        <v/>
      </c>
      <c r="P1488" s="65" t="str">
        <f t="shared" ca="1" si="193"/>
        <v/>
      </c>
      <c r="Q1488" s="2"/>
      <c r="R1488" s="2"/>
      <c r="S1488" s="1" t="str">
        <f t="shared" si="186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187"/>
        <v>0</v>
      </c>
      <c r="W1488" s="1" t="str">
        <f t="shared" si="188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customHeight="1" x14ac:dyDescent="0.3">
      <c r="A1489" s="2"/>
      <c r="B1489" s="65" t="str">
        <f t="shared" si="189"/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 t="shared" si="190"/>
        <v/>
      </c>
      <c r="N1489" s="74" t="str">
        <f t="shared" si="191"/>
        <v/>
      </c>
      <c r="O1489" s="73" t="str">
        <f t="shared" si="192"/>
        <v/>
      </c>
      <c r="P1489" s="65" t="str">
        <f t="shared" ca="1" si="193"/>
        <v/>
      </c>
      <c r="Q1489" s="2"/>
      <c r="R1489" s="2"/>
      <c r="S1489" s="1" t="str">
        <f t="shared" si="186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187"/>
        <v>0</v>
      </c>
      <c r="W1489" s="1" t="str">
        <f t="shared" si="188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customHeight="1" x14ac:dyDescent="0.3">
      <c r="A1490" s="2"/>
      <c r="B1490" s="65" t="str">
        <f t="shared" si="189"/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 t="shared" si="190"/>
        <v/>
      </c>
      <c r="N1490" s="74" t="str">
        <f t="shared" si="191"/>
        <v/>
      </c>
      <c r="O1490" s="73" t="str">
        <f t="shared" si="192"/>
        <v/>
      </c>
      <c r="P1490" s="65" t="str">
        <f t="shared" ca="1" si="193"/>
        <v/>
      </c>
      <c r="Q1490" s="2"/>
      <c r="R1490" s="2"/>
      <c r="S1490" s="1" t="str">
        <f t="shared" si="186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187"/>
        <v>0</v>
      </c>
      <c r="W1490" s="1" t="str">
        <f t="shared" si="188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customHeight="1" x14ac:dyDescent="0.3">
      <c r="A1491" s="2"/>
      <c r="B1491" s="65" t="str">
        <f t="shared" si="189"/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 t="shared" si="190"/>
        <v/>
      </c>
      <c r="N1491" s="74" t="str">
        <f t="shared" si="191"/>
        <v/>
      </c>
      <c r="O1491" s="73" t="str">
        <f t="shared" si="192"/>
        <v/>
      </c>
      <c r="P1491" s="65" t="str">
        <f t="shared" ca="1" si="193"/>
        <v/>
      </c>
      <c r="Q1491" s="2"/>
      <c r="R1491" s="2"/>
      <c r="S1491" s="1" t="str">
        <f t="shared" si="186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187"/>
        <v>0</v>
      </c>
      <c r="W1491" s="1" t="str">
        <f t="shared" si="188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customHeight="1" x14ac:dyDescent="0.3">
      <c r="A1492" s="2"/>
      <c r="B1492" s="65" t="str">
        <f t="shared" si="189"/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 t="shared" si="190"/>
        <v/>
      </c>
      <c r="N1492" s="74" t="str">
        <f t="shared" si="191"/>
        <v/>
      </c>
      <c r="O1492" s="73" t="str">
        <f t="shared" si="192"/>
        <v/>
      </c>
      <c r="P1492" s="65" t="str">
        <f t="shared" ca="1" si="193"/>
        <v/>
      </c>
      <c r="Q1492" s="2"/>
      <c r="R1492" s="2"/>
      <c r="S1492" s="1" t="str">
        <f t="shared" si="186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187"/>
        <v>0</v>
      </c>
      <c r="W1492" s="1" t="str">
        <f t="shared" si="188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customHeight="1" x14ac:dyDescent="0.3">
      <c r="A1493" s="2"/>
      <c r="B1493" s="65" t="str">
        <f t="shared" si="189"/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 t="shared" si="190"/>
        <v/>
      </c>
      <c r="N1493" s="74" t="str">
        <f t="shared" si="191"/>
        <v/>
      </c>
      <c r="O1493" s="73" t="str">
        <f t="shared" si="192"/>
        <v/>
      </c>
      <c r="P1493" s="65" t="str">
        <f t="shared" ca="1" si="193"/>
        <v/>
      </c>
      <c r="Q1493" s="2"/>
      <c r="R1493" s="2"/>
      <c r="S1493" s="1" t="str">
        <f t="shared" si="186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187"/>
        <v>0</v>
      </c>
      <c r="W1493" s="1" t="str">
        <f t="shared" si="188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customHeight="1" x14ac:dyDescent="0.3">
      <c r="A1494" s="2"/>
      <c r="B1494" s="65" t="str">
        <f t="shared" si="189"/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 t="shared" si="190"/>
        <v/>
      </c>
      <c r="N1494" s="74" t="str">
        <f t="shared" si="191"/>
        <v/>
      </c>
      <c r="O1494" s="73" t="str">
        <f t="shared" si="192"/>
        <v/>
      </c>
      <c r="P1494" s="65" t="str">
        <f t="shared" ca="1" si="193"/>
        <v/>
      </c>
      <c r="Q1494" s="2"/>
      <c r="R1494" s="2"/>
      <c r="S1494" s="1" t="str">
        <f t="shared" si="186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187"/>
        <v>0</v>
      </c>
      <c r="W1494" s="1" t="str">
        <f t="shared" si="188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customHeight="1" x14ac:dyDescent="0.3">
      <c r="A1495" s="2"/>
      <c r="B1495" s="65" t="str">
        <f t="shared" si="189"/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 t="shared" si="190"/>
        <v/>
      </c>
      <c r="N1495" s="74" t="str">
        <f t="shared" si="191"/>
        <v/>
      </c>
      <c r="O1495" s="73" t="str">
        <f t="shared" si="192"/>
        <v/>
      </c>
      <c r="P1495" s="65" t="str">
        <f t="shared" ca="1" si="193"/>
        <v/>
      </c>
      <c r="Q1495" s="2"/>
      <c r="R1495" s="2"/>
      <c r="S1495" s="1" t="str">
        <f t="shared" si="186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187"/>
        <v>0</v>
      </c>
      <c r="W1495" s="1" t="str">
        <f t="shared" si="188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customHeight="1" x14ac:dyDescent="0.3">
      <c r="A1496" s="2"/>
      <c r="B1496" s="65" t="str">
        <f t="shared" si="189"/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 t="shared" si="190"/>
        <v/>
      </c>
      <c r="N1496" s="74" t="str">
        <f t="shared" si="191"/>
        <v/>
      </c>
      <c r="O1496" s="73" t="str">
        <f t="shared" si="192"/>
        <v/>
      </c>
      <c r="P1496" s="65" t="str">
        <f t="shared" ca="1" si="193"/>
        <v/>
      </c>
      <c r="Q1496" s="2"/>
      <c r="R1496" s="2"/>
      <c r="S1496" s="1" t="str">
        <f t="shared" si="186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187"/>
        <v>0</v>
      </c>
      <c r="W1496" s="1" t="str">
        <f t="shared" si="188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customHeight="1" x14ac:dyDescent="0.3">
      <c r="A1497" s="2"/>
      <c r="B1497" s="65" t="str">
        <f t="shared" si="189"/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 t="shared" si="190"/>
        <v/>
      </c>
      <c r="N1497" s="74" t="str">
        <f t="shared" si="191"/>
        <v/>
      </c>
      <c r="O1497" s="73" t="str">
        <f t="shared" si="192"/>
        <v/>
      </c>
      <c r="P1497" s="65" t="str">
        <f t="shared" ca="1" si="193"/>
        <v/>
      </c>
      <c r="Q1497" s="2"/>
      <c r="R1497" s="2"/>
      <c r="S1497" s="1" t="str">
        <f t="shared" si="186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187"/>
        <v>0</v>
      </c>
      <c r="W1497" s="1" t="str">
        <f t="shared" si="188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customHeight="1" x14ac:dyDescent="0.3">
      <c r="A1498" s="2"/>
      <c r="B1498" s="65" t="str">
        <f t="shared" si="189"/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 t="shared" si="190"/>
        <v/>
      </c>
      <c r="N1498" s="74" t="str">
        <f t="shared" si="191"/>
        <v/>
      </c>
      <c r="O1498" s="73" t="str">
        <f t="shared" si="192"/>
        <v/>
      </c>
      <c r="P1498" s="65" t="str">
        <f t="shared" ca="1" si="193"/>
        <v/>
      </c>
      <c r="Q1498" s="2"/>
      <c r="R1498" s="2"/>
      <c r="S1498" s="1" t="str">
        <f t="shared" si="186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187"/>
        <v>0</v>
      </c>
      <c r="W1498" s="1" t="str">
        <f t="shared" si="188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customHeight="1" x14ac:dyDescent="0.3">
      <c r="A1499" s="2"/>
      <c r="B1499" s="65" t="str">
        <f t="shared" si="189"/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 t="shared" si="190"/>
        <v/>
      </c>
      <c r="N1499" s="74" t="str">
        <f t="shared" si="191"/>
        <v/>
      </c>
      <c r="O1499" s="73" t="str">
        <f t="shared" si="192"/>
        <v/>
      </c>
      <c r="P1499" s="65" t="str">
        <f t="shared" ca="1" si="193"/>
        <v/>
      </c>
      <c r="Q1499" s="2"/>
      <c r="R1499" s="2"/>
      <c r="S1499" s="1" t="str">
        <f t="shared" si="186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187"/>
        <v>0</v>
      </c>
      <c r="W1499" s="1" t="str">
        <f t="shared" si="188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customHeight="1" x14ac:dyDescent="0.3">
      <c r="A1500" s="2"/>
      <c r="B1500" s="65" t="str">
        <f t="shared" si="189"/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 t="shared" si="190"/>
        <v/>
      </c>
      <c r="N1500" s="74" t="str">
        <f t="shared" si="191"/>
        <v/>
      </c>
      <c r="O1500" s="73" t="str">
        <f t="shared" si="192"/>
        <v/>
      </c>
      <c r="P1500" s="65" t="str">
        <f t="shared" ca="1" si="193"/>
        <v/>
      </c>
      <c r="Q1500" s="2"/>
      <c r="R1500" s="2"/>
      <c r="S1500" s="1" t="str">
        <f t="shared" si="186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187"/>
        <v>0</v>
      </c>
      <c r="W1500" s="1" t="str">
        <f t="shared" si="188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customHeight="1" x14ac:dyDescent="0.3">
      <c r="A1501" s="2"/>
      <c r="B1501" s="65" t="str">
        <f t="shared" si="189"/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 t="shared" si="190"/>
        <v/>
      </c>
      <c r="N1501" s="74" t="str">
        <f t="shared" si="191"/>
        <v/>
      </c>
      <c r="O1501" s="73" t="str">
        <f t="shared" si="192"/>
        <v/>
      </c>
      <c r="P1501" s="65" t="str">
        <f t="shared" ca="1" si="193"/>
        <v/>
      </c>
      <c r="Q1501" s="2"/>
      <c r="R1501" s="2"/>
      <c r="S1501" s="1" t="str">
        <f t="shared" si="186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187"/>
        <v>0</v>
      </c>
      <c r="W1501" s="1" t="str">
        <f t="shared" si="188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customHeight="1" x14ac:dyDescent="0.3">
      <c r="A1502" s="2"/>
      <c r="B1502" s="65" t="str">
        <f t="shared" si="189"/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 t="shared" si="190"/>
        <v/>
      </c>
      <c r="N1502" s="74" t="str">
        <f t="shared" si="191"/>
        <v/>
      </c>
      <c r="O1502" s="73" t="str">
        <f t="shared" si="192"/>
        <v/>
      </c>
      <c r="P1502" s="65" t="str">
        <f t="shared" ca="1" si="193"/>
        <v/>
      </c>
      <c r="Q1502" s="2"/>
      <c r="R1502" s="2"/>
      <c r="S1502" s="1" t="str">
        <f t="shared" si="186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187"/>
        <v>0</v>
      </c>
      <c r="W1502" s="1" t="str">
        <f t="shared" si="188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customHeight="1" x14ac:dyDescent="0.3">
      <c r="A1503" s="2"/>
      <c r="B1503" s="65" t="str">
        <f t="shared" si="189"/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 t="shared" si="190"/>
        <v/>
      </c>
      <c r="N1503" s="74" t="str">
        <f t="shared" si="191"/>
        <v/>
      </c>
      <c r="O1503" s="73" t="str">
        <f t="shared" si="192"/>
        <v/>
      </c>
      <c r="P1503" s="65" t="str">
        <f t="shared" ca="1" si="193"/>
        <v/>
      </c>
      <c r="Q1503" s="2"/>
      <c r="R1503" s="2"/>
      <c r="S1503" s="1" t="str">
        <f t="shared" si="186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187"/>
        <v>0</v>
      </c>
      <c r="W1503" s="1" t="str">
        <f t="shared" si="188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customHeight="1" x14ac:dyDescent="0.3">
      <c r="A1504" s="2"/>
      <c r="B1504" s="65" t="str">
        <f t="shared" si="189"/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 t="shared" si="190"/>
        <v/>
      </c>
      <c r="N1504" s="74" t="str">
        <f t="shared" si="191"/>
        <v/>
      </c>
      <c r="O1504" s="73" t="str">
        <f t="shared" si="192"/>
        <v/>
      </c>
      <c r="P1504" s="65" t="str">
        <f t="shared" ca="1" si="193"/>
        <v/>
      </c>
      <c r="Q1504" s="2"/>
      <c r="R1504" s="2"/>
      <c r="S1504" s="1" t="str">
        <f t="shared" si="186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187"/>
        <v>0</v>
      </c>
      <c r="W1504" s="1" t="str">
        <f t="shared" si="188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customHeight="1" x14ac:dyDescent="0.3">
      <c r="A1505" s="2"/>
      <c r="B1505" s="65" t="str">
        <f t="shared" si="189"/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 t="shared" si="190"/>
        <v/>
      </c>
      <c r="N1505" s="74" t="str">
        <f t="shared" si="191"/>
        <v/>
      </c>
      <c r="O1505" s="73" t="str">
        <f t="shared" si="192"/>
        <v/>
      </c>
      <c r="P1505" s="65" t="str">
        <f t="shared" ca="1" si="193"/>
        <v/>
      </c>
      <c r="Q1505" s="2"/>
      <c r="R1505" s="2"/>
      <c r="S1505" s="1" t="str">
        <f t="shared" si="186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187"/>
        <v>0</v>
      </c>
      <c r="W1505" s="1" t="str">
        <f t="shared" si="188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customHeight="1" x14ac:dyDescent="0.3">
      <c r="A1506" s="2"/>
      <c r="B1506" s="65" t="str">
        <f t="shared" si="189"/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 t="shared" si="190"/>
        <v/>
      </c>
      <c r="N1506" s="74" t="str">
        <f t="shared" si="191"/>
        <v/>
      </c>
      <c r="O1506" s="73" t="str">
        <f t="shared" si="192"/>
        <v/>
      </c>
      <c r="P1506" s="65" t="str">
        <f t="shared" ca="1" si="193"/>
        <v/>
      </c>
      <c r="Q1506" s="2"/>
      <c r="R1506" s="2"/>
      <c r="S1506" s="1" t="str">
        <f t="shared" si="186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187"/>
        <v>0</v>
      </c>
      <c r="W1506" s="1" t="str">
        <f t="shared" si="188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customHeight="1" x14ac:dyDescent="0.3">
      <c r="A1507" s="2"/>
      <c r="B1507" s="65" t="str">
        <f t="shared" si="189"/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 t="shared" si="190"/>
        <v/>
      </c>
      <c r="N1507" s="74" t="str">
        <f t="shared" si="191"/>
        <v/>
      </c>
      <c r="O1507" s="73" t="str">
        <f t="shared" si="192"/>
        <v/>
      </c>
      <c r="P1507" s="65" t="str">
        <f t="shared" ca="1" si="193"/>
        <v/>
      </c>
      <c r="Q1507" s="2"/>
      <c r="R1507" s="2"/>
      <c r="S1507" s="1" t="str">
        <f t="shared" si="186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187"/>
        <v>0</v>
      </c>
      <c r="W1507" s="1" t="str">
        <f t="shared" si="188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customHeight="1" x14ac:dyDescent="0.3">
      <c r="A1508" s="2"/>
      <c r="B1508" s="65" t="str">
        <f t="shared" si="189"/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 t="shared" si="190"/>
        <v/>
      </c>
      <c r="N1508" s="74" t="str">
        <f t="shared" si="191"/>
        <v/>
      </c>
      <c r="O1508" s="73" t="str">
        <f t="shared" si="192"/>
        <v/>
      </c>
      <c r="P1508" s="65" t="str">
        <f t="shared" ca="1" si="193"/>
        <v/>
      </c>
      <c r="Q1508" s="2"/>
      <c r="R1508" s="2"/>
      <c r="S1508" s="1" t="str">
        <f t="shared" si="186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187"/>
        <v>0</v>
      </c>
      <c r="W1508" s="1" t="str">
        <f t="shared" si="188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customHeight="1" x14ac:dyDescent="0.3">
      <c r="A1509" s="2"/>
      <c r="B1509" s="65" t="str">
        <f t="shared" si="189"/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 t="shared" si="190"/>
        <v/>
      </c>
      <c r="N1509" s="74" t="str">
        <f t="shared" si="191"/>
        <v/>
      </c>
      <c r="O1509" s="73" t="str">
        <f t="shared" si="192"/>
        <v/>
      </c>
      <c r="P1509" s="65" t="str">
        <f t="shared" ca="1" si="193"/>
        <v/>
      </c>
      <c r="Q1509" s="2"/>
      <c r="R1509" s="2"/>
      <c r="S1509" s="1" t="str">
        <f t="shared" si="186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187"/>
        <v>0</v>
      </c>
      <c r="W1509" s="1" t="str">
        <f t="shared" si="188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customHeight="1" x14ac:dyDescent="0.3">
      <c r="A1510" s="2"/>
      <c r="B1510" s="65" t="str">
        <f t="shared" si="189"/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 t="shared" si="190"/>
        <v/>
      </c>
      <c r="N1510" s="74" t="str">
        <f t="shared" si="191"/>
        <v/>
      </c>
      <c r="O1510" s="73" t="str">
        <f t="shared" si="192"/>
        <v/>
      </c>
      <c r="P1510" s="65" t="str">
        <f t="shared" ca="1" si="193"/>
        <v/>
      </c>
      <c r="Q1510" s="2"/>
      <c r="R1510" s="2"/>
      <c r="S1510" s="1" t="str">
        <f t="shared" si="186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187"/>
        <v>0</v>
      </c>
      <c r="W1510" s="1" t="str">
        <f t="shared" si="188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customHeight="1" x14ac:dyDescent="0.3">
      <c r="A1511" s="2"/>
      <c r="B1511" s="65" t="str">
        <f t="shared" si="189"/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 t="shared" si="190"/>
        <v/>
      </c>
      <c r="N1511" s="74" t="str">
        <f t="shared" si="191"/>
        <v/>
      </c>
      <c r="O1511" s="73" t="str">
        <f t="shared" si="192"/>
        <v/>
      </c>
      <c r="P1511" s="65" t="str">
        <f t="shared" ca="1" si="193"/>
        <v/>
      </c>
      <c r="Q1511" s="2"/>
      <c r="R1511" s="2"/>
      <c r="S1511" s="1" t="str">
        <f t="shared" si="186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187"/>
        <v>0</v>
      </c>
      <c r="W1511" s="1" t="str">
        <f t="shared" si="188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customHeight="1" x14ac:dyDescent="0.3">
      <c r="A1512" s="2"/>
      <c r="B1512" s="65" t="str">
        <f t="shared" si="189"/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 t="shared" si="190"/>
        <v/>
      </c>
      <c r="N1512" s="74" t="str">
        <f t="shared" si="191"/>
        <v/>
      </c>
      <c r="O1512" s="73" t="str">
        <f t="shared" si="192"/>
        <v/>
      </c>
      <c r="P1512" s="65" t="str">
        <f t="shared" ca="1" si="193"/>
        <v/>
      </c>
      <c r="Q1512" s="2"/>
      <c r="R1512" s="2"/>
      <c r="S1512" s="1" t="str">
        <f t="shared" si="186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187"/>
        <v>0</v>
      </c>
      <c r="W1512" s="1" t="str">
        <f t="shared" si="188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customHeight="1" x14ac:dyDescent="0.3">
      <c r="A1513" s="2"/>
      <c r="B1513" s="65" t="str">
        <f t="shared" si="189"/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 t="shared" si="190"/>
        <v/>
      </c>
      <c r="N1513" s="74" t="str">
        <f t="shared" si="191"/>
        <v/>
      </c>
      <c r="O1513" s="73" t="str">
        <f t="shared" si="192"/>
        <v/>
      </c>
      <c r="P1513" s="65" t="str">
        <f t="shared" ca="1" si="193"/>
        <v/>
      </c>
      <c r="Q1513" s="2"/>
      <c r="R1513" s="2"/>
      <c r="S1513" s="1" t="str">
        <f t="shared" si="186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187"/>
        <v>0</v>
      </c>
      <c r="W1513" s="1" t="str">
        <f t="shared" si="188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customHeight="1" x14ac:dyDescent="0.3">
      <c r="A1514" s="2"/>
      <c r="B1514" s="65" t="str">
        <f t="shared" si="189"/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 t="shared" si="190"/>
        <v/>
      </c>
      <c r="N1514" s="74" t="str">
        <f t="shared" si="191"/>
        <v/>
      </c>
      <c r="O1514" s="73" t="str">
        <f t="shared" si="192"/>
        <v/>
      </c>
      <c r="P1514" s="65" t="str">
        <f t="shared" ca="1" si="193"/>
        <v/>
      </c>
      <c r="Q1514" s="2"/>
      <c r="R1514" s="2"/>
      <c r="S1514" s="1" t="str">
        <f t="shared" si="186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187"/>
        <v>0</v>
      </c>
      <c r="W1514" s="1" t="str">
        <f t="shared" si="188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customHeight="1" x14ac:dyDescent="0.3">
      <c r="A1515" s="2"/>
      <c r="B1515" s="65" t="str">
        <f t="shared" si="189"/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 t="shared" si="190"/>
        <v/>
      </c>
      <c r="N1515" s="74" t="str">
        <f t="shared" si="191"/>
        <v/>
      </c>
      <c r="O1515" s="73" t="str">
        <f t="shared" si="192"/>
        <v/>
      </c>
      <c r="P1515" s="65" t="str">
        <f t="shared" ca="1" si="193"/>
        <v/>
      </c>
      <c r="Q1515" s="2"/>
      <c r="R1515" s="2"/>
      <c r="S1515" s="1" t="str">
        <f t="shared" si="186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187"/>
        <v>0</v>
      </c>
      <c r="W1515" s="1" t="str">
        <f t="shared" si="188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customHeight="1" x14ac:dyDescent="0.3">
      <c r="A1516" s="2"/>
      <c r="B1516" s="65" t="str">
        <f t="shared" si="189"/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 t="shared" si="190"/>
        <v/>
      </c>
      <c r="N1516" s="74" t="str">
        <f t="shared" si="191"/>
        <v/>
      </c>
      <c r="O1516" s="73" t="str">
        <f t="shared" si="192"/>
        <v/>
      </c>
      <c r="P1516" s="65" t="str">
        <f t="shared" ca="1" si="193"/>
        <v/>
      </c>
      <c r="Q1516" s="2"/>
      <c r="R1516" s="2"/>
      <c r="S1516" s="1" t="str">
        <f t="shared" si="186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187"/>
        <v>0</v>
      </c>
      <c r="W1516" s="1" t="str">
        <f t="shared" si="188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customHeight="1" x14ac:dyDescent="0.3">
      <c r="A1517" s="2"/>
      <c r="B1517" s="65" t="str">
        <f t="shared" si="189"/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 t="shared" si="190"/>
        <v/>
      </c>
      <c r="N1517" s="74" t="str">
        <f t="shared" si="191"/>
        <v/>
      </c>
      <c r="O1517" s="73" t="str">
        <f t="shared" si="192"/>
        <v/>
      </c>
      <c r="P1517" s="65" t="str">
        <f t="shared" ca="1" si="193"/>
        <v/>
      </c>
      <c r="Q1517" s="2"/>
      <c r="R1517" s="2"/>
      <c r="S1517" s="1" t="str">
        <f t="shared" si="186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187"/>
        <v>0</v>
      </c>
      <c r="W1517" s="1" t="str">
        <f t="shared" si="188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customHeight="1" x14ac:dyDescent="0.3">
      <c r="A1518" s="2"/>
      <c r="B1518" s="65" t="str">
        <f t="shared" si="189"/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 t="shared" si="190"/>
        <v/>
      </c>
      <c r="N1518" s="74" t="str">
        <f t="shared" si="191"/>
        <v/>
      </c>
      <c r="O1518" s="73" t="str">
        <f t="shared" si="192"/>
        <v/>
      </c>
      <c r="P1518" s="65" t="str">
        <f t="shared" ca="1" si="193"/>
        <v/>
      </c>
      <c r="Q1518" s="2"/>
      <c r="R1518" s="2"/>
      <c r="S1518" s="1" t="str">
        <f t="shared" si="186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187"/>
        <v>0</v>
      </c>
      <c r="W1518" s="1" t="str">
        <f t="shared" si="188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customHeight="1" x14ac:dyDescent="0.3">
      <c r="A1519" s="2"/>
      <c r="B1519" s="65" t="str">
        <f t="shared" si="189"/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 t="shared" si="190"/>
        <v/>
      </c>
      <c r="N1519" s="74" t="str">
        <f t="shared" si="191"/>
        <v/>
      </c>
      <c r="O1519" s="73" t="str">
        <f t="shared" si="192"/>
        <v/>
      </c>
      <c r="P1519" s="65" t="str">
        <f t="shared" ca="1" si="193"/>
        <v/>
      </c>
      <c r="Q1519" s="2"/>
      <c r="R1519" s="2"/>
      <c r="S1519" s="1" t="str">
        <f t="shared" si="186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187"/>
        <v>0</v>
      </c>
      <c r="W1519" s="1" t="str">
        <f t="shared" si="188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customHeight="1" x14ac:dyDescent="0.3">
      <c r="A1520" s="2"/>
      <c r="B1520" s="65" t="str">
        <f t="shared" si="189"/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 t="shared" si="190"/>
        <v/>
      </c>
      <c r="N1520" s="74" t="str">
        <f t="shared" si="191"/>
        <v/>
      </c>
      <c r="O1520" s="73" t="str">
        <f t="shared" si="192"/>
        <v/>
      </c>
      <c r="P1520" s="65" t="str">
        <f t="shared" ca="1" si="193"/>
        <v/>
      </c>
      <c r="Q1520" s="2"/>
      <c r="R1520" s="2"/>
      <c r="S1520" s="1" t="str">
        <f t="shared" si="186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187"/>
        <v>0</v>
      </c>
      <c r="W1520" s="1" t="str">
        <f t="shared" si="188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customHeight="1" x14ac:dyDescent="0.3">
      <c r="A1521" s="2"/>
      <c r="B1521" s="65" t="str">
        <f t="shared" si="189"/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 t="shared" si="190"/>
        <v/>
      </c>
      <c r="N1521" s="74" t="str">
        <f t="shared" si="191"/>
        <v/>
      </c>
      <c r="O1521" s="73" t="str">
        <f t="shared" si="192"/>
        <v/>
      </c>
      <c r="P1521" s="65" t="str">
        <f t="shared" ca="1" si="193"/>
        <v/>
      </c>
      <c r="Q1521" s="2"/>
      <c r="R1521" s="2"/>
      <c r="S1521" s="1" t="str">
        <f t="shared" si="186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187"/>
        <v>0</v>
      </c>
      <c r="W1521" s="1" t="str">
        <f t="shared" si="188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customHeight="1" x14ac:dyDescent="0.3">
      <c r="A1522" s="2"/>
      <c r="B1522" s="65" t="str">
        <f t="shared" si="189"/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 t="shared" si="190"/>
        <v/>
      </c>
      <c r="N1522" s="74" t="str">
        <f t="shared" si="191"/>
        <v/>
      </c>
      <c r="O1522" s="73" t="str">
        <f t="shared" si="192"/>
        <v/>
      </c>
      <c r="P1522" s="65" t="str">
        <f t="shared" ca="1" si="193"/>
        <v/>
      </c>
      <c r="Q1522" s="2"/>
      <c r="R1522" s="2"/>
      <c r="S1522" s="1" t="str">
        <f t="shared" si="186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187"/>
        <v>0</v>
      </c>
      <c r="W1522" s="1" t="str">
        <f t="shared" si="188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customHeight="1" x14ac:dyDescent="0.3">
      <c r="A1523" s="2"/>
      <c r="B1523" s="65" t="str">
        <f t="shared" si="189"/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 t="shared" si="190"/>
        <v/>
      </c>
      <c r="N1523" s="74" t="str">
        <f t="shared" si="191"/>
        <v/>
      </c>
      <c r="O1523" s="73" t="str">
        <f t="shared" si="192"/>
        <v/>
      </c>
      <c r="P1523" s="65" t="str">
        <f t="shared" ca="1" si="193"/>
        <v/>
      </c>
      <c r="Q1523" s="2"/>
      <c r="R1523" s="2"/>
      <c r="S1523" s="1" t="str">
        <f t="shared" si="186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187"/>
        <v>0</v>
      </c>
      <c r="W1523" s="1" t="str">
        <f t="shared" si="188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customHeight="1" x14ac:dyDescent="0.3">
      <c r="A1524" s="2"/>
      <c r="B1524" s="65" t="str">
        <f t="shared" si="189"/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 t="shared" si="190"/>
        <v/>
      </c>
      <c r="N1524" s="74" t="str">
        <f t="shared" si="191"/>
        <v/>
      </c>
      <c r="O1524" s="73" t="str">
        <f t="shared" si="192"/>
        <v/>
      </c>
      <c r="P1524" s="65" t="str">
        <f t="shared" ca="1" si="193"/>
        <v/>
      </c>
      <c r="Q1524" s="2"/>
      <c r="R1524" s="2"/>
      <c r="S1524" s="1" t="str">
        <f t="shared" si="186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187"/>
        <v>0</v>
      </c>
      <c r="W1524" s="1" t="str">
        <f t="shared" si="188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customHeight="1" x14ac:dyDescent="0.3">
      <c r="A1525" s="2"/>
      <c r="B1525" s="65" t="str">
        <f t="shared" si="189"/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 t="shared" si="190"/>
        <v/>
      </c>
      <c r="N1525" s="74" t="str">
        <f t="shared" si="191"/>
        <v/>
      </c>
      <c r="O1525" s="73" t="str">
        <f t="shared" si="192"/>
        <v/>
      </c>
      <c r="P1525" s="65" t="str">
        <f t="shared" ca="1" si="193"/>
        <v/>
      </c>
      <c r="Q1525" s="2"/>
      <c r="R1525" s="2"/>
      <c r="S1525" s="1" t="str">
        <f t="shared" si="186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187"/>
        <v>0</v>
      </c>
      <c r="W1525" s="1" t="str">
        <f t="shared" si="188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customHeight="1" x14ac:dyDescent="0.3">
      <c r="A1526" s="2"/>
      <c r="B1526" s="65" t="str">
        <f t="shared" si="189"/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 t="shared" si="190"/>
        <v/>
      </c>
      <c r="N1526" s="74" t="str">
        <f t="shared" si="191"/>
        <v/>
      </c>
      <c r="O1526" s="73" t="str">
        <f t="shared" si="192"/>
        <v/>
      </c>
      <c r="P1526" s="65" t="str">
        <f t="shared" ca="1" si="193"/>
        <v/>
      </c>
      <c r="Q1526" s="2"/>
      <c r="R1526" s="2"/>
      <c r="S1526" s="1" t="str">
        <f t="shared" si="186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187"/>
        <v>0</v>
      </c>
      <c r="W1526" s="1" t="str">
        <f t="shared" si="188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customHeight="1" x14ac:dyDescent="0.3">
      <c r="A1527" s="2"/>
      <c r="B1527" s="65" t="str">
        <f t="shared" si="189"/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 t="shared" si="190"/>
        <v/>
      </c>
      <c r="N1527" s="74" t="str">
        <f t="shared" si="191"/>
        <v/>
      </c>
      <c r="O1527" s="73" t="str">
        <f t="shared" si="192"/>
        <v/>
      </c>
      <c r="P1527" s="65" t="str">
        <f t="shared" ca="1" si="193"/>
        <v/>
      </c>
      <c r="Q1527" s="2"/>
      <c r="R1527" s="2"/>
      <c r="S1527" s="1" t="str">
        <f t="shared" si="186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187"/>
        <v>0</v>
      </c>
      <c r="W1527" s="1" t="str">
        <f t="shared" si="188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customHeight="1" x14ac:dyDescent="0.3">
      <c r="A1528" s="2"/>
      <c r="B1528" s="65" t="str">
        <f t="shared" si="189"/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 t="shared" si="190"/>
        <v/>
      </c>
      <c r="N1528" s="74" t="str">
        <f t="shared" si="191"/>
        <v/>
      </c>
      <c r="O1528" s="73" t="str">
        <f t="shared" si="192"/>
        <v/>
      </c>
      <c r="P1528" s="65" t="str">
        <f t="shared" ca="1" si="193"/>
        <v/>
      </c>
      <c r="Q1528" s="2"/>
      <c r="R1528" s="2"/>
      <c r="S1528" s="1" t="str">
        <f t="shared" si="186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187"/>
        <v>0</v>
      </c>
      <c r="W1528" s="1" t="str">
        <f t="shared" si="188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customHeight="1" x14ac:dyDescent="0.3">
      <c r="A1529" s="2"/>
      <c r="B1529" s="65" t="str">
        <f t="shared" si="189"/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 t="shared" si="190"/>
        <v/>
      </c>
      <c r="N1529" s="74" t="str">
        <f t="shared" si="191"/>
        <v/>
      </c>
      <c r="O1529" s="73" t="str">
        <f t="shared" si="192"/>
        <v/>
      </c>
      <c r="P1529" s="65" t="str">
        <f t="shared" ca="1" si="193"/>
        <v/>
      </c>
      <c r="Q1529" s="2"/>
      <c r="R1529" s="2"/>
      <c r="S1529" s="1" t="str">
        <f t="shared" si="186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187"/>
        <v>0</v>
      </c>
      <c r="W1529" s="1" t="str">
        <f t="shared" si="188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customHeight="1" x14ac:dyDescent="0.3">
      <c r="A1530" s="2"/>
      <c r="B1530" s="65" t="str">
        <f t="shared" si="189"/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 t="shared" si="190"/>
        <v/>
      </c>
      <c r="N1530" s="74" t="str">
        <f t="shared" si="191"/>
        <v/>
      </c>
      <c r="O1530" s="73" t="str">
        <f t="shared" si="192"/>
        <v/>
      </c>
      <c r="P1530" s="65" t="str">
        <f t="shared" ca="1" si="193"/>
        <v/>
      </c>
      <c r="Q1530" s="2"/>
      <c r="R1530" s="2"/>
      <c r="S1530" s="1" t="str">
        <f t="shared" si="186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187"/>
        <v>0</v>
      </c>
      <c r="W1530" s="1" t="str">
        <f t="shared" si="188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customHeight="1" x14ac:dyDescent="0.3">
      <c r="A1531" s="2"/>
      <c r="B1531" s="65" t="str">
        <f t="shared" si="189"/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 t="shared" si="190"/>
        <v/>
      </c>
      <c r="N1531" s="74" t="str">
        <f t="shared" si="191"/>
        <v/>
      </c>
      <c r="O1531" s="73" t="str">
        <f t="shared" si="192"/>
        <v/>
      </c>
      <c r="P1531" s="65" t="str">
        <f t="shared" ca="1" si="193"/>
        <v/>
      </c>
      <c r="Q1531" s="2"/>
      <c r="R1531" s="2"/>
      <c r="S1531" s="1" t="str">
        <f t="shared" si="186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187"/>
        <v>0</v>
      </c>
      <c r="W1531" s="1" t="str">
        <f t="shared" si="188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customHeight="1" x14ac:dyDescent="0.3">
      <c r="A1532" s="2"/>
      <c r="B1532" s="65" t="str">
        <f t="shared" si="189"/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 t="shared" si="190"/>
        <v/>
      </c>
      <c r="N1532" s="74" t="str">
        <f t="shared" si="191"/>
        <v/>
      </c>
      <c r="O1532" s="73" t="str">
        <f t="shared" si="192"/>
        <v/>
      </c>
      <c r="P1532" s="65" t="str">
        <f t="shared" ca="1" si="193"/>
        <v/>
      </c>
      <c r="Q1532" s="2"/>
      <c r="R1532" s="2"/>
      <c r="S1532" s="1" t="str">
        <f t="shared" si="186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187"/>
        <v>0</v>
      </c>
      <c r="W1532" s="1" t="str">
        <f t="shared" si="188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customHeight="1" x14ac:dyDescent="0.3">
      <c r="A1533" s="2"/>
      <c r="B1533" s="65" t="str">
        <f t="shared" si="189"/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 t="shared" si="190"/>
        <v/>
      </c>
      <c r="N1533" s="74" t="str">
        <f t="shared" si="191"/>
        <v/>
      </c>
      <c r="O1533" s="73" t="str">
        <f t="shared" si="192"/>
        <v/>
      </c>
      <c r="P1533" s="65" t="str">
        <f t="shared" ca="1" si="193"/>
        <v/>
      </c>
      <c r="Q1533" s="2"/>
      <c r="R1533" s="2"/>
      <c r="S1533" s="1" t="str">
        <f t="shared" si="186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187"/>
        <v>0</v>
      </c>
      <c r="W1533" s="1" t="str">
        <f t="shared" si="188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customHeight="1" x14ac:dyDescent="0.3">
      <c r="A1534" s="2"/>
      <c r="B1534" s="65" t="str">
        <f t="shared" si="189"/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 t="shared" si="190"/>
        <v/>
      </c>
      <c r="N1534" s="74" t="str">
        <f t="shared" si="191"/>
        <v/>
      </c>
      <c r="O1534" s="73" t="str">
        <f t="shared" si="192"/>
        <v/>
      </c>
      <c r="P1534" s="65" t="str">
        <f t="shared" ca="1" si="193"/>
        <v/>
      </c>
      <c r="Q1534" s="2"/>
      <c r="R1534" s="2"/>
      <c r="S1534" s="1" t="str">
        <f t="shared" si="186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187"/>
        <v>0</v>
      </c>
      <c r="W1534" s="1" t="str">
        <f t="shared" si="188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customHeight="1" x14ac:dyDescent="0.3">
      <c r="A1535" s="2"/>
      <c r="B1535" s="65" t="str">
        <f t="shared" si="189"/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 t="shared" si="190"/>
        <v/>
      </c>
      <c r="N1535" s="74" t="str">
        <f t="shared" si="191"/>
        <v/>
      </c>
      <c r="O1535" s="73" t="str">
        <f t="shared" si="192"/>
        <v/>
      </c>
      <c r="P1535" s="65" t="str">
        <f t="shared" ca="1" si="193"/>
        <v/>
      </c>
      <c r="Q1535" s="2"/>
      <c r="R1535" s="2"/>
      <c r="S1535" s="1" t="str">
        <f t="shared" si="186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187"/>
        <v>0</v>
      </c>
      <c r="W1535" s="1" t="str">
        <f t="shared" si="188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customHeight="1" x14ac:dyDescent="0.3">
      <c r="A1536" s="2"/>
      <c r="B1536" s="65" t="str">
        <f t="shared" si="189"/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 t="shared" si="190"/>
        <v/>
      </c>
      <c r="N1536" s="74" t="str">
        <f t="shared" si="191"/>
        <v/>
      </c>
      <c r="O1536" s="73" t="str">
        <f t="shared" si="192"/>
        <v/>
      </c>
      <c r="P1536" s="65" t="str">
        <f t="shared" ca="1" si="193"/>
        <v/>
      </c>
      <c r="Q1536" s="2"/>
      <c r="R1536" s="2"/>
      <c r="S1536" s="1" t="str">
        <f t="shared" si="186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187"/>
        <v>0</v>
      </c>
      <c r="W1536" s="1" t="str">
        <f t="shared" si="188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customHeight="1" x14ac:dyDescent="0.3">
      <c r="A1537" s="2"/>
      <c r="B1537" s="65" t="str">
        <f t="shared" si="189"/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 t="shared" si="190"/>
        <v/>
      </c>
      <c r="N1537" s="74" t="str">
        <f t="shared" si="191"/>
        <v/>
      </c>
      <c r="O1537" s="73" t="str">
        <f t="shared" si="192"/>
        <v/>
      </c>
      <c r="P1537" s="65" t="str">
        <f t="shared" ca="1" si="193"/>
        <v/>
      </c>
      <c r="Q1537" s="2"/>
      <c r="R1537" s="2"/>
      <c r="S1537" s="1" t="str">
        <f t="shared" si="186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187"/>
        <v>0</v>
      </c>
      <c r="W1537" s="1" t="str">
        <f t="shared" si="188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customHeight="1" x14ac:dyDescent="0.3">
      <c r="A1538" s="2"/>
      <c r="B1538" s="65" t="str">
        <f t="shared" si="189"/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 t="shared" si="190"/>
        <v/>
      </c>
      <c r="N1538" s="74" t="str">
        <f t="shared" si="191"/>
        <v/>
      </c>
      <c r="O1538" s="73" t="str">
        <f t="shared" si="192"/>
        <v/>
      </c>
      <c r="P1538" s="65" t="str">
        <f t="shared" ca="1" si="193"/>
        <v/>
      </c>
      <c r="Q1538" s="2"/>
      <c r="R1538" s="2"/>
      <c r="S1538" s="1" t="str">
        <f t="shared" si="186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187"/>
        <v>0</v>
      </c>
      <c r="W1538" s="1" t="str">
        <f t="shared" si="188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customHeight="1" x14ac:dyDescent="0.3">
      <c r="A1539" s="2"/>
      <c r="B1539" s="65" t="str">
        <f t="shared" si="189"/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 t="shared" si="190"/>
        <v/>
      </c>
      <c r="N1539" s="74" t="str">
        <f t="shared" si="191"/>
        <v/>
      </c>
      <c r="O1539" s="73" t="str">
        <f t="shared" si="192"/>
        <v/>
      </c>
      <c r="P1539" s="65" t="str">
        <f t="shared" ca="1" si="193"/>
        <v/>
      </c>
      <c r="Q1539" s="2"/>
      <c r="R1539" s="2"/>
      <c r="S1539" s="1" t="str">
        <f t="shared" si="186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187"/>
        <v>0</v>
      </c>
      <c r="W1539" s="1" t="str">
        <f t="shared" si="188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customHeight="1" x14ac:dyDescent="0.3">
      <c r="A1540" s="2"/>
      <c r="B1540" s="65" t="str">
        <f t="shared" si="189"/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 t="shared" si="190"/>
        <v/>
      </c>
      <c r="N1540" s="74" t="str">
        <f t="shared" si="191"/>
        <v/>
      </c>
      <c r="O1540" s="73" t="str">
        <f t="shared" si="192"/>
        <v/>
      </c>
      <c r="P1540" s="65" t="str">
        <f t="shared" ca="1" si="193"/>
        <v/>
      </c>
      <c r="Q1540" s="2"/>
      <c r="R1540" s="2"/>
      <c r="S1540" s="1" t="str">
        <f t="shared" si="186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187"/>
        <v>0</v>
      </c>
      <c r="W1540" s="1" t="str">
        <f t="shared" si="188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customHeight="1" x14ac:dyDescent="0.3">
      <c r="A1541" s="2"/>
      <c r="B1541" s="65" t="str">
        <f t="shared" si="189"/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 t="shared" si="190"/>
        <v/>
      </c>
      <c r="N1541" s="74" t="str">
        <f t="shared" si="191"/>
        <v/>
      </c>
      <c r="O1541" s="73" t="str">
        <f t="shared" si="192"/>
        <v/>
      </c>
      <c r="P1541" s="65" t="str">
        <f t="shared" ca="1" si="193"/>
        <v/>
      </c>
      <c r="Q1541" s="2"/>
      <c r="R1541" s="2"/>
      <c r="S1541" s="1" t="str">
        <f t="shared" ref="S1541:S1604" si="194"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ref="V1541:V1604" si="195">IF($T1541="",0,1)</f>
        <v>0</v>
      </c>
      <c r="W1541" s="1" t="str">
        <f t="shared" ref="W1541:W1604" si="196">IF($C1541="","",$D1541&amp;"|"&amp;$E1541&amp;"|"&amp;TEXT($C1541,"0")&amp;"|"&amp;TEXT($G1541,"0")&amp;"|"&amp;$F1541&amp;"|"&amp;$J1541)</f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customHeight="1" x14ac:dyDescent="0.3">
      <c r="A1542" s="2"/>
      <c r="B1542" s="65" t="str">
        <f t="shared" si="189"/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 t="shared" si="190"/>
        <v/>
      </c>
      <c r="N1542" s="74" t="str">
        <f t="shared" si="191"/>
        <v/>
      </c>
      <c r="O1542" s="73" t="str">
        <f t="shared" si="192"/>
        <v/>
      </c>
      <c r="P1542" s="65" t="str">
        <f t="shared" ca="1" si="193"/>
        <v/>
      </c>
      <c r="Q1542" s="2"/>
      <c r="R1542" s="2"/>
      <c r="S1542" s="1" t="str">
        <f t="shared" si="194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195"/>
        <v>0</v>
      </c>
      <c r="W1542" s="1" t="str">
        <f t="shared" si="196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customHeight="1" x14ac:dyDescent="0.3">
      <c r="A1543" s="2"/>
      <c r="B1543" s="65" t="str">
        <f t="shared" ref="B1543:B1606" si="197"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 t="shared" ref="M1543:M1606" si="198">IF($C1543="","",IF($D1543="Gider",$E1543,IF($L1543&lt;&gt;"",$L1543,$H1543)))</f>
        <v/>
      </c>
      <c r="N1543" s="74" t="str">
        <f t="shared" ref="N1543:N1606" si="199">IF($C1543="","",IF($D1543="Gider",$H1543,$E1543))</f>
        <v/>
      </c>
      <c r="O1543" s="73" t="str">
        <f t="shared" ref="O1543:O1606" si="200">IF($C1543="","",DATE(YEAR($C1543),MONTH($C1543),1))</f>
        <v/>
      </c>
      <c r="P1543" s="65" t="str">
        <f t="shared" ref="P1543:P1606" ca="1" si="201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TARİH",IF(COUNTIF($W$7:$W$3001,$W1543)&gt;1,"MÜKERRER?",IF($AD1543&gt;0,"KAPALI DÖNEM",IF($I1543="Hayır","ÖDENECEK","UYGUN")))),"EKSİK"))))</f>
        <v/>
      </c>
      <c r="Q1543" s="2"/>
      <c r="R1543" s="2"/>
      <c r="S1543" s="1" t="str">
        <f t="shared" si="194"/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si="195"/>
        <v>0</v>
      </c>
      <c r="W1543" s="1" t="str">
        <f t="shared" si="196"/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customHeight="1" x14ac:dyDescent="0.3">
      <c r="A1544" s="2"/>
      <c r="B1544" s="65" t="str">
        <f t="shared" si="197"/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 t="shared" si="198"/>
        <v/>
      </c>
      <c r="N1544" s="74" t="str">
        <f t="shared" si="199"/>
        <v/>
      </c>
      <c r="O1544" s="73" t="str">
        <f t="shared" si="200"/>
        <v/>
      </c>
      <c r="P1544" s="65" t="str">
        <f t="shared" ca="1" si="201"/>
        <v/>
      </c>
      <c r="Q1544" s="2"/>
      <c r="R1544" s="2"/>
      <c r="S1544" s="1" t="str">
        <f t="shared" si="194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195"/>
        <v>0</v>
      </c>
      <c r="W1544" s="1" t="str">
        <f t="shared" si="196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customHeight="1" x14ac:dyDescent="0.3">
      <c r="A1545" s="2"/>
      <c r="B1545" s="65" t="str">
        <f t="shared" si="197"/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 t="shared" si="198"/>
        <v/>
      </c>
      <c r="N1545" s="74" t="str">
        <f t="shared" si="199"/>
        <v/>
      </c>
      <c r="O1545" s="73" t="str">
        <f t="shared" si="200"/>
        <v/>
      </c>
      <c r="P1545" s="65" t="str">
        <f t="shared" ca="1" si="201"/>
        <v/>
      </c>
      <c r="Q1545" s="2"/>
      <c r="R1545" s="2"/>
      <c r="S1545" s="1" t="str">
        <f t="shared" si="194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195"/>
        <v>0</v>
      </c>
      <c r="W1545" s="1" t="str">
        <f t="shared" si="196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customHeight="1" x14ac:dyDescent="0.3">
      <c r="A1546" s="2"/>
      <c r="B1546" s="65" t="str">
        <f t="shared" si="197"/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 t="shared" si="198"/>
        <v/>
      </c>
      <c r="N1546" s="74" t="str">
        <f t="shared" si="199"/>
        <v/>
      </c>
      <c r="O1546" s="73" t="str">
        <f t="shared" si="200"/>
        <v/>
      </c>
      <c r="P1546" s="65" t="str">
        <f t="shared" ca="1" si="201"/>
        <v/>
      </c>
      <c r="Q1546" s="2"/>
      <c r="R1546" s="2"/>
      <c r="S1546" s="1" t="str">
        <f t="shared" si="194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195"/>
        <v>0</v>
      </c>
      <c r="W1546" s="1" t="str">
        <f t="shared" si="196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customHeight="1" x14ac:dyDescent="0.3">
      <c r="A1547" s="2"/>
      <c r="B1547" s="65" t="str">
        <f t="shared" si="197"/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 t="shared" si="198"/>
        <v/>
      </c>
      <c r="N1547" s="74" t="str">
        <f t="shared" si="199"/>
        <v/>
      </c>
      <c r="O1547" s="73" t="str">
        <f t="shared" si="200"/>
        <v/>
      </c>
      <c r="P1547" s="65" t="str">
        <f t="shared" ca="1" si="201"/>
        <v/>
      </c>
      <c r="Q1547" s="2"/>
      <c r="R1547" s="2"/>
      <c r="S1547" s="1" t="str">
        <f t="shared" si="194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195"/>
        <v>0</v>
      </c>
      <c r="W1547" s="1" t="str">
        <f t="shared" si="196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customHeight="1" x14ac:dyDescent="0.3">
      <c r="A1548" s="2"/>
      <c r="B1548" s="65" t="str">
        <f t="shared" si="197"/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 t="shared" si="198"/>
        <v/>
      </c>
      <c r="N1548" s="74" t="str">
        <f t="shared" si="199"/>
        <v/>
      </c>
      <c r="O1548" s="73" t="str">
        <f t="shared" si="200"/>
        <v/>
      </c>
      <c r="P1548" s="65" t="str">
        <f t="shared" ca="1" si="201"/>
        <v/>
      </c>
      <c r="Q1548" s="2"/>
      <c r="R1548" s="2"/>
      <c r="S1548" s="1" t="str">
        <f t="shared" si="194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195"/>
        <v>0</v>
      </c>
      <c r="W1548" s="1" t="str">
        <f t="shared" si="196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customHeight="1" x14ac:dyDescent="0.3">
      <c r="A1549" s="2"/>
      <c r="B1549" s="65" t="str">
        <f t="shared" si="197"/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 t="shared" si="198"/>
        <v/>
      </c>
      <c r="N1549" s="74" t="str">
        <f t="shared" si="199"/>
        <v/>
      </c>
      <c r="O1549" s="73" t="str">
        <f t="shared" si="200"/>
        <v/>
      </c>
      <c r="P1549" s="65" t="str">
        <f t="shared" ca="1" si="201"/>
        <v/>
      </c>
      <c r="Q1549" s="2"/>
      <c r="R1549" s="2"/>
      <c r="S1549" s="1" t="str">
        <f t="shared" si="194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195"/>
        <v>0</v>
      </c>
      <c r="W1549" s="1" t="str">
        <f t="shared" si="196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customHeight="1" x14ac:dyDescent="0.3">
      <c r="A1550" s="2"/>
      <c r="B1550" s="65" t="str">
        <f t="shared" si="197"/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 t="shared" si="198"/>
        <v/>
      </c>
      <c r="N1550" s="74" t="str">
        <f t="shared" si="199"/>
        <v/>
      </c>
      <c r="O1550" s="73" t="str">
        <f t="shared" si="200"/>
        <v/>
      </c>
      <c r="P1550" s="65" t="str">
        <f t="shared" ca="1" si="201"/>
        <v/>
      </c>
      <c r="Q1550" s="2"/>
      <c r="R1550" s="2"/>
      <c r="S1550" s="1" t="str">
        <f t="shared" si="194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195"/>
        <v>0</v>
      </c>
      <c r="W1550" s="1" t="str">
        <f t="shared" si="196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customHeight="1" x14ac:dyDescent="0.3">
      <c r="A1551" s="2"/>
      <c r="B1551" s="65" t="str">
        <f t="shared" si="197"/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 t="shared" si="198"/>
        <v/>
      </c>
      <c r="N1551" s="74" t="str">
        <f t="shared" si="199"/>
        <v/>
      </c>
      <c r="O1551" s="73" t="str">
        <f t="shared" si="200"/>
        <v/>
      </c>
      <c r="P1551" s="65" t="str">
        <f t="shared" ca="1" si="201"/>
        <v/>
      </c>
      <c r="Q1551" s="2"/>
      <c r="R1551" s="2"/>
      <c r="S1551" s="1" t="str">
        <f t="shared" si="194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195"/>
        <v>0</v>
      </c>
      <c r="W1551" s="1" t="str">
        <f t="shared" si="196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customHeight="1" x14ac:dyDescent="0.3">
      <c r="A1552" s="2"/>
      <c r="B1552" s="65" t="str">
        <f t="shared" si="197"/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 t="shared" si="198"/>
        <v/>
      </c>
      <c r="N1552" s="74" t="str">
        <f t="shared" si="199"/>
        <v/>
      </c>
      <c r="O1552" s="73" t="str">
        <f t="shared" si="200"/>
        <v/>
      </c>
      <c r="P1552" s="65" t="str">
        <f t="shared" ca="1" si="201"/>
        <v/>
      </c>
      <c r="Q1552" s="2"/>
      <c r="R1552" s="2"/>
      <c r="S1552" s="1" t="str">
        <f t="shared" si="194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195"/>
        <v>0</v>
      </c>
      <c r="W1552" s="1" t="str">
        <f t="shared" si="196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customHeight="1" x14ac:dyDescent="0.3">
      <c r="A1553" s="2"/>
      <c r="B1553" s="65" t="str">
        <f t="shared" si="197"/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 t="shared" si="198"/>
        <v/>
      </c>
      <c r="N1553" s="74" t="str">
        <f t="shared" si="199"/>
        <v/>
      </c>
      <c r="O1553" s="73" t="str">
        <f t="shared" si="200"/>
        <v/>
      </c>
      <c r="P1553" s="65" t="str">
        <f t="shared" ca="1" si="201"/>
        <v/>
      </c>
      <c r="Q1553" s="2"/>
      <c r="R1553" s="2"/>
      <c r="S1553" s="1" t="str">
        <f t="shared" si="194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195"/>
        <v>0</v>
      </c>
      <c r="W1553" s="1" t="str">
        <f t="shared" si="196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customHeight="1" x14ac:dyDescent="0.3">
      <c r="A1554" s="2"/>
      <c r="B1554" s="65" t="str">
        <f t="shared" si="197"/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 t="shared" si="198"/>
        <v/>
      </c>
      <c r="N1554" s="74" t="str">
        <f t="shared" si="199"/>
        <v/>
      </c>
      <c r="O1554" s="73" t="str">
        <f t="shared" si="200"/>
        <v/>
      </c>
      <c r="P1554" s="65" t="str">
        <f t="shared" ca="1" si="201"/>
        <v/>
      </c>
      <c r="Q1554" s="2"/>
      <c r="R1554" s="2"/>
      <c r="S1554" s="1" t="str">
        <f t="shared" si="194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195"/>
        <v>0</v>
      </c>
      <c r="W1554" s="1" t="str">
        <f t="shared" si="196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customHeight="1" x14ac:dyDescent="0.3">
      <c r="A1555" s="2"/>
      <c r="B1555" s="65" t="str">
        <f t="shared" si="197"/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 t="shared" si="198"/>
        <v/>
      </c>
      <c r="N1555" s="74" t="str">
        <f t="shared" si="199"/>
        <v/>
      </c>
      <c r="O1555" s="73" t="str">
        <f t="shared" si="200"/>
        <v/>
      </c>
      <c r="P1555" s="65" t="str">
        <f t="shared" ca="1" si="201"/>
        <v/>
      </c>
      <c r="Q1555" s="2"/>
      <c r="R1555" s="2"/>
      <c r="S1555" s="1" t="str">
        <f t="shared" si="194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195"/>
        <v>0</v>
      </c>
      <c r="W1555" s="1" t="str">
        <f t="shared" si="196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customHeight="1" x14ac:dyDescent="0.3">
      <c r="A1556" s="2"/>
      <c r="B1556" s="65" t="str">
        <f t="shared" si="197"/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 t="shared" si="198"/>
        <v/>
      </c>
      <c r="N1556" s="74" t="str">
        <f t="shared" si="199"/>
        <v/>
      </c>
      <c r="O1556" s="73" t="str">
        <f t="shared" si="200"/>
        <v/>
      </c>
      <c r="P1556" s="65" t="str">
        <f t="shared" ca="1" si="201"/>
        <v/>
      </c>
      <c r="Q1556" s="2"/>
      <c r="R1556" s="2"/>
      <c r="S1556" s="1" t="str">
        <f t="shared" si="194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195"/>
        <v>0</v>
      </c>
      <c r="W1556" s="1" t="str">
        <f t="shared" si="196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customHeight="1" x14ac:dyDescent="0.3">
      <c r="A1557" s="2"/>
      <c r="B1557" s="65" t="str">
        <f t="shared" si="197"/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 t="shared" si="198"/>
        <v/>
      </c>
      <c r="N1557" s="74" t="str">
        <f t="shared" si="199"/>
        <v/>
      </c>
      <c r="O1557" s="73" t="str">
        <f t="shared" si="200"/>
        <v/>
      </c>
      <c r="P1557" s="65" t="str">
        <f t="shared" ca="1" si="201"/>
        <v/>
      </c>
      <c r="Q1557" s="2"/>
      <c r="R1557" s="2"/>
      <c r="S1557" s="1" t="str">
        <f t="shared" si="194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195"/>
        <v>0</v>
      </c>
      <c r="W1557" s="1" t="str">
        <f t="shared" si="196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customHeight="1" x14ac:dyDescent="0.3">
      <c r="A1558" s="2"/>
      <c r="B1558" s="65" t="str">
        <f t="shared" si="197"/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 t="shared" si="198"/>
        <v/>
      </c>
      <c r="N1558" s="74" t="str">
        <f t="shared" si="199"/>
        <v/>
      </c>
      <c r="O1558" s="73" t="str">
        <f t="shared" si="200"/>
        <v/>
      </c>
      <c r="P1558" s="65" t="str">
        <f t="shared" ca="1" si="201"/>
        <v/>
      </c>
      <c r="Q1558" s="2"/>
      <c r="R1558" s="2"/>
      <c r="S1558" s="1" t="str">
        <f t="shared" si="194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195"/>
        <v>0</v>
      </c>
      <c r="W1558" s="1" t="str">
        <f t="shared" si="196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customHeight="1" x14ac:dyDescent="0.3">
      <c r="A1559" s="2"/>
      <c r="B1559" s="65" t="str">
        <f t="shared" si="197"/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 t="shared" si="198"/>
        <v/>
      </c>
      <c r="N1559" s="74" t="str">
        <f t="shared" si="199"/>
        <v/>
      </c>
      <c r="O1559" s="73" t="str">
        <f t="shared" si="200"/>
        <v/>
      </c>
      <c r="P1559" s="65" t="str">
        <f t="shared" ca="1" si="201"/>
        <v/>
      </c>
      <c r="Q1559" s="2"/>
      <c r="R1559" s="2"/>
      <c r="S1559" s="1" t="str">
        <f t="shared" si="194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195"/>
        <v>0</v>
      </c>
      <c r="W1559" s="1" t="str">
        <f t="shared" si="196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customHeight="1" x14ac:dyDescent="0.3">
      <c r="A1560" s="2"/>
      <c r="B1560" s="65" t="str">
        <f t="shared" si="197"/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 t="shared" si="198"/>
        <v/>
      </c>
      <c r="N1560" s="74" t="str">
        <f t="shared" si="199"/>
        <v/>
      </c>
      <c r="O1560" s="73" t="str">
        <f t="shared" si="200"/>
        <v/>
      </c>
      <c r="P1560" s="65" t="str">
        <f t="shared" ca="1" si="201"/>
        <v/>
      </c>
      <c r="Q1560" s="2"/>
      <c r="R1560" s="2"/>
      <c r="S1560" s="1" t="str">
        <f t="shared" si="194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195"/>
        <v>0</v>
      </c>
      <c r="W1560" s="1" t="str">
        <f t="shared" si="196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customHeight="1" x14ac:dyDescent="0.3">
      <c r="A1561" s="2"/>
      <c r="B1561" s="65" t="str">
        <f t="shared" si="197"/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 t="shared" si="198"/>
        <v/>
      </c>
      <c r="N1561" s="74" t="str">
        <f t="shared" si="199"/>
        <v/>
      </c>
      <c r="O1561" s="73" t="str">
        <f t="shared" si="200"/>
        <v/>
      </c>
      <c r="P1561" s="65" t="str">
        <f t="shared" ca="1" si="201"/>
        <v/>
      </c>
      <c r="Q1561" s="2"/>
      <c r="R1561" s="2"/>
      <c r="S1561" s="1" t="str">
        <f t="shared" si="194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195"/>
        <v>0</v>
      </c>
      <c r="W1561" s="1" t="str">
        <f t="shared" si="196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customHeight="1" x14ac:dyDescent="0.3">
      <c r="A1562" s="2"/>
      <c r="B1562" s="65" t="str">
        <f t="shared" si="197"/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 t="shared" si="198"/>
        <v/>
      </c>
      <c r="N1562" s="74" t="str">
        <f t="shared" si="199"/>
        <v/>
      </c>
      <c r="O1562" s="73" t="str">
        <f t="shared" si="200"/>
        <v/>
      </c>
      <c r="P1562" s="65" t="str">
        <f t="shared" ca="1" si="201"/>
        <v/>
      </c>
      <c r="Q1562" s="2"/>
      <c r="R1562" s="2"/>
      <c r="S1562" s="1" t="str">
        <f t="shared" si="194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195"/>
        <v>0</v>
      </c>
      <c r="W1562" s="1" t="str">
        <f t="shared" si="196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customHeight="1" x14ac:dyDescent="0.3">
      <c r="A1563" s="2"/>
      <c r="B1563" s="65" t="str">
        <f t="shared" si="197"/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 t="shared" si="198"/>
        <v/>
      </c>
      <c r="N1563" s="74" t="str">
        <f t="shared" si="199"/>
        <v/>
      </c>
      <c r="O1563" s="73" t="str">
        <f t="shared" si="200"/>
        <v/>
      </c>
      <c r="P1563" s="65" t="str">
        <f t="shared" ca="1" si="201"/>
        <v/>
      </c>
      <c r="Q1563" s="2"/>
      <c r="R1563" s="2"/>
      <c r="S1563" s="1" t="str">
        <f t="shared" si="194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195"/>
        <v>0</v>
      </c>
      <c r="W1563" s="1" t="str">
        <f t="shared" si="196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customHeight="1" x14ac:dyDescent="0.3">
      <c r="A1564" s="2"/>
      <c r="B1564" s="65" t="str">
        <f t="shared" si="197"/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 t="shared" si="198"/>
        <v/>
      </c>
      <c r="N1564" s="74" t="str">
        <f t="shared" si="199"/>
        <v/>
      </c>
      <c r="O1564" s="73" t="str">
        <f t="shared" si="200"/>
        <v/>
      </c>
      <c r="P1564" s="65" t="str">
        <f t="shared" ca="1" si="201"/>
        <v/>
      </c>
      <c r="Q1564" s="2"/>
      <c r="R1564" s="2"/>
      <c r="S1564" s="1" t="str">
        <f t="shared" si="194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195"/>
        <v>0</v>
      </c>
      <c r="W1564" s="1" t="str">
        <f t="shared" si="196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customHeight="1" x14ac:dyDescent="0.3">
      <c r="A1565" s="2"/>
      <c r="B1565" s="65" t="str">
        <f t="shared" si="197"/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 t="shared" si="198"/>
        <v/>
      </c>
      <c r="N1565" s="74" t="str">
        <f t="shared" si="199"/>
        <v/>
      </c>
      <c r="O1565" s="73" t="str">
        <f t="shared" si="200"/>
        <v/>
      </c>
      <c r="P1565" s="65" t="str">
        <f t="shared" ca="1" si="201"/>
        <v/>
      </c>
      <c r="Q1565" s="2"/>
      <c r="R1565" s="2"/>
      <c r="S1565" s="1" t="str">
        <f t="shared" si="194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195"/>
        <v>0</v>
      </c>
      <c r="W1565" s="1" t="str">
        <f t="shared" si="196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customHeight="1" x14ac:dyDescent="0.3">
      <c r="A1566" s="2"/>
      <c r="B1566" s="65" t="str">
        <f t="shared" si="197"/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 t="shared" si="198"/>
        <v/>
      </c>
      <c r="N1566" s="74" t="str">
        <f t="shared" si="199"/>
        <v/>
      </c>
      <c r="O1566" s="73" t="str">
        <f t="shared" si="200"/>
        <v/>
      </c>
      <c r="P1566" s="65" t="str">
        <f t="shared" ca="1" si="201"/>
        <v/>
      </c>
      <c r="Q1566" s="2"/>
      <c r="R1566" s="2"/>
      <c r="S1566" s="1" t="str">
        <f t="shared" si="194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195"/>
        <v>0</v>
      </c>
      <c r="W1566" s="1" t="str">
        <f t="shared" si="196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customHeight="1" x14ac:dyDescent="0.3">
      <c r="A1567" s="2"/>
      <c r="B1567" s="65" t="str">
        <f t="shared" si="197"/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 t="shared" si="198"/>
        <v/>
      </c>
      <c r="N1567" s="74" t="str">
        <f t="shared" si="199"/>
        <v/>
      </c>
      <c r="O1567" s="73" t="str">
        <f t="shared" si="200"/>
        <v/>
      </c>
      <c r="P1567" s="65" t="str">
        <f t="shared" ca="1" si="201"/>
        <v/>
      </c>
      <c r="Q1567" s="2"/>
      <c r="R1567" s="2"/>
      <c r="S1567" s="1" t="str">
        <f t="shared" si="194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195"/>
        <v>0</v>
      </c>
      <c r="W1567" s="1" t="str">
        <f t="shared" si="196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customHeight="1" x14ac:dyDescent="0.3">
      <c r="A1568" s="2"/>
      <c r="B1568" s="65" t="str">
        <f t="shared" si="197"/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 t="shared" si="198"/>
        <v/>
      </c>
      <c r="N1568" s="74" t="str">
        <f t="shared" si="199"/>
        <v/>
      </c>
      <c r="O1568" s="73" t="str">
        <f t="shared" si="200"/>
        <v/>
      </c>
      <c r="P1568" s="65" t="str">
        <f t="shared" ca="1" si="201"/>
        <v/>
      </c>
      <c r="Q1568" s="2"/>
      <c r="R1568" s="2"/>
      <c r="S1568" s="1" t="str">
        <f t="shared" si="194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195"/>
        <v>0</v>
      </c>
      <c r="W1568" s="1" t="str">
        <f t="shared" si="196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customHeight="1" x14ac:dyDescent="0.3">
      <c r="A1569" s="2"/>
      <c r="B1569" s="65" t="str">
        <f t="shared" si="197"/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 t="shared" si="198"/>
        <v/>
      </c>
      <c r="N1569" s="74" t="str">
        <f t="shared" si="199"/>
        <v/>
      </c>
      <c r="O1569" s="73" t="str">
        <f t="shared" si="200"/>
        <v/>
      </c>
      <c r="P1569" s="65" t="str">
        <f t="shared" ca="1" si="201"/>
        <v/>
      </c>
      <c r="Q1569" s="2"/>
      <c r="R1569" s="2"/>
      <c r="S1569" s="1" t="str">
        <f t="shared" si="194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195"/>
        <v>0</v>
      </c>
      <c r="W1569" s="1" t="str">
        <f t="shared" si="196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customHeight="1" x14ac:dyDescent="0.3">
      <c r="A1570" s="2"/>
      <c r="B1570" s="65" t="str">
        <f t="shared" si="197"/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 t="shared" si="198"/>
        <v/>
      </c>
      <c r="N1570" s="74" t="str">
        <f t="shared" si="199"/>
        <v/>
      </c>
      <c r="O1570" s="73" t="str">
        <f t="shared" si="200"/>
        <v/>
      </c>
      <c r="P1570" s="65" t="str">
        <f t="shared" ca="1" si="201"/>
        <v/>
      </c>
      <c r="Q1570" s="2"/>
      <c r="R1570" s="2"/>
      <c r="S1570" s="1" t="str">
        <f t="shared" si="194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195"/>
        <v>0</v>
      </c>
      <c r="W1570" s="1" t="str">
        <f t="shared" si="196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customHeight="1" x14ac:dyDescent="0.3">
      <c r="A1571" s="2"/>
      <c r="B1571" s="65" t="str">
        <f t="shared" si="197"/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 t="shared" si="198"/>
        <v/>
      </c>
      <c r="N1571" s="74" t="str">
        <f t="shared" si="199"/>
        <v/>
      </c>
      <c r="O1571" s="73" t="str">
        <f t="shared" si="200"/>
        <v/>
      </c>
      <c r="P1571" s="65" t="str">
        <f t="shared" ca="1" si="201"/>
        <v/>
      </c>
      <c r="Q1571" s="2"/>
      <c r="R1571" s="2"/>
      <c r="S1571" s="1" t="str">
        <f t="shared" si="194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195"/>
        <v>0</v>
      </c>
      <c r="W1571" s="1" t="str">
        <f t="shared" si="196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customHeight="1" x14ac:dyDescent="0.3">
      <c r="A1572" s="2"/>
      <c r="B1572" s="65" t="str">
        <f t="shared" si="197"/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 t="shared" si="198"/>
        <v/>
      </c>
      <c r="N1572" s="74" t="str">
        <f t="shared" si="199"/>
        <v/>
      </c>
      <c r="O1572" s="73" t="str">
        <f t="shared" si="200"/>
        <v/>
      </c>
      <c r="P1572" s="65" t="str">
        <f t="shared" ca="1" si="201"/>
        <v/>
      </c>
      <c r="Q1572" s="2"/>
      <c r="R1572" s="2"/>
      <c r="S1572" s="1" t="str">
        <f t="shared" si="194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195"/>
        <v>0</v>
      </c>
      <c r="W1572" s="1" t="str">
        <f t="shared" si="196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customHeight="1" x14ac:dyDescent="0.3">
      <c r="A1573" s="2"/>
      <c r="B1573" s="65" t="str">
        <f t="shared" si="197"/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 t="shared" si="198"/>
        <v/>
      </c>
      <c r="N1573" s="74" t="str">
        <f t="shared" si="199"/>
        <v/>
      </c>
      <c r="O1573" s="73" t="str">
        <f t="shared" si="200"/>
        <v/>
      </c>
      <c r="P1573" s="65" t="str">
        <f t="shared" ca="1" si="201"/>
        <v/>
      </c>
      <c r="Q1573" s="2"/>
      <c r="R1573" s="2"/>
      <c r="S1573" s="1" t="str">
        <f t="shared" si="194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195"/>
        <v>0</v>
      </c>
      <c r="W1573" s="1" t="str">
        <f t="shared" si="196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customHeight="1" x14ac:dyDescent="0.3">
      <c r="A1574" s="2"/>
      <c r="B1574" s="65" t="str">
        <f t="shared" si="197"/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 t="shared" si="198"/>
        <v/>
      </c>
      <c r="N1574" s="74" t="str">
        <f t="shared" si="199"/>
        <v/>
      </c>
      <c r="O1574" s="73" t="str">
        <f t="shared" si="200"/>
        <v/>
      </c>
      <c r="P1574" s="65" t="str">
        <f t="shared" ca="1" si="201"/>
        <v/>
      </c>
      <c r="Q1574" s="2"/>
      <c r="R1574" s="2"/>
      <c r="S1574" s="1" t="str">
        <f t="shared" si="194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195"/>
        <v>0</v>
      </c>
      <c r="W1574" s="1" t="str">
        <f t="shared" si="196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customHeight="1" x14ac:dyDescent="0.3">
      <c r="A1575" s="2"/>
      <c r="B1575" s="65" t="str">
        <f t="shared" si="197"/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 t="shared" si="198"/>
        <v/>
      </c>
      <c r="N1575" s="74" t="str">
        <f t="shared" si="199"/>
        <v/>
      </c>
      <c r="O1575" s="73" t="str">
        <f t="shared" si="200"/>
        <v/>
      </c>
      <c r="P1575" s="65" t="str">
        <f t="shared" ca="1" si="201"/>
        <v/>
      </c>
      <c r="Q1575" s="2"/>
      <c r="R1575" s="2"/>
      <c r="S1575" s="1" t="str">
        <f t="shared" si="194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195"/>
        <v>0</v>
      </c>
      <c r="W1575" s="1" t="str">
        <f t="shared" si="196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customHeight="1" x14ac:dyDescent="0.3">
      <c r="A1576" s="2"/>
      <c r="B1576" s="65" t="str">
        <f t="shared" si="197"/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 t="shared" si="198"/>
        <v/>
      </c>
      <c r="N1576" s="74" t="str">
        <f t="shared" si="199"/>
        <v/>
      </c>
      <c r="O1576" s="73" t="str">
        <f t="shared" si="200"/>
        <v/>
      </c>
      <c r="P1576" s="65" t="str">
        <f t="shared" ca="1" si="201"/>
        <v/>
      </c>
      <c r="Q1576" s="2"/>
      <c r="R1576" s="2"/>
      <c r="S1576" s="1" t="str">
        <f t="shared" si="194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195"/>
        <v>0</v>
      </c>
      <c r="W1576" s="1" t="str">
        <f t="shared" si="196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customHeight="1" x14ac:dyDescent="0.3">
      <c r="A1577" s="2"/>
      <c r="B1577" s="65" t="str">
        <f t="shared" si="197"/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 t="shared" si="198"/>
        <v/>
      </c>
      <c r="N1577" s="74" t="str">
        <f t="shared" si="199"/>
        <v/>
      </c>
      <c r="O1577" s="73" t="str">
        <f t="shared" si="200"/>
        <v/>
      </c>
      <c r="P1577" s="65" t="str">
        <f t="shared" ca="1" si="201"/>
        <v/>
      </c>
      <c r="Q1577" s="2"/>
      <c r="R1577" s="2"/>
      <c r="S1577" s="1" t="str">
        <f t="shared" si="194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195"/>
        <v>0</v>
      </c>
      <c r="W1577" s="1" t="str">
        <f t="shared" si="196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customHeight="1" x14ac:dyDescent="0.3">
      <c r="A1578" s="2"/>
      <c r="B1578" s="65" t="str">
        <f t="shared" si="197"/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 t="shared" si="198"/>
        <v/>
      </c>
      <c r="N1578" s="74" t="str">
        <f t="shared" si="199"/>
        <v/>
      </c>
      <c r="O1578" s="73" t="str">
        <f t="shared" si="200"/>
        <v/>
      </c>
      <c r="P1578" s="65" t="str">
        <f t="shared" ca="1" si="201"/>
        <v/>
      </c>
      <c r="Q1578" s="2"/>
      <c r="R1578" s="2"/>
      <c r="S1578" s="1" t="str">
        <f t="shared" si="194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195"/>
        <v>0</v>
      </c>
      <c r="W1578" s="1" t="str">
        <f t="shared" si="196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customHeight="1" x14ac:dyDescent="0.3">
      <c r="A1579" s="2"/>
      <c r="B1579" s="65" t="str">
        <f t="shared" si="197"/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 t="shared" si="198"/>
        <v/>
      </c>
      <c r="N1579" s="74" t="str">
        <f t="shared" si="199"/>
        <v/>
      </c>
      <c r="O1579" s="73" t="str">
        <f t="shared" si="200"/>
        <v/>
      </c>
      <c r="P1579" s="65" t="str">
        <f t="shared" ca="1" si="201"/>
        <v/>
      </c>
      <c r="Q1579" s="2"/>
      <c r="R1579" s="2"/>
      <c r="S1579" s="1" t="str">
        <f t="shared" si="194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195"/>
        <v>0</v>
      </c>
      <c r="W1579" s="1" t="str">
        <f t="shared" si="196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customHeight="1" x14ac:dyDescent="0.3">
      <c r="A1580" s="2"/>
      <c r="B1580" s="65" t="str">
        <f t="shared" si="197"/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 t="shared" si="198"/>
        <v/>
      </c>
      <c r="N1580" s="74" t="str">
        <f t="shared" si="199"/>
        <v/>
      </c>
      <c r="O1580" s="73" t="str">
        <f t="shared" si="200"/>
        <v/>
      </c>
      <c r="P1580" s="65" t="str">
        <f t="shared" ca="1" si="201"/>
        <v/>
      </c>
      <c r="Q1580" s="2"/>
      <c r="R1580" s="2"/>
      <c r="S1580" s="1" t="str">
        <f t="shared" si="194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195"/>
        <v>0</v>
      </c>
      <c r="W1580" s="1" t="str">
        <f t="shared" si="196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customHeight="1" x14ac:dyDescent="0.3">
      <c r="A1581" s="2"/>
      <c r="B1581" s="65" t="str">
        <f t="shared" si="197"/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 t="shared" si="198"/>
        <v/>
      </c>
      <c r="N1581" s="74" t="str">
        <f t="shared" si="199"/>
        <v/>
      </c>
      <c r="O1581" s="73" t="str">
        <f t="shared" si="200"/>
        <v/>
      </c>
      <c r="P1581" s="65" t="str">
        <f t="shared" ca="1" si="201"/>
        <v/>
      </c>
      <c r="Q1581" s="2"/>
      <c r="R1581" s="2"/>
      <c r="S1581" s="1" t="str">
        <f t="shared" si="194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195"/>
        <v>0</v>
      </c>
      <c r="W1581" s="1" t="str">
        <f t="shared" si="196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customHeight="1" x14ac:dyDescent="0.3">
      <c r="A1582" s="2"/>
      <c r="B1582" s="65" t="str">
        <f t="shared" si="197"/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 t="shared" si="198"/>
        <v/>
      </c>
      <c r="N1582" s="74" t="str">
        <f t="shared" si="199"/>
        <v/>
      </c>
      <c r="O1582" s="73" t="str">
        <f t="shared" si="200"/>
        <v/>
      </c>
      <c r="P1582" s="65" t="str">
        <f t="shared" ca="1" si="201"/>
        <v/>
      </c>
      <c r="Q1582" s="2"/>
      <c r="R1582" s="2"/>
      <c r="S1582" s="1" t="str">
        <f t="shared" si="194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195"/>
        <v>0</v>
      </c>
      <c r="W1582" s="1" t="str">
        <f t="shared" si="196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customHeight="1" x14ac:dyDescent="0.3">
      <c r="A1583" s="2"/>
      <c r="B1583" s="65" t="str">
        <f t="shared" si="197"/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 t="shared" si="198"/>
        <v/>
      </c>
      <c r="N1583" s="74" t="str">
        <f t="shared" si="199"/>
        <v/>
      </c>
      <c r="O1583" s="73" t="str">
        <f t="shared" si="200"/>
        <v/>
      </c>
      <c r="P1583" s="65" t="str">
        <f t="shared" ca="1" si="201"/>
        <v/>
      </c>
      <c r="Q1583" s="2"/>
      <c r="R1583" s="2"/>
      <c r="S1583" s="1" t="str">
        <f t="shared" si="194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195"/>
        <v>0</v>
      </c>
      <c r="W1583" s="1" t="str">
        <f t="shared" si="196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customHeight="1" x14ac:dyDescent="0.3">
      <c r="A1584" s="2"/>
      <c r="B1584" s="65" t="str">
        <f t="shared" si="197"/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 t="shared" si="198"/>
        <v/>
      </c>
      <c r="N1584" s="74" t="str">
        <f t="shared" si="199"/>
        <v/>
      </c>
      <c r="O1584" s="73" t="str">
        <f t="shared" si="200"/>
        <v/>
      </c>
      <c r="P1584" s="65" t="str">
        <f t="shared" ca="1" si="201"/>
        <v/>
      </c>
      <c r="Q1584" s="2"/>
      <c r="R1584" s="2"/>
      <c r="S1584" s="1" t="str">
        <f t="shared" si="194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195"/>
        <v>0</v>
      </c>
      <c r="W1584" s="1" t="str">
        <f t="shared" si="196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customHeight="1" x14ac:dyDescent="0.3">
      <c r="A1585" s="2"/>
      <c r="B1585" s="65" t="str">
        <f t="shared" si="197"/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 t="shared" si="198"/>
        <v/>
      </c>
      <c r="N1585" s="74" t="str">
        <f t="shared" si="199"/>
        <v/>
      </c>
      <c r="O1585" s="73" t="str">
        <f t="shared" si="200"/>
        <v/>
      </c>
      <c r="P1585" s="65" t="str">
        <f t="shared" ca="1" si="201"/>
        <v/>
      </c>
      <c r="Q1585" s="2"/>
      <c r="R1585" s="2"/>
      <c r="S1585" s="1" t="str">
        <f t="shared" si="194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195"/>
        <v>0</v>
      </c>
      <c r="W1585" s="1" t="str">
        <f t="shared" si="196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customHeight="1" x14ac:dyDescent="0.3">
      <c r="A1586" s="2"/>
      <c r="B1586" s="65" t="str">
        <f t="shared" si="197"/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 t="shared" si="198"/>
        <v/>
      </c>
      <c r="N1586" s="74" t="str">
        <f t="shared" si="199"/>
        <v/>
      </c>
      <c r="O1586" s="73" t="str">
        <f t="shared" si="200"/>
        <v/>
      </c>
      <c r="P1586" s="65" t="str">
        <f t="shared" ca="1" si="201"/>
        <v/>
      </c>
      <c r="Q1586" s="2"/>
      <c r="R1586" s="2"/>
      <c r="S1586" s="1" t="str">
        <f t="shared" si="194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195"/>
        <v>0</v>
      </c>
      <c r="W1586" s="1" t="str">
        <f t="shared" si="196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customHeight="1" x14ac:dyDescent="0.3">
      <c r="A1587" s="2"/>
      <c r="B1587" s="65" t="str">
        <f t="shared" si="197"/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 t="shared" si="198"/>
        <v/>
      </c>
      <c r="N1587" s="74" t="str">
        <f t="shared" si="199"/>
        <v/>
      </c>
      <c r="O1587" s="73" t="str">
        <f t="shared" si="200"/>
        <v/>
      </c>
      <c r="P1587" s="65" t="str">
        <f t="shared" ca="1" si="201"/>
        <v/>
      </c>
      <c r="Q1587" s="2"/>
      <c r="R1587" s="2"/>
      <c r="S1587" s="1" t="str">
        <f t="shared" si="194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195"/>
        <v>0</v>
      </c>
      <c r="W1587" s="1" t="str">
        <f t="shared" si="196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customHeight="1" x14ac:dyDescent="0.3">
      <c r="A1588" s="2"/>
      <c r="B1588" s="65" t="str">
        <f t="shared" si="197"/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 t="shared" si="198"/>
        <v/>
      </c>
      <c r="N1588" s="74" t="str">
        <f t="shared" si="199"/>
        <v/>
      </c>
      <c r="O1588" s="73" t="str">
        <f t="shared" si="200"/>
        <v/>
      </c>
      <c r="P1588" s="65" t="str">
        <f t="shared" ca="1" si="201"/>
        <v/>
      </c>
      <c r="Q1588" s="2"/>
      <c r="R1588" s="2"/>
      <c r="S1588" s="1" t="str">
        <f t="shared" si="194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195"/>
        <v>0</v>
      </c>
      <c r="W1588" s="1" t="str">
        <f t="shared" si="196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customHeight="1" x14ac:dyDescent="0.3">
      <c r="A1589" s="2"/>
      <c r="B1589" s="65" t="str">
        <f t="shared" si="197"/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 t="shared" si="198"/>
        <v/>
      </c>
      <c r="N1589" s="74" t="str">
        <f t="shared" si="199"/>
        <v/>
      </c>
      <c r="O1589" s="73" t="str">
        <f t="shared" si="200"/>
        <v/>
      </c>
      <c r="P1589" s="65" t="str">
        <f t="shared" ca="1" si="201"/>
        <v/>
      </c>
      <c r="Q1589" s="2"/>
      <c r="R1589" s="2"/>
      <c r="S1589" s="1" t="str">
        <f t="shared" si="194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195"/>
        <v>0</v>
      </c>
      <c r="W1589" s="1" t="str">
        <f t="shared" si="196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customHeight="1" x14ac:dyDescent="0.3">
      <c r="A1590" s="2"/>
      <c r="B1590" s="65" t="str">
        <f t="shared" si="197"/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 t="shared" si="198"/>
        <v/>
      </c>
      <c r="N1590" s="74" t="str">
        <f t="shared" si="199"/>
        <v/>
      </c>
      <c r="O1590" s="73" t="str">
        <f t="shared" si="200"/>
        <v/>
      </c>
      <c r="P1590" s="65" t="str">
        <f t="shared" ca="1" si="201"/>
        <v/>
      </c>
      <c r="Q1590" s="2"/>
      <c r="R1590" s="2"/>
      <c r="S1590" s="1" t="str">
        <f t="shared" si="194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195"/>
        <v>0</v>
      </c>
      <c r="W1590" s="1" t="str">
        <f t="shared" si="196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customHeight="1" x14ac:dyDescent="0.3">
      <c r="A1591" s="2"/>
      <c r="B1591" s="65" t="str">
        <f t="shared" si="197"/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 t="shared" si="198"/>
        <v/>
      </c>
      <c r="N1591" s="74" t="str">
        <f t="shared" si="199"/>
        <v/>
      </c>
      <c r="O1591" s="73" t="str">
        <f t="shared" si="200"/>
        <v/>
      </c>
      <c r="P1591" s="65" t="str">
        <f t="shared" ca="1" si="201"/>
        <v/>
      </c>
      <c r="Q1591" s="2"/>
      <c r="R1591" s="2"/>
      <c r="S1591" s="1" t="str">
        <f t="shared" si="194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195"/>
        <v>0</v>
      </c>
      <c r="W1591" s="1" t="str">
        <f t="shared" si="196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customHeight="1" x14ac:dyDescent="0.3">
      <c r="A1592" s="2"/>
      <c r="B1592" s="65" t="str">
        <f t="shared" si="197"/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 t="shared" si="198"/>
        <v/>
      </c>
      <c r="N1592" s="74" t="str">
        <f t="shared" si="199"/>
        <v/>
      </c>
      <c r="O1592" s="73" t="str">
        <f t="shared" si="200"/>
        <v/>
      </c>
      <c r="P1592" s="65" t="str">
        <f t="shared" ca="1" si="201"/>
        <v/>
      </c>
      <c r="Q1592" s="2"/>
      <c r="R1592" s="2"/>
      <c r="S1592" s="1" t="str">
        <f t="shared" si="194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195"/>
        <v>0</v>
      </c>
      <c r="W1592" s="1" t="str">
        <f t="shared" si="196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customHeight="1" x14ac:dyDescent="0.3">
      <c r="A1593" s="2"/>
      <c r="B1593" s="65" t="str">
        <f t="shared" si="197"/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 t="shared" si="198"/>
        <v/>
      </c>
      <c r="N1593" s="74" t="str">
        <f t="shared" si="199"/>
        <v/>
      </c>
      <c r="O1593" s="73" t="str">
        <f t="shared" si="200"/>
        <v/>
      </c>
      <c r="P1593" s="65" t="str">
        <f t="shared" ca="1" si="201"/>
        <v/>
      </c>
      <c r="Q1593" s="2"/>
      <c r="R1593" s="2"/>
      <c r="S1593" s="1" t="str">
        <f t="shared" si="194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195"/>
        <v>0</v>
      </c>
      <c r="W1593" s="1" t="str">
        <f t="shared" si="196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customHeight="1" x14ac:dyDescent="0.3">
      <c r="A1594" s="2"/>
      <c r="B1594" s="65" t="str">
        <f t="shared" si="197"/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 t="shared" si="198"/>
        <v/>
      </c>
      <c r="N1594" s="74" t="str">
        <f t="shared" si="199"/>
        <v/>
      </c>
      <c r="O1594" s="73" t="str">
        <f t="shared" si="200"/>
        <v/>
      </c>
      <c r="P1594" s="65" t="str">
        <f t="shared" ca="1" si="201"/>
        <v/>
      </c>
      <c r="Q1594" s="2"/>
      <c r="R1594" s="2"/>
      <c r="S1594" s="1" t="str">
        <f t="shared" si="194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195"/>
        <v>0</v>
      </c>
      <c r="W1594" s="1" t="str">
        <f t="shared" si="196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customHeight="1" x14ac:dyDescent="0.3">
      <c r="A1595" s="2"/>
      <c r="B1595" s="65" t="str">
        <f t="shared" si="197"/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 t="shared" si="198"/>
        <v/>
      </c>
      <c r="N1595" s="74" t="str">
        <f t="shared" si="199"/>
        <v/>
      </c>
      <c r="O1595" s="73" t="str">
        <f t="shared" si="200"/>
        <v/>
      </c>
      <c r="P1595" s="65" t="str">
        <f t="shared" ca="1" si="201"/>
        <v/>
      </c>
      <c r="Q1595" s="2"/>
      <c r="R1595" s="2"/>
      <c r="S1595" s="1" t="str">
        <f t="shared" si="194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195"/>
        <v>0</v>
      </c>
      <c r="W1595" s="1" t="str">
        <f t="shared" si="196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customHeight="1" x14ac:dyDescent="0.3">
      <c r="A1596" s="2"/>
      <c r="B1596" s="65" t="str">
        <f t="shared" si="197"/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 t="shared" si="198"/>
        <v/>
      </c>
      <c r="N1596" s="74" t="str">
        <f t="shared" si="199"/>
        <v/>
      </c>
      <c r="O1596" s="73" t="str">
        <f t="shared" si="200"/>
        <v/>
      </c>
      <c r="P1596" s="65" t="str">
        <f t="shared" ca="1" si="201"/>
        <v/>
      </c>
      <c r="Q1596" s="2"/>
      <c r="R1596" s="2"/>
      <c r="S1596" s="1" t="str">
        <f t="shared" si="194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195"/>
        <v>0</v>
      </c>
      <c r="W1596" s="1" t="str">
        <f t="shared" si="196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customHeight="1" x14ac:dyDescent="0.3">
      <c r="A1597" s="2"/>
      <c r="B1597" s="65" t="str">
        <f t="shared" si="197"/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 t="shared" si="198"/>
        <v/>
      </c>
      <c r="N1597" s="74" t="str">
        <f t="shared" si="199"/>
        <v/>
      </c>
      <c r="O1597" s="73" t="str">
        <f t="shared" si="200"/>
        <v/>
      </c>
      <c r="P1597" s="65" t="str">
        <f t="shared" ca="1" si="201"/>
        <v/>
      </c>
      <c r="Q1597" s="2"/>
      <c r="R1597" s="2"/>
      <c r="S1597" s="1" t="str">
        <f t="shared" si="194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195"/>
        <v>0</v>
      </c>
      <c r="W1597" s="1" t="str">
        <f t="shared" si="196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customHeight="1" x14ac:dyDescent="0.3">
      <c r="A1598" s="2"/>
      <c r="B1598" s="65" t="str">
        <f t="shared" si="197"/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 t="shared" si="198"/>
        <v/>
      </c>
      <c r="N1598" s="74" t="str">
        <f t="shared" si="199"/>
        <v/>
      </c>
      <c r="O1598" s="73" t="str">
        <f t="shared" si="200"/>
        <v/>
      </c>
      <c r="P1598" s="65" t="str">
        <f t="shared" ca="1" si="201"/>
        <v/>
      </c>
      <c r="Q1598" s="2"/>
      <c r="R1598" s="2"/>
      <c r="S1598" s="1" t="str">
        <f t="shared" si="194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195"/>
        <v>0</v>
      </c>
      <c r="W1598" s="1" t="str">
        <f t="shared" si="196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customHeight="1" x14ac:dyDescent="0.3">
      <c r="A1599" s="2"/>
      <c r="B1599" s="65" t="str">
        <f t="shared" si="197"/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 t="shared" si="198"/>
        <v/>
      </c>
      <c r="N1599" s="74" t="str">
        <f t="shared" si="199"/>
        <v/>
      </c>
      <c r="O1599" s="73" t="str">
        <f t="shared" si="200"/>
        <v/>
      </c>
      <c r="P1599" s="65" t="str">
        <f t="shared" ca="1" si="201"/>
        <v/>
      </c>
      <c r="Q1599" s="2"/>
      <c r="R1599" s="2"/>
      <c r="S1599" s="1" t="str">
        <f t="shared" si="194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195"/>
        <v>0</v>
      </c>
      <c r="W1599" s="1" t="str">
        <f t="shared" si="196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customHeight="1" x14ac:dyDescent="0.3">
      <c r="A1600" s="2"/>
      <c r="B1600" s="65" t="str">
        <f t="shared" si="197"/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 t="shared" si="198"/>
        <v/>
      </c>
      <c r="N1600" s="74" t="str">
        <f t="shared" si="199"/>
        <v/>
      </c>
      <c r="O1600" s="73" t="str">
        <f t="shared" si="200"/>
        <v/>
      </c>
      <c r="P1600" s="65" t="str">
        <f t="shared" ca="1" si="201"/>
        <v/>
      </c>
      <c r="Q1600" s="2"/>
      <c r="R1600" s="2"/>
      <c r="S1600" s="1" t="str">
        <f t="shared" si="194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195"/>
        <v>0</v>
      </c>
      <c r="W1600" s="1" t="str">
        <f t="shared" si="196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customHeight="1" x14ac:dyDescent="0.3">
      <c r="A1601" s="2"/>
      <c r="B1601" s="65" t="str">
        <f t="shared" si="197"/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 t="shared" si="198"/>
        <v/>
      </c>
      <c r="N1601" s="74" t="str">
        <f t="shared" si="199"/>
        <v/>
      </c>
      <c r="O1601" s="73" t="str">
        <f t="shared" si="200"/>
        <v/>
      </c>
      <c r="P1601" s="65" t="str">
        <f t="shared" ca="1" si="201"/>
        <v/>
      </c>
      <c r="Q1601" s="2"/>
      <c r="R1601" s="2"/>
      <c r="S1601" s="1" t="str">
        <f t="shared" si="194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195"/>
        <v>0</v>
      </c>
      <c r="W1601" s="1" t="str">
        <f t="shared" si="196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customHeight="1" x14ac:dyDescent="0.3">
      <c r="A1602" s="2"/>
      <c r="B1602" s="65" t="str">
        <f t="shared" si="197"/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 t="shared" si="198"/>
        <v/>
      </c>
      <c r="N1602" s="74" t="str">
        <f t="shared" si="199"/>
        <v/>
      </c>
      <c r="O1602" s="73" t="str">
        <f t="shared" si="200"/>
        <v/>
      </c>
      <c r="P1602" s="65" t="str">
        <f t="shared" ca="1" si="201"/>
        <v/>
      </c>
      <c r="Q1602" s="2"/>
      <c r="R1602" s="2"/>
      <c r="S1602" s="1" t="str">
        <f t="shared" si="194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195"/>
        <v>0</v>
      </c>
      <c r="W1602" s="1" t="str">
        <f t="shared" si="196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customHeight="1" x14ac:dyDescent="0.3">
      <c r="A1603" s="2"/>
      <c r="B1603" s="65" t="str">
        <f t="shared" si="197"/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 t="shared" si="198"/>
        <v/>
      </c>
      <c r="N1603" s="74" t="str">
        <f t="shared" si="199"/>
        <v/>
      </c>
      <c r="O1603" s="73" t="str">
        <f t="shared" si="200"/>
        <v/>
      </c>
      <c r="P1603" s="65" t="str">
        <f t="shared" ca="1" si="201"/>
        <v/>
      </c>
      <c r="Q1603" s="2"/>
      <c r="R1603" s="2"/>
      <c r="S1603" s="1" t="str">
        <f t="shared" si="194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195"/>
        <v>0</v>
      </c>
      <c r="W1603" s="1" t="str">
        <f t="shared" si="196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customHeight="1" x14ac:dyDescent="0.3">
      <c r="A1604" s="2"/>
      <c r="B1604" s="65" t="str">
        <f t="shared" si="197"/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 t="shared" si="198"/>
        <v/>
      </c>
      <c r="N1604" s="74" t="str">
        <f t="shared" si="199"/>
        <v/>
      </c>
      <c r="O1604" s="73" t="str">
        <f t="shared" si="200"/>
        <v/>
      </c>
      <c r="P1604" s="65" t="str">
        <f t="shared" ca="1" si="201"/>
        <v/>
      </c>
      <c r="Q1604" s="2"/>
      <c r="R1604" s="2"/>
      <c r="S1604" s="1" t="str">
        <f t="shared" si="194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195"/>
        <v>0</v>
      </c>
      <c r="W1604" s="1" t="str">
        <f t="shared" si="196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customHeight="1" x14ac:dyDescent="0.3">
      <c r="A1605" s="2"/>
      <c r="B1605" s="65" t="str">
        <f t="shared" si="197"/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 t="shared" si="198"/>
        <v/>
      </c>
      <c r="N1605" s="74" t="str">
        <f t="shared" si="199"/>
        <v/>
      </c>
      <c r="O1605" s="73" t="str">
        <f t="shared" si="200"/>
        <v/>
      </c>
      <c r="P1605" s="65" t="str">
        <f t="shared" ca="1" si="201"/>
        <v/>
      </c>
      <c r="Q1605" s="2"/>
      <c r="R1605" s="2"/>
      <c r="S1605" s="1" t="str">
        <f t="shared" ref="S1605:S1668" si="202"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ref="V1605:V1668" si="203">IF($T1605="",0,1)</f>
        <v>0</v>
      </c>
      <c r="W1605" s="1" t="str">
        <f t="shared" ref="W1605:W1668" si="204">IF($C1605="","",$D1605&amp;"|"&amp;$E1605&amp;"|"&amp;TEXT($C1605,"0")&amp;"|"&amp;TEXT($G1605,"0")&amp;"|"&amp;$F1605&amp;"|"&amp;$J1605)</f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customHeight="1" x14ac:dyDescent="0.3">
      <c r="A1606" s="2"/>
      <c r="B1606" s="65" t="str">
        <f t="shared" si="197"/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 t="shared" si="198"/>
        <v/>
      </c>
      <c r="N1606" s="74" t="str">
        <f t="shared" si="199"/>
        <v/>
      </c>
      <c r="O1606" s="73" t="str">
        <f t="shared" si="200"/>
        <v/>
      </c>
      <c r="P1606" s="65" t="str">
        <f t="shared" ca="1" si="201"/>
        <v/>
      </c>
      <c r="Q1606" s="2"/>
      <c r="R1606" s="2"/>
      <c r="S1606" s="1" t="str">
        <f t="shared" si="202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203"/>
        <v>0</v>
      </c>
      <c r="W1606" s="1" t="str">
        <f t="shared" si="204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customHeight="1" x14ac:dyDescent="0.3">
      <c r="A1607" s="2"/>
      <c r="B1607" s="65" t="str">
        <f t="shared" ref="B1607:B1670" si="205"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 t="shared" ref="M1607:M1670" si="206">IF($C1607="","",IF($D1607="Gider",$E1607,IF($L1607&lt;&gt;"",$L1607,$H1607)))</f>
        <v/>
      </c>
      <c r="N1607" s="74" t="str">
        <f t="shared" ref="N1607:N1670" si="207">IF($C1607="","",IF($D1607="Gider",$H1607,$E1607))</f>
        <v/>
      </c>
      <c r="O1607" s="73" t="str">
        <f t="shared" ref="O1607:O1670" si="208">IF($C1607="","",DATE(YEAR($C1607),MONTH($C1607),1))</f>
        <v/>
      </c>
      <c r="P1607" s="65" t="str">
        <f t="shared" ref="P1607:P1670" ca="1" si="209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TARİH",IF(COUNTIF($W$7:$W$3001,$W1607)&gt;1,"MÜKERRER?",IF($AD1607&gt;0,"KAPALI DÖNEM",IF($I1607="Hayır","ÖDENECEK","UYGUN")))),"EKSİK"))))</f>
        <v/>
      </c>
      <c r="Q1607" s="2"/>
      <c r="R1607" s="2"/>
      <c r="S1607" s="1" t="str">
        <f t="shared" si="202"/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si="203"/>
        <v>0</v>
      </c>
      <c r="W1607" s="1" t="str">
        <f t="shared" si="204"/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customHeight="1" x14ac:dyDescent="0.3">
      <c r="A1608" s="2"/>
      <c r="B1608" s="65" t="str">
        <f t="shared" si="205"/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 t="shared" si="206"/>
        <v/>
      </c>
      <c r="N1608" s="74" t="str">
        <f t="shared" si="207"/>
        <v/>
      </c>
      <c r="O1608" s="73" t="str">
        <f t="shared" si="208"/>
        <v/>
      </c>
      <c r="P1608" s="65" t="str">
        <f t="shared" ca="1" si="209"/>
        <v/>
      </c>
      <c r="Q1608" s="2"/>
      <c r="R1608" s="2"/>
      <c r="S1608" s="1" t="str">
        <f t="shared" si="202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203"/>
        <v>0</v>
      </c>
      <c r="W1608" s="1" t="str">
        <f t="shared" si="204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customHeight="1" x14ac:dyDescent="0.3">
      <c r="A1609" s="2"/>
      <c r="B1609" s="65" t="str">
        <f t="shared" si="205"/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 t="shared" si="206"/>
        <v/>
      </c>
      <c r="N1609" s="74" t="str">
        <f t="shared" si="207"/>
        <v/>
      </c>
      <c r="O1609" s="73" t="str">
        <f t="shared" si="208"/>
        <v/>
      </c>
      <c r="P1609" s="65" t="str">
        <f t="shared" ca="1" si="209"/>
        <v/>
      </c>
      <c r="Q1609" s="2"/>
      <c r="R1609" s="2"/>
      <c r="S1609" s="1" t="str">
        <f t="shared" si="202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203"/>
        <v>0</v>
      </c>
      <c r="W1609" s="1" t="str">
        <f t="shared" si="204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customHeight="1" x14ac:dyDescent="0.3">
      <c r="A1610" s="2"/>
      <c r="B1610" s="65" t="str">
        <f t="shared" si="205"/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 t="shared" si="206"/>
        <v/>
      </c>
      <c r="N1610" s="74" t="str">
        <f t="shared" si="207"/>
        <v/>
      </c>
      <c r="O1610" s="73" t="str">
        <f t="shared" si="208"/>
        <v/>
      </c>
      <c r="P1610" s="65" t="str">
        <f t="shared" ca="1" si="209"/>
        <v/>
      </c>
      <c r="Q1610" s="2"/>
      <c r="R1610" s="2"/>
      <c r="S1610" s="1" t="str">
        <f t="shared" si="202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203"/>
        <v>0</v>
      </c>
      <c r="W1610" s="1" t="str">
        <f t="shared" si="204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customHeight="1" x14ac:dyDescent="0.3">
      <c r="A1611" s="2"/>
      <c r="B1611" s="65" t="str">
        <f t="shared" si="205"/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 t="shared" si="206"/>
        <v/>
      </c>
      <c r="N1611" s="74" t="str">
        <f t="shared" si="207"/>
        <v/>
      </c>
      <c r="O1611" s="73" t="str">
        <f t="shared" si="208"/>
        <v/>
      </c>
      <c r="P1611" s="65" t="str">
        <f t="shared" ca="1" si="209"/>
        <v/>
      </c>
      <c r="Q1611" s="2"/>
      <c r="R1611" s="2"/>
      <c r="S1611" s="1" t="str">
        <f t="shared" si="202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203"/>
        <v>0</v>
      </c>
      <c r="W1611" s="1" t="str">
        <f t="shared" si="204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customHeight="1" x14ac:dyDescent="0.3">
      <c r="A1612" s="2"/>
      <c r="B1612" s="65" t="str">
        <f t="shared" si="205"/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 t="shared" si="206"/>
        <v/>
      </c>
      <c r="N1612" s="74" t="str">
        <f t="shared" si="207"/>
        <v/>
      </c>
      <c r="O1612" s="73" t="str">
        <f t="shared" si="208"/>
        <v/>
      </c>
      <c r="P1612" s="65" t="str">
        <f t="shared" ca="1" si="209"/>
        <v/>
      </c>
      <c r="Q1612" s="2"/>
      <c r="R1612" s="2"/>
      <c r="S1612" s="1" t="str">
        <f t="shared" si="202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203"/>
        <v>0</v>
      </c>
      <c r="W1612" s="1" t="str">
        <f t="shared" si="204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customHeight="1" x14ac:dyDescent="0.3">
      <c r="A1613" s="2"/>
      <c r="B1613" s="65" t="str">
        <f t="shared" si="205"/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 t="shared" si="206"/>
        <v/>
      </c>
      <c r="N1613" s="74" t="str">
        <f t="shared" si="207"/>
        <v/>
      </c>
      <c r="O1613" s="73" t="str">
        <f t="shared" si="208"/>
        <v/>
      </c>
      <c r="P1613" s="65" t="str">
        <f t="shared" ca="1" si="209"/>
        <v/>
      </c>
      <c r="Q1613" s="2"/>
      <c r="R1613" s="2"/>
      <c r="S1613" s="1" t="str">
        <f t="shared" si="202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203"/>
        <v>0</v>
      </c>
      <c r="W1613" s="1" t="str">
        <f t="shared" si="204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customHeight="1" x14ac:dyDescent="0.3">
      <c r="A1614" s="2"/>
      <c r="B1614" s="65" t="str">
        <f t="shared" si="205"/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 t="shared" si="206"/>
        <v/>
      </c>
      <c r="N1614" s="74" t="str">
        <f t="shared" si="207"/>
        <v/>
      </c>
      <c r="O1614" s="73" t="str">
        <f t="shared" si="208"/>
        <v/>
      </c>
      <c r="P1614" s="65" t="str">
        <f t="shared" ca="1" si="209"/>
        <v/>
      </c>
      <c r="Q1614" s="2"/>
      <c r="R1614" s="2"/>
      <c r="S1614" s="1" t="str">
        <f t="shared" si="202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203"/>
        <v>0</v>
      </c>
      <c r="W1614" s="1" t="str">
        <f t="shared" si="204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customHeight="1" x14ac:dyDescent="0.3">
      <c r="A1615" s="2"/>
      <c r="B1615" s="65" t="str">
        <f t="shared" si="205"/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 t="shared" si="206"/>
        <v/>
      </c>
      <c r="N1615" s="74" t="str">
        <f t="shared" si="207"/>
        <v/>
      </c>
      <c r="O1615" s="73" t="str">
        <f t="shared" si="208"/>
        <v/>
      </c>
      <c r="P1615" s="65" t="str">
        <f t="shared" ca="1" si="209"/>
        <v/>
      </c>
      <c r="Q1615" s="2"/>
      <c r="R1615" s="2"/>
      <c r="S1615" s="1" t="str">
        <f t="shared" si="202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203"/>
        <v>0</v>
      </c>
      <c r="W1615" s="1" t="str">
        <f t="shared" si="204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customHeight="1" x14ac:dyDescent="0.3">
      <c r="A1616" s="2"/>
      <c r="B1616" s="65" t="str">
        <f t="shared" si="205"/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 t="shared" si="206"/>
        <v/>
      </c>
      <c r="N1616" s="74" t="str">
        <f t="shared" si="207"/>
        <v/>
      </c>
      <c r="O1616" s="73" t="str">
        <f t="shared" si="208"/>
        <v/>
      </c>
      <c r="P1616" s="65" t="str">
        <f t="shared" ca="1" si="209"/>
        <v/>
      </c>
      <c r="Q1616" s="2"/>
      <c r="R1616" s="2"/>
      <c r="S1616" s="1" t="str">
        <f t="shared" si="202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203"/>
        <v>0</v>
      </c>
      <c r="W1616" s="1" t="str">
        <f t="shared" si="204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customHeight="1" x14ac:dyDescent="0.3">
      <c r="A1617" s="2"/>
      <c r="B1617" s="65" t="str">
        <f t="shared" si="205"/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 t="shared" si="206"/>
        <v/>
      </c>
      <c r="N1617" s="74" t="str">
        <f t="shared" si="207"/>
        <v/>
      </c>
      <c r="O1617" s="73" t="str">
        <f t="shared" si="208"/>
        <v/>
      </c>
      <c r="P1617" s="65" t="str">
        <f t="shared" ca="1" si="209"/>
        <v/>
      </c>
      <c r="Q1617" s="2"/>
      <c r="R1617" s="2"/>
      <c r="S1617" s="1" t="str">
        <f t="shared" si="202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203"/>
        <v>0</v>
      </c>
      <c r="W1617" s="1" t="str">
        <f t="shared" si="204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customHeight="1" x14ac:dyDescent="0.3">
      <c r="A1618" s="2"/>
      <c r="B1618" s="65" t="str">
        <f t="shared" si="205"/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 t="shared" si="206"/>
        <v/>
      </c>
      <c r="N1618" s="74" t="str">
        <f t="shared" si="207"/>
        <v/>
      </c>
      <c r="O1618" s="73" t="str">
        <f t="shared" si="208"/>
        <v/>
      </c>
      <c r="P1618" s="65" t="str">
        <f t="shared" ca="1" si="209"/>
        <v/>
      </c>
      <c r="Q1618" s="2"/>
      <c r="R1618" s="2"/>
      <c r="S1618" s="1" t="str">
        <f t="shared" si="202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203"/>
        <v>0</v>
      </c>
      <c r="W1618" s="1" t="str">
        <f t="shared" si="204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customHeight="1" x14ac:dyDescent="0.3">
      <c r="A1619" s="2"/>
      <c r="B1619" s="65" t="str">
        <f t="shared" si="205"/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 t="shared" si="206"/>
        <v/>
      </c>
      <c r="N1619" s="74" t="str">
        <f t="shared" si="207"/>
        <v/>
      </c>
      <c r="O1619" s="73" t="str">
        <f t="shared" si="208"/>
        <v/>
      </c>
      <c r="P1619" s="65" t="str">
        <f t="shared" ca="1" si="209"/>
        <v/>
      </c>
      <c r="Q1619" s="2"/>
      <c r="R1619" s="2"/>
      <c r="S1619" s="1" t="str">
        <f t="shared" si="202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203"/>
        <v>0</v>
      </c>
      <c r="W1619" s="1" t="str">
        <f t="shared" si="204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customHeight="1" x14ac:dyDescent="0.3">
      <c r="A1620" s="2"/>
      <c r="B1620" s="65" t="str">
        <f t="shared" si="205"/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 t="shared" si="206"/>
        <v/>
      </c>
      <c r="N1620" s="74" t="str">
        <f t="shared" si="207"/>
        <v/>
      </c>
      <c r="O1620" s="73" t="str">
        <f t="shared" si="208"/>
        <v/>
      </c>
      <c r="P1620" s="65" t="str">
        <f t="shared" ca="1" si="209"/>
        <v/>
      </c>
      <c r="Q1620" s="2"/>
      <c r="R1620" s="2"/>
      <c r="S1620" s="1" t="str">
        <f t="shared" si="202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203"/>
        <v>0</v>
      </c>
      <c r="W1620" s="1" t="str">
        <f t="shared" si="204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customHeight="1" x14ac:dyDescent="0.3">
      <c r="A1621" s="2"/>
      <c r="B1621" s="65" t="str">
        <f t="shared" si="205"/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 t="shared" si="206"/>
        <v/>
      </c>
      <c r="N1621" s="74" t="str">
        <f t="shared" si="207"/>
        <v/>
      </c>
      <c r="O1621" s="73" t="str">
        <f t="shared" si="208"/>
        <v/>
      </c>
      <c r="P1621" s="65" t="str">
        <f t="shared" ca="1" si="209"/>
        <v/>
      </c>
      <c r="Q1621" s="2"/>
      <c r="R1621" s="2"/>
      <c r="S1621" s="1" t="str">
        <f t="shared" si="202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203"/>
        <v>0</v>
      </c>
      <c r="W1621" s="1" t="str">
        <f t="shared" si="204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customHeight="1" x14ac:dyDescent="0.3">
      <c r="A1622" s="2"/>
      <c r="B1622" s="65" t="str">
        <f t="shared" si="205"/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 t="shared" si="206"/>
        <v/>
      </c>
      <c r="N1622" s="74" t="str">
        <f t="shared" si="207"/>
        <v/>
      </c>
      <c r="O1622" s="73" t="str">
        <f t="shared" si="208"/>
        <v/>
      </c>
      <c r="P1622" s="65" t="str">
        <f t="shared" ca="1" si="209"/>
        <v/>
      </c>
      <c r="Q1622" s="2"/>
      <c r="R1622" s="2"/>
      <c r="S1622" s="1" t="str">
        <f t="shared" si="202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203"/>
        <v>0</v>
      </c>
      <c r="W1622" s="1" t="str">
        <f t="shared" si="204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customHeight="1" x14ac:dyDescent="0.3">
      <c r="A1623" s="2"/>
      <c r="B1623" s="65" t="str">
        <f t="shared" si="205"/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 t="shared" si="206"/>
        <v/>
      </c>
      <c r="N1623" s="74" t="str">
        <f t="shared" si="207"/>
        <v/>
      </c>
      <c r="O1623" s="73" t="str">
        <f t="shared" si="208"/>
        <v/>
      </c>
      <c r="P1623" s="65" t="str">
        <f t="shared" ca="1" si="209"/>
        <v/>
      </c>
      <c r="Q1623" s="2"/>
      <c r="R1623" s="2"/>
      <c r="S1623" s="1" t="str">
        <f t="shared" si="202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203"/>
        <v>0</v>
      </c>
      <c r="W1623" s="1" t="str">
        <f t="shared" si="204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customHeight="1" x14ac:dyDescent="0.3">
      <c r="A1624" s="2"/>
      <c r="B1624" s="65" t="str">
        <f t="shared" si="205"/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 t="shared" si="206"/>
        <v/>
      </c>
      <c r="N1624" s="74" t="str">
        <f t="shared" si="207"/>
        <v/>
      </c>
      <c r="O1624" s="73" t="str">
        <f t="shared" si="208"/>
        <v/>
      </c>
      <c r="P1624" s="65" t="str">
        <f t="shared" ca="1" si="209"/>
        <v/>
      </c>
      <c r="Q1624" s="2"/>
      <c r="R1624" s="2"/>
      <c r="S1624" s="1" t="str">
        <f t="shared" si="202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203"/>
        <v>0</v>
      </c>
      <c r="W1624" s="1" t="str">
        <f t="shared" si="204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customHeight="1" x14ac:dyDescent="0.3">
      <c r="A1625" s="2"/>
      <c r="B1625" s="65" t="str">
        <f t="shared" si="205"/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 t="shared" si="206"/>
        <v/>
      </c>
      <c r="N1625" s="74" t="str">
        <f t="shared" si="207"/>
        <v/>
      </c>
      <c r="O1625" s="73" t="str">
        <f t="shared" si="208"/>
        <v/>
      </c>
      <c r="P1625" s="65" t="str">
        <f t="shared" ca="1" si="209"/>
        <v/>
      </c>
      <c r="Q1625" s="2"/>
      <c r="R1625" s="2"/>
      <c r="S1625" s="1" t="str">
        <f t="shared" si="202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203"/>
        <v>0</v>
      </c>
      <c r="W1625" s="1" t="str">
        <f t="shared" si="204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customHeight="1" x14ac:dyDescent="0.3">
      <c r="A1626" s="2"/>
      <c r="B1626" s="65" t="str">
        <f t="shared" si="205"/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 t="shared" si="206"/>
        <v/>
      </c>
      <c r="N1626" s="74" t="str">
        <f t="shared" si="207"/>
        <v/>
      </c>
      <c r="O1626" s="73" t="str">
        <f t="shared" si="208"/>
        <v/>
      </c>
      <c r="P1626" s="65" t="str">
        <f t="shared" ca="1" si="209"/>
        <v/>
      </c>
      <c r="Q1626" s="2"/>
      <c r="R1626" s="2"/>
      <c r="S1626" s="1" t="str">
        <f t="shared" si="202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203"/>
        <v>0</v>
      </c>
      <c r="W1626" s="1" t="str">
        <f t="shared" si="204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customHeight="1" x14ac:dyDescent="0.3">
      <c r="A1627" s="2"/>
      <c r="B1627" s="65" t="str">
        <f t="shared" si="205"/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 t="shared" si="206"/>
        <v/>
      </c>
      <c r="N1627" s="74" t="str">
        <f t="shared" si="207"/>
        <v/>
      </c>
      <c r="O1627" s="73" t="str">
        <f t="shared" si="208"/>
        <v/>
      </c>
      <c r="P1627" s="65" t="str">
        <f t="shared" ca="1" si="209"/>
        <v/>
      </c>
      <c r="Q1627" s="2"/>
      <c r="R1627" s="2"/>
      <c r="S1627" s="1" t="str">
        <f t="shared" si="202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203"/>
        <v>0</v>
      </c>
      <c r="W1627" s="1" t="str">
        <f t="shared" si="204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customHeight="1" x14ac:dyDescent="0.3">
      <c r="A1628" s="2"/>
      <c r="B1628" s="65" t="str">
        <f t="shared" si="205"/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 t="shared" si="206"/>
        <v/>
      </c>
      <c r="N1628" s="74" t="str">
        <f t="shared" si="207"/>
        <v/>
      </c>
      <c r="O1628" s="73" t="str">
        <f t="shared" si="208"/>
        <v/>
      </c>
      <c r="P1628" s="65" t="str">
        <f t="shared" ca="1" si="209"/>
        <v/>
      </c>
      <c r="Q1628" s="2"/>
      <c r="R1628" s="2"/>
      <c r="S1628" s="1" t="str">
        <f t="shared" si="202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203"/>
        <v>0</v>
      </c>
      <c r="W1628" s="1" t="str">
        <f t="shared" si="204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customHeight="1" x14ac:dyDescent="0.3">
      <c r="A1629" s="2"/>
      <c r="B1629" s="65" t="str">
        <f t="shared" si="205"/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 t="shared" si="206"/>
        <v/>
      </c>
      <c r="N1629" s="74" t="str">
        <f t="shared" si="207"/>
        <v/>
      </c>
      <c r="O1629" s="73" t="str">
        <f t="shared" si="208"/>
        <v/>
      </c>
      <c r="P1629" s="65" t="str">
        <f t="shared" ca="1" si="209"/>
        <v/>
      </c>
      <c r="Q1629" s="2"/>
      <c r="R1629" s="2"/>
      <c r="S1629" s="1" t="str">
        <f t="shared" si="202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203"/>
        <v>0</v>
      </c>
      <c r="W1629" s="1" t="str">
        <f t="shared" si="204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customHeight="1" x14ac:dyDescent="0.3">
      <c r="A1630" s="2"/>
      <c r="B1630" s="65" t="str">
        <f t="shared" si="205"/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 t="shared" si="206"/>
        <v/>
      </c>
      <c r="N1630" s="74" t="str">
        <f t="shared" si="207"/>
        <v/>
      </c>
      <c r="O1630" s="73" t="str">
        <f t="shared" si="208"/>
        <v/>
      </c>
      <c r="P1630" s="65" t="str">
        <f t="shared" ca="1" si="209"/>
        <v/>
      </c>
      <c r="Q1630" s="2"/>
      <c r="R1630" s="2"/>
      <c r="S1630" s="1" t="str">
        <f t="shared" si="202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203"/>
        <v>0</v>
      </c>
      <c r="W1630" s="1" t="str">
        <f t="shared" si="204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customHeight="1" x14ac:dyDescent="0.3">
      <c r="A1631" s="2"/>
      <c r="B1631" s="65" t="str">
        <f t="shared" si="205"/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 t="shared" si="206"/>
        <v/>
      </c>
      <c r="N1631" s="74" t="str">
        <f t="shared" si="207"/>
        <v/>
      </c>
      <c r="O1631" s="73" t="str">
        <f t="shared" si="208"/>
        <v/>
      </c>
      <c r="P1631" s="65" t="str">
        <f t="shared" ca="1" si="209"/>
        <v/>
      </c>
      <c r="Q1631" s="2"/>
      <c r="R1631" s="2"/>
      <c r="S1631" s="1" t="str">
        <f t="shared" si="202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203"/>
        <v>0</v>
      </c>
      <c r="W1631" s="1" t="str">
        <f t="shared" si="204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customHeight="1" x14ac:dyDescent="0.3">
      <c r="A1632" s="2"/>
      <c r="B1632" s="65" t="str">
        <f t="shared" si="205"/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 t="shared" si="206"/>
        <v/>
      </c>
      <c r="N1632" s="74" t="str">
        <f t="shared" si="207"/>
        <v/>
      </c>
      <c r="O1632" s="73" t="str">
        <f t="shared" si="208"/>
        <v/>
      </c>
      <c r="P1632" s="65" t="str">
        <f t="shared" ca="1" si="209"/>
        <v/>
      </c>
      <c r="Q1632" s="2"/>
      <c r="R1632" s="2"/>
      <c r="S1632" s="1" t="str">
        <f t="shared" si="202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203"/>
        <v>0</v>
      </c>
      <c r="W1632" s="1" t="str">
        <f t="shared" si="204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customHeight="1" x14ac:dyDescent="0.3">
      <c r="A1633" s="2"/>
      <c r="B1633" s="65" t="str">
        <f t="shared" si="205"/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 t="shared" si="206"/>
        <v/>
      </c>
      <c r="N1633" s="74" t="str">
        <f t="shared" si="207"/>
        <v/>
      </c>
      <c r="O1633" s="73" t="str">
        <f t="shared" si="208"/>
        <v/>
      </c>
      <c r="P1633" s="65" t="str">
        <f t="shared" ca="1" si="209"/>
        <v/>
      </c>
      <c r="Q1633" s="2"/>
      <c r="R1633" s="2"/>
      <c r="S1633" s="1" t="str">
        <f t="shared" si="202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203"/>
        <v>0</v>
      </c>
      <c r="W1633" s="1" t="str">
        <f t="shared" si="204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customHeight="1" x14ac:dyDescent="0.3">
      <c r="A1634" s="2"/>
      <c r="B1634" s="65" t="str">
        <f t="shared" si="205"/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 t="shared" si="206"/>
        <v/>
      </c>
      <c r="N1634" s="74" t="str">
        <f t="shared" si="207"/>
        <v/>
      </c>
      <c r="O1634" s="73" t="str">
        <f t="shared" si="208"/>
        <v/>
      </c>
      <c r="P1634" s="65" t="str">
        <f t="shared" ca="1" si="209"/>
        <v/>
      </c>
      <c r="Q1634" s="2"/>
      <c r="R1634" s="2"/>
      <c r="S1634" s="1" t="str">
        <f t="shared" si="202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203"/>
        <v>0</v>
      </c>
      <c r="W1634" s="1" t="str">
        <f t="shared" si="204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customHeight="1" x14ac:dyDescent="0.3">
      <c r="A1635" s="2"/>
      <c r="B1635" s="65" t="str">
        <f t="shared" si="205"/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 t="shared" si="206"/>
        <v/>
      </c>
      <c r="N1635" s="74" t="str">
        <f t="shared" si="207"/>
        <v/>
      </c>
      <c r="O1635" s="73" t="str">
        <f t="shared" si="208"/>
        <v/>
      </c>
      <c r="P1635" s="65" t="str">
        <f t="shared" ca="1" si="209"/>
        <v/>
      </c>
      <c r="Q1635" s="2"/>
      <c r="R1635" s="2"/>
      <c r="S1635" s="1" t="str">
        <f t="shared" si="202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203"/>
        <v>0</v>
      </c>
      <c r="W1635" s="1" t="str">
        <f t="shared" si="204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customHeight="1" x14ac:dyDescent="0.3">
      <c r="A1636" s="2"/>
      <c r="B1636" s="65" t="str">
        <f t="shared" si="205"/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 t="shared" si="206"/>
        <v/>
      </c>
      <c r="N1636" s="74" t="str">
        <f t="shared" si="207"/>
        <v/>
      </c>
      <c r="O1636" s="73" t="str">
        <f t="shared" si="208"/>
        <v/>
      </c>
      <c r="P1636" s="65" t="str">
        <f t="shared" ca="1" si="209"/>
        <v/>
      </c>
      <c r="Q1636" s="2"/>
      <c r="R1636" s="2"/>
      <c r="S1636" s="1" t="str">
        <f t="shared" si="202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203"/>
        <v>0</v>
      </c>
      <c r="W1636" s="1" t="str">
        <f t="shared" si="204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customHeight="1" x14ac:dyDescent="0.3">
      <c r="A1637" s="2"/>
      <c r="B1637" s="65" t="str">
        <f t="shared" si="205"/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 t="shared" si="206"/>
        <v/>
      </c>
      <c r="N1637" s="74" t="str">
        <f t="shared" si="207"/>
        <v/>
      </c>
      <c r="O1637" s="73" t="str">
        <f t="shared" si="208"/>
        <v/>
      </c>
      <c r="P1637" s="65" t="str">
        <f t="shared" ca="1" si="209"/>
        <v/>
      </c>
      <c r="Q1637" s="2"/>
      <c r="R1637" s="2"/>
      <c r="S1637" s="1" t="str">
        <f t="shared" si="202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203"/>
        <v>0</v>
      </c>
      <c r="W1637" s="1" t="str">
        <f t="shared" si="204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customHeight="1" x14ac:dyDescent="0.3">
      <c r="A1638" s="2"/>
      <c r="B1638" s="65" t="str">
        <f t="shared" si="205"/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 t="shared" si="206"/>
        <v/>
      </c>
      <c r="N1638" s="74" t="str">
        <f t="shared" si="207"/>
        <v/>
      </c>
      <c r="O1638" s="73" t="str">
        <f t="shared" si="208"/>
        <v/>
      </c>
      <c r="P1638" s="65" t="str">
        <f t="shared" ca="1" si="209"/>
        <v/>
      </c>
      <c r="Q1638" s="2"/>
      <c r="R1638" s="2"/>
      <c r="S1638" s="1" t="str">
        <f t="shared" si="202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203"/>
        <v>0</v>
      </c>
      <c r="W1638" s="1" t="str">
        <f t="shared" si="204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customHeight="1" x14ac:dyDescent="0.3">
      <c r="A1639" s="2"/>
      <c r="B1639" s="65" t="str">
        <f t="shared" si="205"/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 t="shared" si="206"/>
        <v/>
      </c>
      <c r="N1639" s="74" t="str">
        <f t="shared" si="207"/>
        <v/>
      </c>
      <c r="O1639" s="73" t="str">
        <f t="shared" si="208"/>
        <v/>
      </c>
      <c r="P1639" s="65" t="str">
        <f t="shared" ca="1" si="209"/>
        <v/>
      </c>
      <c r="Q1639" s="2"/>
      <c r="R1639" s="2"/>
      <c r="S1639" s="1" t="str">
        <f t="shared" si="202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203"/>
        <v>0</v>
      </c>
      <c r="W1639" s="1" t="str">
        <f t="shared" si="204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customHeight="1" x14ac:dyDescent="0.3">
      <c r="A1640" s="2"/>
      <c r="B1640" s="65" t="str">
        <f t="shared" si="205"/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 t="shared" si="206"/>
        <v/>
      </c>
      <c r="N1640" s="74" t="str">
        <f t="shared" si="207"/>
        <v/>
      </c>
      <c r="O1640" s="73" t="str">
        <f t="shared" si="208"/>
        <v/>
      </c>
      <c r="P1640" s="65" t="str">
        <f t="shared" ca="1" si="209"/>
        <v/>
      </c>
      <c r="Q1640" s="2"/>
      <c r="R1640" s="2"/>
      <c r="S1640" s="1" t="str">
        <f t="shared" si="202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203"/>
        <v>0</v>
      </c>
      <c r="W1640" s="1" t="str">
        <f t="shared" si="204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customHeight="1" x14ac:dyDescent="0.3">
      <c r="A1641" s="2"/>
      <c r="B1641" s="65" t="str">
        <f t="shared" si="205"/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 t="shared" si="206"/>
        <v/>
      </c>
      <c r="N1641" s="74" t="str">
        <f t="shared" si="207"/>
        <v/>
      </c>
      <c r="O1641" s="73" t="str">
        <f t="shared" si="208"/>
        <v/>
      </c>
      <c r="P1641" s="65" t="str">
        <f t="shared" ca="1" si="209"/>
        <v/>
      </c>
      <c r="Q1641" s="2"/>
      <c r="R1641" s="2"/>
      <c r="S1641" s="1" t="str">
        <f t="shared" si="202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203"/>
        <v>0</v>
      </c>
      <c r="W1641" s="1" t="str">
        <f t="shared" si="204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customHeight="1" x14ac:dyDescent="0.3">
      <c r="A1642" s="2"/>
      <c r="B1642" s="65" t="str">
        <f t="shared" si="205"/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 t="shared" si="206"/>
        <v/>
      </c>
      <c r="N1642" s="74" t="str">
        <f t="shared" si="207"/>
        <v/>
      </c>
      <c r="O1642" s="73" t="str">
        <f t="shared" si="208"/>
        <v/>
      </c>
      <c r="P1642" s="65" t="str">
        <f t="shared" ca="1" si="209"/>
        <v/>
      </c>
      <c r="Q1642" s="2"/>
      <c r="R1642" s="2"/>
      <c r="S1642" s="1" t="str">
        <f t="shared" si="202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203"/>
        <v>0</v>
      </c>
      <c r="W1642" s="1" t="str">
        <f t="shared" si="204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customHeight="1" x14ac:dyDescent="0.3">
      <c r="A1643" s="2"/>
      <c r="B1643" s="65" t="str">
        <f t="shared" si="205"/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 t="shared" si="206"/>
        <v/>
      </c>
      <c r="N1643" s="74" t="str">
        <f t="shared" si="207"/>
        <v/>
      </c>
      <c r="O1643" s="73" t="str">
        <f t="shared" si="208"/>
        <v/>
      </c>
      <c r="P1643" s="65" t="str">
        <f t="shared" ca="1" si="209"/>
        <v/>
      </c>
      <c r="Q1643" s="2"/>
      <c r="R1643" s="2"/>
      <c r="S1643" s="1" t="str">
        <f t="shared" si="202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203"/>
        <v>0</v>
      </c>
      <c r="W1643" s="1" t="str">
        <f t="shared" si="204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customHeight="1" x14ac:dyDescent="0.3">
      <c r="A1644" s="2"/>
      <c r="B1644" s="65" t="str">
        <f t="shared" si="205"/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 t="shared" si="206"/>
        <v/>
      </c>
      <c r="N1644" s="74" t="str">
        <f t="shared" si="207"/>
        <v/>
      </c>
      <c r="O1644" s="73" t="str">
        <f t="shared" si="208"/>
        <v/>
      </c>
      <c r="P1644" s="65" t="str">
        <f t="shared" ca="1" si="209"/>
        <v/>
      </c>
      <c r="Q1644" s="2"/>
      <c r="R1644" s="2"/>
      <c r="S1644" s="1" t="str">
        <f t="shared" si="202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203"/>
        <v>0</v>
      </c>
      <c r="W1644" s="1" t="str">
        <f t="shared" si="204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customHeight="1" x14ac:dyDescent="0.3">
      <c r="A1645" s="2"/>
      <c r="B1645" s="65" t="str">
        <f t="shared" si="205"/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 t="shared" si="206"/>
        <v/>
      </c>
      <c r="N1645" s="74" t="str">
        <f t="shared" si="207"/>
        <v/>
      </c>
      <c r="O1645" s="73" t="str">
        <f t="shared" si="208"/>
        <v/>
      </c>
      <c r="P1645" s="65" t="str">
        <f t="shared" ca="1" si="209"/>
        <v/>
      </c>
      <c r="Q1645" s="2"/>
      <c r="R1645" s="2"/>
      <c r="S1645" s="1" t="str">
        <f t="shared" si="202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203"/>
        <v>0</v>
      </c>
      <c r="W1645" s="1" t="str">
        <f t="shared" si="204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customHeight="1" x14ac:dyDescent="0.3">
      <c r="A1646" s="2"/>
      <c r="B1646" s="65" t="str">
        <f t="shared" si="205"/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 t="shared" si="206"/>
        <v/>
      </c>
      <c r="N1646" s="74" t="str">
        <f t="shared" si="207"/>
        <v/>
      </c>
      <c r="O1646" s="73" t="str">
        <f t="shared" si="208"/>
        <v/>
      </c>
      <c r="P1646" s="65" t="str">
        <f t="shared" ca="1" si="209"/>
        <v/>
      </c>
      <c r="Q1646" s="2"/>
      <c r="R1646" s="2"/>
      <c r="S1646" s="1" t="str">
        <f t="shared" si="202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203"/>
        <v>0</v>
      </c>
      <c r="W1646" s="1" t="str">
        <f t="shared" si="204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customHeight="1" x14ac:dyDescent="0.3">
      <c r="A1647" s="2"/>
      <c r="B1647" s="65" t="str">
        <f t="shared" si="205"/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 t="shared" si="206"/>
        <v/>
      </c>
      <c r="N1647" s="74" t="str">
        <f t="shared" si="207"/>
        <v/>
      </c>
      <c r="O1647" s="73" t="str">
        <f t="shared" si="208"/>
        <v/>
      </c>
      <c r="P1647" s="65" t="str">
        <f t="shared" ca="1" si="209"/>
        <v/>
      </c>
      <c r="Q1647" s="2"/>
      <c r="R1647" s="2"/>
      <c r="S1647" s="1" t="str">
        <f t="shared" si="202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203"/>
        <v>0</v>
      </c>
      <c r="W1647" s="1" t="str">
        <f t="shared" si="204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customHeight="1" x14ac:dyDescent="0.3">
      <c r="A1648" s="2"/>
      <c r="B1648" s="65" t="str">
        <f t="shared" si="205"/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 t="shared" si="206"/>
        <v/>
      </c>
      <c r="N1648" s="74" t="str">
        <f t="shared" si="207"/>
        <v/>
      </c>
      <c r="O1648" s="73" t="str">
        <f t="shared" si="208"/>
        <v/>
      </c>
      <c r="P1648" s="65" t="str">
        <f t="shared" ca="1" si="209"/>
        <v/>
      </c>
      <c r="Q1648" s="2"/>
      <c r="R1648" s="2"/>
      <c r="S1648" s="1" t="str">
        <f t="shared" si="202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203"/>
        <v>0</v>
      </c>
      <c r="W1648" s="1" t="str">
        <f t="shared" si="204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customHeight="1" x14ac:dyDescent="0.3">
      <c r="A1649" s="2"/>
      <c r="B1649" s="65" t="str">
        <f t="shared" si="205"/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 t="shared" si="206"/>
        <v/>
      </c>
      <c r="N1649" s="74" t="str">
        <f t="shared" si="207"/>
        <v/>
      </c>
      <c r="O1649" s="73" t="str">
        <f t="shared" si="208"/>
        <v/>
      </c>
      <c r="P1649" s="65" t="str">
        <f t="shared" ca="1" si="209"/>
        <v/>
      </c>
      <c r="Q1649" s="2"/>
      <c r="R1649" s="2"/>
      <c r="S1649" s="1" t="str">
        <f t="shared" si="202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203"/>
        <v>0</v>
      </c>
      <c r="W1649" s="1" t="str">
        <f t="shared" si="204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customHeight="1" x14ac:dyDescent="0.3">
      <c r="A1650" s="2"/>
      <c r="B1650" s="65" t="str">
        <f t="shared" si="205"/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 t="shared" si="206"/>
        <v/>
      </c>
      <c r="N1650" s="74" t="str">
        <f t="shared" si="207"/>
        <v/>
      </c>
      <c r="O1650" s="73" t="str">
        <f t="shared" si="208"/>
        <v/>
      </c>
      <c r="P1650" s="65" t="str">
        <f t="shared" ca="1" si="209"/>
        <v/>
      </c>
      <c r="Q1650" s="2"/>
      <c r="R1650" s="2"/>
      <c r="S1650" s="1" t="str">
        <f t="shared" si="202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203"/>
        <v>0</v>
      </c>
      <c r="W1650" s="1" t="str">
        <f t="shared" si="204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customHeight="1" x14ac:dyDescent="0.3">
      <c r="A1651" s="2"/>
      <c r="B1651" s="65" t="str">
        <f t="shared" si="205"/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 t="shared" si="206"/>
        <v/>
      </c>
      <c r="N1651" s="74" t="str">
        <f t="shared" si="207"/>
        <v/>
      </c>
      <c r="O1651" s="73" t="str">
        <f t="shared" si="208"/>
        <v/>
      </c>
      <c r="P1651" s="65" t="str">
        <f t="shared" ca="1" si="209"/>
        <v/>
      </c>
      <c r="Q1651" s="2"/>
      <c r="R1651" s="2"/>
      <c r="S1651" s="1" t="str">
        <f t="shared" si="202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203"/>
        <v>0</v>
      </c>
      <c r="W1651" s="1" t="str">
        <f t="shared" si="204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customHeight="1" x14ac:dyDescent="0.3">
      <c r="A1652" s="2"/>
      <c r="B1652" s="65" t="str">
        <f t="shared" si="205"/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 t="shared" si="206"/>
        <v/>
      </c>
      <c r="N1652" s="74" t="str">
        <f t="shared" si="207"/>
        <v/>
      </c>
      <c r="O1652" s="73" t="str">
        <f t="shared" si="208"/>
        <v/>
      </c>
      <c r="P1652" s="65" t="str">
        <f t="shared" ca="1" si="209"/>
        <v/>
      </c>
      <c r="Q1652" s="2"/>
      <c r="R1652" s="2"/>
      <c r="S1652" s="1" t="str">
        <f t="shared" si="202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203"/>
        <v>0</v>
      </c>
      <c r="W1652" s="1" t="str">
        <f t="shared" si="204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customHeight="1" x14ac:dyDescent="0.3">
      <c r="A1653" s="2"/>
      <c r="B1653" s="65" t="str">
        <f t="shared" si="205"/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 t="shared" si="206"/>
        <v/>
      </c>
      <c r="N1653" s="74" t="str">
        <f t="shared" si="207"/>
        <v/>
      </c>
      <c r="O1653" s="73" t="str">
        <f t="shared" si="208"/>
        <v/>
      </c>
      <c r="P1653" s="65" t="str">
        <f t="shared" ca="1" si="209"/>
        <v/>
      </c>
      <c r="Q1653" s="2"/>
      <c r="R1653" s="2"/>
      <c r="S1653" s="1" t="str">
        <f t="shared" si="202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203"/>
        <v>0</v>
      </c>
      <c r="W1653" s="1" t="str">
        <f t="shared" si="204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customHeight="1" x14ac:dyDescent="0.3">
      <c r="A1654" s="2"/>
      <c r="B1654" s="65" t="str">
        <f t="shared" si="205"/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 t="shared" si="206"/>
        <v/>
      </c>
      <c r="N1654" s="74" t="str">
        <f t="shared" si="207"/>
        <v/>
      </c>
      <c r="O1654" s="73" t="str">
        <f t="shared" si="208"/>
        <v/>
      </c>
      <c r="P1654" s="65" t="str">
        <f t="shared" ca="1" si="209"/>
        <v/>
      </c>
      <c r="Q1654" s="2"/>
      <c r="R1654" s="2"/>
      <c r="S1654" s="1" t="str">
        <f t="shared" si="202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203"/>
        <v>0</v>
      </c>
      <c r="W1654" s="1" t="str">
        <f t="shared" si="204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customHeight="1" x14ac:dyDescent="0.3">
      <c r="A1655" s="2"/>
      <c r="B1655" s="65" t="str">
        <f t="shared" si="205"/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 t="shared" si="206"/>
        <v/>
      </c>
      <c r="N1655" s="74" t="str">
        <f t="shared" si="207"/>
        <v/>
      </c>
      <c r="O1655" s="73" t="str">
        <f t="shared" si="208"/>
        <v/>
      </c>
      <c r="P1655" s="65" t="str">
        <f t="shared" ca="1" si="209"/>
        <v/>
      </c>
      <c r="Q1655" s="2"/>
      <c r="R1655" s="2"/>
      <c r="S1655" s="1" t="str">
        <f t="shared" si="202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203"/>
        <v>0</v>
      </c>
      <c r="W1655" s="1" t="str">
        <f t="shared" si="204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customHeight="1" x14ac:dyDescent="0.3">
      <c r="A1656" s="2"/>
      <c r="B1656" s="65" t="str">
        <f t="shared" si="205"/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 t="shared" si="206"/>
        <v/>
      </c>
      <c r="N1656" s="74" t="str">
        <f t="shared" si="207"/>
        <v/>
      </c>
      <c r="O1656" s="73" t="str">
        <f t="shared" si="208"/>
        <v/>
      </c>
      <c r="P1656" s="65" t="str">
        <f t="shared" ca="1" si="209"/>
        <v/>
      </c>
      <c r="Q1656" s="2"/>
      <c r="R1656" s="2"/>
      <c r="S1656" s="1" t="str">
        <f t="shared" si="202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203"/>
        <v>0</v>
      </c>
      <c r="W1656" s="1" t="str">
        <f t="shared" si="204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customHeight="1" x14ac:dyDescent="0.3">
      <c r="A1657" s="2"/>
      <c r="B1657" s="65" t="str">
        <f t="shared" si="205"/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 t="shared" si="206"/>
        <v/>
      </c>
      <c r="N1657" s="74" t="str">
        <f t="shared" si="207"/>
        <v/>
      </c>
      <c r="O1657" s="73" t="str">
        <f t="shared" si="208"/>
        <v/>
      </c>
      <c r="P1657" s="65" t="str">
        <f t="shared" ca="1" si="209"/>
        <v/>
      </c>
      <c r="Q1657" s="2"/>
      <c r="R1657" s="2"/>
      <c r="S1657" s="1" t="str">
        <f t="shared" si="202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203"/>
        <v>0</v>
      </c>
      <c r="W1657" s="1" t="str">
        <f t="shared" si="204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customHeight="1" x14ac:dyDescent="0.3">
      <c r="A1658" s="2"/>
      <c r="B1658" s="65" t="str">
        <f t="shared" si="205"/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 t="shared" si="206"/>
        <v/>
      </c>
      <c r="N1658" s="74" t="str">
        <f t="shared" si="207"/>
        <v/>
      </c>
      <c r="O1658" s="73" t="str">
        <f t="shared" si="208"/>
        <v/>
      </c>
      <c r="P1658" s="65" t="str">
        <f t="shared" ca="1" si="209"/>
        <v/>
      </c>
      <c r="Q1658" s="2"/>
      <c r="R1658" s="2"/>
      <c r="S1658" s="1" t="str">
        <f t="shared" si="202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203"/>
        <v>0</v>
      </c>
      <c r="W1658" s="1" t="str">
        <f t="shared" si="204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customHeight="1" x14ac:dyDescent="0.3">
      <c r="A1659" s="2"/>
      <c r="B1659" s="65" t="str">
        <f t="shared" si="205"/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 t="shared" si="206"/>
        <v/>
      </c>
      <c r="N1659" s="74" t="str">
        <f t="shared" si="207"/>
        <v/>
      </c>
      <c r="O1659" s="73" t="str">
        <f t="shared" si="208"/>
        <v/>
      </c>
      <c r="P1659" s="65" t="str">
        <f t="shared" ca="1" si="209"/>
        <v/>
      </c>
      <c r="Q1659" s="2"/>
      <c r="R1659" s="2"/>
      <c r="S1659" s="1" t="str">
        <f t="shared" si="202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203"/>
        <v>0</v>
      </c>
      <c r="W1659" s="1" t="str">
        <f t="shared" si="204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customHeight="1" x14ac:dyDescent="0.3">
      <c r="A1660" s="2"/>
      <c r="B1660" s="65" t="str">
        <f t="shared" si="205"/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 t="shared" si="206"/>
        <v/>
      </c>
      <c r="N1660" s="74" t="str">
        <f t="shared" si="207"/>
        <v/>
      </c>
      <c r="O1660" s="73" t="str">
        <f t="shared" si="208"/>
        <v/>
      </c>
      <c r="P1660" s="65" t="str">
        <f t="shared" ca="1" si="209"/>
        <v/>
      </c>
      <c r="Q1660" s="2"/>
      <c r="R1660" s="2"/>
      <c r="S1660" s="1" t="str">
        <f t="shared" si="202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203"/>
        <v>0</v>
      </c>
      <c r="W1660" s="1" t="str">
        <f t="shared" si="204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customHeight="1" x14ac:dyDescent="0.3">
      <c r="A1661" s="2"/>
      <c r="B1661" s="65" t="str">
        <f t="shared" si="205"/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 t="shared" si="206"/>
        <v/>
      </c>
      <c r="N1661" s="74" t="str">
        <f t="shared" si="207"/>
        <v/>
      </c>
      <c r="O1661" s="73" t="str">
        <f t="shared" si="208"/>
        <v/>
      </c>
      <c r="P1661" s="65" t="str">
        <f t="shared" ca="1" si="209"/>
        <v/>
      </c>
      <c r="Q1661" s="2"/>
      <c r="R1661" s="2"/>
      <c r="S1661" s="1" t="str">
        <f t="shared" si="202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203"/>
        <v>0</v>
      </c>
      <c r="W1661" s="1" t="str">
        <f t="shared" si="204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customHeight="1" x14ac:dyDescent="0.3">
      <c r="A1662" s="2"/>
      <c r="B1662" s="65" t="str">
        <f t="shared" si="205"/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 t="shared" si="206"/>
        <v/>
      </c>
      <c r="N1662" s="74" t="str">
        <f t="shared" si="207"/>
        <v/>
      </c>
      <c r="O1662" s="73" t="str">
        <f t="shared" si="208"/>
        <v/>
      </c>
      <c r="P1662" s="65" t="str">
        <f t="shared" ca="1" si="209"/>
        <v/>
      </c>
      <c r="Q1662" s="2"/>
      <c r="R1662" s="2"/>
      <c r="S1662" s="1" t="str">
        <f t="shared" si="202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203"/>
        <v>0</v>
      </c>
      <c r="W1662" s="1" t="str">
        <f t="shared" si="204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customHeight="1" x14ac:dyDescent="0.3">
      <c r="A1663" s="2"/>
      <c r="B1663" s="65" t="str">
        <f t="shared" si="205"/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 t="shared" si="206"/>
        <v/>
      </c>
      <c r="N1663" s="74" t="str">
        <f t="shared" si="207"/>
        <v/>
      </c>
      <c r="O1663" s="73" t="str">
        <f t="shared" si="208"/>
        <v/>
      </c>
      <c r="P1663" s="65" t="str">
        <f t="shared" ca="1" si="209"/>
        <v/>
      </c>
      <c r="Q1663" s="2"/>
      <c r="R1663" s="2"/>
      <c r="S1663" s="1" t="str">
        <f t="shared" si="202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203"/>
        <v>0</v>
      </c>
      <c r="W1663" s="1" t="str">
        <f t="shared" si="204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customHeight="1" x14ac:dyDescent="0.3">
      <c r="A1664" s="2"/>
      <c r="B1664" s="65" t="str">
        <f t="shared" si="205"/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 t="shared" si="206"/>
        <v/>
      </c>
      <c r="N1664" s="74" t="str">
        <f t="shared" si="207"/>
        <v/>
      </c>
      <c r="O1664" s="73" t="str">
        <f t="shared" si="208"/>
        <v/>
      </c>
      <c r="P1664" s="65" t="str">
        <f t="shared" ca="1" si="209"/>
        <v/>
      </c>
      <c r="Q1664" s="2"/>
      <c r="R1664" s="2"/>
      <c r="S1664" s="1" t="str">
        <f t="shared" si="202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203"/>
        <v>0</v>
      </c>
      <c r="W1664" s="1" t="str">
        <f t="shared" si="204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customHeight="1" x14ac:dyDescent="0.3">
      <c r="A1665" s="2"/>
      <c r="B1665" s="65" t="str">
        <f t="shared" si="205"/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 t="shared" si="206"/>
        <v/>
      </c>
      <c r="N1665" s="74" t="str">
        <f t="shared" si="207"/>
        <v/>
      </c>
      <c r="O1665" s="73" t="str">
        <f t="shared" si="208"/>
        <v/>
      </c>
      <c r="P1665" s="65" t="str">
        <f t="shared" ca="1" si="209"/>
        <v/>
      </c>
      <c r="Q1665" s="2"/>
      <c r="R1665" s="2"/>
      <c r="S1665" s="1" t="str">
        <f t="shared" si="202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203"/>
        <v>0</v>
      </c>
      <c r="W1665" s="1" t="str">
        <f t="shared" si="204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customHeight="1" x14ac:dyDescent="0.3">
      <c r="A1666" s="2"/>
      <c r="B1666" s="65" t="str">
        <f t="shared" si="205"/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 t="shared" si="206"/>
        <v/>
      </c>
      <c r="N1666" s="74" t="str">
        <f t="shared" si="207"/>
        <v/>
      </c>
      <c r="O1666" s="73" t="str">
        <f t="shared" si="208"/>
        <v/>
      </c>
      <c r="P1666" s="65" t="str">
        <f t="shared" ca="1" si="209"/>
        <v/>
      </c>
      <c r="Q1666" s="2"/>
      <c r="R1666" s="2"/>
      <c r="S1666" s="1" t="str">
        <f t="shared" si="202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203"/>
        <v>0</v>
      </c>
      <c r="W1666" s="1" t="str">
        <f t="shared" si="204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customHeight="1" x14ac:dyDescent="0.3">
      <c r="A1667" s="2"/>
      <c r="B1667" s="65" t="str">
        <f t="shared" si="205"/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 t="shared" si="206"/>
        <v/>
      </c>
      <c r="N1667" s="74" t="str">
        <f t="shared" si="207"/>
        <v/>
      </c>
      <c r="O1667" s="73" t="str">
        <f t="shared" si="208"/>
        <v/>
      </c>
      <c r="P1667" s="65" t="str">
        <f t="shared" ca="1" si="209"/>
        <v/>
      </c>
      <c r="Q1667" s="2"/>
      <c r="R1667" s="2"/>
      <c r="S1667" s="1" t="str">
        <f t="shared" si="202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203"/>
        <v>0</v>
      </c>
      <c r="W1667" s="1" t="str">
        <f t="shared" si="204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customHeight="1" x14ac:dyDescent="0.3">
      <c r="A1668" s="2"/>
      <c r="B1668" s="65" t="str">
        <f t="shared" si="205"/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 t="shared" si="206"/>
        <v/>
      </c>
      <c r="N1668" s="74" t="str">
        <f t="shared" si="207"/>
        <v/>
      </c>
      <c r="O1668" s="73" t="str">
        <f t="shared" si="208"/>
        <v/>
      </c>
      <c r="P1668" s="65" t="str">
        <f t="shared" ca="1" si="209"/>
        <v/>
      </c>
      <c r="Q1668" s="2"/>
      <c r="R1668" s="2"/>
      <c r="S1668" s="1" t="str">
        <f t="shared" si="202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203"/>
        <v>0</v>
      </c>
      <c r="W1668" s="1" t="str">
        <f t="shared" si="204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customHeight="1" x14ac:dyDescent="0.3">
      <c r="A1669" s="2"/>
      <c r="B1669" s="65" t="str">
        <f t="shared" si="205"/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 t="shared" si="206"/>
        <v/>
      </c>
      <c r="N1669" s="74" t="str">
        <f t="shared" si="207"/>
        <v/>
      </c>
      <c r="O1669" s="73" t="str">
        <f t="shared" si="208"/>
        <v/>
      </c>
      <c r="P1669" s="65" t="str">
        <f t="shared" ca="1" si="209"/>
        <v/>
      </c>
      <c r="Q1669" s="2"/>
      <c r="R1669" s="2"/>
      <c r="S1669" s="1" t="str">
        <f t="shared" ref="S1669:S1732" si="210"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ref="V1669:V1732" si="211">IF($T1669="",0,1)</f>
        <v>0</v>
      </c>
      <c r="W1669" s="1" t="str">
        <f t="shared" ref="W1669:W1732" si="212">IF($C1669="","",$D1669&amp;"|"&amp;$E1669&amp;"|"&amp;TEXT($C1669,"0")&amp;"|"&amp;TEXT($G1669,"0")&amp;"|"&amp;$F1669&amp;"|"&amp;$J1669)</f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customHeight="1" x14ac:dyDescent="0.3">
      <c r="A1670" s="2"/>
      <c r="B1670" s="65" t="str">
        <f t="shared" si="205"/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 t="shared" si="206"/>
        <v/>
      </c>
      <c r="N1670" s="74" t="str">
        <f t="shared" si="207"/>
        <v/>
      </c>
      <c r="O1670" s="73" t="str">
        <f t="shared" si="208"/>
        <v/>
      </c>
      <c r="P1670" s="65" t="str">
        <f t="shared" ca="1" si="209"/>
        <v/>
      </c>
      <c r="Q1670" s="2"/>
      <c r="R1670" s="2"/>
      <c r="S1670" s="1" t="str">
        <f t="shared" si="210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211"/>
        <v>0</v>
      </c>
      <c r="W1670" s="1" t="str">
        <f t="shared" si="212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customHeight="1" x14ac:dyDescent="0.3">
      <c r="A1671" s="2"/>
      <c r="B1671" s="65" t="str">
        <f t="shared" ref="B1671:B1734" si="213"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 t="shared" ref="M1671:M1734" si="214">IF($C1671="","",IF($D1671="Gider",$E1671,IF($L1671&lt;&gt;"",$L1671,$H1671)))</f>
        <v/>
      </c>
      <c r="N1671" s="74" t="str">
        <f t="shared" ref="N1671:N1734" si="215">IF($C1671="","",IF($D1671="Gider",$H1671,$E1671))</f>
        <v/>
      </c>
      <c r="O1671" s="73" t="str">
        <f t="shared" ref="O1671:O1734" si="216">IF($C1671="","",DATE(YEAR($C1671),MONTH($C1671),1))</f>
        <v/>
      </c>
      <c r="P1671" s="65" t="str">
        <f t="shared" ref="P1671:P1734" ca="1" si="217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TARİH",IF(COUNTIF($W$7:$W$3001,$W1671)&gt;1,"MÜKERRER?",IF($AD1671&gt;0,"KAPALI DÖNEM",IF($I1671="Hayır","ÖDENECEK","UYGUN")))),"EKSİK"))))</f>
        <v/>
      </c>
      <c r="Q1671" s="2"/>
      <c r="R1671" s="2"/>
      <c r="S1671" s="1" t="str">
        <f t="shared" si="210"/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si="211"/>
        <v>0</v>
      </c>
      <c r="W1671" s="1" t="str">
        <f t="shared" si="212"/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customHeight="1" x14ac:dyDescent="0.3">
      <c r="A1672" s="2"/>
      <c r="B1672" s="65" t="str">
        <f t="shared" si="213"/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 t="shared" si="214"/>
        <v/>
      </c>
      <c r="N1672" s="74" t="str">
        <f t="shared" si="215"/>
        <v/>
      </c>
      <c r="O1672" s="73" t="str">
        <f t="shared" si="216"/>
        <v/>
      </c>
      <c r="P1672" s="65" t="str">
        <f t="shared" ca="1" si="217"/>
        <v/>
      </c>
      <c r="Q1672" s="2"/>
      <c r="R1672" s="2"/>
      <c r="S1672" s="1" t="str">
        <f t="shared" si="210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211"/>
        <v>0</v>
      </c>
      <c r="W1672" s="1" t="str">
        <f t="shared" si="212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customHeight="1" x14ac:dyDescent="0.3">
      <c r="A1673" s="2"/>
      <c r="B1673" s="65" t="str">
        <f t="shared" si="213"/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 t="shared" si="214"/>
        <v/>
      </c>
      <c r="N1673" s="74" t="str">
        <f t="shared" si="215"/>
        <v/>
      </c>
      <c r="O1673" s="73" t="str">
        <f t="shared" si="216"/>
        <v/>
      </c>
      <c r="P1673" s="65" t="str">
        <f t="shared" ca="1" si="217"/>
        <v/>
      </c>
      <c r="Q1673" s="2"/>
      <c r="R1673" s="2"/>
      <c r="S1673" s="1" t="str">
        <f t="shared" si="210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211"/>
        <v>0</v>
      </c>
      <c r="W1673" s="1" t="str">
        <f t="shared" si="212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customHeight="1" x14ac:dyDescent="0.3">
      <c r="A1674" s="2"/>
      <c r="B1674" s="65" t="str">
        <f t="shared" si="213"/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 t="shared" si="214"/>
        <v/>
      </c>
      <c r="N1674" s="74" t="str">
        <f t="shared" si="215"/>
        <v/>
      </c>
      <c r="O1674" s="73" t="str">
        <f t="shared" si="216"/>
        <v/>
      </c>
      <c r="P1674" s="65" t="str">
        <f t="shared" ca="1" si="217"/>
        <v/>
      </c>
      <c r="Q1674" s="2"/>
      <c r="R1674" s="2"/>
      <c r="S1674" s="1" t="str">
        <f t="shared" si="210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211"/>
        <v>0</v>
      </c>
      <c r="W1674" s="1" t="str">
        <f t="shared" si="212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customHeight="1" x14ac:dyDescent="0.3">
      <c r="A1675" s="2"/>
      <c r="B1675" s="65" t="str">
        <f t="shared" si="213"/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 t="shared" si="214"/>
        <v/>
      </c>
      <c r="N1675" s="74" t="str">
        <f t="shared" si="215"/>
        <v/>
      </c>
      <c r="O1675" s="73" t="str">
        <f t="shared" si="216"/>
        <v/>
      </c>
      <c r="P1675" s="65" t="str">
        <f t="shared" ca="1" si="217"/>
        <v/>
      </c>
      <c r="Q1675" s="2"/>
      <c r="R1675" s="2"/>
      <c r="S1675" s="1" t="str">
        <f t="shared" si="210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211"/>
        <v>0</v>
      </c>
      <c r="W1675" s="1" t="str">
        <f t="shared" si="212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customHeight="1" x14ac:dyDescent="0.3">
      <c r="A1676" s="2"/>
      <c r="B1676" s="65" t="str">
        <f t="shared" si="213"/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 t="shared" si="214"/>
        <v/>
      </c>
      <c r="N1676" s="74" t="str">
        <f t="shared" si="215"/>
        <v/>
      </c>
      <c r="O1676" s="73" t="str">
        <f t="shared" si="216"/>
        <v/>
      </c>
      <c r="P1676" s="65" t="str">
        <f t="shared" ca="1" si="217"/>
        <v/>
      </c>
      <c r="Q1676" s="2"/>
      <c r="R1676" s="2"/>
      <c r="S1676" s="1" t="str">
        <f t="shared" si="210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211"/>
        <v>0</v>
      </c>
      <c r="W1676" s="1" t="str">
        <f t="shared" si="212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customHeight="1" x14ac:dyDescent="0.3">
      <c r="A1677" s="2"/>
      <c r="B1677" s="65" t="str">
        <f t="shared" si="213"/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 t="shared" si="214"/>
        <v/>
      </c>
      <c r="N1677" s="74" t="str">
        <f t="shared" si="215"/>
        <v/>
      </c>
      <c r="O1677" s="73" t="str">
        <f t="shared" si="216"/>
        <v/>
      </c>
      <c r="P1677" s="65" t="str">
        <f t="shared" ca="1" si="217"/>
        <v/>
      </c>
      <c r="Q1677" s="2"/>
      <c r="R1677" s="2"/>
      <c r="S1677" s="1" t="str">
        <f t="shared" si="210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211"/>
        <v>0</v>
      </c>
      <c r="W1677" s="1" t="str">
        <f t="shared" si="212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customHeight="1" x14ac:dyDescent="0.3">
      <c r="A1678" s="2"/>
      <c r="B1678" s="65" t="str">
        <f t="shared" si="213"/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 t="shared" si="214"/>
        <v/>
      </c>
      <c r="N1678" s="74" t="str">
        <f t="shared" si="215"/>
        <v/>
      </c>
      <c r="O1678" s="73" t="str">
        <f t="shared" si="216"/>
        <v/>
      </c>
      <c r="P1678" s="65" t="str">
        <f t="shared" ca="1" si="217"/>
        <v/>
      </c>
      <c r="Q1678" s="2"/>
      <c r="R1678" s="2"/>
      <c r="S1678" s="1" t="str">
        <f t="shared" si="210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211"/>
        <v>0</v>
      </c>
      <c r="W1678" s="1" t="str">
        <f t="shared" si="212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customHeight="1" x14ac:dyDescent="0.3">
      <c r="A1679" s="2"/>
      <c r="B1679" s="65" t="str">
        <f t="shared" si="213"/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 t="shared" si="214"/>
        <v/>
      </c>
      <c r="N1679" s="74" t="str">
        <f t="shared" si="215"/>
        <v/>
      </c>
      <c r="O1679" s="73" t="str">
        <f t="shared" si="216"/>
        <v/>
      </c>
      <c r="P1679" s="65" t="str">
        <f t="shared" ca="1" si="217"/>
        <v/>
      </c>
      <c r="Q1679" s="2"/>
      <c r="R1679" s="2"/>
      <c r="S1679" s="1" t="str">
        <f t="shared" si="210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211"/>
        <v>0</v>
      </c>
      <c r="W1679" s="1" t="str">
        <f t="shared" si="212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customHeight="1" x14ac:dyDescent="0.3">
      <c r="A1680" s="2"/>
      <c r="B1680" s="65" t="str">
        <f t="shared" si="213"/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 t="shared" si="214"/>
        <v/>
      </c>
      <c r="N1680" s="74" t="str">
        <f t="shared" si="215"/>
        <v/>
      </c>
      <c r="O1680" s="73" t="str">
        <f t="shared" si="216"/>
        <v/>
      </c>
      <c r="P1680" s="65" t="str">
        <f t="shared" ca="1" si="217"/>
        <v/>
      </c>
      <c r="Q1680" s="2"/>
      <c r="R1680" s="2"/>
      <c r="S1680" s="1" t="str">
        <f t="shared" si="210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211"/>
        <v>0</v>
      </c>
      <c r="W1680" s="1" t="str">
        <f t="shared" si="212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customHeight="1" x14ac:dyDescent="0.3">
      <c r="A1681" s="2"/>
      <c r="B1681" s="65" t="str">
        <f t="shared" si="213"/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 t="shared" si="214"/>
        <v/>
      </c>
      <c r="N1681" s="74" t="str">
        <f t="shared" si="215"/>
        <v/>
      </c>
      <c r="O1681" s="73" t="str">
        <f t="shared" si="216"/>
        <v/>
      </c>
      <c r="P1681" s="65" t="str">
        <f t="shared" ca="1" si="217"/>
        <v/>
      </c>
      <c r="Q1681" s="2"/>
      <c r="R1681" s="2"/>
      <c r="S1681" s="1" t="str">
        <f t="shared" si="210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211"/>
        <v>0</v>
      </c>
      <c r="W1681" s="1" t="str">
        <f t="shared" si="212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customHeight="1" x14ac:dyDescent="0.3">
      <c r="A1682" s="2"/>
      <c r="B1682" s="65" t="str">
        <f t="shared" si="213"/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 t="shared" si="214"/>
        <v/>
      </c>
      <c r="N1682" s="74" t="str">
        <f t="shared" si="215"/>
        <v/>
      </c>
      <c r="O1682" s="73" t="str">
        <f t="shared" si="216"/>
        <v/>
      </c>
      <c r="P1682" s="65" t="str">
        <f t="shared" ca="1" si="217"/>
        <v/>
      </c>
      <c r="Q1682" s="2"/>
      <c r="R1682" s="2"/>
      <c r="S1682" s="1" t="str">
        <f t="shared" si="210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211"/>
        <v>0</v>
      </c>
      <c r="W1682" s="1" t="str">
        <f t="shared" si="212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customHeight="1" x14ac:dyDescent="0.3">
      <c r="A1683" s="2"/>
      <c r="B1683" s="65" t="str">
        <f t="shared" si="213"/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 t="shared" si="214"/>
        <v/>
      </c>
      <c r="N1683" s="74" t="str">
        <f t="shared" si="215"/>
        <v/>
      </c>
      <c r="O1683" s="73" t="str">
        <f t="shared" si="216"/>
        <v/>
      </c>
      <c r="P1683" s="65" t="str">
        <f t="shared" ca="1" si="217"/>
        <v/>
      </c>
      <c r="Q1683" s="2"/>
      <c r="R1683" s="2"/>
      <c r="S1683" s="1" t="str">
        <f t="shared" si="210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211"/>
        <v>0</v>
      </c>
      <c r="W1683" s="1" t="str">
        <f t="shared" si="212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customHeight="1" x14ac:dyDescent="0.3">
      <c r="A1684" s="2"/>
      <c r="B1684" s="65" t="str">
        <f t="shared" si="213"/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 t="shared" si="214"/>
        <v/>
      </c>
      <c r="N1684" s="74" t="str">
        <f t="shared" si="215"/>
        <v/>
      </c>
      <c r="O1684" s="73" t="str">
        <f t="shared" si="216"/>
        <v/>
      </c>
      <c r="P1684" s="65" t="str">
        <f t="shared" ca="1" si="217"/>
        <v/>
      </c>
      <c r="Q1684" s="2"/>
      <c r="R1684" s="2"/>
      <c r="S1684" s="1" t="str">
        <f t="shared" si="210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211"/>
        <v>0</v>
      </c>
      <c r="W1684" s="1" t="str">
        <f t="shared" si="212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customHeight="1" x14ac:dyDescent="0.3">
      <c r="A1685" s="2"/>
      <c r="B1685" s="65" t="str">
        <f t="shared" si="213"/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 t="shared" si="214"/>
        <v/>
      </c>
      <c r="N1685" s="74" t="str">
        <f t="shared" si="215"/>
        <v/>
      </c>
      <c r="O1685" s="73" t="str">
        <f t="shared" si="216"/>
        <v/>
      </c>
      <c r="P1685" s="65" t="str">
        <f t="shared" ca="1" si="217"/>
        <v/>
      </c>
      <c r="Q1685" s="2"/>
      <c r="R1685" s="2"/>
      <c r="S1685" s="1" t="str">
        <f t="shared" si="210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211"/>
        <v>0</v>
      </c>
      <c r="W1685" s="1" t="str">
        <f t="shared" si="212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customHeight="1" x14ac:dyDescent="0.3">
      <c r="A1686" s="2"/>
      <c r="B1686" s="65" t="str">
        <f t="shared" si="213"/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 t="shared" si="214"/>
        <v/>
      </c>
      <c r="N1686" s="74" t="str">
        <f t="shared" si="215"/>
        <v/>
      </c>
      <c r="O1686" s="73" t="str">
        <f t="shared" si="216"/>
        <v/>
      </c>
      <c r="P1686" s="65" t="str">
        <f t="shared" ca="1" si="217"/>
        <v/>
      </c>
      <c r="Q1686" s="2"/>
      <c r="R1686" s="2"/>
      <c r="S1686" s="1" t="str">
        <f t="shared" si="210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211"/>
        <v>0</v>
      </c>
      <c r="W1686" s="1" t="str">
        <f t="shared" si="212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customHeight="1" x14ac:dyDescent="0.3">
      <c r="A1687" s="2"/>
      <c r="B1687" s="65" t="str">
        <f t="shared" si="213"/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 t="shared" si="214"/>
        <v/>
      </c>
      <c r="N1687" s="74" t="str">
        <f t="shared" si="215"/>
        <v/>
      </c>
      <c r="O1687" s="73" t="str">
        <f t="shared" si="216"/>
        <v/>
      </c>
      <c r="P1687" s="65" t="str">
        <f t="shared" ca="1" si="217"/>
        <v/>
      </c>
      <c r="Q1687" s="2"/>
      <c r="R1687" s="2"/>
      <c r="S1687" s="1" t="str">
        <f t="shared" si="210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211"/>
        <v>0</v>
      </c>
      <c r="W1687" s="1" t="str">
        <f t="shared" si="212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customHeight="1" x14ac:dyDescent="0.3">
      <c r="A1688" s="2"/>
      <c r="B1688" s="65" t="str">
        <f t="shared" si="213"/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 t="shared" si="214"/>
        <v/>
      </c>
      <c r="N1688" s="74" t="str">
        <f t="shared" si="215"/>
        <v/>
      </c>
      <c r="O1688" s="73" t="str">
        <f t="shared" si="216"/>
        <v/>
      </c>
      <c r="P1688" s="65" t="str">
        <f t="shared" ca="1" si="217"/>
        <v/>
      </c>
      <c r="Q1688" s="2"/>
      <c r="R1688" s="2"/>
      <c r="S1688" s="1" t="str">
        <f t="shared" si="210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211"/>
        <v>0</v>
      </c>
      <c r="W1688" s="1" t="str">
        <f t="shared" si="212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customHeight="1" x14ac:dyDescent="0.3">
      <c r="A1689" s="2"/>
      <c r="B1689" s="65" t="str">
        <f t="shared" si="213"/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 t="shared" si="214"/>
        <v/>
      </c>
      <c r="N1689" s="74" t="str">
        <f t="shared" si="215"/>
        <v/>
      </c>
      <c r="O1689" s="73" t="str">
        <f t="shared" si="216"/>
        <v/>
      </c>
      <c r="P1689" s="65" t="str">
        <f t="shared" ca="1" si="217"/>
        <v/>
      </c>
      <c r="Q1689" s="2"/>
      <c r="R1689" s="2"/>
      <c r="S1689" s="1" t="str">
        <f t="shared" si="210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211"/>
        <v>0</v>
      </c>
      <c r="W1689" s="1" t="str">
        <f t="shared" si="212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customHeight="1" x14ac:dyDescent="0.3">
      <c r="A1690" s="2"/>
      <c r="B1690" s="65" t="str">
        <f t="shared" si="213"/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 t="shared" si="214"/>
        <v/>
      </c>
      <c r="N1690" s="74" t="str">
        <f t="shared" si="215"/>
        <v/>
      </c>
      <c r="O1690" s="73" t="str">
        <f t="shared" si="216"/>
        <v/>
      </c>
      <c r="P1690" s="65" t="str">
        <f t="shared" ca="1" si="217"/>
        <v/>
      </c>
      <c r="Q1690" s="2"/>
      <c r="R1690" s="2"/>
      <c r="S1690" s="1" t="str">
        <f t="shared" si="210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211"/>
        <v>0</v>
      </c>
      <c r="W1690" s="1" t="str">
        <f t="shared" si="212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customHeight="1" x14ac:dyDescent="0.3">
      <c r="A1691" s="2"/>
      <c r="B1691" s="65" t="str">
        <f t="shared" si="213"/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 t="shared" si="214"/>
        <v/>
      </c>
      <c r="N1691" s="74" t="str">
        <f t="shared" si="215"/>
        <v/>
      </c>
      <c r="O1691" s="73" t="str">
        <f t="shared" si="216"/>
        <v/>
      </c>
      <c r="P1691" s="65" t="str">
        <f t="shared" ca="1" si="217"/>
        <v/>
      </c>
      <c r="Q1691" s="2"/>
      <c r="R1691" s="2"/>
      <c r="S1691" s="1" t="str">
        <f t="shared" si="210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211"/>
        <v>0</v>
      </c>
      <c r="W1691" s="1" t="str">
        <f t="shared" si="212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customHeight="1" x14ac:dyDescent="0.3">
      <c r="A1692" s="2"/>
      <c r="B1692" s="65" t="str">
        <f t="shared" si="213"/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 t="shared" si="214"/>
        <v/>
      </c>
      <c r="N1692" s="74" t="str">
        <f t="shared" si="215"/>
        <v/>
      </c>
      <c r="O1692" s="73" t="str">
        <f t="shared" si="216"/>
        <v/>
      </c>
      <c r="P1692" s="65" t="str">
        <f t="shared" ca="1" si="217"/>
        <v/>
      </c>
      <c r="Q1692" s="2"/>
      <c r="R1692" s="2"/>
      <c r="S1692" s="1" t="str">
        <f t="shared" si="210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211"/>
        <v>0</v>
      </c>
      <c r="W1692" s="1" t="str">
        <f t="shared" si="212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customHeight="1" x14ac:dyDescent="0.3">
      <c r="A1693" s="2"/>
      <c r="B1693" s="65" t="str">
        <f t="shared" si="213"/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 t="shared" si="214"/>
        <v/>
      </c>
      <c r="N1693" s="74" t="str">
        <f t="shared" si="215"/>
        <v/>
      </c>
      <c r="O1693" s="73" t="str">
        <f t="shared" si="216"/>
        <v/>
      </c>
      <c r="P1693" s="65" t="str">
        <f t="shared" ca="1" si="217"/>
        <v/>
      </c>
      <c r="Q1693" s="2"/>
      <c r="R1693" s="2"/>
      <c r="S1693" s="1" t="str">
        <f t="shared" si="210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211"/>
        <v>0</v>
      </c>
      <c r="W1693" s="1" t="str">
        <f t="shared" si="212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customHeight="1" x14ac:dyDescent="0.3">
      <c r="A1694" s="2"/>
      <c r="B1694" s="65" t="str">
        <f t="shared" si="213"/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 t="shared" si="214"/>
        <v/>
      </c>
      <c r="N1694" s="74" t="str">
        <f t="shared" si="215"/>
        <v/>
      </c>
      <c r="O1694" s="73" t="str">
        <f t="shared" si="216"/>
        <v/>
      </c>
      <c r="P1694" s="65" t="str">
        <f t="shared" ca="1" si="217"/>
        <v/>
      </c>
      <c r="Q1694" s="2"/>
      <c r="R1694" s="2"/>
      <c r="S1694" s="1" t="str">
        <f t="shared" si="210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211"/>
        <v>0</v>
      </c>
      <c r="W1694" s="1" t="str">
        <f t="shared" si="212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customHeight="1" x14ac:dyDescent="0.3">
      <c r="A1695" s="2"/>
      <c r="B1695" s="65" t="str">
        <f t="shared" si="213"/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 t="shared" si="214"/>
        <v/>
      </c>
      <c r="N1695" s="74" t="str">
        <f t="shared" si="215"/>
        <v/>
      </c>
      <c r="O1695" s="73" t="str">
        <f t="shared" si="216"/>
        <v/>
      </c>
      <c r="P1695" s="65" t="str">
        <f t="shared" ca="1" si="217"/>
        <v/>
      </c>
      <c r="Q1695" s="2"/>
      <c r="R1695" s="2"/>
      <c r="S1695" s="1" t="str">
        <f t="shared" si="210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211"/>
        <v>0</v>
      </c>
      <c r="W1695" s="1" t="str">
        <f t="shared" si="212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customHeight="1" x14ac:dyDescent="0.3">
      <c r="A1696" s="2"/>
      <c r="B1696" s="65" t="str">
        <f t="shared" si="213"/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 t="shared" si="214"/>
        <v/>
      </c>
      <c r="N1696" s="74" t="str">
        <f t="shared" si="215"/>
        <v/>
      </c>
      <c r="O1696" s="73" t="str">
        <f t="shared" si="216"/>
        <v/>
      </c>
      <c r="P1696" s="65" t="str">
        <f t="shared" ca="1" si="217"/>
        <v/>
      </c>
      <c r="Q1696" s="2"/>
      <c r="R1696" s="2"/>
      <c r="S1696" s="1" t="str">
        <f t="shared" si="210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211"/>
        <v>0</v>
      </c>
      <c r="W1696" s="1" t="str">
        <f t="shared" si="212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customHeight="1" x14ac:dyDescent="0.3">
      <c r="A1697" s="2"/>
      <c r="B1697" s="65" t="str">
        <f t="shared" si="213"/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 t="shared" si="214"/>
        <v/>
      </c>
      <c r="N1697" s="74" t="str">
        <f t="shared" si="215"/>
        <v/>
      </c>
      <c r="O1697" s="73" t="str">
        <f t="shared" si="216"/>
        <v/>
      </c>
      <c r="P1697" s="65" t="str">
        <f t="shared" ca="1" si="217"/>
        <v/>
      </c>
      <c r="Q1697" s="2"/>
      <c r="R1697" s="2"/>
      <c r="S1697" s="1" t="str">
        <f t="shared" si="210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211"/>
        <v>0</v>
      </c>
      <c r="W1697" s="1" t="str">
        <f t="shared" si="212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customHeight="1" x14ac:dyDescent="0.3">
      <c r="A1698" s="2"/>
      <c r="B1698" s="65" t="str">
        <f t="shared" si="213"/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 t="shared" si="214"/>
        <v/>
      </c>
      <c r="N1698" s="74" t="str">
        <f t="shared" si="215"/>
        <v/>
      </c>
      <c r="O1698" s="73" t="str">
        <f t="shared" si="216"/>
        <v/>
      </c>
      <c r="P1698" s="65" t="str">
        <f t="shared" ca="1" si="217"/>
        <v/>
      </c>
      <c r="Q1698" s="2"/>
      <c r="R1698" s="2"/>
      <c r="S1698" s="1" t="str">
        <f t="shared" si="210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211"/>
        <v>0</v>
      </c>
      <c r="W1698" s="1" t="str">
        <f t="shared" si="212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customHeight="1" x14ac:dyDescent="0.3">
      <c r="A1699" s="2"/>
      <c r="B1699" s="65" t="str">
        <f t="shared" si="213"/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 t="shared" si="214"/>
        <v/>
      </c>
      <c r="N1699" s="74" t="str">
        <f t="shared" si="215"/>
        <v/>
      </c>
      <c r="O1699" s="73" t="str">
        <f t="shared" si="216"/>
        <v/>
      </c>
      <c r="P1699" s="65" t="str">
        <f t="shared" ca="1" si="217"/>
        <v/>
      </c>
      <c r="Q1699" s="2"/>
      <c r="R1699" s="2"/>
      <c r="S1699" s="1" t="str">
        <f t="shared" si="210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211"/>
        <v>0</v>
      </c>
      <c r="W1699" s="1" t="str">
        <f t="shared" si="212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customHeight="1" x14ac:dyDescent="0.3">
      <c r="A1700" s="2"/>
      <c r="B1700" s="65" t="str">
        <f t="shared" si="213"/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 t="shared" si="214"/>
        <v/>
      </c>
      <c r="N1700" s="74" t="str">
        <f t="shared" si="215"/>
        <v/>
      </c>
      <c r="O1700" s="73" t="str">
        <f t="shared" si="216"/>
        <v/>
      </c>
      <c r="P1700" s="65" t="str">
        <f t="shared" ca="1" si="217"/>
        <v/>
      </c>
      <c r="Q1700" s="2"/>
      <c r="R1700" s="2"/>
      <c r="S1700" s="1" t="str">
        <f t="shared" si="210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211"/>
        <v>0</v>
      </c>
      <c r="W1700" s="1" t="str">
        <f t="shared" si="212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customHeight="1" x14ac:dyDescent="0.3">
      <c r="A1701" s="2"/>
      <c r="B1701" s="65" t="str">
        <f t="shared" si="213"/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 t="shared" si="214"/>
        <v/>
      </c>
      <c r="N1701" s="74" t="str">
        <f t="shared" si="215"/>
        <v/>
      </c>
      <c r="O1701" s="73" t="str">
        <f t="shared" si="216"/>
        <v/>
      </c>
      <c r="P1701" s="65" t="str">
        <f t="shared" ca="1" si="217"/>
        <v/>
      </c>
      <c r="Q1701" s="2"/>
      <c r="R1701" s="2"/>
      <c r="S1701" s="1" t="str">
        <f t="shared" si="210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211"/>
        <v>0</v>
      </c>
      <c r="W1701" s="1" t="str">
        <f t="shared" si="212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customHeight="1" x14ac:dyDescent="0.3">
      <c r="A1702" s="2"/>
      <c r="B1702" s="65" t="str">
        <f t="shared" si="213"/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 t="shared" si="214"/>
        <v/>
      </c>
      <c r="N1702" s="74" t="str">
        <f t="shared" si="215"/>
        <v/>
      </c>
      <c r="O1702" s="73" t="str">
        <f t="shared" si="216"/>
        <v/>
      </c>
      <c r="P1702" s="65" t="str">
        <f t="shared" ca="1" si="217"/>
        <v/>
      </c>
      <c r="Q1702" s="2"/>
      <c r="R1702" s="2"/>
      <c r="S1702" s="1" t="str">
        <f t="shared" si="210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211"/>
        <v>0</v>
      </c>
      <c r="W1702" s="1" t="str">
        <f t="shared" si="212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customHeight="1" x14ac:dyDescent="0.3">
      <c r="A1703" s="2"/>
      <c r="B1703" s="65" t="str">
        <f t="shared" si="213"/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 t="shared" si="214"/>
        <v/>
      </c>
      <c r="N1703" s="74" t="str">
        <f t="shared" si="215"/>
        <v/>
      </c>
      <c r="O1703" s="73" t="str">
        <f t="shared" si="216"/>
        <v/>
      </c>
      <c r="P1703" s="65" t="str">
        <f t="shared" ca="1" si="217"/>
        <v/>
      </c>
      <c r="Q1703" s="2"/>
      <c r="R1703" s="2"/>
      <c r="S1703" s="1" t="str">
        <f t="shared" si="210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211"/>
        <v>0</v>
      </c>
      <c r="W1703" s="1" t="str">
        <f t="shared" si="212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customHeight="1" x14ac:dyDescent="0.3">
      <c r="A1704" s="2"/>
      <c r="B1704" s="65" t="str">
        <f t="shared" si="213"/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 t="shared" si="214"/>
        <v/>
      </c>
      <c r="N1704" s="74" t="str">
        <f t="shared" si="215"/>
        <v/>
      </c>
      <c r="O1704" s="73" t="str">
        <f t="shared" si="216"/>
        <v/>
      </c>
      <c r="P1704" s="65" t="str">
        <f t="shared" ca="1" si="217"/>
        <v/>
      </c>
      <c r="Q1704" s="2"/>
      <c r="R1704" s="2"/>
      <c r="S1704" s="1" t="str">
        <f t="shared" si="210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211"/>
        <v>0</v>
      </c>
      <c r="W1704" s="1" t="str">
        <f t="shared" si="212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customHeight="1" x14ac:dyDescent="0.3">
      <c r="A1705" s="2"/>
      <c r="B1705" s="65" t="str">
        <f t="shared" si="213"/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 t="shared" si="214"/>
        <v/>
      </c>
      <c r="N1705" s="74" t="str">
        <f t="shared" si="215"/>
        <v/>
      </c>
      <c r="O1705" s="73" t="str">
        <f t="shared" si="216"/>
        <v/>
      </c>
      <c r="P1705" s="65" t="str">
        <f t="shared" ca="1" si="217"/>
        <v/>
      </c>
      <c r="Q1705" s="2"/>
      <c r="R1705" s="2"/>
      <c r="S1705" s="1" t="str">
        <f t="shared" si="210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211"/>
        <v>0</v>
      </c>
      <c r="W1705" s="1" t="str">
        <f t="shared" si="212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customHeight="1" x14ac:dyDescent="0.3">
      <c r="A1706" s="2"/>
      <c r="B1706" s="65" t="str">
        <f t="shared" si="213"/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 t="shared" si="214"/>
        <v/>
      </c>
      <c r="N1706" s="74" t="str">
        <f t="shared" si="215"/>
        <v/>
      </c>
      <c r="O1706" s="73" t="str">
        <f t="shared" si="216"/>
        <v/>
      </c>
      <c r="P1706" s="65" t="str">
        <f t="shared" ca="1" si="217"/>
        <v/>
      </c>
      <c r="Q1706" s="2"/>
      <c r="R1706" s="2"/>
      <c r="S1706" s="1" t="str">
        <f t="shared" si="210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211"/>
        <v>0</v>
      </c>
      <c r="W1706" s="1" t="str">
        <f t="shared" si="212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customHeight="1" x14ac:dyDescent="0.3">
      <c r="A1707" s="2"/>
      <c r="B1707" s="65" t="str">
        <f t="shared" si="213"/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 t="shared" si="214"/>
        <v/>
      </c>
      <c r="N1707" s="74" t="str">
        <f t="shared" si="215"/>
        <v/>
      </c>
      <c r="O1707" s="73" t="str">
        <f t="shared" si="216"/>
        <v/>
      </c>
      <c r="P1707" s="65" t="str">
        <f t="shared" ca="1" si="217"/>
        <v/>
      </c>
      <c r="Q1707" s="2"/>
      <c r="R1707" s="2"/>
      <c r="S1707" s="1" t="str">
        <f t="shared" si="210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211"/>
        <v>0</v>
      </c>
      <c r="W1707" s="1" t="str">
        <f t="shared" si="212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customHeight="1" x14ac:dyDescent="0.3">
      <c r="A1708" s="2"/>
      <c r="B1708" s="65" t="str">
        <f t="shared" si="213"/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 t="shared" si="214"/>
        <v/>
      </c>
      <c r="N1708" s="74" t="str">
        <f t="shared" si="215"/>
        <v/>
      </c>
      <c r="O1708" s="73" t="str">
        <f t="shared" si="216"/>
        <v/>
      </c>
      <c r="P1708" s="65" t="str">
        <f t="shared" ca="1" si="217"/>
        <v/>
      </c>
      <c r="Q1708" s="2"/>
      <c r="R1708" s="2"/>
      <c r="S1708" s="1" t="str">
        <f t="shared" si="210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211"/>
        <v>0</v>
      </c>
      <c r="W1708" s="1" t="str">
        <f t="shared" si="212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customHeight="1" x14ac:dyDescent="0.3">
      <c r="A1709" s="2"/>
      <c r="B1709" s="65" t="str">
        <f t="shared" si="213"/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 t="shared" si="214"/>
        <v/>
      </c>
      <c r="N1709" s="74" t="str">
        <f t="shared" si="215"/>
        <v/>
      </c>
      <c r="O1709" s="73" t="str">
        <f t="shared" si="216"/>
        <v/>
      </c>
      <c r="P1709" s="65" t="str">
        <f t="shared" ca="1" si="217"/>
        <v/>
      </c>
      <c r="Q1709" s="2"/>
      <c r="R1709" s="2"/>
      <c r="S1709" s="1" t="str">
        <f t="shared" si="210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211"/>
        <v>0</v>
      </c>
      <c r="W1709" s="1" t="str">
        <f t="shared" si="212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customHeight="1" x14ac:dyDescent="0.3">
      <c r="A1710" s="2"/>
      <c r="B1710" s="65" t="str">
        <f t="shared" si="213"/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 t="shared" si="214"/>
        <v/>
      </c>
      <c r="N1710" s="74" t="str">
        <f t="shared" si="215"/>
        <v/>
      </c>
      <c r="O1710" s="73" t="str">
        <f t="shared" si="216"/>
        <v/>
      </c>
      <c r="P1710" s="65" t="str">
        <f t="shared" ca="1" si="217"/>
        <v/>
      </c>
      <c r="Q1710" s="2"/>
      <c r="R1710" s="2"/>
      <c r="S1710" s="1" t="str">
        <f t="shared" si="210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211"/>
        <v>0</v>
      </c>
      <c r="W1710" s="1" t="str">
        <f t="shared" si="212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customHeight="1" x14ac:dyDescent="0.3">
      <c r="A1711" s="2"/>
      <c r="B1711" s="65" t="str">
        <f t="shared" si="213"/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 t="shared" si="214"/>
        <v/>
      </c>
      <c r="N1711" s="74" t="str">
        <f t="shared" si="215"/>
        <v/>
      </c>
      <c r="O1711" s="73" t="str">
        <f t="shared" si="216"/>
        <v/>
      </c>
      <c r="P1711" s="65" t="str">
        <f t="shared" ca="1" si="217"/>
        <v/>
      </c>
      <c r="Q1711" s="2"/>
      <c r="R1711" s="2"/>
      <c r="S1711" s="1" t="str">
        <f t="shared" si="210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211"/>
        <v>0</v>
      </c>
      <c r="W1711" s="1" t="str">
        <f t="shared" si="212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customHeight="1" x14ac:dyDescent="0.3">
      <c r="A1712" s="2"/>
      <c r="B1712" s="65" t="str">
        <f t="shared" si="213"/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 t="shared" si="214"/>
        <v/>
      </c>
      <c r="N1712" s="74" t="str">
        <f t="shared" si="215"/>
        <v/>
      </c>
      <c r="O1712" s="73" t="str">
        <f t="shared" si="216"/>
        <v/>
      </c>
      <c r="P1712" s="65" t="str">
        <f t="shared" ca="1" si="217"/>
        <v/>
      </c>
      <c r="Q1712" s="2"/>
      <c r="R1712" s="2"/>
      <c r="S1712" s="1" t="str">
        <f t="shared" si="210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211"/>
        <v>0</v>
      </c>
      <c r="W1712" s="1" t="str">
        <f t="shared" si="212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customHeight="1" x14ac:dyDescent="0.3">
      <c r="A1713" s="2"/>
      <c r="B1713" s="65" t="str">
        <f t="shared" si="213"/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 t="shared" si="214"/>
        <v/>
      </c>
      <c r="N1713" s="74" t="str">
        <f t="shared" si="215"/>
        <v/>
      </c>
      <c r="O1713" s="73" t="str">
        <f t="shared" si="216"/>
        <v/>
      </c>
      <c r="P1713" s="65" t="str">
        <f t="shared" ca="1" si="217"/>
        <v/>
      </c>
      <c r="Q1713" s="2"/>
      <c r="R1713" s="2"/>
      <c r="S1713" s="1" t="str">
        <f t="shared" si="210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211"/>
        <v>0</v>
      </c>
      <c r="W1713" s="1" t="str">
        <f t="shared" si="212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customHeight="1" x14ac:dyDescent="0.3">
      <c r="A1714" s="2"/>
      <c r="B1714" s="65" t="str">
        <f t="shared" si="213"/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 t="shared" si="214"/>
        <v/>
      </c>
      <c r="N1714" s="74" t="str">
        <f t="shared" si="215"/>
        <v/>
      </c>
      <c r="O1714" s="73" t="str">
        <f t="shared" si="216"/>
        <v/>
      </c>
      <c r="P1714" s="65" t="str">
        <f t="shared" ca="1" si="217"/>
        <v/>
      </c>
      <c r="Q1714" s="2"/>
      <c r="R1714" s="2"/>
      <c r="S1714" s="1" t="str">
        <f t="shared" si="210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211"/>
        <v>0</v>
      </c>
      <c r="W1714" s="1" t="str">
        <f t="shared" si="212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customHeight="1" x14ac:dyDescent="0.3">
      <c r="A1715" s="2"/>
      <c r="B1715" s="65" t="str">
        <f t="shared" si="213"/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 t="shared" si="214"/>
        <v/>
      </c>
      <c r="N1715" s="74" t="str">
        <f t="shared" si="215"/>
        <v/>
      </c>
      <c r="O1715" s="73" t="str">
        <f t="shared" si="216"/>
        <v/>
      </c>
      <c r="P1715" s="65" t="str">
        <f t="shared" ca="1" si="217"/>
        <v/>
      </c>
      <c r="Q1715" s="2"/>
      <c r="R1715" s="2"/>
      <c r="S1715" s="1" t="str">
        <f t="shared" si="210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211"/>
        <v>0</v>
      </c>
      <c r="W1715" s="1" t="str">
        <f t="shared" si="212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customHeight="1" x14ac:dyDescent="0.3">
      <c r="A1716" s="2"/>
      <c r="B1716" s="65" t="str">
        <f t="shared" si="213"/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 t="shared" si="214"/>
        <v/>
      </c>
      <c r="N1716" s="74" t="str">
        <f t="shared" si="215"/>
        <v/>
      </c>
      <c r="O1716" s="73" t="str">
        <f t="shared" si="216"/>
        <v/>
      </c>
      <c r="P1716" s="65" t="str">
        <f t="shared" ca="1" si="217"/>
        <v/>
      </c>
      <c r="Q1716" s="2"/>
      <c r="R1716" s="2"/>
      <c r="S1716" s="1" t="str">
        <f t="shared" si="210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211"/>
        <v>0</v>
      </c>
      <c r="W1716" s="1" t="str">
        <f t="shared" si="212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customHeight="1" x14ac:dyDescent="0.3">
      <c r="A1717" s="2"/>
      <c r="B1717" s="65" t="str">
        <f t="shared" si="213"/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 t="shared" si="214"/>
        <v/>
      </c>
      <c r="N1717" s="74" t="str">
        <f t="shared" si="215"/>
        <v/>
      </c>
      <c r="O1717" s="73" t="str">
        <f t="shared" si="216"/>
        <v/>
      </c>
      <c r="P1717" s="65" t="str">
        <f t="shared" ca="1" si="217"/>
        <v/>
      </c>
      <c r="Q1717" s="2"/>
      <c r="R1717" s="2"/>
      <c r="S1717" s="1" t="str">
        <f t="shared" si="210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211"/>
        <v>0</v>
      </c>
      <c r="W1717" s="1" t="str">
        <f t="shared" si="212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customHeight="1" x14ac:dyDescent="0.3">
      <c r="A1718" s="2"/>
      <c r="B1718" s="65" t="str">
        <f t="shared" si="213"/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 t="shared" si="214"/>
        <v/>
      </c>
      <c r="N1718" s="74" t="str">
        <f t="shared" si="215"/>
        <v/>
      </c>
      <c r="O1718" s="73" t="str">
        <f t="shared" si="216"/>
        <v/>
      </c>
      <c r="P1718" s="65" t="str">
        <f t="shared" ca="1" si="217"/>
        <v/>
      </c>
      <c r="Q1718" s="2"/>
      <c r="R1718" s="2"/>
      <c r="S1718" s="1" t="str">
        <f t="shared" si="210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211"/>
        <v>0</v>
      </c>
      <c r="W1718" s="1" t="str">
        <f t="shared" si="212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customHeight="1" x14ac:dyDescent="0.3">
      <c r="A1719" s="2"/>
      <c r="B1719" s="65" t="str">
        <f t="shared" si="213"/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 t="shared" si="214"/>
        <v/>
      </c>
      <c r="N1719" s="74" t="str">
        <f t="shared" si="215"/>
        <v/>
      </c>
      <c r="O1719" s="73" t="str">
        <f t="shared" si="216"/>
        <v/>
      </c>
      <c r="P1719" s="65" t="str">
        <f t="shared" ca="1" si="217"/>
        <v/>
      </c>
      <c r="Q1719" s="2"/>
      <c r="R1719" s="2"/>
      <c r="S1719" s="1" t="str">
        <f t="shared" si="210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211"/>
        <v>0</v>
      </c>
      <c r="W1719" s="1" t="str">
        <f t="shared" si="212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customHeight="1" x14ac:dyDescent="0.3">
      <c r="A1720" s="2"/>
      <c r="B1720" s="65" t="str">
        <f t="shared" si="213"/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 t="shared" si="214"/>
        <v/>
      </c>
      <c r="N1720" s="74" t="str">
        <f t="shared" si="215"/>
        <v/>
      </c>
      <c r="O1720" s="73" t="str">
        <f t="shared" si="216"/>
        <v/>
      </c>
      <c r="P1720" s="65" t="str">
        <f t="shared" ca="1" si="217"/>
        <v/>
      </c>
      <c r="Q1720" s="2"/>
      <c r="R1720" s="2"/>
      <c r="S1720" s="1" t="str">
        <f t="shared" si="210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211"/>
        <v>0</v>
      </c>
      <c r="W1720" s="1" t="str">
        <f t="shared" si="212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customHeight="1" x14ac:dyDescent="0.3">
      <c r="A1721" s="2"/>
      <c r="B1721" s="65" t="str">
        <f t="shared" si="213"/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 t="shared" si="214"/>
        <v/>
      </c>
      <c r="N1721" s="74" t="str">
        <f t="shared" si="215"/>
        <v/>
      </c>
      <c r="O1721" s="73" t="str">
        <f t="shared" si="216"/>
        <v/>
      </c>
      <c r="P1721" s="65" t="str">
        <f t="shared" ca="1" si="217"/>
        <v/>
      </c>
      <c r="Q1721" s="2"/>
      <c r="R1721" s="2"/>
      <c r="S1721" s="1" t="str">
        <f t="shared" si="210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211"/>
        <v>0</v>
      </c>
      <c r="W1721" s="1" t="str">
        <f t="shared" si="212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customHeight="1" x14ac:dyDescent="0.3">
      <c r="A1722" s="2"/>
      <c r="B1722" s="65" t="str">
        <f t="shared" si="213"/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 t="shared" si="214"/>
        <v/>
      </c>
      <c r="N1722" s="74" t="str">
        <f t="shared" si="215"/>
        <v/>
      </c>
      <c r="O1722" s="73" t="str">
        <f t="shared" si="216"/>
        <v/>
      </c>
      <c r="P1722" s="65" t="str">
        <f t="shared" ca="1" si="217"/>
        <v/>
      </c>
      <c r="Q1722" s="2"/>
      <c r="R1722" s="2"/>
      <c r="S1722" s="1" t="str">
        <f t="shared" si="210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211"/>
        <v>0</v>
      </c>
      <c r="W1722" s="1" t="str">
        <f t="shared" si="212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customHeight="1" x14ac:dyDescent="0.3">
      <c r="A1723" s="2"/>
      <c r="B1723" s="65" t="str">
        <f t="shared" si="213"/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 t="shared" si="214"/>
        <v/>
      </c>
      <c r="N1723" s="74" t="str">
        <f t="shared" si="215"/>
        <v/>
      </c>
      <c r="O1723" s="73" t="str">
        <f t="shared" si="216"/>
        <v/>
      </c>
      <c r="P1723" s="65" t="str">
        <f t="shared" ca="1" si="217"/>
        <v/>
      </c>
      <c r="Q1723" s="2"/>
      <c r="R1723" s="2"/>
      <c r="S1723" s="1" t="str">
        <f t="shared" si="210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211"/>
        <v>0</v>
      </c>
      <c r="W1723" s="1" t="str">
        <f t="shared" si="212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customHeight="1" x14ac:dyDescent="0.3">
      <c r="A1724" s="2"/>
      <c r="B1724" s="65" t="str">
        <f t="shared" si="213"/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 t="shared" si="214"/>
        <v/>
      </c>
      <c r="N1724" s="74" t="str">
        <f t="shared" si="215"/>
        <v/>
      </c>
      <c r="O1724" s="73" t="str">
        <f t="shared" si="216"/>
        <v/>
      </c>
      <c r="P1724" s="65" t="str">
        <f t="shared" ca="1" si="217"/>
        <v/>
      </c>
      <c r="Q1724" s="2"/>
      <c r="R1724" s="2"/>
      <c r="S1724" s="1" t="str">
        <f t="shared" si="210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211"/>
        <v>0</v>
      </c>
      <c r="W1724" s="1" t="str">
        <f t="shared" si="212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customHeight="1" x14ac:dyDescent="0.3">
      <c r="A1725" s="2"/>
      <c r="B1725" s="65" t="str">
        <f t="shared" si="213"/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 t="shared" si="214"/>
        <v/>
      </c>
      <c r="N1725" s="74" t="str">
        <f t="shared" si="215"/>
        <v/>
      </c>
      <c r="O1725" s="73" t="str">
        <f t="shared" si="216"/>
        <v/>
      </c>
      <c r="P1725" s="65" t="str">
        <f t="shared" ca="1" si="217"/>
        <v/>
      </c>
      <c r="Q1725" s="2"/>
      <c r="R1725" s="2"/>
      <c r="S1725" s="1" t="str">
        <f t="shared" si="210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211"/>
        <v>0</v>
      </c>
      <c r="W1725" s="1" t="str">
        <f t="shared" si="212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customHeight="1" x14ac:dyDescent="0.3">
      <c r="A1726" s="2"/>
      <c r="B1726" s="65" t="str">
        <f t="shared" si="213"/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 t="shared" si="214"/>
        <v/>
      </c>
      <c r="N1726" s="74" t="str">
        <f t="shared" si="215"/>
        <v/>
      </c>
      <c r="O1726" s="73" t="str">
        <f t="shared" si="216"/>
        <v/>
      </c>
      <c r="P1726" s="65" t="str">
        <f t="shared" ca="1" si="217"/>
        <v/>
      </c>
      <c r="Q1726" s="2"/>
      <c r="R1726" s="2"/>
      <c r="S1726" s="1" t="str">
        <f t="shared" si="210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211"/>
        <v>0</v>
      </c>
      <c r="W1726" s="1" t="str">
        <f t="shared" si="212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customHeight="1" x14ac:dyDescent="0.3">
      <c r="A1727" s="2"/>
      <c r="B1727" s="65" t="str">
        <f t="shared" si="213"/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 t="shared" si="214"/>
        <v/>
      </c>
      <c r="N1727" s="74" t="str">
        <f t="shared" si="215"/>
        <v/>
      </c>
      <c r="O1727" s="73" t="str">
        <f t="shared" si="216"/>
        <v/>
      </c>
      <c r="P1727" s="65" t="str">
        <f t="shared" ca="1" si="217"/>
        <v/>
      </c>
      <c r="Q1727" s="2"/>
      <c r="R1727" s="2"/>
      <c r="S1727" s="1" t="str">
        <f t="shared" si="210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211"/>
        <v>0</v>
      </c>
      <c r="W1727" s="1" t="str">
        <f t="shared" si="212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customHeight="1" x14ac:dyDescent="0.3">
      <c r="A1728" s="2"/>
      <c r="B1728" s="65" t="str">
        <f t="shared" si="213"/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 t="shared" si="214"/>
        <v/>
      </c>
      <c r="N1728" s="74" t="str">
        <f t="shared" si="215"/>
        <v/>
      </c>
      <c r="O1728" s="73" t="str">
        <f t="shared" si="216"/>
        <v/>
      </c>
      <c r="P1728" s="65" t="str">
        <f t="shared" ca="1" si="217"/>
        <v/>
      </c>
      <c r="Q1728" s="2"/>
      <c r="R1728" s="2"/>
      <c r="S1728" s="1" t="str">
        <f t="shared" si="210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211"/>
        <v>0</v>
      </c>
      <c r="W1728" s="1" t="str">
        <f t="shared" si="212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customHeight="1" x14ac:dyDescent="0.3">
      <c r="A1729" s="2"/>
      <c r="B1729" s="65" t="str">
        <f t="shared" si="213"/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 t="shared" si="214"/>
        <v/>
      </c>
      <c r="N1729" s="74" t="str">
        <f t="shared" si="215"/>
        <v/>
      </c>
      <c r="O1729" s="73" t="str">
        <f t="shared" si="216"/>
        <v/>
      </c>
      <c r="P1729" s="65" t="str">
        <f t="shared" ca="1" si="217"/>
        <v/>
      </c>
      <c r="Q1729" s="2"/>
      <c r="R1729" s="2"/>
      <c r="S1729" s="1" t="str">
        <f t="shared" si="210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211"/>
        <v>0</v>
      </c>
      <c r="W1729" s="1" t="str">
        <f t="shared" si="212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customHeight="1" x14ac:dyDescent="0.3">
      <c r="A1730" s="2"/>
      <c r="B1730" s="65" t="str">
        <f t="shared" si="213"/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 t="shared" si="214"/>
        <v/>
      </c>
      <c r="N1730" s="74" t="str">
        <f t="shared" si="215"/>
        <v/>
      </c>
      <c r="O1730" s="73" t="str">
        <f t="shared" si="216"/>
        <v/>
      </c>
      <c r="P1730" s="65" t="str">
        <f t="shared" ca="1" si="217"/>
        <v/>
      </c>
      <c r="Q1730" s="2"/>
      <c r="R1730" s="2"/>
      <c r="S1730" s="1" t="str">
        <f t="shared" si="210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211"/>
        <v>0</v>
      </c>
      <c r="W1730" s="1" t="str">
        <f t="shared" si="212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customHeight="1" x14ac:dyDescent="0.3">
      <c r="A1731" s="2"/>
      <c r="B1731" s="65" t="str">
        <f t="shared" si="213"/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 t="shared" si="214"/>
        <v/>
      </c>
      <c r="N1731" s="74" t="str">
        <f t="shared" si="215"/>
        <v/>
      </c>
      <c r="O1731" s="73" t="str">
        <f t="shared" si="216"/>
        <v/>
      </c>
      <c r="P1731" s="65" t="str">
        <f t="shared" ca="1" si="217"/>
        <v/>
      </c>
      <c r="Q1731" s="2"/>
      <c r="R1731" s="2"/>
      <c r="S1731" s="1" t="str">
        <f t="shared" si="210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211"/>
        <v>0</v>
      </c>
      <c r="W1731" s="1" t="str">
        <f t="shared" si="212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customHeight="1" x14ac:dyDescent="0.3">
      <c r="A1732" s="2"/>
      <c r="B1732" s="65" t="str">
        <f t="shared" si="213"/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 t="shared" si="214"/>
        <v/>
      </c>
      <c r="N1732" s="74" t="str">
        <f t="shared" si="215"/>
        <v/>
      </c>
      <c r="O1732" s="73" t="str">
        <f t="shared" si="216"/>
        <v/>
      </c>
      <c r="P1732" s="65" t="str">
        <f t="shared" ca="1" si="217"/>
        <v/>
      </c>
      <c r="Q1732" s="2"/>
      <c r="R1732" s="2"/>
      <c r="S1732" s="1" t="str">
        <f t="shared" si="210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211"/>
        <v>0</v>
      </c>
      <c r="W1732" s="1" t="str">
        <f t="shared" si="212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customHeight="1" x14ac:dyDescent="0.3">
      <c r="A1733" s="2"/>
      <c r="B1733" s="65" t="str">
        <f t="shared" si="213"/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 t="shared" si="214"/>
        <v/>
      </c>
      <c r="N1733" s="74" t="str">
        <f t="shared" si="215"/>
        <v/>
      </c>
      <c r="O1733" s="73" t="str">
        <f t="shared" si="216"/>
        <v/>
      </c>
      <c r="P1733" s="65" t="str">
        <f t="shared" ca="1" si="217"/>
        <v/>
      </c>
      <c r="Q1733" s="2"/>
      <c r="R1733" s="2"/>
      <c r="S1733" s="1" t="str">
        <f t="shared" ref="S1733:S1796" si="218"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ref="V1733:V1796" si="219">IF($T1733="",0,1)</f>
        <v>0</v>
      </c>
      <c r="W1733" s="1" t="str">
        <f t="shared" ref="W1733:W1796" si="220">IF($C1733="","",$D1733&amp;"|"&amp;$E1733&amp;"|"&amp;TEXT($C1733,"0")&amp;"|"&amp;TEXT($G1733,"0")&amp;"|"&amp;$F1733&amp;"|"&amp;$J1733)</f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customHeight="1" x14ac:dyDescent="0.3">
      <c r="A1734" s="2"/>
      <c r="B1734" s="65" t="str">
        <f t="shared" si="213"/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 t="shared" si="214"/>
        <v/>
      </c>
      <c r="N1734" s="74" t="str">
        <f t="shared" si="215"/>
        <v/>
      </c>
      <c r="O1734" s="73" t="str">
        <f t="shared" si="216"/>
        <v/>
      </c>
      <c r="P1734" s="65" t="str">
        <f t="shared" ca="1" si="217"/>
        <v/>
      </c>
      <c r="Q1734" s="2"/>
      <c r="R1734" s="2"/>
      <c r="S1734" s="1" t="str">
        <f t="shared" si="218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219"/>
        <v>0</v>
      </c>
      <c r="W1734" s="1" t="str">
        <f t="shared" si="220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customHeight="1" x14ac:dyDescent="0.3">
      <c r="A1735" s="2"/>
      <c r="B1735" s="65" t="str">
        <f t="shared" ref="B1735:B1798" si="221"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 t="shared" ref="M1735:M1798" si="222">IF($C1735="","",IF($D1735="Gider",$E1735,IF($L1735&lt;&gt;"",$L1735,$H1735)))</f>
        <v/>
      </c>
      <c r="N1735" s="74" t="str">
        <f t="shared" ref="N1735:N1798" si="223">IF($C1735="","",IF($D1735="Gider",$H1735,$E1735))</f>
        <v/>
      </c>
      <c r="O1735" s="73" t="str">
        <f t="shared" ref="O1735:O1798" si="224">IF($C1735="","",DATE(YEAR($C1735),MONTH($C1735),1))</f>
        <v/>
      </c>
      <c r="P1735" s="65" t="str">
        <f t="shared" ref="P1735:P1798" ca="1" si="225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TARİH",IF(COUNTIF($W$7:$W$3001,$W1735)&gt;1,"MÜKERRER?",IF($AD1735&gt;0,"KAPALI DÖNEM",IF($I1735="Hayır","ÖDENECEK","UYGUN")))),"EKSİK"))))</f>
        <v/>
      </c>
      <c r="Q1735" s="2"/>
      <c r="R1735" s="2"/>
      <c r="S1735" s="1" t="str">
        <f t="shared" si="218"/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si="219"/>
        <v>0</v>
      </c>
      <c r="W1735" s="1" t="str">
        <f t="shared" si="220"/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customHeight="1" x14ac:dyDescent="0.3">
      <c r="A1736" s="2"/>
      <c r="B1736" s="65" t="str">
        <f t="shared" si="221"/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 t="shared" si="222"/>
        <v/>
      </c>
      <c r="N1736" s="74" t="str">
        <f t="shared" si="223"/>
        <v/>
      </c>
      <c r="O1736" s="73" t="str">
        <f t="shared" si="224"/>
        <v/>
      </c>
      <c r="P1736" s="65" t="str">
        <f t="shared" ca="1" si="225"/>
        <v/>
      </c>
      <c r="Q1736" s="2"/>
      <c r="R1736" s="2"/>
      <c r="S1736" s="1" t="str">
        <f t="shared" si="218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219"/>
        <v>0</v>
      </c>
      <c r="W1736" s="1" t="str">
        <f t="shared" si="220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customHeight="1" x14ac:dyDescent="0.3">
      <c r="A1737" s="2"/>
      <c r="B1737" s="65" t="str">
        <f t="shared" si="221"/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 t="shared" si="222"/>
        <v/>
      </c>
      <c r="N1737" s="74" t="str">
        <f t="shared" si="223"/>
        <v/>
      </c>
      <c r="O1737" s="73" t="str">
        <f t="shared" si="224"/>
        <v/>
      </c>
      <c r="P1737" s="65" t="str">
        <f t="shared" ca="1" si="225"/>
        <v/>
      </c>
      <c r="Q1737" s="2"/>
      <c r="R1737" s="2"/>
      <c r="S1737" s="1" t="str">
        <f t="shared" si="218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219"/>
        <v>0</v>
      </c>
      <c r="W1737" s="1" t="str">
        <f t="shared" si="220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customHeight="1" x14ac:dyDescent="0.3">
      <c r="A1738" s="2"/>
      <c r="B1738" s="65" t="str">
        <f t="shared" si="221"/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 t="shared" si="222"/>
        <v/>
      </c>
      <c r="N1738" s="74" t="str">
        <f t="shared" si="223"/>
        <v/>
      </c>
      <c r="O1738" s="73" t="str">
        <f t="shared" si="224"/>
        <v/>
      </c>
      <c r="P1738" s="65" t="str">
        <f t="shared" ca="1" si="225"/>
        <v/>
      </c>
      <c r="Q1738" s="2"/>
      <c r="R1738" s="2"/>
      <c r="S1738" s="1" t="str">
        <f t="shared" si="218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219"/>
        <v>0</v>
      </c>
      <c r="W1738" s="1" t="str">
        <f t="shared" si="220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customHeight="1" x14ac:dyDescent="0.3">
      <c r="A1739" s="2"/>
      <c r="B1739" s="65" t="str">
        <f t="shared" si="221"/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 t="shared" si="222"/>
        <v/>
      </c>
      <c r="N1739" s="74" t="str">
        <f t="shared" si="223"/>
        <v/>
      </c>
      <c r="O1739" s="73" t="str">
        <f t="shared" si="224"/>
        <v/>
      </c>
      <c r="P1739" s="65" t="str">
        <f t="shared" ca="1" si="225"/>
        <v/>
      </c>
      <c r="Q1739" s="2"/>
      <c r="R1739" s="2"/>
      <c r="S1739" s="1" t="str">
        <f t="shared" si="218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219"/>
        <v>0</v>
      </c>
      <c r="W1739" s="1" t="str">
        <f t="shared" si="220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customHeight="1" x14ac:dyDescent="0.3">
      <c r="A1740" s="2"/>
      <c r="B1740" s="65" t="str">
        <f t="shared" si="221"/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 t="shared" si="222"/>
        <v/>
      </c>
      <c r="N1740" s="74" t="str">
        <f t="shared" si="223"/>
        <v/>
      </c>
      <c r="O1740" s="73" t="str">
        <f t="shared" si="224"/>
        <v/>
      </c>
      <c r="P1740" s="65" t="str">
        <f t="shared" ca="1" si="225"/>
        <v/>
      </c>
      <c r="Q1740" s="2"/>
      <c r="R1740" s="2"/>
      <c r="S1740" s="1" t="str">
        <f t="shared" si="218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219"/>
        <v>0</v>
      </c>
      <c r="W1740" s="1" t="str">
        <f t="shared" si="220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customHeight="1" x14ac:dyDescent="0.3">
      <c r="A1741" s="2"/>
      <c r="B1741" s="65" t="str">
        <f t="shared" si="221"/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 t="shared" si="222"/>
        <v/>
      </c>
      <c r="N1741" s="74" t="str">
        <f t="shared" si="223"/>
        <v/>
      </c>
      <c r="O1741" s="73" t="str">
        <f t="shared" si="224"/>
        <v/>
      </c>
      <c r="P1741" s="65" t="str">
        <f t="shared" ca="1" si="225"/>
        <v/>
      </c>
      <c r="Q1741" s="2"/>
      <c r="R1741" s="2"/>
      <c r="S1741" s="1" t="str">
        <f t="shared" si="218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219"/>
        <v>0</v>
      </c>
      <c r="W1741" s="1" t="str">
        <f t="shared" si="220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customHeight="1" x14ac:dyDescent="0.3">
      <c r="A1742" s="2"/>
      <c r="B1742" s="65" t="str">
        <f t="shared" si="221"/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 t="shared" si="222"/>
        <v/>
      </c>
      <c r="N1742" s="74" t="str">
        <f t="shared" si="223"/>
        <v/>
      </c>
      <c r="O1742" s="73" t="str">
        <f t="shared" si="224"/>
        <v/>
      </c>
      <c r="P1742" s="65" t="str">
        <f t="shared" ca="1" si="225"/>
        <v/>
      </c>
      <c r="Q1742" s="2"/>
      <c r="R1742" s="2"/>
      <c r="S1742" s="1" t="str">
        <f t="shared" si="218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219"/>
        <v>0</v>
      </c>
      <c r="W1742" s="1" t="str">
        <f t="shared" si="220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customHeight="1" x14ac:dyDescent="0.3">
      <c r="A1743" s="2"/>
      <c r="B1743" s="65" t="str">
        <f t="shared" si="221"/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 t="shared" si="222"/>
        <v/>
      </c>
      <c r="N1743" s="74" t="str">
        <f t="shared" si="223"/>
        <v/>
      </c>
      <c r="O1743" s="73" t="str">
        <f t="shared" si="224"/>
        <v/>
      </c>
      <c r="P1743" s="65" t="str">
        <f t="shared" ca="1" si="225"/>
        <v/>
      </c>
      <c r="Q1743" s="2"/>
      <c r="R1743" s="2"/>
      <c r="S1743" s="1" t="str">
        <f t="shared" si="218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219"/>
        <v>0</v>
      </c>
      <c r="W1743" s="1" t="str">
        <f t="shared" si="220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customHeight="1" x14ac:dyDescent="0.3">
      <c r="A1744" s="2"/>
      <c r="B1744" s="65" t="str">
        <f t="shared" si="221"/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 t="shared" si="222"/>
        <v/>
      </c>
      <c r="N1744" s="74" t="str">
        <f t="shared" si="223"/>
        <v/>
      </c>
      <c r="O1744" s="73" t="str">
        <f t="shared" si="224"/>
        <v/>
      </c>
      <c r="P1744" s="65" t="str">
        <f t="shared" ca="1" si="225"/>
        <v/>
      </c>
      <c r="Q1744" s="2"/>
      <c r="R1744" s="2"/>
      <c r="S1744" s="1" t="str">
        <f t="shared" si="218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219"/>
        <v>0</v>
      </c>
      <c r="W1744" s="1" t="str">
        <f t="shared" si="220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customHeight="1" x14ac:dyDescent="0.3">
      <c r="A1745" s="2"/>
      <c r="B1745" s="65" t="str">
        <f t="shared" si="221"/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 t="shared" si="222"/>
        <v/>
      </c>
      <c r="N1745" s="74" t="str">
        <f t="shared" si="223"/>
        <v/>
      </c>
      <c r="O1745" s="73" t="str">
        <f t="shared" si="224"/>
        <v/>
      </c>
      <c r="P1745" s="65" t="str">
        <f t="shared" ca="1" si="225"/>
        <v/>
      </c>
      <c r="Q1745" s="2"/>
      <c r="R1745" s="2"/>
      <c r="S1745" s="1" t="str">
        <f t="shared" si="218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219"/>
        <v>0</v>
      </c>
      <c r="W1745" s="1" t="str">
        <f t="shared" si="220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customHeight="1" x14ac:dyDescent="0.3">
      <c r="A1746" s="2"/>
      <c r="B1746" s="65" t="str">
        <f t="shared" si="221"/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 t="shared" si="222"/>
        <v/>
      </c>
      <c r="N1746" s="74" t="str">
        <f t="shared" si="223"/>
        <v/>
      </c>
      <c r="O1746" s="73" t="str">
        <f t="shared" si="224"/>
        <v/>
      </c>
      <c r="P1746" s="65" t="str">
        <f t="shared" ca="1" si="225"/>
        <v/>
      </c>
      <c r="Q1746" s="2"/>
      <c r="R1746" s="2"/>
      <c r="S1746" s="1" t="str">
        <f t="shared" si="218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219"/>
        <v>0</v>
      </c>
      <c r="W1746" s="1" t="str">
        <f t="shared" si="220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customHeight="1" x14ac:dyDescent="0.3">
      <c r="A1747" s="2"/>
      <c r="B1747" s="65" t="str">
        <f t="shared" si="221"/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 t="shared" si="222"/>
        <v/>
      </c>
      <c r="N1747" s="74" t="str">
        <f t="shared" si="223"/>
        <v/>
      </c>
      <c r="O1747" s="73" t="str">
        <f t="shared" si="224"/>
        <v/>
      </c>
      <c r="P1747" s="65" t="str">
        <f t="shared" ca="1" si="225"/>
        <v/>
      </c>
      <c r="Q1747" s="2"/>
      <c r="R1747" s="2"/>
      <c r="S1747" s="1" t="str">
        <f t="shared" si="218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219"/>
        <v>0</v>
      </c>
      <c r="W1747" s="1" t="str">
        <f t="shared" si="220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customHeight="1" x14ac:dyDescent="0.3">
      <c r="A1748" s="2"/>
      <c r="B1748" s="65" t="str">
        <f t="shared" si="221"/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 t="shared" si="222"/>
        <v/>
      </c>
      <c r="N1748" s="74" t="str">
        <f t="shared" si="223"/>
        <v/>
      </c>
      <c r="O1748" s="73" t="str">
        <f t="shared" si="224"/>
        <v/>
      </c>
      <c r="P1748" s="65" t="str">
        <f t="shared" ca="1" si="225"/>
        <v/>
      </c>
      <c r="Q1748" s="2"/>
      <c r="R1748" s="2"/>
      <c r="S1748" s="1" t="str">
        <f t="shared" si="218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219"/>
        <v>0</v>
      </c>
      <c r="W1748" s="1" t="str">
        <f t="shared" si="220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customHeight="1" x14ac:dyDescent="0.3">
      <c r="A1749" s="2"/>
      <c r="B1749" s="65" t="str">
        <f t="shared" si="221"/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 t="shared" si="222"/>
        <v/>
      </c>
      <c r="N1749" s="74" t="str">
        <f t="shared" si="223"/>
        <v/>
      </c>
      <c r="O1749" s="73" t="str">
        <f t="shared" si="224"/>
        <v/>
      </c>
      <c r="P1749" s="65" t="str">
        <f t="shared" ca="1" si="225"/>
        <v/>
      </c>
      <c r="Q1749" s="2"/>
      <c r="R1749" s="2"/>
      <c r="S1749" s="1" t="str">
        <f t="shared" si="218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219"/>
        <v>0</v>
      </c>
      <c r="W1749" s="1" t="str">
        <f t="shared" si="220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customHeight="1" x14ac:dyDescent="0.3">
      <c r="A1750" s="2"/>
      <c r="B1750" s="65" t="str">
        <f t="shared" si="221"/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 t="shared" si="222"/>
        <v/>
      </c>
      <c r="N1750" s="74" t="str">
        <f t="shared" si="223"/>
        <v/>
      </c>
      <c r="O1750" s="73" t="str">
        <f t="shared" si="224"/>
        <v/>
      </c>
      <c r="P1750" s="65" t="str">
        <f t="shared" ca="1" si="225"/>
        <v/>
      </c>
      <c r="Q1750" s="2"/>
      <c r="R1750" s="2"/>
      <c r="S1750" s="1" t="str">
        <f t="shared" si="218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219"/>
        <v>0</v>
      </c>
      <c r="W1750" s="1" t="str">
        <f t="shared" si="220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customHeight="1" x14ac:dyDescent="0.3">
      <c r="A1751" s="2"/>
      <c r="B1751" s="65" t="str">
        <f t="shared" si="221"/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 t="shared" si="222"/>
        <v/>
      </c>
      <c r="N1751" s="74" t="str">
        <f t="shared" si="223"/>
        <v/>
      </c>
      <c r="O1751" s="73" t="str">
        <f t="shared" si="224"/>
        <v/>
      </c>
      <c r="P1751" s="65" t="str">
        <f t="shared" ca="1" si="225"/>
        <v/>
      </c>
      <c r="Q1751" s="2"/>
      <c r="R1751" s="2"/>
      <c r="S1751" s="1" t="str">
        <f t="shared" si="218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219"/>
        <v>0</v>
      </c>
      <c r="W1751" s="1" t="str">
        <f t="shared" si="220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customHeight="1" x14ac:dyDescent="0.3">
      <c r="A1752" s="2"/>
      <c r="B1752" s="65" t="str">
        <f t="shared" si="221"/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 t="shared" si="222"/>
        <v/>
      </c>
      <c r="N1752" s="74" t="str">
        <f t="shared" si="223"/>
        <v/>
      </c>
      <c r="O1752" s="73" t="str">
        <f t="shared" si="224"/>
        <v/>
      </c>
      <c r="P1752" s="65" t="str">
        <f t="shared" ca="1" si="225"/>
        <v/>
      </c>
      <c r="Q1752" s="2"/>
      <c r="R1752" s="2"/>
      <c r="S1752" s="1" t="str">
        <f t="shared" si="218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219"/>
        <v>0</v>
      </c>
      <c r="W1752" s="1" t="str">
        <f t="shared" si="220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customHeight="1" x14ac:dyDescent="0.3">
      <c r="A1753" s="2"/>
      <c r="B1753" s="65" t="str">
        <f t="shared" si="221"/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 t="shared" si="222"/>
        <v/>
      </c>
      <c r="N1753" s="74" t="str">
        <f t="shared" si="223"/>
        <v/>
      </c>
      <c r="O1753" s="73" t="str">
        <f t="shared" si="224"/>
        <v/>
      </c>
      <c r="P1753" s="65" t="str">
        <f t="shared" ca="1" si="225"/>
        <v/>
      </c>
      <c r="Q1753" s="2"/>
      <c r="R1753" s="2"/>
      <c r="S1753" s="1" t="str">
        <f t="shared" si="218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219"/>
        <v>0</v>
      </c>
      <c r="W1753" s="1" t="str">
        <f t="shared" si="220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customHeight="1" x14ac:dyDescent="0.3">
      <c r="A1754" s="2"/>
      <c r="B1754" s="65" t="str">
        <f t="shared" si="221"/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 t="shared" si="222"/>
        <v/>
      </c>
      <c r="N1754" s="74" t="str">
        <f t="shared" si="223"/>
        <v/>
      </c>
      <c r="O1754" s="73" t="str">
        <f t="shared" si="224"/>
        <v/>
      </c>
      <c r="P1754" s="65" t="str">
        <f t="shared" ca="1" si="225"/>
        <v/>
      </c>
      <c r="Q1754" s="2"/>
      <c r="R1754" s="2"/>
      <c r="S1754" s="1" t="str">
        <f t="shared" si="218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219"/>
        <v>0</v>
      </c>
      <c r="W1754" s="1" t="str">
        <f t="shared" si="220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customHeight="1" x14ac:dyDescent="0.3">
      <c r="A1755" s="2"/>
      <c r="B1755" s="65" t="str">
        <f t="shared" si="221"/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 t="shared" si="222"/>
        <v/>
      </c>
      <c r="N1755" s="74" t="str">
        <f t="shared" si="223"/>
        <v/>
      </c>
      <c r="O1755" s="73" t="str">
        <f t="shared" si="224"/>
        <v/>
      </c>
      <c r="P1755" s="65" t="str">
        <f t="shared" ca="1" si="225"/>
        <v/>
      </c>
      <c r="Q1755" s="2"/>
      <c r="R1755" s="2"/>
      <c r="S1755" s="1" t="str">
        <f t="shared" si="218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219"/>
        <v>0</v>
      </c>
      <c r="W1755" s="1" t="str">
        <f t="shared" si="220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customHeight="1" x14ac:dyDescent="0.3">
      <c r="A1756" s="2"/>
      <c r="B1756" s="65" t="str">
        <f t="shared" si="221"/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 t="shared" si="222"/>
        <v/>
      </c>
      <c r="N1756" s="74" t="str">
        <f t="shared" si="223"/>
        <v/>
      </c>
      <c r="O1756" s="73" t="str">
        <f t="shared" si="224"/>
        <v/>
      </c>
      <c r="P1756" s="65" t="str">
        <f t="shared" ca="1" si="225"/>
        <v/>
      </c>
      <c r="Q1756" s="2"/>
      <c r="R1756" s="2"/>
      <c r="S1756" s="1" t="str">
        <f t="shared" si="218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219"/>
        <v>0</v>
      </c>
      <c r="W1756" s="1" t="str">
        <f t="shared" si="220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customHeight="1" x14ac:dyDescent="0.3">
      <c r="A1757" s="2"/>
      <c r="B1757" s="65" t="str">
        <f t="shared" si="221"/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 t="shared" si="222"/>
        <v/>
      </c>
      <c r="N1757" s="74" t="str">
        <f t="shared" si="223"/>
        <v/>
      </c>
      <c r="O1757" s="73" t="str">
        <f t="shared" si="224"/>
        <v/>
      </c>
      <c r="P1757" s="65" t="str">
        <f t="shared" ca="1" si="225"/>
        <v/>
      </c>
      <c r="Q1757" s="2"/>
      <c r="R1757" s="2"/>
      <c r="S1757" s="1" t="str">
        <f t="shared" si="218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219"/>
        <v>0</v>
      </c>
      <c r="W1757" s="1" t="str">
        <f t="shared" si="220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customHeight="1" x14ac:dyDescent="0.3">
      <c r="A1758" s="2"/>
      <c r="B1758" s="65" t="str">
        <f t="shared" si="221"/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 t="shared" si="222"/>
        <v/>
      </c>
      <c r="N1758" s="74" t="str">
        <f t="shared" si="223"/>
        <v/>
      </c>
      <c r="O1758" s="73" t="str">
        <f t="shared" si="224"/>
        <v/>
      </c>
      <c r="P1758" s="65" t="str">
        <f t="shared" ca="1" si="225"/>
        <v/>
      </c>
      <c r="Q1758" s="2"/>
      <c r="R1758" s="2"/>
      <c r="S1758" s="1" t="str">
        <f t="shared" si="218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219"/>
        <v>0</v>
      </c>
      <c r="W1758" s="1" t="str">
        <f t="shared" si="220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customHeight="1" x14ac:dyDescent="0.3">
      <c r="A1759" s="2"/>
      <c r="B1759" s="65" t="str">
        <f t="shared" si="221"/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 t="shared" si="222"/>
        <v/>
      </c>
      <c r="N1759" s="74" t="str">
        <f t="shared" si="223"/>
        <v/>
      </c>
      <c r="O1759" s="73" t="str">
        <f t="shared" si="224"/>
        <v/>
      </c>
      <c r="P1759" s="65" t="str">
        <f t="shared" ca="1" si="225"/>
        <v/>
      </c>
      <c r="Q1759" s="2"/>
      <c r="R1759" s="2"/>
      <c r="S1759" s="1" t="str">
        <f t="shared" si="218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219"/>
        <v>0</v>
      </c>
      <c r="W1759" s="1" t="str">
        <f t="shared" si="220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customHeight="1" x14ac:dyDescent="0.3">
      <c r="A1760" s="2"/>
      <c r="B1760" s="65" t="str">
        <f t="shared" si="221"/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 t="shared" si="222"/>
        <v/>
      </c>
      <c r="N1760" s="74" t="str">
        <f t="shared" si="223"/>
        <v/>
      </c>
      <c r="O1760" s="73" t="str">
        <f t="shared" si="224"/>
        <v/>
      </c>
      <c r="P1760" s="65" t="str">
        <f t="shared" ca="1" si="225"/>
        <v/>
      </c>
      <c r="Q1760" s="2"/>
      <c r="R1760" s="2"/>
      <c r="S1760" s="1" t="str">
        <f t="shared" si="218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219"/>
        <v>0</v>
      </c>
      <c r="W1760" s="1" t="str">
        <f t="shared" si="220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customHeight="1" x14ac:dyDescent="0.3">
      <c r="A1761" s="2"/>
      <c r="B1761" s="65" t="str">
        <f t="shared" si="221"/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 t="shared" si="222"/>
        <v/>
      </c>
      <c r="N1761" s="74" t="str">
        <f t="shared" si="223"/>
        <v/>
      </c>
      <c r="O1761" s="73" t="str">
        <f t="shared" si="224"/>
        <v/>
      </c>
      <c r="P1761" s="65" t="str">
        <f t="shared" ca="1" si="225"/>
        <v/>
      </c>
      <c r="Q1761" s="2"/>
      <c r="R1761" s="2"/>
      <c r="S1761" s="1" t="str">
        <f t="shared" si="218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219"/>
        <v>0</v>
      </c>
      <c r="W1761" s="1" t="str">
        <f t="shared" si="220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customHeight="1" x14ac:dyDescent="0.3">
      <c r="A1762" s="2"/>
      <c r="B1762" s="65" t="str">
        <f t="shared" si="221"/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 t="shared" si="222"/>
        <v/>
      </c>
      <c r="N1762" s="74" t="str">
        <f t="shared" si="223"/>
        <v/>
      </c>
      <c r="O1762" s="73" t="str">
        <f t="shared" si="224"/>
        <v/>
      </c>
      <c r="P1762" s="65" t="str">
        <f t="shared" ca="1" si="225"/>
        <v/>
      </c>
      <c r="Q1762" s="2"/>
      <c r="R1762" s="2"/>
      <c r="S1762" s="1" t="str">
        <f t="shared" si="218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219"/>
        <v>0</v>
      </c>
      <c r="W1762" s="1" t="str">
        <f t="shared" si="220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customHeight="1" x14ac:dyDescent="0.3">
      <c r="A1763" s="2"/>
      <c r="B1763" s="65" t="str">
        <f t="shared" si="221"/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 t="shared" si="222"/>
        <v/>
      </c>
      <c r="N1763" s="74" t="str">
        <f t="shared" si="223"/>
        <v/>
      </c>
      <c r="O1763" s="73" t="str">
        <f t="shared" si="224"/>
        <v/>
      </c>
      <c r="P1763" s="65" t="str">
        <f t="shared" ca="1" si="225"/>
        <v/>
      </c>
      <c r="Q1763" s="2"/>
      <c r="R1763" s="2"/>
      <c r="S1763" s="1" t="str">
        <f t="shared" si="218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219"/>
        <v>0</v>
      </c>
      <c r="W1763" s="1" t="str">
        <f t="shared" si="220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customHeight="1" x14ac:dyDescent="0.3">
      <c r="A1764" s="2"/>
      <c r="B1764" s="65" t="str">
        <f t="shared" si="221"/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 t="shared" si="222"/>
        <v/>
      </c>
      <c r="N1764" s="74" t="str">
        <f t="shared" si="223"/>
        <v/>
      </c>
      <c r="O1764" s="73" t="str">
        <f t="shared" si="224"/>
        <v/>
      </c>
      <c r="P1764" s="65" t="str">
        <f t="shared" ca="1" si="225"/>
        <v/>
      </c>
      <c r="Q1764" s="2"/>
      <c r="R1764" s="2"/>
      <c r="S1764" s="1" t="str">
        <f t="shared" si="218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219"/>
        <v>0</v>
      </c>
      <c r="W1764" s="1" t="str">
        <f t="shared" si="220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customHeight="1" x14ac:dyDescent="0.3">
      <c r="A1765" s="2"/>
      <c r="B1765" s="65" t="str">
        <f t="shared" si="221"/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 t="shared" si="222"/>
        <v/>
      </c>
      <c r="N1765" s="74" t="str">
        <f t="shared" si="223"/>
        <v/>
      </c>
      <c r="O1765" s="73" t="str">
        <f t="shared" si="224"/>
        <v/>
      </c>
      <c r="P1765" s="65" t="str">
        <f t="shared" ca="1" si="225"/>
        <v/>
      </c>
      <c r="Q1765" s="2"/>
      <c r="R1765" s="2"/>
      <c r="S1765" s="1" t="str">
        <f t="shared" si="218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219"/>
        <v>0</v>
      </c>
      <c r="W1765" s="1" t="str">
        <f t="shared" si="220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customHeight="1" x14ac:dyDescent="0.3">
      <c r="A1766" s="2"/>
      <c r="B1766" s="65" t="str">
        <f t="shared" si="221"/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 t="shared" si="222"/>
        <v/>
      </c>
      <c r="N1766" s="74" t="str">
        <f t="shared" si="223"/>
        <v/>
      </c>
      <c r="O1766" s="73" t="str">
        <f t="shared" si="224"/>
        <v/>
      </c>
      <c r="P1766" s="65" t="str">
        <f t="shared" ca="1" si="225"/>
        <v/>
      </c>
      <c r="Q1766" s="2"/>
      <c r="R1766" s="2"/>
      <c r="S1766" s="1" t="str">
        <f t="shared" si="218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219"/>
        <v>0</v>
      </c>
      <c r="W1766" s="1" t="str">
        <f t="shared" si="220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customHeight="1" x14ac:dyDescent="0.3">
      <c r="A1767" s="2"/>
      <c r="B1767" s="65" t="str">
        <f t="shared" si="221"/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 t="shared" si="222"/>
        <v/>
      </c>
      <c r="N1767" s="74" t="str">
        <f t="shared" si="223"/>
        <v/>
      </c>
      <c r="O1767" s="73" t="str">
        <f t="shared" si="224"/>
        <v/>
      </c>
      <c r="P1767" s="65" t="str">
        <f t="shared" ca="1" si="225"/>
        <v/>
      </c>
      <c r="Q1767" s="2"/>
      <c r="R1767" s="2"/>
      <c r="S1767" s="1" t="str">
        <f t="shared" si="218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219"/>
        <v>0</v>
      </c>
      <c r="W1767" s="1" t="str">
        <f t="shared" si="220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customHeight="1" x14ac:dyDescent="0.3">
      <c r="A1768" s="2"/>
      <c r="B1768" s="65" t="str">
        <f t="shared" si="221"/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 t="shared" si="222"/>
        <v/>
      </c>
      <c r="N1768" s="74" t="str">
        <f t="shared" si="223"/>
        <v/>
      </c>
      <c r="O1768" s="73" t="str">
        <f t="shared" si="224"/>
        <v/>
      </c>
      <c r="P1768" s="65" t="str">
        <f t="shared" ca="1" si="225"/>
        <v/>
      </c>
      <c r="Q1768" s="2"/>
      <c r="R1768" s="2"/>
      <c r="S1768" s="1" t="str">
        <f t="shared" si="218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219"/>
        <v>0</v>
      </c>
      <c r="W1768" s="1" t="str">
        <f t="shared" si="220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customHeight="1" x14ac:dyDescent="0.3">
      <c r="A1769" s="2"/>
      <c r="B1769" s="65" t="str">
        <f t="shared" si="221"/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 t="shared" si="222"/>
        <v/>
      </c>
      <c r="N1769" s="74" t="str">
        <f t="shared" si="223"/>
        <v/>
      </c>
      <c r="O1769" s="73" t="str">
        <f t="shared" si="224"/>
        <v/>
      </c>
      <c r="P1769" s="65" t="str">
        <f t="shared" ca="1" si="225"/>
        <v/>
      </c>
      <c r="Q1769" s="2"/>
      <c r="R1769" s="2"/>
      <c r="S1769" s="1" t="str">
        <f t="shared" si="218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219"/>
        <v>0</v>
      </c>
      <c r="W1769" s="1" t="str">
        <f t="shared" si="220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customHeight="1" x14ac:dyDescent="0.3">
      <c r="A1770" s="2"/>
      <c r="B1770" s="65" t="str">
        <f t="shared" si="221"/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 t="shared" si="222"/>
        <v/>
      </c>
      <c r="N1770" s="74" t="str">
        <f t="shared" si="223"/>
        <v/>
      </c>
      <c r="O1770" s="73" t="str">
        <f t="shared" si="224"/>
        <v/>
      </c>
      <c r="P1770" s="65" t="str">
        <f t="shared" ca="1" si="225"/>
        <v/>
      </c>
      <c r="Q1770" s="2"/>
      <c r="R1770" s="2"/>
      <c r="S1770" s="1" t="str">
        <f t="shared" si="218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219"/>
        <v>0</v>
      </c>
      <c r="W1770" s="1" t="str">
        <f t="shared" si="220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customHeight="1" x14ac:dyDescent="0.3">
      <c r="A1771" s="2"/>
      <c r="B1771" s="65" t="str">
        <f t="shared" si="221"/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 t="shared" si="222"/>
        <v/>
      </c>
      <c r="N1771" s="74" t="str">
        <f t="shared" si="223"/>
        <v/>
      </c>
      <c r="O1771" s="73" t="str">
        <f t="shared" si="224"/>
        <v/>
      </c>
      <c r="P1771" s="65" t="str">
        <f t="shared" ca="1" si="225"/>
        <v/>
      </c>
      <c r="Q1771" s="2"/>
      <c r="R1771" s="2"/>
      <c r="S1771" s="1" t="str">
        <f t="shared" si="218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219"/>
        <v>0</v>
      </c>
      <c r="W1771" s="1" t="str">
        <f t="shared" si="220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customHeight="1" x14ac:dyDescent="0.3">
      <c r="A1772" s="2"/>
      <c r="B1772" s="65" t="str">
        <f t="shared" si="221"/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 t="shared" si="222"/>
        <v/>
      </c>
      <c r="N1772" s="74" t="str">
        <f t="shared" si="223"/>
        <v/>
      </c>
      <c r="O1772" s="73" t="str">
        <f t="shared" si="224"/>
        <v/>
      </c>
      <c r="P1772" s="65" t="str">
        <f t="shared" ca="1" si="225"/>
        <v/>
      </c>
      <c r="Q1772" s="2"/>
      <c r="R1772" s="2"/>
      <c r="S1772" s="1" t="str">
        <f t="shared" si="218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219"/>
        <v>0</v>
      </c>
      <c r="W1772" s="1" t="str">
        <f t="shared" si="220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customHeight="1" x14ac:dyDescent="0.3">
      <c r="A1773" s="2"/>
      <c r="B1773" s="65" t="str">
        <f t="shared" si="221"/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 t="shared" si="222"/>
        <v/>
      </c>
      <c r="N1773" s="74" t="str">
        <f t="shared" si="223"/>
        <v/>
      </c>
      <c r="O1773" s="73" t="str">
        <f t="shared" si="224"/>
        <v/>
      </c>
      <c r="P1773" s="65" t="str">
        <f t="shared" ca="1" si="225"/>
        <v/>
      </c>
      <c r="Q1773" s="2"/>
      <c r="R1773" s="2"/>
      <c r="S1773" s="1" t="str">
        <f t="shared" si="218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219"/>
        <v>0</v>
      </c>
      <c r="W1773" s="1" t="str">
        <f t="shared" si="220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customHeight="1" x14ac:dyDescent="0.3">
      <c r="A1774" s="2"/>
      <c r="B1774" s="65" t="str">
        <f t="shared" si="221"/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 t="shared" si="222"/>
        <v/>
      </c>
      <c r="N1774" s="74" t="str">
        <f t="shared" si="223"/>
        <v/>
      </c>
      <c r="O1774" s="73" t="str">
        <f t="shared" si="224"/>
        <v/>
      </c>
      <c r="P1774" s="65" t="str">
        <f t="shared" ca="1" si="225"/>
        <v/>
      </c>
      <c r="Q1774" s="2"/>
      <c r="R1774" s="2"/>
      <c r="S1774" s="1" t="str">
        <f t="shared" si="218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219"/>
        <v>0</v>
      </c>
      <c r="W1774" s="1" t="str">
        <f t="shared" si="220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customHeight="1" x14ac:dyDescent="0.3">
      <c r="A1775" s="2"/>
      <c r="B1775" s="65" t="str">
        <f t="shared" si="221"/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 t="shared" si="222"/>
        <v/>
      </c>
      <c r="N1775" s="74" t="str">
        <f t="shared" si="223"/>
        <v/>
      </c>
      <c r="O1775" s="73" t="str">
        <f t="shared" si="224"/>
        <v/>
      </c>
      <c r="P1775" s="65" t="str">
        <f t="shared" ca="1" si="225"/>
        <v/>
      </c>
      <c r="Q1775" s="2"/>
      <c r="R1775" s="2"/>
      <c r="S1775" s="1" t="str">
        <f t="shared" si="218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219"/>
        <v>0</v>
      </c>
      <c r="W1775" s="1" t="str">
        <f t="shared" si="220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customHeight="1" x14ac:dyDescent="0.3">
      <c r="A1776" s="2"/>
      <c r="B1776" s="65" t="str">
        <f t="shared" si="221"/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 t="shared" si="222"/>
        <v/>
      </c>
      <c r="N1776" s="74" t="str">
        <f t="shared" si="223"/>
        <v/>
      </c>
      <c r="O1776" s="73" t="str">
        <f t="shared" si="224"/>
        <v/>
      </c>
      <c r="P1776" s="65" t="str">
        <f t="shared" ca="1" si="225"/>
        <v/>
      </c>
      <c r="Q1776" s="2"/>
      <c r="R1776" s="2"/>
      <c r="S1776" s="1" t="str">
        <f t="shared" si="218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219"/>
        <v>0</v>
      </c>
      <c r="W1776" s="1" t="str">
        <f t="shared" si="220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customHeight="1" x14ac:dyDescent="0.3">
      <c r="A1777" s="2"/>
      <c r="B1777" s="65" t="str">
        <f t="shared" si="221"/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 t="shared" si="222"/>
        <v/>
      </c>
      <c r="N1777" s="74" t="str">
        <f t="shared" si="223"/>
        <v/>
      </c>
      <c r="O1777" s="73" t="str">
        <f t="shared" si="224"/>
        <v/>
      </c>
      <c r="P1777" s="65" t="str">
        <f t="shared" ca="1" si="225"/>
        <v/>
      </c>
      <c r="Q1777" s="2"/>
      <c r="R1777" s="2"/>
      <c r="S1777" s="1" t="str">
        <f t="shared" si="218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219"/>
        <v>0</v>
      </c>
      <c r="W1777" s="1" t="str">
        <f t="shared" si="220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customHeight="1" x14ac:dyDescent="0.3">
      <c r="A1778" s="2"/>
      <c r="B1778" s="65" t="str">
        <f t="shared" si="221"/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 t="shared" si="222"/>
        <v/>
      </c>
      <c r="N1778" s="74" t="str">
        <f t="shared" si="223"/>
        <v/>
      </c>
      <c r="O1778" s="73" t="str">
        <f t="shared" si="224"/>
        <v/>
      </c>
      <c r="P1778" s="65" t="str">
        <f t="shared" ca="1" si="225"/>
        <v/>
      </c>
      <c r="Q1778" s="2"/>
      <c r="R1778" s="2"/>
      <c r="S1778" s="1" t="str">
        <f t="shared" si="218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219"/>
        <v>0</v>
      </c>
      <c r="W1778" s="1" t="str">
        <f t="shared" si="220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customHeight="1" x14ac:dyDescent="0.3">
      <c r="A1779" s="2"/>
      <c r="B1779" s="65" t="str">
        <f t="shared" si="221"/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 t="shared" si="222"/>
        <v/>
      </c>
      <c r="N1779" s="74" t="str">
        <f t="shared" si="223"/>
        <v/>
      </c>
      <c r="O1779" s="73" t="str">
        <f t="shared" si="224"/>
        <v/>
      </c>
      <c r="P1779" s="65" t="str">
        <f t="shared" ca="1" si="225"/>
        <v/>
      </c>
      <c r="Q1779" s="2"/>
      <c r="R1779" s="2"/>
      <c r="S1779" s="1" t="str">
        <f t="shared" si="218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219"/>
        <v>0</v>
      </c>
      <c r="W1779" s="1" t="str">
        <f t="shared" si="220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customHeight="1" x14ac:dyDescent="0.3">
      <c r="A1780" s="2"/>
      <c r="B1780" s="65" t="str">
        <f t="shared" si="221"/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 t="shared" si="222"/>
        <v/>
      </c>
      <c r="N1780" s="74" t="str">
        <f t="shared" si="223"/>
        <v/>
      </c>
      <c r="O1780" s="73" t="str">
        <f t="shared" si="224"/>
        <v/>
      </c>
      <c r="P1780" s="65" t="str">
        <f t="shared" ca="1" si="225"/>
        <v/>
      </c>
      <c r="Q1780" s="2"/>
      <c r="R1780" s="2"/>
      <c r="S1780" s="1" t="str">
        <f t="shared" si="218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219"/>
        <v>0</v>
      </c>
      <c r="W1780" s="1" t="str">
        <f t="shared" si="220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customHeight="1" x14ac:dyDescent="0.3">
      <c r="A1781" s="2"/>
      <c r="B1781" s="65" t="str">
        <f t="shared" si="221"/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 t="shared" si="222"/>
        <v/>
      </c>
      <c r="N1781" s="74" t="str">
        <f t="shared" si="223"/>
        <v/>
      </c>
      <c r="O1781" s="73" t="str">
        <f t="shared" si="224"/>
        <v/>
      </c>
      <c r="P1781" s="65" t="str">
        <f t="shared" ca="1" si="225"/>
        <v/>
      </c>
      <c r="Q1781" s="2"/>
      <c r="R1781" s="2"/>
      <c r="S1781" s="1" t="str">
        <f t="shared" si="218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219"/>
        <v>0</v>
      </c>
      <c r="W1781" s="1" t="str">
        <f t="shared" si="220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customHeight="1" x14ac:dyDescent="0.3">
      <c r="A1782" s="2"/>
      <c r="B1782" s="65" t="str">
        <f t="shared" si="221"/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 t="shared" si="222"/>
        <v/>
      </c>
      <c r="N1782" s="74" t="str">
        <f t="shared" si="223"/>
        <v/>
      </c>
      <c r="O1782" s="73" t="str">
        <f t="shared" si="224"/>
        <v/>
      </c>
      <c r="P1782" s="65" t="str">
        <f t="shared" ca="1" si="225"/>
        <v/>
      </c>
      <c r="Q1782" s="2"/>
      <c r="R1782" s="2"/>
      <c r="S1782" s="1" t="str">
        <f t="shared" si="218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219"/>
        <v>0</v>
      </c>
      <c r="W1782" s="1" t="str">
        <f t="shared" si="220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customHeight="1" x14ac:dyDescent="0.3">
      <c r="A1783" s="2"/>
      <c r="B1783" s="65" t="str">
        <f t="shared" si="221"/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 t="shared" si="222"/>
        <v/>
      </c>
      <c r="N1783" s="74" t="str">
        <f t="shared" si="223"/>
        <v/>
      </c>
      <c r="O1783" s="73" t="str">
        <f t="shared" si="224"/>
        <v/>
      </c>
      <c r="P1783" s="65" t="str">
        <f t="shared" ca="1" si="225"/>
        <v/>
      </c>
      <c r="Q1783" s="2"/>
      <c r="R1783" s="2"/>
      <c r="S1783" s="1" t="str">
        <f t="shared" si="218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219"/>
        <v>0</v>
      </c>
      <c r="W1783" s="1" t="str">
        <f t="shared" si="220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customHeight="1" x14ac:dyDescent="0.3">
      <c r="A1784" s="2"/>
      <c r="B1784" s="65" t="str">
        <f t="shared" si="221"/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 t="shared" si="222"/>
        <v/>
      </c>
      <c r="N1784" s="74" t="str">
        <f t="shared" si="223"/>
        <v/>
      </c>
      <c r="O1784" s="73" t="str">
        <f t="shared" si="224"/>
        <v/>
      </c>
      <c r="P1784" s="65" t="str">
        <f t="shared" ca="1" si="225"/>
        <v/>
      </c>
      <c r="Q1784" s="2"/>
      <c r="R1784" s="2"/>
      <c r="S1784" s="1" t="str">
        <f t="shared" si="218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219"/>
        <v>0</v>
      </c>
      <c r="W1784" s="1" t="str">
        <f t="shared" si="220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customHeight="1" x14ac:dyDescent="0.3">
      <c r="A1785" s="2"/>
      <c r="B1785" s="65" t="str">
        <f t="shared" si="221"/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 t="shared" si="222"/>
        <v/>
      </c>
      <c r="N1785" s="74" t="str">
        <f t="shared" si="223"/>
        <v/>
      </c>
      <c r="O1785" s="73" t="str">
        <f t="shared" si="224"/>
        <v/>
      </c>
      <c r="P1785" s="65" t="str">
        <f t="shared" ca="1" si="225"/>
        <v/>
      </c>
      <c r="Q1785" s="2"/>
      <c r="R1785" s="2"/>
      <c r="S1785" s="1" t="str">
        <f t="shared" si="218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219"/>
        <v>0</v>
      </c>
      <c r="W1785" s="1" t="str">
        <f t="shared" si="220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customHeight="1" x14ac:dyDescent="0.3">
      <c r="A1786" s="2"/>
      <c r="B1786" s="65" t="str">
        <f t="shared" si="221"/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 t="shared" si="222"/>
        <v/>
      </c>
      <c r="N1786" s="74" t="str">
        <f t="shared" si="223"/>
        <v/>
      </c>
      <c r="O1786" s="73" t="str">
        <f t="shared" si="224"/>
        <v/>
      </c>
      <c r="P1786" s="65" t="str">
        <f t="shared" ca="1" si="225"/>
        <v/>
      </c>
      <c r="Q1786" s="2"/>
      <c r="R1786" s="2"/>
      <c r="S1786" s="1" t="str">
        <f t="shared" si="218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219"/>
        <v>0</v>
      </c>
      <c r="W1786" s="1" t="str">
        <f t="shared" si="220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customHeight="1" x14ac:dyDescent="0.3">
      <c r="A1787" s="2"/>
      <c r="B1787" s="65" t="str">
        <f t="shared" si="221"/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 t="shared" si="222"/>
        <v/>
      </c>
      <c r="N1787" s="74" t="str">
        <f t="shared" si="223"/>
        <v/>
      </c>
      <c r="O1787" s="73" t="str">
        <f t="shared" si="224"/>
        <v/>
      </c>
      <c r="P1787" s="65" t="str">
        <f t="shared" ca="1" si="225"/>
        <v/>
      </c>
      <c r="Q1787" s="2"/>
      <c r="R1787" s="2"/>
      <c r="S1787" s="1" t="str">
        <f t="shared" si="218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219"/>
        <v>0</v>
      </c>
      <c r="W1787" s="1" t="str">
        <f t="shared" si="220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customHeight="1" x14ac:dyDescent="0.3">
      <c r="A1788" s="2"/>
      <c r="B1788" s="65" t="str">
        <f t="shared" si="221"/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 t="shared" si="222"/>
        <v/>
      </c>
      <c r="N1788" s="74" t="str">
        <f t="shared" si="223"/>
        <v/>
      </c>
      <c r="O1788" s="73" t="str">
        <f t="shared" si="224"/>
        <v/>
      </c>
      <c r="P1788" s="65" t="str">
        <f t="shared" ca="1" si="225"/>
        <v/>
      </c>
      <c r="Q1788" s="2"/>
      <c r="R1788" s="2"/>
      <c r="S1788" s="1" t="str">
        <f t="shared" si="218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219"/>
        <v>0</v>
      </c>
      <c r="W1788" s="1" t="str">
        <f t="shared" si="220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customHeight="1" x14ac:dyDescent="0.3">
      <c r="A1789" s="2"/>
      <c r="B1789" s="65" t="str">
        <f t="shared" si="221"/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 t="shared" si="222"/>
        <v/>
      </c>
      <c r="N1789" s="74" t="str">
        <f t="shared" si="223"/>
        <v/>
      </c>
      <c r="O1789" s="73" t="str">
        <f t="shared" si="224"/>
        <v/>
      </c>
      <c r="P1789" s="65" t="str">
        <f t="shared" ca="1" si="225"/>
        <v/>
      </c>
      <c r="Q1789" s="2"/>
      <c r="R1789" s="2"/>
      <c r="S1789" s="1" t="str">
        <f t="shared" si="218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219"/>
        <v>0</v>
      </c>
      <c r="W1789" s="1" t="str">
        <f t="shared" si="220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customHeight="1" x14ac:dyDescent="0.3">
      <c r="A1790" s="2"/>
      <c r="B1790" s="65" t="str">
        <f t="shared" si="221"/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 t="shared" si="222"/>
        <v/>
      </c>
      <c r="N1790" s="74" t="str">
        <f t="shared" si="223"/>
        <v/>
      </c>
      <c r="O1790" s="73" t="str">
        <f t="shared" si="224"/>
        <v/>
      </c>
      <c r="P1790" s="65" t="str">
        <f t="shared" ca="1" si="225"/>
        <v/>
      </c>
      <c r="Q1790" s="2"/>
      <c r="R1790" s="2"/>
      <c r="S1790" s="1" t="str">
        <f t="shared" si="218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219"/>
        <v>0</v>
      </c>
      <c r="W1790" s="1" t="str">
        <f t="shared" si="220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customHeight="1" x14ac:dyDescent="0.3">
      <c r="A1791" s="2"/>
      <c r="B1791" s="65" t="str">
        <f t="shared" si="221"/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 t="shared" si="222"/>
        <v/>
      </c>
      <c r="N1791" s="74" t="str">
        <f t="shared" si="223"/>
        <v/>
      </c>
      <c r="O1791" s="73" t="str">
        <f t="shared" si="224"/>
        <v/>
      </c>
      <c r="P1791" s="65" t="str">
        <f t="shared" ca="1" si="225"/>
        <v/>
      </c>
      <c r="Q1791" s="2"/>
      <c r="R1791" s="2"/>
      <c r="S1791" s="1" t="str">
        <f t="shared" si="218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219"/>
        <v>0</v>
      </c>
      <c r="W1791" s="1" t="str">
        <f t="shared" si="220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customHeight="1" x14ac:dyDescent="0.3">
      <c r="A1792" s="2"/>
      <c r="B1792" s="65" t="str">
        <f t="shared" si="221"/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 t="shared" si="222"/>
        <v/>
      </c>
      <c r="N1792" s="74" t="str">
        <f t="shared" si="223"/>
        <v/>
      </c>
      <c r="O1792" s="73" t="str">
        <f t="shared" si="224"/>
        <v/>
      </c>
      <c r="P1792" s="65" t="str">
        <f t="shared" ca="1" si="225"/>
        <v/>
      </c>
      <c r="Q1792" s="2"/>
      <c r="R1792" s="2"/>
      <c r="S1792" s="1" t="str">
        <f t="shared" si="218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219"/>
        <v>0</v>
      </c>
      <c r="W1792" s="1" t="str">
        <f t="shared" si="220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customHeight="1" x14ac:dyDescent="0.3">
      <c r="A1793" s="2"/>
      <c r="B1793" s="65" t="str">
        <f t="shared" si="221"/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 t="shared" si="222"/>
        <v/>
      </c>
      <c r="N1793" s="74" t="str">
        <f t="shared" si="223"/>
        <v/>
      </c>
      <c r="O1793" s="73" t="str">
        <f t="shared" si="224"/>
        <v/>
      </c>
      <c r="P1793" s="65" t="str">
        <f t="shared" ca="1" si="225"/>
        <v/>
      </c>
      <c r="Q1793" s="2"/>
      <c r="R1793" s="2"/>
      <c r="S1793" s="1" t="str">
        <f t="shared" si="218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219"/>
        <v>0</v>
      </c>
      <c r="W1793" s="1" t="str">
        <f t="shared" si="220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customHeight="1" x14ac:dyDescent="0.3">
      <c r="A1794" s="2"/>
      <c r="B1794" s="65" t="str">
        <f t="shared" si="221"/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 t="shared" si="222"/>
        <v/>
      </c>
      <c r="N1794" s="74" t="str">
        <f t="shared" si="223"/>
        <v/>
      </c>
      <c r="O1794" s="73" t="str">
        <f t="shared" si="224"/>
        <v/>
      </c>
      <c r="P1794" s="65" t="str">
        <f t="shared" ca="1" si="225"/>
        <v/>
      </c>
      <c r="Q1794" s="2"/>
      <c r="R1794" s="2"/>
      <c r="S1794" s="1" t="str">
        <f t="shared" si="218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219"/>
        <v>0</v>
      </c>
      <c r="W1794" s="1" t="str">
        <f t="shared" si="220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customHeight="1" x14ac:dyDescent="0.3">
      <c r="A1795" s="2"/>
      <c r="B1795" s="65" t="str">
        <f t="shared" si="221"/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 t="shared" si="222"/>
        <v/>
      </c>
      <c r="N1795" s="74" t="str">
        <f t="shared" si="223"/>
        <v/>
      </c>
      <c r="O1795" s="73" t="str">
        <f t="shared" si="224"/>
        <v/>
      </c>
      <c r="P1795" s="65" t="str">
        <f t="shared" ca="1" si="225"/>
        <v/>
      </c>
      <c r="Q1795" s="2"/>
      <c r="R1795" s="2"/>
      <c r="S1795" s="1" t="str">
        <f t="shared" si="218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219"/>
        <v>0</v>
      </c>
      <c r="W1795" s="1" t="str">
        <f t="shared" si="220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customHeight="1" x14ac:dyDescent="0.3">
      <c r="A1796" s="2"/>
      <c r="B1796" s="65" t="str">
        <f t="shared" si="221"/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 t="shared" si="222"/>
        <v/>
      </c>
      <c r="N1796" s="74" t="str">
        <f t="shared" si="223"/>
        <v/>
      </c>
      <c r="O1796" s="73" t="str">
        <f t="shared" si="224"/>
        <v/>
      </c>
      <c r="P1796" s="65" t="str">
        <f t="shared" ca="1" si="225"/>
        <v/>
      </c>
      <c r="Q1796" s="2"/>
      <c r="R1796" s="2"/>
      <c r="S1796" s="1" t="str">
        <f t="shared" si="218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219"/>
        <v>0</v>
      </c>
      <c r="W1796" s="1" t="str">
        <f t="shared" si="220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customHeight="1" x14ac:dyDescent="0.3">
      <c r="A1797" s="2"/>
      <c r="B1797" s="65" t="str">
        <f t="shared" si="221"/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 t="shared" si="222"/>
        <v/>
      </c>
      <c r="N1797" s="74" t="str">
        <f t="shared" si="223"/>
        <v/>
      </c>
      <c r="O1797" s="73" t="str">
        <f t="shared" si="224"/>
        <v/>
      </c>
      <c r="P1797" s="65" t="str">
        <f t="shared" ca="1" si="225"/>
        <v/>
      </c>
      <c r="Q1797" s="2"/>
      <c r="R1797" s="2"/>
      <c r="S1797" s="1" t="str">
        <f t="shared" ref="S1797:S1860" si="226"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ref="V1797:V1860" si="227">IF($T1797="",0,1)</f>
        <v>0</v>
      </c>
      <c r="W1797" s="1" t="str">
        <f t="shared" ref="W1797:W1860" si="228">IF($C1797="","",$D1797&amp;"|"&amp;$E1797&amp;"|"&amp;TEXT($C1797,"0")&amp;"|"&amp;TEXT($G1797,"0")&amp;"|"&amp;$F1797&amp;"|"&amp;$J1797)</f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customHeight="1" x14ac:dyDescent="0.3">
      <c r="A1798" s="2"/>
      <c r="B1798" s="65" t="str">
        <f t="shared" si="221"/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 t="shared" si="222"/>
        <v/>
      </c>
      <c r="N1798" s="74" t="str">
        <f t="shared" si="223"/>
        <v/>
      </c>
      <c r="O1798" s="73" t="str">
        <f t="shared" si="224"/>
        <v/>
      </c>
      <c r="P1798" s="65" t="str">
        <f t="shared" ca="1" si="225"/>
        <v/>
      </c>
      <c r="Q1798" s="2"/>
      <c r="R1798" s="2"/>
      <c r="S1798" s="1" t="str">
        <f t="shared" si="226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227"/>
        <v>0</v>
      </c>
      <c r="W1798" s="1" t="str">
        <f t="shared" si="228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customHeight="1" x14ac:dyDescent="0.3">
      <c r="A1799" s="2"/>
      <c r="B1799" s="65" t="str">
        <f t="shared" ref="B1799:B1862" si="229"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 t="shared" ref="M1799:M1862" si="230">IF($C1799="","",IF($D1799="Gider",$E1799,IF($L1799&lt;&gt;"",$L1799,$H1799)))</f>
        <v/>
      </c>
      <c r="N1799" s="74" t="str">
        <f t="shared" ref="N1799:N1862" si="231">IF($C1799="","",IF($D1799="Gider",$H1799,$E1799))</f>
        <v/>
      </c>
      <c r="O1799" s="73" t="str">
        <f t="shared" ref="O1799:O1862" si="232">IF($C1799="","",DATE(YEAR($C1799),MONTH($C1799),1))</f>
        <v/>
      </c>
      <c r="P1799" s="65" t="str">
        <f t="shared" ref="P1799:P1862" ca="1" si="233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TARİH",IF(COUNTIF($W$7:$W$3001,$W1799)&gt;1,"MÜKERRER?",IF($AD1799&gt;0,"KAPALI DÖNEM",IF($I1799="Hayır","ÖDENECEK","UYGUN")))),"EKSİK"))))</f>
        <v/>
      </c>
      <c r="Q1799" s="2"/>
      <c r="R1799" s="2"/>
      <c r="S1799" s="1" t="str">
        <f t="shared" si="226"/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si="227"/>
        <v>0</v>
      </c>
      <c r="W1799" s="1" t="str">
        <f t="shared" si="228"/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customHeight="1" x14ac:dyDescent="0.3">
      <c r="A1800" s="2"/>
      <c r="B1800" s="65" t="str">
        <f t="shared" si="229"/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 t="shared" si="230"/>
        <v/>
      </c>
      <c r="N1800" s="74" t="str">
        <f t="shared" si="231"/>
        <v/>
      </c>
      <c r="O1800" s="73" t="str">
        <f t="shared" si="232"/>
        <v/>
      </c>
      <c r="P1800" s="65" t="str">
        <f t="shared" ca="1" si="233"/>
        <v/>
      </c>
      <c r="Q1800" s="2"/>
      <c r="R1800" s="2"/>
      <c r="S1800" s="1" t="str">
        <f t="shared" si="226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227"/>
        <v>0</v>
      </c>
      <c r="W1800" s="1" t="str">
        <f t="shared" si="228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customHeight="1" x14ac:dyDescent="0.3">
      <c r="A1801" s="2"/>
      <c r="B1801" s="65" t="str">
        <f t="shared" si="229"/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 t="shared" si="230"/>
        <v/>
      </c>
      <c r="N1801" s="74" t="str">
        <f t="shared" si="231"/>
        <v/>
      </c>
      <c r="O1801" s="73" t="str">
        <f t="shared" si="232"/>
        <v/>
      </c>
      <c r="P1801" s="65" t="str">
        <f t="shared" ca="1" si="233"/>
        <v/>
      </c>
      <c r="Q1801" s="2"/>
      <c r="R1801" s="2"/>
      <c r="S1801" s="1" t="str">
        <f t="shared" si="226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227"/>
        <v>0</v>
      </c>
      <c r="W1801" s="1" t="str">
        <f t="shared" si="228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customHeight="1" x14ac:dyDescent="0.3">
      <c r="A1802" s="2"/>
      <c r="B1802" s="65" t="str">
        <f t="shared" si="229"/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 t="shared" si="230"/>
        <v/>
      </c>
      <c r="N1802" s="74" t="str">
        <f t="shared" si="231"/>
        <v/>
      </c>
      <c r="O1802" s="73" t="str">
        <f t="shared" si="232"/>
        <v/>
      </c>
      <c r="P1802" s="65" t="str">
        <f t="shared" ca="1" si="233"/>
        <v/>
      </c>
      <c r="Q1802" s="2"/>
      <c r="R1802" s="2"/>
      <c r="S1802" s="1" t="str">
        <f t="shared" si="226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227"/>
        <v>0</v>
      </c>
      <c r="W1802" s="1" t="str">
        <f t="shared" si="228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customHeight="1" x14ac:dyDescent="0.3">
      <c r="A1803" s="2"/>
      <c r="B1803" s="65" t="str">
        <f t="shared" si="229"/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 t="shared" si="230"/>
        <v/>
      </c>
      <c r="N1803" s="74" t="str">
        <f t="shared" si="231"/>
        <v/>
      </c>
      <c r="O1803" s="73" t="str">
        <f t="shared" si="232"/>
        <v/>
      </c>
      <c r="P1803" s="65" t="str">
        <f t="shared" ca="1" si="233"/>
        <v/>
      </c>
      <c r="Q1803" s="2"/>
      <c r="R1803" s="2"/>
      <c r="S1803" s="1" t="str">
        <f t="shared" si="226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227"/>
        <v>0</v>
      </c>
      <c r="W1803" s="1" t="str">
        <f t="shared" si="228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customHeight="1" x14ac:dyDescent="0.3">
      <c r="A1804" s="2"/>
      <c r="B1804" s="65" t="str">
        <f t="shared" si="229"/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 t="shared" si="230"/>
        <v/>
      </c>
      <c r="N1804" s="74" t="str">
        <f t="shared" si="231"/>
        <v/>
      </c>
      <c r="O1804" s="73" t="str">
        <f t="shared" si="232"/>
        <v/>
      </c>
      <c r="P1804" s="65" t="str">
        <f t="shared" ca="1" si="233"/>
        <v/>
      </c>
      <c r="Q1804" s="2"/>
      <c r="R1804" s="2"/>
      <c r="S1804" s="1" t="str">
        <f t="shared" si="226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227"/>
        <v>0</v>
      </c>
      <c r="W1804" s="1" t="str">
        <f t="shared" si="228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customHeight="1" x14ac:dyDescent="0.3">
      <c r="A1805" s="2"/>
      <c r="B1805" s="65" t="str">
        <f t="shared" si="229"/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 t="shared" si="230"/>
        <v/>
      </c>
      <c r="N1805" s="74" t="str">
        <f t="shared" si="231"/>
        <v/>
      </c>
      <c r="O1805" s="73" t="str">
        <f t="shared" si="232"/>
        <v/>
      </c>
      <c r="P1805" s="65" t="str">
        <f t="shared" ca="1" si="233"/>
        <v/>
      </c>
      <c r="Q1805" s="2"/>
      <c r="R1805" s="2"/>
      <c r="S1805" s="1" t="str">
        <f t="shared" si="226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227"/>
        <v>0</v>
      </c>
      <c r="W1805" s="1" t="str">
        <f t="shared" si="228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customHeight="1" x14ac:dyDescent="0.3">
      <c r="A1806" s="2"/>
      <c r="B1806" s="65" t="str">
        <f t="shared" si="229"/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 t="shared" si="230"/>
        <v/>
      </c>
      <c r="N1806" s="74" t="str">
        <f t="shared" si="231"/>
        <v/>
      </c>
      <c r="O1806" s="73" t="str">
        <f t="shared" si="232"/>
        <v/>
      </c>
      <c r="P1806" s="65" t="str">
        <f t="shared" ca="1" si="233"/>
        <v/>
      </c>
      <c r="Q1806" s="2"/>
      <c r="R1806" s="2"/>
      <c r="S1806" s="1" t="str">
        <f t="shared" si="226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227"/>
        <v>0</v>
      </c>
      <c r="W1806" s="1" t="str">
        <f t="shared" si="228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customHeight="1" x14ac:dyDescent="0.3">
      <c r="A1807" s="2"/>
      <c r="B1807" s="65" t="str">
        <f t="shared" si="229"/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 t="shared" si="230"/>
        <v/>
      </c>
      <c r="N1807" s="74" t="str">
        <f t="shared" si="231"/>
        <v/>
      </c>
      <c r="O1807" s="73" t="str">
        <f t="shared" si="232"/>
        <v/>
      </c>
      <c r="P1807" s="65" t="str">
        <f t="shared" ca="1" si="233"/>
        <v/>
      </c>
      <c r="Q1807" s="2"/>
      <c r="R1807" s="2"/>
      <c r="S1807" s="1" t="str">
        <f t="shared" si="226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227"/>
        <v>0</v>
      </c>
      <c r="W1807" s="1" t="str">
        <f t="shared" si="228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customHeight="1" x14ac:dyDescent="0.3">
      <c r="A1808" s="2"/>
      <c r="B1808" s="65" t="str">
        <f t="shared" si="229"/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 t="shared" si="230"/>
        <v/>
      </c>
      <c r="N1808" s="74" t="str">
        <f t="shared" si="231"/>
        <v/>
      </c>
      <c r="O1808" s="73" t="str">
        <f t="shared" si="232"/>
        <v/>
      </c>
      <c r="P1808" s="65" t="str">
        <f t="shared" ca="1" si="233"/>
        <v/>
      </c>
      <c r="Q1808" s="2"/>
      <c r="R1808" s="2"/>
      <c r="S1808" s="1" t="str">
        <f t="shared" si="226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227"/>
        <v>0</v>
      </c>
      <c r="W1808" s="1" t="str">
        <f t="shared" si="228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customHeight="1" x14ac:dyDescent="0.3">
      <c r="A1809" s="2"/>
      <c r="B1809" s="65" t="str">
        <f t="shared" si="229"/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 t="shared" si="230"/>
        <v/>
      </c>
      <c r="N1809" s="74" t="str">
        <f t="shared" si="231"/>
        <v/>
      </c>
      <c r="O1809" s="73" t="str">
        <f t="shared" si="232"/>
        <v/>
      </c>
      <c r="P1809" s="65" t="str">
        <f t="shared" ca="1" si="233"/>
        <v/>
      </c>
      <c r="Q1809" s="2"/>
      <c r="R1809" s="2"/>
      <c r="S1809" s="1" t="str">
        <f t="shared" si="226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227"/>
        <v>0</v>
      </c>
      <c r="W1809" s="1" t="str">
        <f t="shared" si="228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customHeight="1" x14ac:dyDescent="0.3">
      <c r="A1810" s="2"/>
      <c r="B1810" s="65" t="str">
        <f t="shared" si="229"/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 t="shared" si="230"/>
        <v/>
      </c>
      <c r="N1810" s="74" t="str">
        <f t="shared" si="231"/>
        <v/>
      </c>
      <c r="O1810" s="73" t="str">
        <f t="shared" si="232"/>
        <v/>
      </c>
      <c r="P1810" s="65" t="str">
        <f t="shared" ca="1" si="233"/>
        <v/>
      </c>
      <c r="Q1810" s="2"/>
      <c r="R1810" s="2"/>
      <c r="S1810" s="1" t="str">
        <f t="shared" si="226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227"/>
        <v>0</v>
      </c>
      <c r="W1810" s="1" t="str">
        <f t="shared" si="228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customHeight="1" x14ac:dyDescent="0.3">
      <c r="A1811" s="2"/>
      <c r="B1811" s="65" t="str">
        <f t="shared" si="229"/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 t="shared" si="230"/>
        <v/>
      </c>
      <c r="N1811" s="74" t="str">
        <f t="shared" si="231"/>
        <v/>
      </c>
      <c r="O1811" s="73" t="str">
        <f t="shared" si="232"/>
        <v/>
      </c>
      <c r="P1811" s="65" t="str">
        <f t="shared" ca="1" si="233"/>
        <v/>
      </c>
      <c r="Q1811" s="2"/>
      <c r="R1811" s="2"/>
      <c r="S1811" s="1" t="str">
        <f t="shared" si="226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227"/>
        <v>0</v>
      </c>
      <c r="W1811" s="1" t="str">
        <f t="shared" si="228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customHeight="1" x14ac:dyDescent="0.3">
      <c r="A1812" s="2"/>
      <c r="B1812" s="65" t="str">
        <f t="shared" si="229"/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 t="shared" si="230"/>
        <v/>
      </c>
      <c r="N1812" s="74" t="str">
        <f t="shared" si="231"/>
        <v/>
      </c>
      <c r="O1812" s="73" t="str">
        <f t="shared" si="232"/>
        <v/>
      </c>
      <c r="P1812" s="65" t="str">
        <f t="shared" ca="1" si="233"/>
        <v/>
      </c>
      <c r="Q1812" s="2"/>
      <c r="R1812" s="2"/>
      <c r="S1812" s="1" t="str">
        <f t="shared" si="226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227"/>
        <v>0</v>
      </c>
      <c r="W1812" s="1" t="str">
        <f t="shared" si="228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customHeight="1" x14ac:dyDescent="0.3">
      <c r="A1813" s="2"/>
      <c r="B1813" s="65" t="str">
        <f t="shared" si="229"/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 t="shared" si="230"/>
        <v/>
      </c>
      <c r="N1813" s="74" t="str">
        <f t="shared" si="231"/>
        <v/>
      </c>
      <c r="O1813" s="73" t="str">
        <f t="shared" si="232"/>
        <v/>
      </c>
      <c r="P1813" s="65" t="str">
        <f t="shared" ca="1" si="233"/>
        <v/>
      </c>
      <c r="Q1813" s="2"/>
      <c r="R1813" s="2"/>
      <c r="S1813" s="1" t="str">
        <f t="shared" si="226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227"/>
        <v>0</v>
      </c>
      <c r="W1813" s="1" t="str">
        <f t="shared" si="228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customHeight="1" x14ac:dyDescent="0.3">
      <c r="A1814" s="2"/>
      <c r="B1814" s="65" t="str">
        <f t="shared" si="229"/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 t="shared" si="230"/>
        <v/>
      </c>
      <c r="N1814" s="74" t="str">
        <f t="shared" si="231"/>
        <v/>
      </c>
      <c r="O1814" s="73" t="str">
        <f t="shared" si="232"/>
        <v/>
      </c>
      <c r="P1814" s="65" t="str">
        <f t="shared" ca="1" si="233"/>
        <v/>
      </c>
      <c r="Q1814" s="2"/>
      <c r="R1814" s="2"/>
      <c r="S1814" s="1" t="str">
        <f t="shared" si="226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227"/>
        <v>0</v>
      </c>
      <c r="W1814" s="1" t="str">
        <f t="shared" si="228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customHeight="1" x14ac:dyDescent="0.3">
      <c r="A1815" s="2"/>
      <c r="B1815" s="65" t="str">
        <f t="shared" si="229"/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 t="shared" si="230"/>
        <v/>
      </c>
      <c r="N1815" s="74" t="str">
        <f t="shared" si="231"/>
        <v/>
      </c>
      <c r="O1815" s="73" t="str">
        <f t="shared" si="232"/>
        <v/>
      </c>
      <c r="P1815" s="65" t="str">
        <f t="shared" ca="1" si="233"/>
        <v/>
      </c>
      <c r="Q1815" s="2"/>
      <c r="R1815" s="2"/>
      <c r="S1815" s="1" t="str">
        <f t="shared" si="226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227"/>
        <v>0</v>
      </c>
      <c r="W1815" s="1" t="str">
        <f t="shared" si="228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customHeight="1" x14ac:dyDescent="0.3">
      <c r="A1816" s="2"/>
      <c r="B1816" s="65" t="str">
        <f t="shared" si="229"/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 t="shared" si="230"/>
        <v/>
      </c>
      <c r="N1816" s="74" t="str">
        <f t="shared" si="231"/>
        <v/>
      </c>
      <c r="O1816" s="73" t="str">
        <f t="shared" si="232"/>
        <v/>
      </c>
      <c r="P1816" s="65" t="str">
        <f t="shared" ca="1" si="233"/>
        <v/>
      </c>
      <c r="Q1816" s="2"/>
      <c r="R1816" s="2"/>
      <c r="S1816" s="1" t="str">
        <f t="shared" si="226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227"/>
        <v>0</v>
      </c>
      <c r="W1816" s="1" t="str">
        <f t="shared" si="228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customHeight="1" x14ac:dyDescent="0.3">
      <c r="A1817" s="2"/>
      <c r="B1817" s="65" t="str">
        <f t="shared" si="229"/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 t="shared" si="230"/>
        <v/>
      </c>
      <c r="N1817" s="74" t="str">
        <f t="shared" si="231"/>
        <v/>
      </c>
      <c r="O1817" s="73" t="str">
        <f t="shared" si="232"/>
        <v/>
      </c>
      <c r="P1817" s="65" t="str">
        <f t="shared" ca="1" si="233"/>
        <v/>
      </c>
      <c r="Q1817" s="2"/>
      <c r="R1817" s="2"/>
      <c r="S1817" s="1" t="str">
        <f t="shared" si="226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227"/>
        <v>0</v>
      </c>
      <c r="W1817" s="1" t="str">
        <f t="shared" si="228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customHeight="1" x14ac:dyDescent="0.3">
      <c r="A1818" s="2"/>
      <c r="B1818" s="65" t="str">
        <f t="shared" si="229"/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 t="shared" si="230"/>
        <v/>
      </c>
      <c r="N1818" s="74" t="str">
        <f t="shared" si="231"/>
        <v/>
      </c>
      <c r="O1818" s="73" t="str">
        <f t="shared" si="232"/>
        <v/>
      </c>
      <c r="P1818" s="65" t="str">
        <f t="shared" ca="1" si="233"/>
        <v/>
      </c>
      <c r="Q1818" s="2"/>
      <c r="R1818" s="2"/>
      <c r="S1818" s="1" t="str">
        <f t="shared" si="226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227"/>
        <v>0</v>
      </c>
      <c r="W1818" s="1" t="str">
        <f t="shared" si="228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customHeight="1" x14ac:dyDescent="0.3">
      <c r="A1819" s="2"/>
      <c r="B1819" s="65" t="str">
        <f t="shared" si="229"/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 t="shared" si="230"/>
        <v/>
      </c>
      <c r="N1819" s="74" t="str">
        <f t="shared" si="231"/>
        <v/>
      </c>
      <c r="O1819" s="73" t="str">
        <f t="shared" si="232"/>
        <v/>
      </c>
      <c r="P1819" s="65" t="str">
        <f t="shared" ca="1" si="233"/>
        <v/>
      </c>
      <c r="Q1819" s="2"/>
      <c r="R1819" s="2"/>
      <c r="S1819" s="1" t="str">
        <f t="shared" si="226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227"/>
        <v>0</v>
      </c>
      <c r="W1819" s="1" t="str">
        <f t="shared" si="228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customHeight="1" x14ac:dyDescent="0.3">
      <c r="A1820" s="2"/>
      <c r="B1820" s="65" t="str">
        <f t="shared" si="229"/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 t="shared" si="230"/>
        <v/>
      </c>
      <c r="N1820" s="74" t="str">
        <f t="shared" si="231"/>
        <v/>
      </c>
      <c r="O1820" s="73" t="str">
        <f t="shared" si="232"/>
        <v/>
      </c>
      <c r="P1820" s="65" t="str">
        <f t="shared" ca="1" si="233"/>
        <v/>
      </c>
      <c r="Q1820" s="2"/>
      <c r="R1820" s="2"/>
      <c r="S1820" s="1" t="str">
        <f t="shared" si="226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227"/>
        <v>0</v>
      </c>
      <c r="W1820" s="1" t="str">
        <f t="shared" si="228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customHeight="1" x14ac:dyDescent="0.3">
      <c r="A1821" s="2"/>
      <c r="B1821" s="65" t="str">
        <f t="shared" si="229"/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 t="shared" si="230"/>
        <v/>
      </c>
      <c r="N1821" s="74" t="str">
        <f t="shared" si="231"/>
        <v/>
      </c>
      <c r="O1821" s="73" t="str">
        <f t="shared" si="232"/>
        <v/>
      </c>
      <c r="P1821" s="65" t="str">
        <f t="shared" ca="1" si="233"/>
        <v/>
      </c>
      <c r="Q1821" s="2"/>
      <c r="R1821" s="2"/>
      <c r="S1821" s="1" t="str">
        <f t="shared" si="226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227"/>
        <v>0</v>
      </c>
      <c r="W1821" s="1" t="str">
        <f t="shared" si="228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customHeight="1" x14ac:dyDescent="0.3">
      <c r="A1822" s="2"/>
      <c r="B1822" s="65" t="str">
        <f t="shared" si="229"/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 t="shared" si="230"/>
        <v/>
      </c>
      <c r="N1822" s="74" t="str">
        <f t="shared" si="231"/>
        <v/>
      </c>
      <c r="O1822" s="73" t="str">
        <f t="shared" si="232"/>
        <v/>
      </c>
      <c r="P1822" s="65" t="str">
        <f t="shared" ca="1" si="233"/>
        <v/>
      </c>
      <c r="Q1822" s="2"/>
      <c r="R1822" s="2"/>
      <c r="S1822" s="1" t="str">
        <f t="shared" si="226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227"/>
        <v>0</v>
      </c>
      <c r="W1822" s="1" t="str">
        <f t="shared" si="228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customHeight="1" x14ac:dyDescent="0.3">
      <c r="A1823" s="2"/>
      <c r="B1823" s="65" t="str">
        <f t="shared" si="229"/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 t="shared" si="230"/>
        <v/>
      </c>
      <c r="N1823" s="74" t="str">
        <f t="shared" si="231"/>
        <v/>
      </c>
      <c r="O1823" s="73" t="str">
        <f t="shared" si="232"/>
        <v/>
      </c>
      <c r="P1823" s="65" t="str">
        <f t="shared" ca="1" si="233"/>
        <v/>
      </c>
      <c r="Q1823" s="2"/>
      <c r="R1823" s="2"/>
      <c r="S1823" s="1" t="str">
        <f t="shared" si="226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227"/>
        <v>0</v>
      </c>
      <c r="W1823" s="1" t="str">
        <f t="shared" si="228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customHeight="1" x14ac:dyDescent="0.3">
      <c r="A1824" s="2"/>
      <c r="B1824" s="65" t="str">
        <f t="shared" si="229"/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 t="shared" si="230"/>
        <v/>
      </c>
      <c r="N1824" s="74" t="str">
        <f t="shared" si="231"/>
        <v/>
      </c>
      <c r="O1824" s="73" t="str">
        <f t="shared" si="232"/>
        <v/>
      </c>
      <c r="P1824" s="65" t="str">
        <f t="shared" ca="1" si="233"/>
        <v/>
      </c>
      <c r="Q1824" s="2"/>
      <c r="R1824" s="2"/>
      <c r="S1824" s="1" t="str">
        <f t="shared" si="226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227"/>
        <v>0</v>
      </c>
      <c r="W1824" s="1" t="str">
        <f t="shared" si="228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customHeight="1" x14ac:dyDescent="0.3">
      <c r="A1825" s="2"/>
      <c r="B1825" s="65" t="str">
        <f t="shared" si="229"/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 t="shared" si="230"/>
        <v/>
      </c>
      <c r="N1825" s="74" t="str">
        <f t="shared" si="231"/>
        <v/>
      </c>
      <c r="O1825" s="73" t="str">
        <f t="shared" si="232"/>
        <v/>
      </c>
      <c r="P1825" s="65" t="str">
        <f t="shared" ca="1" si="233"/>
        <v/>
      </c>
      <c r="Q1825" s="2"/>
      <c r="R1825" s="2"/>
      <c r="S1825" s="1" t="str">
        <f t="shared" si="226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227"/>
        <v>0</v>
      </c>
      <c r="W1825" s="1" t="str">
        <f t="shared" si="228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customHeight="1" x14ac:dyDescent="0.3">
      <c r="A1826" s="2"/>
      <c r="B1826" s="65" t="str">
        <f t="shared" si="229"/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 t="shared" si="230"/>
        <v/>
      </c>
      <c r="N1826" s="74" t="str">
        <f t="shared" si="231"/>
        <v/>
      </c>
      <c r="O1826" s="73" t="str">
        <f t="shared" si="232"/>
        <v/>
      </c>
      <c r="P1826" s="65" t="str">
        <f t="shared" ca="1" si="233"/>
        <v/>
      </c>
      <c r="Q1826" s="2"/>
      <c r="R1826" s="2"/>
      <c r="S1826" s="1" t="str">
        <f t="shared" si="226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227"/>
        <v>0</v>
      </c>
      <c r="W1826" s="1" t="str">
        <f t="shared" si="228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customHeight="1" x14ac:dyDescent="0.3">
      <c r="A1827" s="2"/>
      <c r="B1827" s="65" t="str">
        <f t="shared" si="229"/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 t="shared" si="230"/>
        <v/>
      </c>
      <c r="N1827" s="74" t="str">
        <f t="shared" si="231"/>
        <v/>
      </c>
      <c r="O1827" s="73" t="str">
        <f t="shared" si="232"/>
        <v/>
      </c>
      <c r="P1827" s="65" t="str">
        <f t="shared" ca="1" si="233"/>
        <v/>
      </c>
      <c r="Q1827" s="2"/>
      <c r="R1827" s="2"/>
      <c r="S1827" s="1" t="str">
        <f t="shared" si="226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227"/>
        <v>0</v>
      </c>
      <c r="W1827" s="1" t="str">
        <f t="shared" si="228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customHeight="1" x14ac:dyDescent="0.3">
      <c r="A1828" s="2"/>
      <c r="B1828" s="65" t="str">
        <f t="shared" si="229"/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 t="shared" si="230"/>
        <v/>
      </c>
      <c r="N1828" s="74" t="str">
        <f t="shared" si="231"/>
        <v/>
      </c>
      <c r="O1828" s="73" t="str">
        <f t="shared" si="232"/>
        <v/>
      </c>
      <c r="P1828" s="65" t="str">
        <f t="shared" ca="1" si="233"/>
        <v/>
      </c>
      <c r="Q1828" s="2"/>
      <c r="R1828" s="2"/>
      <c r="S1828" s="1" t="str">
        <f t="shared" si="226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227"/>
        <v>0</v>
      </c>
      <c r="W1828" s="1" t="str">
        <f t="shared" si="228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customHeight="1" x14ac:dyDescent="0.3">
      <c r="A1829" s="2"/>
      <c r="B1829" s="65" t="str">
        <f t="shared" si="229"/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 t="shared" si="230"/>
        <v/>
      </c>
      <c r="N1829" s="74" t="str">
        <f t="shared" si="231"/>
        <v/>
      </c>
      <c r="O1829" s="73" t="str">
        <f t="shared" si="232"/>
        <v/>
      </c>
      <c r="P1829" s="65" t="str">
        <f t="shared" ca="1" si="233"/>
        <v/>
      </c>
      <c r="Q1829" s="2"/>
      <c r="R1829" s="2"/>
      <c r="S1829" s="1" t="str">
        <f t="shared" si="226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227"/>
        <v>0</v>
      </c>
      <c r="W1829" s="1" t="str">
        <f t="shared" si="228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customHeight="1" x14ac:dyDescent="0.3">
      <c r="A1830" s="2"/>
      <c r="B1830" s="65" t="str">
        <f t="shared" si="229"/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 t="shared" si="230"/>
        <v/>
      </c>
      <c r="N1830" s="74" t="str">
        <f t="shared" si="231"/>
        <v/>
      </c>
      <c r="O1830" s="73" t="str">
        <f t="shared" si="232"/>
        <v/>
      </c>
      <c r="P1830" s="65" t="str">
        <f t="shared" ca="1" si="233"/>
        <v/>
      </c>
      <c r="Q1830" s="2"/>
      <c r="R1830" s="2"/>
      <c r="S1830" s="1" t="str">
        <f t="shared" si="226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227"/>
        <v>0</v>
      </c>
      <c r="W1830" s="1" t="str">
        <f t="shared" si="228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customHeight="1" x14ac:dyDescent="0.3">
      <c r="A1831" s="2"/>
      <c r="B1831" s="65" t="str">
        <f t="shared" si="229"/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 t="shared" si="230"/>
        <v/>
      </c>
      <c r="N1831" s="74" t="str">
        <f t="shared" si="231"/>
        <v/>
      </c>
      <c r="O1831" s="73" t="str">
        <f t="shared" si="232"/>
        <v/>
      </c>
      <c r="P1831" s="65" t="str">
        <f t="shared" ca="1" si="233"/>
        <v/>
      </c>
      <c r="Q1831" s="2"/>
      <c r="R1831" s="2"/>
      <c r="S1831" s="1" t="str">
        <f t="shared" si="226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227"/>
        <v>0</v>
      </c>
      <c r="W1831" s="1" t="str">
        <f t="shared" si="228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customHeight="1" x14ac:dyDescent="0.3">
      <c r="A1832" s="2"/>
      <c r="B1832" s="65" t="str">
        <f t="shared" si="229"/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 t="shared" si="230"/>
        <v/>
      </c>
      <c r="N1832" s="74" t="str">
        <f t="shared" si="231"/>
        <v/>
      </c>
      <c r="O1832" s="73" t="str">
        <f t="shared" si="232"/>
        <v/>
      </c>
      <c r="P1832" s="65" t="str">
        <f t="shared" ca="1" si="233"/>
        <v/>
      </c>
      <c r="Q1832" s="2"/>
      <c r="R1832" s="2"/>
      <c r="S1832" s="1" t="str">
        <f t="shared" si="226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227"/>
        <v>0</v>
      </c>
      <c r="W1832" s="1" t="str">
        <f t="shared" si="228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customHeight="1" x14ac:dyDescent="0.3">
      <c r="A1833" s="2"/>
      <c r="B1833" s="65" t="str">
        <f t="shared" si="229"/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 t="shared" si="230"/>
        <v/>
      </c>
      <c r="N1833" s="74" t="str">
        <f t="shared" si="231"/>
        <v/>
      </c>
      <c r="O1833" s="73" t="str">
        <f t="shared" si="232"/>
        <v/>
      </c>
      <c r="P1833" s="65" t="str">
        <f t="shared" ca="1" si="233"/>
        <v/>
      </c>
      <c r="Q1833" s="2"/>
      <c r="R1833" s="2"/>
      <c r="S1833" s="1" t="str">
        <f t="shared" si="226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227"/>
        <v>0</v>
      </c>
      <c r="W1833" s="1" t="str">
        <f t="shared" si="228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customHeight="1" x14ac:dyDescent="0.3">
      <c r="A1834" s="2"/>
      <c r="B1834" s="65" t="str">
        <f t="shared" si="229"/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 t="shared" si="230"/>
        <v/>
      </c>
      <c r="N1834" s="74" t="str">
        <f t="shared" si="231"/>
        <v/>
      </c>
      <c r="O1834" s="73" t="str">
        <f t="shared" si="232"/>
        <v/>
      </c>
      <c r="P1834" s="65" t="str">
        <f t="shared" ca="1" si="233"/>
        <v/>
      </c>
      <c r="Q1834" s="2"/>
      <c r="R1834" s="2"/>
      <c r="S1834" s="1" t="str">
        <f t="shared" si="226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227"/>
        <v>0</v>
      </c>
      <c r="W1834" s="1" t="str">
        <f t="shared" si="228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customHeight="1" x14ac:dyDescent="0.3">
      <c r="A1835" s="2"/>
      <c r="B1835" s="65" t="str">
        <f t="shared" si="229"/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 t="shared" si="230"/>
        <v/>
      </c>
      <c r="N1835" s="74" t="str">
        <f t="shared" si="231"/>
        <v/>
      </c>
      <c r="O1835" s="73" t="str">
        <f t="shared" si="232"/>
        <v/>
      </c>
      <c r="P1835" s="65" t="str">
        <f t="shared" ca="1" si="233"/>
        <v/>
      </c>
      <c r="Q1835" s="2"/>
      <c r="R1835" s="2"/>
      <c r="S1835" s="1" t="str">
        <f t="shared" si="226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227"/>
        <v>0</v>
      </c>
      <c r="W1835" s="1" t="str">
        <f t="shared" si="228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customHeight="1" x14ac:dyDescent="0.3">
      <c r="A1836" s="2"/>
      <c r="B1836" s="65" t="str">
        <f t="shared" si="229"/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 t="shared" si="230"/>
        <v/>
      </c>
      <c r="N1836" s="74" t="str">
        <f t="shared" si="231"/>
        <v/>
      </c>
      <c r="O1836" s="73" t="str">
        <f t="shared" si="232"/>
        <v/>
      </c>
      <c r="P1836" s="65" t="str">
        <f t="shared" ca="1" si="233"/>
        <v/>
      </c>
      <c r="Q1836" s="2"/>
      <c r="R1836" s="2"/>
      <c r="S1836" s="1" t="str">
        <f t="shared" si="226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227"/>
        <v>0</v>
      </c>
      <c r="W1836" s="1" t="str">
        <f t="shared" si="228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customHeight="1" x14ac:dyDescent="0.3">
      <c r="A1837" s="2"/>
      <c r="B1837" s="65" t="str">
        <f t="shared" si="229"/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 t="shared" si="230"/>
        <v/>
      </c>
      <c r="N1837" s="74" t="str">
        <f t="shared" si="231"/>
        <v/>
      </c>
      <c r="O1837" s="73" t="str">
        <f t="shared" si="232"/>
        <v/>
      </c>
      <c r="P1837" s="65" t="str">
        <f t="shared" ca="1" si="233"/>
        <v/>
      </c>
      <c r="Q1837" s="2"/>
      <c r="R1837" s="2"/>
      <c r="S1837" s="1" t="str">
        <f t="shared" si="226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227"/>
        <v>0</v>
      </c>
      <c r="W1837" s="1" t="str">
        <f t="shared" si="228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customHeight="1" x14ac:dyDescent="0.3">
      <c r="A1838" s="2"/>
      <c r="B1838" s="65" t="str">
        <f t="shared" si="229"/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 t="shared" si="230"/>
        <v/>
      </c>
      <c r="N1838" s="74" t="str">
        <f t="shared" si="231"/>
        <v/>
      </c>
      <c r="O1838" s="73" t="str">
        <f t="shared" si="232"/>
        <v/>
      </c>
      <c r="P1838" s="65" t="str">
        <f t="shared" ca="1" si="233"/>
        <v/>
      </c>
      <c r="Q1838" s="2"/>
      <c r="R1838" s="2"/>
      <c r="S1838" s="1" t="str">
        <f t="shared" si="226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227"/>
        <v>0</v>
      </c>
      <c r="W1838" s="1" t="str">
        <f t="shared" si="228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customHeight="1" x14ac:dyDescent="0.3">
      <c r="A1839" s="2"/>
      <c r="B1839" s="65" t="str">
        <f t="shared" si="229"/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 t="shared" si="230"/>
        <v/>
      </c>
      <c r="N1839" s="74" t="str">
        <f t="shared" si="231"/>
        <v/>
      </c>
      <c r="O1839" s="73" t="str">
        <f t="shared" si="232"/>
        <v/>
      </c>
      <c r="P1839" s="65" t="str">
        <f t="shared" ca="1" si="233"/>
        <v/>
      </c>
      <c r="Q1839" s="2"/>
      <c r="R1839" s="2"/>
      <c r="S1839" s="1" t="str">
        <f t="shared" si="226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227"/>
        <v>0</v>
      </c>
      <c r="W1839" s="1" t="str">
        <f t="shared" si="228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customHeight="1" x14ac:dyDescent="0.3">
      <c r="A1840" s="2"/>
      <c r="B1840" s="65" t="str">
        <f t="shared" si="229"/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 t="shared" si="230"/>
        <v/>
      </c>
      <c r="N1840" s="74" t="str">
        <f t="shared" si="231"/>
        <v/>
      </c>
      <c r="O1840" s="73" t="str">
        <f t="shared" si="232"/>
        <v/>
      </c>
      <c r="P1840" s="65" t="str">
        <f t="shared" ca="1" si="233"/>
        <v/>
      </c>
      <c r="Q1840" s="2"/>
      <c r="R1840" s="2"/>
      <c r="S1840" s="1" t="str">
        <f t="shared" si="226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227"/>
        <v>0</v>
      </c>
      <c r="W1840" s="1" t="str">
        <f t="shared" si="228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customHeight="1" x14ac:dyDescent="0.3">
      <c r="A1841" s="2"/>
      <c r="B1841" s="65" t="str">
        <f t="shared" si="229"/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 t="shared" si="230"/>
        <v/>
      </c>
      <c r="N1841" s="74" t="str">
        <f t="shared" si="231"/>
        <v/>
      </c>
      <c r="O1841" s="73" t="str">
        <f t="shared" si="232"/>
        <v/>
      </c>
      <c r="P1841" s="65" t="str">
        <f t="shared" ca="1" si="233"/>
        <v/>
      </c>
      <c r="Q1841" s="2"/>
      <c r="R1841" s="2"/>
      <c r="S1841" s="1" t="str">
        <f t="shared" si="226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227"/>
        <v>0</v>
      </c>
      <c r="W1841" s="1" t="str">
        <f t="shared" si="228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customHeight="1" x14ac:dyDescent="0.3">
      <c r="A1842" s="2"/>
      <c r="B1842" s="65" t="str">
        <f t="shared" si="229"/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 t="shared" si="230"/>
        <v/>
      </c>
      <c r="N1842" s="74" t="str">
        <f t="shared" si="231"/>
        <v/>
      </c>
      <c r="O1842" s="73" t="str">
        <f t="shared" si="232"/>
        <v/>
      </c>
      <c r="P1842" s="65" t="str">
        <f t="shared" ca="1" si="233"/>
        <v/>
      </c>
      <c r="Q1842" s="2"/>
      <c r="R1842" s="2"/>
      <c r="S1842" s="1" t="str">
        <f t="shared" si="226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227"/>
        <v>0</v>
      </c>
      <c r="W1842" s="1" t="str">
        <f t="shared" si="228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customHeight="1" x14ac:dyDescent="0.3">
      <c r="A1843" s="2"/>
      <c r="B1843" s="65" t="str">
        <f t="shared" si="229"/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 t="shared" si="230"/>
        <v/>
      </c>
      <c r="N1843" s="74" t="str">
        <f t="shared" si="231"/>
        <v/>
      </c>
      <c r="O1843" s="73" t="str">
        <f t="shared" si="232"/>
        <v/>
      </c>
      <c r="P1843" s="65" t="str">
        <f t="shared" ca="1" si="233"/>
        <v/>
      </c>
      <c r="Q1843" s="2"/>
      <c r="R1843" s="2"/>
      <c r="S1843" s="1" t="str">
        <f t="shared" si="226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227"/>
        <v>0</v>
      </c>
      <c r="W1843" s="1" t="str">
        <f t="shared" si="228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customHeight="1" x14ac:dyDescent="0.3">
      <c r="A1844" s="2"/>
      <c r="B1844" s="65" t="str">
        <f t="shared" si="229"/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 t="shared" si="230"/>
        <v/>
      </c>
      <c r="N1844" s="74" t="str">
        <f t="shared" si="231"/>
        <v/>
      </c>
      <c r="O1844" s="73" t="str">
        <f t="shared" si="232"/>
        <v/>
      </c>
      <c r="P1844" s="65" t="str">
        <f t="shared" ca="1" si="233"/>
        <v/>
      </c>
      <c r="Q1844" s="2"/>
      <c r="R1844" s="2"/>
      <c r="S1844" s="1" t="str">
        <f t="shared" si="226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227"/>
        <v>0</v>
      </c>
      <c r="W1844" s="1" t="str">
        <f t="shared" si="228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customHeight="1" x14ac:dyDescent="0.3">
      <c r="A1845" s="2"/>
      <c r="B1845" s="65" t="str">
        <f t="shared" si="229"/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 t="shared" si="230"/>
        <v/>
      </c>
      <c r="N1845" s="74" t="str">
        <f t="shared" si="231"/>
        <v/>
      </c>
      <c r="O1845" s="73" t="str">
        <f t="shared" si="232"/>
        <v/>
      </c>
      <c r="P1845" s="65" t="str">
        <f t="shared" ca="1" si="233"/>
        <v/>
      </c>
      <c r="Q1845" s="2"/>
      <c r="R1845" s="2"/>
      <c r="S1845" s="1" t="str">
        <f t="shared" si="226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227"/>
        <v>0</v>
      </c>
      <c r="W1845" s="1" t="str">
        <f t="shared" si="228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customHeight="1" x14ac:dyDescent="0.3">
      <c r="A1846" s="2"/>
      <c r="B1846" s="65" t="str">
        <f t="shared" si="229"/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 t="shared" si="230"/>
        <v/>
      </c>
      <c r="N1846" s="74" t="str">
        <f t="shared" si="231"/>
        <v/>
      </c>
      <c r="O1846" s="73" t="str">
        <f t="shared" si="232"/>
        <v/>
      </c>
      <c r="P1846" s="65" t="str">
        <f t="shared" ca="1" si="233"/>
        <v/>
      </c>
      <c r="Q1846" s="2"/>
      <c r="R1846" s="2"/>
      <c r="S1846" s="1" t="str">
        <f t="shared" si="226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227"/>
        <v>0</v>
      </c>
      <c r="W1846" s="1" t="str">
        <f t="shared" si="228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customHeight="1" x14ac:dyDescent="0.3">
      <c r="A1847" s="2"/>
      <c r="B1847" s="65" t="str">
        <f t="shared" si="229"/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 t="shared" si="230"/>
        <v/>
      </c>
      <c r="N1847" s="74" t="str">
        <f t="shared" si="231"/>
        <v/>
      </c>
      <c r="O1847" s="73" t="str">
        <f t="shared" si="232"/>
        <v/>
      </c>
      <c r="P1847" s="65" t="str">
        <f t="shared" ca="1" si="233"/>
        <v/>
      </c>
      <c r="Q1847" s="2"/>
      <c r="R1847" s="2"/>
      <c r="S1847" s="1" t="str">
        <f t="shared" si="226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227"/>
        <v>0</v>
      </c>
      <c r="W1847" s="1" t="str">
        <f t="shared" si="228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customHeight="1" x14ac:dyDescent="0.3">
      <c r="A1848" s="2"/>
      <c r="B1848" s="65" t="str">
        <f t="shared" si="229"/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 t="shared" si="230"/>
        <v/>
      </c>
      <c r="N1848" s="74" t="str">
        <f t="shared" si="231"/>
        <v/>
      </c>
      <c r="O1848" s="73" t="str">
        <f t="shared" si="232"/>
        <v/>
      </c>
      <c r="P1848" s="65" t="str">
        <f t="shared" ca="1" si="233"/>
        <v/>
      </c>
      <c r="Q1848" s="2"/>
      <c r="R1848" s="2"/>
      <c r="S1848" s="1" t="str">
        <f t="shared" si="226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227"/>
        <v>0</v>
      </c>
      <c r="W1848" s="1" t="str">
        <f t="shared" si="228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customHeight="1" x14ac:dyDescent="0.3">
      <c r="A1849" s="2"/>
      <c r="B1849" s="65" t="str">
        <f t="shared" si="229"/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 t="shared" si="230"/>
        <v/>
      </c>
      <c r="N1849" s="74" t="str">
        <f t="shared" si="231"/>
        <v/>
      </c>
      <c r="O1849" s="73" t="str">
        <f t="shared" si="232"/>
        <v/>
      </c>
      <c r="P1849" s="65" t="str">
        <f t="shared" ca="1" si="233"/>
        <v/>
      </c>
      <c r="Q1849" s="2"/>
      <c r="R1849" s="2"/>
      <c r="S1849" s="1" t="str">
        <f t="shared" si="226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227"/>
        <v>0</v>
      </c>
      <c r="W1849" s="1" t="str">
        <f t="shared" si="228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customHeight="1" x14ac:dyDescent="0.3">
      <c r="A1850" s="2"/>
      <c r="B1850" s="65" t="str">
        <f t="shared" si="229"/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 t="shared" si="230"/>
        <v/>
      </c>
      <c r="N1850" s="74" t="str">
        <f t="shared" si="231"/>
        <v/>
      </c>
      <c r="O1850" s="73" t="str">
        <f t="shared" si="232"/>
        <v/>
      </c>
      <c r="P1850" s="65" t="str">
        <f t="shared" ca="1" si="233"/>
        <v/>
      </c>
      <c r="Q1850" s="2"/>
      <c r="R1850" s="2"/>
      <c r="S1850" s="1" t="str">
        <f t="shared" si="226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227"/>
        <v>0</v>
      </c>
      <c r="W1850" s="1" t="str">
        <f t="shared" si="228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customHeight="1" x14ac:dyDescent="0.3">
      <c r="A1851" s="2"/>
      <c r="B1851" s="65" t="str">
        <f t="shared" si="229"/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 t="shared" si="230"/>
        <v/>
      </c>
      <c r="N1851" s="74" t="str">
        <f t="shared" si="231"/>
        <v/>
      </c>
      <c r="O1851" s="73" t="str">
        <f t="shared" si="232"/>
        <v/>
      </c>
      <c r="P1851" s="65" t="str">
        <f t="shared" ca="1" si="233"/>
        <v/>
      </c>
      <c r="Q1851" s="2"/>
      <c r="R1851" s="2"/>
      <c r="S1851" s="1" t="str">
        <f t="shared" si="226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227"/>
        <v>0</v>
      </c>
      <c r="W1851" s="1" t="str">
        <f t="shared" si="228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customHeight="1" x14ac:dyDescent="0.3">
      <c r="A1852" s="2"/>
      <c r="B1852" s="65" t="str">
        <f t="shared" si="229"/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 t="shared" si="230"/>
        <v/>
      </c>
      <c r="N1852" s="74" t="str">
        <f t="shared" si="231"/>
        <v/>
      </c>
      <c r="O1852" s="73" t="str">
        <f t="shared" si="232"/>
        <v/>
      </c>
      <c r="P1852" s="65" t="str">
        <f t="shared" ca="1" si="233"/>
        <v/>
      </c>
      <c r="Q1852" s="2"/>
      <c r="R1852" s="2"/>
      <c r="S1852" s="1" t="str">
        <f t="shared" si="226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227"/>
        <v>0</v>
      </c>
      <c r="W1852" s="1" t="str">
        <f t="shared" si="228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customHeight="1" x14ac:dyDescent="0.3">
      <c r="A1853" s="2"/>
      <c r="B1853" s="65" t="str">
        <f t="shared" si="229"/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 t="shared" si="230"/>
        <v/>
      </c>
      <c r="N1853" s="74" t="str">
        <f t="shared" si="231"/>
        <v/>
      </c>
      <c r="O1853" s="73" t="str">
        <f t="shared" si="232"/>
        <v/>
      </c>
      <c r="P1853" s="65" t="str">
        <f t="shared" ca="1" si="233"/>
        <v/>
      </c>
      <c r="Q1853" s="2"/>
      <c r="R1853" s="2"/>
      <c r="S1853" s="1" t="str">
        <f t="shared" si="226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227"/>
        <v>0</v>
      </c>
      <c r="W1853" s="1" t="str">
        <f t="shared" si="228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customHeight="1" x14ac:dyDescent="0.3">
      <c r="A1854" s="2"/>
      <c r="B1854" s="65" t="str">
        <f t="shared" si="229"/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 t="shared" si="230"/>
        <v/>
      </c>
      <c r="N1854" s="74" t="str">
        <f t="shared" si="231"/>
        <v/>
      </c>
      <c r="O1854" s="73" t="str">
        <f t="shared" si="232"/>
        <v/>
      </c>
      <c r="P1854" s="65" t="str">
        <f t="shared" ca="1" si="233"/>
        <v/>
      </c>
      <c r="Q1854" s="2"/>
      <c r="R1854" s="2"/>
      <c r="S1854" s="1" t="str">
        <f t="shared" si="226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227"/>
        <v>0</v>
      </c>
      <c r="W1854" s="1" t="str">
        <f t="shared" si="228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customHeight="1" x14ac:dyDescent="0.3">
      <c r="A1855" s="2"/>
      <c r="B1855" s="65" t="str">
        <f t="shared" si="229"/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 t="shared" si="230"/>
        <v/>
      </c>
      <c r="N1855" s="74" t="str">
        <f t="shared" si="231"/>
        <v/>
      </c>
      <c r="O1855" s="73" t="str">
        <f t="shared" si="232"/>
        <v/>
      </c>
      <c r="P1855" s="65" t="str">
        <f t="shared" ca="1" si="233"/>
        <v/>
      </c>
      <c r="Q1855" s="2"/>
      <c r="R1855" s="2"/>
      <c r="S1855" s="1" t="str">
        <f t="shared" si="226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227"/>
        <v>0</v>
      </c>
      <c r="W1855" s="1" t="str">
        <f t="shared" si="228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customHeight="1" x14ac:dyDescent="0.3">
      <c r="A1856" s="2"/>
      <c r="B1856" s="65" t="str">
        <f t="shared" si="229"/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 t="shared" si="230"/>
        <v/>
      </c>
      <c r="N1856" s="74" t="str">
        <f t="shared" si="231"/>
        <v/>
      </c>
      <c r="O1856" s="73" t="str">
        <f t="shared" si="232"/>
        <v/>
      </c>
      <c r="P1856" s="65" t="str">
        <f t="shared" ca="1" si="233"/>
        <v/>
      </c>
      <c r="Q1856" s="2"/>
      <c r="R1856" s="2"/>
      <c r="S1856" s="1" t="str">
        <f t="shared" si="226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227"/>
        <v>0</v>
      </c>
      <c r="W1856" s="1" t="str">
        <f t="shared" si="228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customHeight="1" x14ac:dyDescent="0.3">
      <c r="A1857" s="2"/>
      <c r="B1857" s="65" t="str">
        <f t="shared" si="229"/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 t="shared" si="230"/>
        <v/>
      </c>
      <c r="N1857" s="74" t="str">
        <f t="shared" si="231"/>
        <v/>
      </c>
      <c r="O1857" s="73" t="str">
        <f t="shared" si="232"/>
        <v/>
      </c>
      <c r="P1857" s="65" t="str">
        <f t="shared" ca="1" si="233"/>
        <v/>
      </c>
      <c r="Q1857" s="2"/>
      <c r="R1857" s="2"/>
      <c r="S1857" s="1" t="str">
        <f t="shared" si="226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227"/>
        <v>0</v>
      </c>
      <c r="W1857" s="1" t="str">
        <f t="shared" si="228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customHeight="1" x14ac:dyDescent="0.3">
      <c r="A1858" s="2"/>
      <c r="B1858" s="65" t="str">
        <f t="shared" si="229"/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 t="shared" si="230"/>
        <v/>
      </c>
      <c r="N1858" s="74" t="str">
        <f t="shared" si="231"/>
        <v/>
      </c>
      <c r="O1858" s="73" t="str">
        <f t="shared" si="232"/>
        <v/>
      </c>
      <c r="P1858" s="65" t="str">
        <f t="shared" ca="1" si="233"/>
        <v/>
      </c>
      <c r="Q1858" s="2"/>
      <c r="R1858" s="2"/>
      <c r="S1858" s="1" t="str">
        <f t="shared" si="226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227"/>
        <v>0</v>
      </c>
      <c r="W1858" s="1" t="str">
        <f t="shared" si="228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customHeight="1" x14ac:dyDescent="0.3">
      <c r="A1859" s="2"/>
      <c r="B1859" s="65" t="str">
        <f t="shared" si="229"/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 t="shared" si="230"/>
        <v/>
      </c>
      <c r="N1859" s="74" t="str">
        <f t="shared" si="231"/>
        <v/>
      </c>
      <c r="O1859" s="73" t="str">
        <f t="shared" si="232"/>
        <v/>
      </c>
      <c r="P1859" s="65" t="str">
        <f t="shared" ca="1" si="233"/>
        <v/>
      </c>
      <c r="Q1859" s="2"/>
      <c r="R1859" s="2"/>
      <c r="S1859" s="1" t="str">
        <f t="shared" si="226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227"/>
        <v>0</v>
      </c>
      <c r="W1859" s="1" t="str">
        <f t="shared" si="228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customHeight="1" x14ac:dyDescent="0.3">
      <c r="A1860" s="2"/>
      <c r="B1860" s="65" t="str">
        <f t="shared" si="229"/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 t="shared" si="230"/>
        <v/>
      </c>
      <c r="N1860" s="74" t="str">
        <f t="shared" si="231"/>
        <v/>
      </c>
      <c r="O1860" s="73" t="str">
        <f t="shared" si="232"/>
        <v/>
      </c>
      <c r="P1860" s="65" t="str">
        <f t="shared" ca="1" si="233"/>
        <v/>
      </c>
      <c r="Q1860" s="2"/>
      <c r="R1860" s="2"/>
      <c r="S1860" s="1" t="str">
        <f t="shared" si="226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227"/>
        <v>0</v>
      </c>
      <c r="W1860" s="1" t="str">
        <f t="shared" si="228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customHeight="1" x14ac:dyDescent="0.3">
      <c r="A1861" s="2"/>
      <c r="B1861" s="65" t="str">
        <f t="shared" si="229"/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 t="shared" si="230"/>
        <v/>
      </c>
      <c r="N1861" s="74" t="str">
        <f t="shared" si="231"/>
        <v/>
      </c>
      <c r="O1861" s="73" t="str">
        <f t="shared" si="232"/>
        <v/>
      </c>
      <c r="P1861" s="65" t="str">
        <f t="shared" ca="1" si="233"/>
        <v/>
      </c>
      <c r="Q1861" s="2"/>
      <c r="R1861" s="2"/>
      <c r="S1861" s="1" t="str">
        <f t="shared" ref="S1861:S1924" si="234"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ref="V1861:V1924" si="235">IF($T1861="",0,1)</f>
        <v>0</v>
      </c>
      <c r="W1861" s="1" t="str">
        <f t="shared" ref="W1861:W1924" si="236">IF($C1861="","",$D1861&amp;"|"&amp;$E1861&amp;"|"&amp;TEXT($C1861,"0")&amp;"|"&amp;TEXT($G1861,"0")&amp;"|"&amp;$F1861&amp;"|"&amp;$J1861)</f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customHeight="1" x14ac:dyDescent="0.3">
      <c r="A1862" s="2"/>
      <c r="B1862" s="65" t="str">
        <f t="shared" si="229"/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 t="shared" si="230"/>
        <v/>
      </c>
      <c r="N1862" s="74" t="str">
        <f t="shared" si="231"/>
        <v/>
      </c>
      <c r="O1862" s="73" t="str">
        <f t="shared" si="232"/>
        <v/>
      </c>
      <c r="P1862" s="65" t="str">
        <f t="shared" ca="1" si="233"/>
        <v/>
      </c>
      <c r="Q1862" s="2"/>
      <c r="R1862" s="2"/>
      <c r="S1862" s="1" t="str">
        <f t="shared" si="234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235"/>
        <v>0</v>
      </c>
      <c r="W1862" s="1" t="str">
        <f t="shared" si="236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customHeight="1" x14ac:dyDescent="0.3">
      <c r="A1863" s="2"/>
      <c r="B1863" s="65" t="str">
        <f t="shared" ref="B1863:B1926" si="237"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 t="shared" ref="M1863:M1926" si="238">IF($C1863="","",IF($D1863="Gider",$E1863,IF($L1863&lt;&gt;"",$L1863,$H1863)))</f>
        <v/>
      </c>
      <c r="N1863" s="74" t="str">
        <f t="shared" ref="N1863:N1926" si="239">IF($C1863="","",IF($D1863="Gider",$H1863,$E1863))</f>
        <v/>
      </c>
      <c r="O1863" s="73" t="str">
        <f t="shared" ref="O1863:O1926" si="240">IF($C1863="","",DATE(YEAR($C1863),MONTH($C1863),1))</f>
        <v/>
      </c>
      <c r="P1863" s="65" t="str">
        <f t="shared" ref="P1863:P1926" ca="1" si="241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TARİH",IF(COUNTIF($W$7:$W$3001,$W1863)&gt;1,"MÜKERRER?",IF($AD1863&gt;0,"KAPALI DÖNEM",IF($I1863="Hayır","ÖDENECEK","UYGUN")))),"EKSİK"))))</f>
        <v/>
      </c>
      <c r="Q1863" s="2"/>
      <c r="R1863" s="2"/>
      <c r="S1863" s="1" t="str">
        <f t="shared" si="234"/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si="235"/>
        <v>0</v>
      </c>
      <c r="W1863" s="1" t="str">
        <f t="shared" si="236"/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customHeight="1" x14ac:dyDescent="0.3">
      <c r="A1864" s="2"/>
      <c r="B1864" s="65" t="str">
        <f t="shared" si="237"/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 t="shared" si="238"/>
        <v/>
      </c>
      <c r="N1864" s="74" t="str">
        <f t="shared" si="239"/>
        <v/>
      </c>
      <c r="O1864" s="73" t="str">
        <f t="shared" si="240"/>
        <v/>
      </c>
      <c r="P1864" s="65" t="str">
        <f t="shared" ca="1" si="241"/>
        <v/>
      </c>
      <c r="Q1864" s="2"/>
      <c r="R1864" s="2"/>
      <c r="S1864" s="1" t="str">
        <f t="shared" si="234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235"/>
        <v>0</v>
      </c>
      <c r="W1864" s="1" t="str">
        <f t="shared" si="236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customHeight="1" x14ac:dyDescent="0.3">
      <c r="A1865" s="2"/>
      <c r="B1865" s="65" t="str">
        <f t="shared" si="237"/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 t="shared" si="238"/>
        <v/>
      </c>
      <c r="N1865" s="74" t="str">
        <f t="shared" si="239"/>
        <v/>
      </c>
      <c r="O1865" s="73" t="str">
        <f t="shared" si="240"/>
        <v/>
      </c>
      <c r="P1865" s="65" t="str">
        <f t="shared" ca="1" si="241"/>
        <v/>
      </c>
      <c r="Q1865" s="2"/>
      <c r="R1865" s="2"/>
      <c r="S1865" s="1" t="str">
        <f t="shared" si="234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235"/>
        <v>0</v>
      </c>
      <c r="W1865" s="1" t="str">
        <f t="shared" si="236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customHeight="1" x14ac:dyDescent="0.3">
      <c r="A1866" s="2"/>
      <c r="B1866" s="65" t="str">
        <f t="shared" si="237"/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 t="shared" si="238"/>
        <v/>
      </c>
      <c r="N1866" s="74" t="str">
        <f t="shared" si="239"/>
        <v/>
      </c>
      <c r="O1866" s="73" t="str">
        <f t="shared" si="240"/>
        <v/>
      </c>
      <c r="P1866" s="65" t="str">
        <f t="shared" ca="1" si="241"/>
        <v/>
      </c>
      <c r="Q1866" s="2"/>
      <c r="R1866" s="2"/>
      <c r="S1866" s="1" t="str">
        <f t="shared" si="234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235"/>
        <v>0</v>
      </c>
      <c r="W1866" s="1" t="str">
        <f t="shared" si="236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customHeight="1" x14ac:dyDescent="0.3">
      <c r="A1867" s="2"/>
      <c r="B1867" s="65" t="str">
        <f t="shared" si="237"/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 t="shared" si="238"/>
        <v/>
      </c>
      <c r="N1867" s="74" t="str">
        <f t="shared" si="239"/>
        <v/>
      </c>
      <c r="O1867" s="73" t="str">
        <f t="shared" si="240"/>
        <v/>
      </c>
      <c r="P1867" s="65" t="str">
        <f t="shared" ca="1" si="241"/>
        <v/>
      </c>
      <c r="Q1867" s="2"/>
      <c r="R1867" s="2"/>
      <c r="S1867" s="1" t="str">
        <f t="shared" si="234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235"/>
        <v>0</v>
      </c>
      <c r="W1867" s="1" t="str">
        <f t="shared" si="236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customHeight="1" x14ac:dyDescent="0.3">
      <c r="A1868" s="2"/>
      <c r="B1868" s="65" t="str">
        <f t="shared" si="237"/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 t="shared" si="238"/>
        <v/>
      </c>
      <c r="N1868" s="74" t="str">
        <f t="shared" si="239"/>
        <v/>
      </c>
      <c r="O1868" s="73" t="str">
        <f t="shared" si="240"/>
        <v/>
      </c>
      <c r="P1868" s="65" t="str">
        <f t="shared" ca="1" si="241"/>
        <v/>
      </c>
      <c r="Q1868" s="2"/>
      <c r="R1868" s="2"/>
      <c r="S1868" s="1" t="str">
        <f t="shared" si="234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235"/>
        <v>0</v>
      </c>
      <c r="W1868" s="1" t="str">
        <f t="shared" si="236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customHeight="1" x14ac:dyDescent="0.3">
      <c r="A1869" s="2"/>
      <c r="B1869" s="65" t="str">
        <f t="shared" si="237"/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 t="shared" si="238"/>
        <v/>
      </c>
      <c r="N1869" s="74" t="str">
        <f t="shared" si="239"/>
        <v/>
      </c>
      <c r="O1869" s="73" t="str">
        <f t="shared" si="240"/>
        <v/>
      </c>
      <c r="P1869" s="65" t="str">
        <f t="shared" ca="1" si="241"/>
        <v/>
      </c>
      <c r="Q1869" s="2"/>
      <c r="R1869" s="2"/>
      <c r="S1869" s="1" t="str">
        <f t="shared" si="234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235"/>
        <v>0</v>
      </c>
      <c r="W1869" s="1" t="str">
        <f t="shared" si="236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customHeight="1" x14ac:dyDescent="0.3">
      <c r="A1870" s="2"/>
      <c r="B1870" s="65" t="str">
        <f t="shared" si="237"/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 t="shared" si="238"/>
        <v/>
      </c>
      <c r="N1870" s="74" t="str">
        <f t="shared" si="239"/>
        <v/>
      </c>
      <c r="O1870" s="73" t="str">
        <f t="shared" si="240"/>
        <v/>
      </c>
      <c r="P1870" s="65" t="str">
        <f t="shared" ca="1" si="241"/>
        <v/>
      </c>
      <c r="Q1870" s="2"/>
      <c r="R1870" s="2"/>
      <c r="S1870" s="1" t="str">
        <f t="shared" si="234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235"/>
        <v>0</v>
      </c>
      <c r="W1870" s="1" t="str">
        <f t="shared" si="236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customHeight="1" x14ac:dyDescent="0.3">
      <c r="A1871" s="2"/>
      <c r="B1871" s="65" t="str">
        <f t="shared" si="237"/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 t="shared" si="238"/>
        <v/>
      </c>
      <c r="N1871" s="74" t="str">
        <f t="shared" si="239"/>
        <v/>
      </c>
      <c r="O1871" s="73" t="str">
        <f t="shared" si="240"/>
        <v/>
      </c>
      <c r="P1871" s="65" t="str">
        <f t="shared" ca="1" si="241"/>
        <v/>
      </c>
      <c r="Q1871" s="2"/>
      <c r="R1871" s="2"/>
      <c r="S1871" s="1" t="str">
        <f t="shared" si="234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235"/>
        <v>0</v>
      </c>
      <c r="W1871" s="1" t="str">
        <f t="shared" si="236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customHeight="1" x14ac:dyDescent="0.3">
      <c r="A1872" s="2"/>
      <c r="B1872" s="65" t="str">
        <f t="shared" si="237"/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 t="shared" si="238"/>
        <v/>
      </c>
      <c r="N1872" s="74" t="str">
        <f t="shared" si="239"/>
        <v/>
      </c>
      <c r="O1872" s="73" t="str">
        <f t="shared" si="240"/>
        <v/>
      </c>
      <c r="P1872" s="65" t="str">
        <f t="shared" ca="1" si="241"/>
        <v/>
      </c>
      <c r="Q1872" s="2"/>
      <c r="R1872" s="2"/>
      <c r="S1872" s="1" t="str">
        <f t="shared" si="234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235"/>
        <v>0</v>
      </c>
      <c r="W1872" s="1" t="str">
        <f t="shared" si="236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customHeight="1" x14ac:dyDescent="0.3">
      <c r="A1873" s="2"/>
      <c r="B1873" s="65" t="str">
        <f t="shared" si="237"/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 t="shared" si="238"/>
        <v/>
      </c>
      <c r="N1873" s="74" t="str">
        <f t="shared" si="239"/>
        <v/>
      </c>
      <c r="O1873" s="73" t="str">
        <f t="shared" si="240"/>
        <v/>
      </c>
      <c r="P1873" s="65" t="str">
        <f t="shared" ca="1" si="241"/>
        <v/>
      </c>
      <c r="Q1873" s="2"/>
      <c r="R1873" s="2"/>
      <c r="S1873" s="1" t="str">
        <f t="shared" si="234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235"/>
        <v>0</v>
      </c>
      <c r="W1873" s="1" t="str">
        <f t="shared" si="236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customHeight="1" x14ac:dyDescent="0.3">
      <c r="A1874" s="2"/>
      <c r="B1874" s="65" t="str">
        <f t="shared" si="237"/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 t="shared" si="238"/>
        <v/>
      </c>
      <c r="N1874" s="74" t="str">
        <f t="shared" si="239"/>
        <v/>
      </c>
      <c r="O1874" s="73" t="str">
        <f t="shared" si="240"/>
        <v/>
      </c>
      <c r="P1874" s="65" t="str">
        <f t="shared" ca="1" si="241"/>
        <v/>
      </c>
      <c r="Q1874" s="2"/>
      <c r="R1874" s="2"/>
      <c r="S1874" s="1" t="str">
        <f t="shared" si="234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235"/>
        <v>0</v>
      </c>
      <c r="W1874" s="1" t="str">
        <f t="shared" si="236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customHeight="1" x14ac:dyDescent="0.3">
      <c r="A1875" s="2"/>
      <c r="B1875" s="65" t="str">
        <f t="shared" si="237"/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 t="shared" si="238"/>
        <v/>
      </c>
      <c r="N1875" s="74" t="str">
        <f t="shared" si="239"/>
        <v/>
      </c>
      <c r="O1875" s="73" t="str">
        <f t="shared" si="240"/>
        <v/>
      </c>
      <c r="P1875" s="65" t="str">
        <f t="shared" ca="1" si="241"/>
        <v/>
      </c>
      <c r="Q1875" s="2"/>
      <c r="R1875" s="2"/>
      <c r="S1875" s="1" t="str">
        <f t="shared" si="234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235"/>
        <v>0</v>
      </c>
      <c r="W1875" s="1" t="str">
        <f t="shared" si="236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customHeight="1" x14ac:dyDescent="0.3">
      <c r="A1876" s="2"/>
      <c r="B1876" s="65" t="str">
        <f t="shared" si="237"/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 t="shared" si="238"/>
        <v/>
      </c>
      <c r="N1876" s="74" t="str">
        <f t="shared" si="239"/>
        <v/>
      </c>
      <c r="O1876" s="73" t="str">
        <f t="shared" si="240"/>
        <v/>
      </c>
      <c r="P1876" s="65" t="str">
        <f t="shared" ca="1" si="241"/>
        <v/>
      </c>
      <c r="Q1876" s="2"/>
      <c r="R1876" s="2"/>
      <c r="S1876" s="1" t="str">
        <f t="shared" si="234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235"/>
        <v>0</v>
      </c>
      <c r="W1876" s="1" t="str">
        <f t="shared" si="236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customHeight="1" x14ac:dyDescent="0.3">
      <c r="A1877" s="2"/>
      <c r="B1877" s="65" t="str">
        <f t="shared" si="237"/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 t="shared" si="238"/>
        <v/>
      </c>
      <c r="N1877" s="74" t="str">
        <f t="shared" si="239"/>
        <v/>
      </c>
      <c r="O1877" s="73" t="str">
        <f t="shared" si="240"/>
        <v/>
      </c>
      <c r="P1877" s="65" t="str">
        <f t="shared" ca="1" si="241"/>
        <v/>
      </c>
      <c r="Q1877" s="2"/>
      <c r="R1877" s="2"/>
      <c r="S1877" s="1" t="str">
        <f t="shared" si="234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235"/>
        <v>0</v>
      </c>
      <c r="W1877" s="1" t="str">
        <f t="shared" si="236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customHeight="1" x14ac:dyDescent="0.3">
      <c r="A1878" s="2"/>
      <c r="B1878" s="65" t="str">
        <f t="shared" si="237"/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 t="shared" si="238"/>
        <v/>
      </c>
      <c r="N1878" s="74" t="str">
        <f t="shared" si="239"/>
        <v/>
      </c>
      <c r="O1878" s="73" t="str">
        <f t="shared" si="240"/>
        <v/>
      </c>
      <c r="P1878" s="65" t="str">
        <f t="shared" ca="1" si="241"/>
        <v/>
      </c>
      <c r="Q1878" s="2"/>
      <c r="R1878" s="2"/>
      <c r="S1878" s="1" t="str">
        <f t="shared" si="234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235"/>
        <v>0</v>
      </c>
      <c r="W1878" s="1" t="str">
        <f t="shared" si="236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customHeight="1" x14ac:dyDescent="0.3">
      <c r="A1879" s="2"/>
      <c r="B1879" s="65" t="str">
        <f t="shared" si="237"/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 t="shared" si="238"/>
        <v/>
      </c>
      <c r="N1879" s="74" t="str">
        <f t="shared" si="239"/>
        <v/>
      </c>
      <c r="O1879" s="73" t="str">
        <f t="shared" si="240"/>
        <v/>
      </c>
      <c r="P1879" s="65" t="str">
        <f t="shared" ca="1" si="241"/>
        <v/>
      </c>
      <c r="Q1879" s="2"/>
      <c r="R1879" s="2"/>
      <c r="S1879" s="1" t="str">
        <f t="shared" si="234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235"/>
        <v>0</v>
      </c>
      <c r="W1879" s="1" t="str">
        <f t="shared" si="236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customHeight="1" x14ac:dyDescent="0.3">
      <c r="A1880" s="2"/>
      <c r="B1880" s="65" t="str">
        <f t="shared" si="237"/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 t="shared" si="238"/>
        <v/>
      </c>
      <c r="N1880" s="74" t="str">
        <f t="shared" si="239"/>
        <v/>
      </c>
      <c r="O1880" s="73" t="str">
        <f t="shared" si="240"/>
        <v/>
      </c>
      <c r="P1880" s="65" t="str">
        <f t="shared" ca="1" si="241"/>
        <v/>
      </c>
      <c r="Q1880" s="2"/>
      <c r="R1880" s="2"/>
      <c r="S1880" s="1" t="str">
        <f t="shared" si="234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235"/>
        <v>0</v>
      </c>
      <c r="W1880" s="1" t="str">
        <f t="shared" si="236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customHeight="1" x14ac:dyDescent="0.3">
      <c r="A1881" s="2"/>
      <c r="B1881" s="65" t="str">
        <f t="shared" si="237"/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 t="shared" si="238"/>
        <v/>
      </c>
      <c r="N1881" s="74" t="str">
        <f t="shared" si="239"/>
        <v/>
      </c>
      <c r="O1881" s="73" t="str">
        <f t="shared" si="240"/>
        <v/>
      </c>
      <c r="P1881" s="65" t="str">
        <f t="shared" ca="1" si="241"/>
        <v/>
      </c>
      <c r="Q1881" s="2"/>
      <c r="R1881" s="2"/>
      <c r="S1881" s="1" t="str">
        <f t="shared" si="234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235"/>
        <v>0</v>
      </c>
      <c r="W1881" s="1" t="str">
        <f t="shared" si="236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customHeight="1" x14ac:dyDescent="0.3">
      <c r="A1882" s="2"/>
      <c r="B1882" s="65" t="str">
        <f t="shared" si="237"/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 t="shared" si="238"/>
        <v/>
      </c>
      <c r="N1882" s="74" t="str">
        <f t="shared" si="239"/>
        <v/>
      </c>
      <c r="O1882" s="73" t="str">
        <f t="shared" si="240"/>
        <v/>
      </c>
      <c r="P1882" s="65" t="str">
        <f t="shared" ca="1" si="241"/>
        <v/>
      </c>
      <c r="Q1882" s="2"/>
      <c r="R1882" s="2"/>
      <c r="S1882" s="1" t="str">
        <f t="shared" si="234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235"/>
        <v>0</v>
      </c>
      <c r="W1882" s="1" t="str">
        <f t="shared" si="236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customHeight="1" x14ac:dyDescent="0.3">
      <c r="A1883" s="2"/>
      <c r="B1883" s="65" t="str">
        <f t="shared" si="237"/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 t="shared" si="238"/>
        <v/>
      </c>
      <c r="N1883" s="74" t="str">
        <f t="shared" si="239"/>
        <v/>
      </c>
      <c r="O1883" s="73" t="str">
        <f t="shared" si="240"/>
        <v/>
      </c>
      <c r="P1883" s="65" t="str">
        <f t="shared" ca="1" si="241"/>
        <v/>
      </c>
      <c r="Q1883" s="2"/>
      <c r="R1883" s="2"/>
      <c r="S1883" s="1" t="str">
        <f t="shared" si="234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235"/>
        <v>0</v>
      </c>
      <c r="W1883" s="1" t="str">
        <f t="shared" si="236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customHeight="1" x14ac:dyDescent="0.3">
      <c r="A1884" s="2"/>
      <c r="B1884" s="65" t="str">
        <f t="shared" si="237"/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 t="shared" si="238"/>
        <v/>
      </c>
      <c r="N1884" s="74" t="str">
        <f t="shared" si="239"/>
        <v/>
      </c>
      <c r="O1884" s="73" t="str">
        <f t="shared" si="240"/>
        <v/>
      </c>
      <c r="P1884" s="65" t="str">
        <f t="shared" ca="1" si="241"/>
        <v/>
      </c>
      <c r="Q1884" s="2"/>
      <c r="R1884" s="2"/>
      <c r="S1884" s="1" t="str">
        <f t="shared" si="234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235"/>
        <v>0</v>
      </c>
      <c r="W1884" s="1" t="str">
        <f t="shared" si="236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customHeight="1" x14ac:dyDescent="0.3">
      <c r="A1885" s="2"/>
      <c r="B1885" s="65" t="str">
        <f t="shared" si="237"/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 t="shared" si="238"/>
        <v/>
      </c>
      <c r="N1885" s="74" t="str">
        <f t="shared" si="239"/>
        <v/>
      </c>
      <c r="O1885" s="73" t="str">
        <f t="shared" si="240"/>
        <v/>
      </c>
      <c r="P1885" s="65" t="str">
        <f t="shared" ca="1" si="241"/>
        <v/>
      </c>
      <c r="Q1885" s="2"/>
      <c r="R1885" s="2"/>
      <c r="S1885" s="1" t="str">
        <f t="shared" si="234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235"/>
        <v>0</v>
      </c>
      <c r="W1885" s="1" t="str">
        <f t="shared" si="236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customHeight="1" x14ac:dyDescent="0.3">
      <c r="A1886" s="2"/>
      <c r="B1886" s="65" t="str">
        <f t="shared" si="237"/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 t="shared" si="238"/>
        <v/>
      </c>
      <c r="N1886" s="74" t="str">
        <f t="shared" si="239"/>
        <v/>
      </c>
      <c r="O1886" s="73" t="str">
        <f t="shared" si="240"/>
        <v/>
      </c>
      <c r="P1886" s="65" t="str">
        <f t="shared" ca="1" si="241"/>
        <v/>
      </c>
      <c r="Q1886" s="2"/>
      <c r="R1886" s="2"/>
      <c r="S1886" s="1" t="str">
        <f t="shared" si="234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235"/>
        <v>0</v>
      </c>
      <c r="W1886" s="1" t="str">
        <f t="shared" si="236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customHeight="1" x14ac:dyDescent="0.3">
      <c r="A1887" s="2"/>
      <c r="B1887" s="65" t="str">
        <f t="shared" si="237"/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 t="shared" si="238"/>
        <v/>
      </c>
      <c r="N1887" s="74" t="str">
        <f t="shared" si="239"/>
        <v/>
      </c>
      <c r="O1887" s="73" t="str">
        <f t="shared" si="240"/>
        <v/>
      </c>
      <c r="P1887" s="65" t="str">
        <f t="shared" ca="1" si="241"/>
        <v/>
      </c>
      <c r="Q1887" s="2"/>
      <c r="R1887" s="2"/>
      <c r="S1887" s="1" t="str">
        <f t="shared" si="234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235"/>
        <v>0</v>
      </c>
      <c r="W1887" s="1" t="str">
        <f t="shared" si="236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customHeight="1" x14ac:dyDescent="0.3">
      <c r="A1888" s="2"/>
      <c r="B1888" s="65" t="str">
        <f t="shared" si="237"/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 t="shared" si="238"/>
        <v/>
      </c>
      <c r="N1888" s="74" t="str">
        <f t="shared" si="239"/>
        <v/>
      </c>
      <c r="O1888" s="73" t="str">
        <f t="shared" si="240"/>
        <v/>
      </c>
      <c r="P1888" s="65" t="str">
        <f t="shared" ca="1" si="241"/>
        <v/>
      </c>
      <c r="Q1888" s="2"/>
      <c r="R1888" s="2"/>
      <c r="S1888" s="1" t="str">
        <f t="shared" si="234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235"/>
        <v>0</v>
      </c>
      <c r="W1888" s="1" t="str">
        <f t="shared" si="236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customHeight="1" x14ac:dyDescent="0.3">
      <c r="A1889" s="2"/>
      <c r="B1889" s="65" t="str">
        <f t="shared" si="237"/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 t="shared" si="238"/>
        <v/>
      </c>
      <c r="N1889" s="74" t="str">
        <f t="shared" si="239"/>
        <v/>
      </c>
      <c r="O1889" s="73" t="str">
        <f t="shared" si="240"/>
        <v/>
      </c>
      <c r="P1889" s="65" t="str">
        <f t="shared" ca="1" si="241"/>
        <v/>
      </c>
      <c r="Q1889" s="2"/>
      <c r="R1889" s="2"/>
      <c r="S1889" s="1" t="str">
        <f t="shared" si="234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235"/>
        <v>0</v>
      </c>
      <c r="W1889" s="1" t="str">
        <f t="shared" si="236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customHeight="1" x14ac:dyDescent="0.3">
      <c r="A1890" s="2"/>
      <c r="B1890" s="65" t="str">
        <f t="shared" si="237"/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 t="shared" si="238"/>
        <v/>
      </c>
      <c r="N1890" s="74" t="str">
        <f t="shared" si="239"/>
        <v/>
      </c>
      <c r="O1890" s="73" t="str">
        <f t="shared" si="240"/>
        <v/>
      </c>
      <c r="P1890" s="65" t="str">
        <f t="shared" ca="1" si="241"/>
        <v/>
      </c>
      <c r="Q1890" s="2"/>
      <c r="R1890" s="2"/>
      <c r="S1890" s="1" t="str">
        <f t="shared" si="234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235"/>
        <v>0</v>
      </c>
      <c r="W1890" s="1" t="str">
        <f t="shared" si="236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customHeight="1" x14ac:dyDescent="0.3">
      <c r="A1891" s="2"/>
      <c r="B1891" s="65" t="str">
        <f t="shared" si="237"/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 t="shared" si="238"/>
        <v/>
      </c>
      <c r="N1891" s="74" t="str">
        <f t="shared" si="239"/>
        <v/>
      </c>
      <c r="O1891" s="73" t="str">
        <f t="shared" si="240"/>
        <v/>
      </c>
      <c r="P1891" s="65" t="str">
        <f t="shared" ca="1" si="241"/>
        <v/>
      </c>
      <c r="Q1891" s="2"/>
      <c r="R1891" s="2"/>
      <c r="S1891" s="1" t="str">
        <f t="shared" si="234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235"/>
        <v>0</v>
      </c>
      <c r="W1891" s="1" t="str">
        <f t="shared" si="236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customHeight="1" x14ac:dyDescent="0.3">
      <c r="A1892" s="2"/>
      <c r="B1892" s="65" t="str">
        <f t="shared" si="237"/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 t="shared" si="238"/>
        <v/>
      </c>
      <c r="N1892" s="74" t="str">
        <f t="shared" si="239"/>
        <v/>
      </c>
      <c r="O1892" s="73" t="str">
        <f t="shared" si="240"/>
        <v/>
      </c>
      <c r="P1892" s="65" t="str">
        <f t="shared" ca="1" si="241"/>
        <v/>
      </c>
      <c r="Q1892" s="2"/>
      <c r="R1892" s="2"/>
      <c r="S1892" s="1" t="str">
        <f t="shared" si="234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235"/>
        <v>0</v>
      </c>
      <c r="W1892" s="1" t="str">
        <f t="shared" si="236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customHeight="1" x14ac:dyDescent="0.3">
      <c r="A1893" s="2"/>
      <c r="B1893" s="65" t="str">
        <f t="shared" si="237"/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 t="shared" si="238"/>
        <v/>
      </c>
      <c r="N1893" s="74" t="str">
        <f t="shared" si="239"/>
        <v/>
      </c>
      <c r="O1893" s="73" t="str">
        <f t="shared" si="240"/>
        <v/>
      </c>
      <c r="P1893" s="65" t="str">
        <f t="shared" ca="1" si="241"/>
        <v/>
      </c>
      <c r="Q1893" s="2"/>
      <c r="R1893" s="2"/>
      <c r="S1893" s="1" t="str">
        <f t="shared" si="234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235"/>
        <v>0</v>
      </c>
      <c r="W1893" s="1" t="str">
        <f t="shared" si="236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customHeight="1" x14ac:dyDescent="0.3">
      <c r="A1894" s="2"/>
      <c r="B1894" s="65" t="str">
        <f t="shared" si="237"/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 t="shared" si="238"/>
        <v/>
      </c>
      <c r="N1894" s="74" t="str">
        <f t="shared" si="239"/>
        <v/>
      </c>
      <c r="O1894" s="73" t="str">
        <f t="shared" si="240"/>
        <v/>
      </c>
      <c r="P1894" s="65" t="str">
        <f t="shared" ca="1" si="241"/>
        <v/>
      </c>
      <c r="Q1894" s="2"/>
      <c r="R1894" s="2"/>
      <c r="S1894" s="1" t="str">
        <f t="shared" si="234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235"/>
        <v>0</v>
      </c>
      <c r="W1894" s="1" t="str">
        <f t="shared" si="236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customHeight="1" x14ac:dyDescent="0.3">
      <c r="A1895" s="2"/>
      <c r="B1895" s="65" t="str">
        <f t="shared" si="237"/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 t="shared" si="238"/>
        <v/>
      </c>
      <c r="N1895" s="74" t="str">
        <f t="shared" si="239"/>
        <v/>
      </c>
      <c r="O1895" s="73" t="str">
        <f t="shared" si="240"/>
        <v/>
      </c>
      <c r="P1895" s="65" t="str">
        <f t="shared" ca="1" si="241"/>
        <v/>
      </c>
      <c r="Q1895" s="2"/>
      <c r="R1895" s="2"/>
      <c r="S1895" s="1" t="str">
        <f t="shared" si="234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235"/>
        <v>0</v>
      </c>
      <c r="W1895" s="1" t="str">
        <f t="shared" si="236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customHeight="1" x14ac:dyDescent="0.3">
      <c r="A1896" s="2"/>
      <c r="B1896" s="65" t="str">
        <f t="shared" si="237"/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 t="shared" si="238"/>
        <v/>
      </c>
      <c r="N1896" s="74" t="str">
        <f t="shared" si="239"/>
        <v/>
      </c>
      <c r="O1896" s="73" t="str">
        <f t="shared" si="240"/>
        <v/>
      </c>
      <c r="P1896" s="65" t="str">
        <f t="shared" ca="1" si="241"/>
        <v/>
      </c>
      <c r="Q1896" s="2"/>
      <c r="R1896" s="2"/>
      <c r="S1896" s="1" t="str">
        <f t="shared" si="234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235"/>
        <v>0</v>
      </c>
      <c r="W1896" s="1" t="str">
        <f t="shared" si="236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customHeight="1" x14ac:dyDescent="0.3">
      <c r="A1897" s="2"/>
      <c r="B1897" s="65" t="str">
        <f t="shared" si="237"/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 t="shared" si="238"/>
        <v/>
      </c>
      <c r="N1897" s="74" t="str">
        <f t="shared" si="239"/>
        <v/>
      </c>
      <c r="O1897" s="73" t="str">
        <f t="shared" si="240"/>
        <v/>
      </c>
      <c r="P1897" s="65" t="str">
        <f t="shared" ca="1" si="241"/>
        <v/>
      </c>
      <c r="Q1897" s="2"/>
      <c r="R1897" s="2"/>
      <c r="S1897" s="1" t="str">
        <f t="shared" si="234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235"/>
        <v>0</v>
      </c>
      <c r="W1897" s="1" t="str">
        <f t="shared" si="236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customHeight="1" x14ac:dyDescent="0.3">
      <c r="A1898" s="2"/>
      <c r="B1898" s="65" t="str">
        <f t="shared" si="237"/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 t="shared" si="238"/>
        <v/>
      </c>
      <c r="N1898" s="74" t="str">
        <f t="shared" si="239"/>
        <v/>
      </c>
      <c r="O1898" s="73" t="str">
        <f t="shared" si="240"/>
        <v/>
      </c>
      <c r="P1898" s="65" t="str">
        <f t="shared" ca="1" si="241"/>
        <v/>
      </c>
      <c r="Q1898" s="2"/>
      <c r="R1898" s="2"/>
      <c r="S1898" s="1" t="str">
        <f t="shared" si="234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235"/>
        <v>0</v>
      </c>
      <c r="W1898" s="1" t="str">
        <f t="shared" si="236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customHeight="1" x14ac:dyDescent="0.3">
      <c r="A1899" s="2"/>
      <c r="B1899" s="65" t="str">
        <f t="shared" si="237"/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 t="shared" si="238"/>
        <v/>
      </c>
      <c r="N1899" s="74" t="str">
        <f t="shared" si="239"/>
        <v/>
      </c>
      <c r="O1899" s="73" t="str">
        <f t="shared" si="240"/>
        <v/>
      </c>
      <c r="P1899" s="65" t="str">
        <f t="shared" ca="1" si="241"/>
        <v/>
      </c>
      <c r="Q1899" s="2"/>
      <c r="R1899" s="2"/>
      <c r="S1899" s="1" t="str">
        <f t="shared" si="234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235"/>
        <v>0</v>
      </c>
      <c r="W1899" s="1" t="str">
        <f t="shared" si="236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customHeight="1" x14ac:dyDescent="0.3">
      <c r="A1900" s="2"/>
      <c r="B1900" s="65" t="str">
        <f t="shared" si="237"/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 t="shared" si="238"/>
        <v/>
      </c>
      <c r="N1900" s="74" t="str">
        <f t="shared" si="239"/>
        <v/>
      </c>
      <c r="O1900" s="73" t="str">
        <f t="shared" si="240"/>
        <v/>
      </c>
      <c r="P1900" s="65" t="str">
        <f t="shared" ca="1" si="241"/>
        <v/>
      </c>
      <c r="Q1900" s="2"/>
      <c r="R1900" s="2"/>
      <c r="S1900" s="1" t="str">
        <f t="shared" si="234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235"/>
        <v>0</v>
      </c>
      <c r="W1900" s="1" t="str">
        <f t="shared" si="236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customHeight="1" x14ac:dyDescent="0.3">
      <c r="A1901" s="2"/>
      <c r="B1901" s="65" t="str">
        <f t="shared" si="237"/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 t="shared" si="238"/>
        <v/>
      </c>
      <c r="N1901" s="74" t="str">
        <f t="shared" si="239"/>
        <v/>
      </c>
      <c r="O1901" s="73" t="str">
        <f t="shared" si="240"/>
        <v/>
      </c>
      <c r="P1901" s="65" t="str">
        <f t="shared" ca="1" si="241"/>
        <v/>
      </c>
      <c r="Q1901" s="2"/>
      <c r="R1901" s="2"/>
      <c r="S1901" s="1" t="str">
        <f t="shared" si="234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235"/>
        <v>0</v>
      </c>
      <c r="W1901" s="1" t="str">
        <f t="shared" si="236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customHeight="1" x14ac:dyDescent="0.3">
      <c r="A1902" s="2"/>
      <c r="B1902" s="65" t="str">
        <f t="shared" si="237"/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 t="shared" si="238"/>
        <v/>
      </c>
      <c r="N1902" s="74" t="str">
        <f t="shared" si="239"/>
        <v/>
      </c>
      <c r="O1902" s="73" t="str">
        <f t="shared" si="240"/>
        <v/>
      </c>
      <c r="P1902" s="65" t="str">
        <f t="shared" ca="1" si="241"/>
        <v/>
      </c>
      <c r="Q1902" s="2"/>
      <c r="R1902" s="2"/>
      <c r="S1902" s="1" t="str">
        <f t="shared" si="234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235"/>
        <v>0</v>
      </c>
      <c r="W1902" s="1" t="str">
        <f t="shared" si="236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customHeight="1" x14ac:dyDescent="0.3">
      <c r="A1903" s="2"/>
      <c r="B1903" s="65" t="str">
        <f t="shared" si="237"/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 t="shared" si="238"/>
        <v/>
      </c>
      <c r="N1903" s="74" t="str">
        <f t="shared" si="239"/>
        <v/>
      </c>
      <c r="O1903" s="73" t="str">
        <f t="shared" si="240"/>
        <v/>
      </c>
      <c r="P1903" s="65" t="str">
        <f t="shared" ca="1" si="241"/>
        <v/>
      </c>
      <c r="Q1903" s="2"/>
      <c r="R1903" s="2"/>
      <c r="S1903" s="1" t="str">
        <f t="shared" si="234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235"/>
        <v>0</v>
      </c>
      <c r="W1903" s="1" t="str">
        <f t="shared" si="236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customHeight="1" x14ac:dyDescent="0.3">
      <c r="A1904" s="2"/>
      <c r="B1904" s="65" t="str">
        <f t="shared" si="237"/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 t="shared" si="238"/>
        <v/>
      </c>
      <c r="N1904" s="74" t="str">
        <f t="shared" si="239"/>
        <v/>
      </c>
      <c r="O1904" s="73" t="str">
        <f t="shared" si="240"/>
        <v/>
      </c>
      <c r="P1904" s="65" t="str">
        <f t="shared" ca="1" si="241"/>
        <v/>
      </c>
      <c r="Q1904" s="2"/>
      <c r="R1904" s="2"/>
      <c r="S1904" s="1" t="str">
        <f t="shared" si="234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235"/>
        <v>0</v>
      </c>
      <c r="W1904" s="1" t="str">
        <f t="shared" si="236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customHeight="1" x14ac:dyDescent="0.3">
      <c r="A1905" s="2"/>
      <c r="B1905" s="65" t="str">
        <f t="shared" si="237"/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 t="shared" si="238"/>
        <v/>
      </c>
      <c r="N1905" s="74" t="str">
        <f t="shared" si="239"/>
        <v/>
      </c>
      <c r="O1905" s="73" t="str">
        <f t="shared" si="240"/>
        <v/>
      </c>
      <c r="P1905" s="65" t="str">
        <f t="shared" ca="1" si="241"/>
        <v/>
      </c>
      <c r="Q1905" s="2"/>
      <c r="R1905" s="2"/>
      <c r="S1905" s="1" t="str">
        <f t="shared" si="234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235"/>
        <v>0</v>
      </c>
      <c r="W1905" s="1" t="str">
        <f t="shared" si="236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customHeight="1" x14ac:dyDescent="0.3">
      <c r="A1906" s="2"/>
      <c r="B1906" s="65" t="str">
        <f t="shared" si="237"/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 t="shared" si="238"/>
        <v/>
      </c>
      <c r="N1906" s="74" t="str">
        <f t="shared" si="239"/>
        <v/>
      </c>
      <c r="O1906" s="73" t="str">
        <f t="shared" si="240"/>
        <v/>
      </c>
      <c r="P1906" s="65" t="str">
        <f t="shared" ca="1" si="241"/>
        <v/>
      </c>
      <c r="Q1906" s="2"/>
      <c r="R1906" s="2"/>
      <c r="S1906" s="1" t="str">
        <f t="shared" si="234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235"/>
        <v>0</v>
      </c>
      <c r="W1906" s="1" t="str">
        <f t="shared" si="236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customHeight="1" x14ac:dyDescent="0.3">
      <c r="A1907" s="2"/>
      <c r="B1907" s="65" t="str">
        <f t="shared" si="237"/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 t="shared" si="238"/>
        <v/>
      </c>
      <c r="N1907" s="74" t="str">
        <f t="shared" si="239"/>
        <v/>
      </c>
      <c r="O1907" s="73" t="str">
        <f t="shared" si="240"/>
        <v/>
      </c>
      <c r="P1907" s="65" t="str">
        <f t="shared" ca="1" si="241"/>
        <v/>
      </c>
      <c r="Q1907" s="2"/>
      <c r="R1907" s="2"/>
      <c r="S1907" s="1" t="str">
        <f t="shared" si="234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235"/>
        <v>0</v>
      </c>
      <c r="W1907" s="1" t="str">
        <f t="shared" si="236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customHeight="1" x14ac:dyDescent="0.3">
      <c r="A1908" s="2"/>
      <c r="B1908" s="65" t="str">
        <f t="shared" si="237"/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 t="shared" si="238"/>
        <v/>
      </c>
      <c r="N1908" s="74" t="str">
        <f t="shared" si="239"/>
        <v/>
      </c>
      <c r="O1908" s="73" t="str">
        <f t="shared" si="240"/>
        <v/>
      </c>
      <c r="P1908" s="65" t="str">
        <f t="shared" ca="1" si="241"/>
        <v/>
      </c>
      <c r="Q1908" s="2"/>
      <c r="R1908" s="2"/>
      <c r="S1908" s="1" t="str">
        <f t="shared" si="234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235"/>
        <v>0</v>
      </c>
      <c r="W1908" s="1" t="str">
        <f t="shared" si="236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customHeight="1" x14ac:dyDescent="0.3">
      <c r="A1909" s="2"/>
      <c r="B1909" s="65" t="str">
        <f t="shared" si="237"/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 t="shared" si="238"/>
        <v/>
      </c>
      <c r="N1909" s="74" t="str">
        <f t="shared" si="239"/>
        <v/>
      </c>
      <c r="O1909" s="73" t="str">
        <f t="shared" si="240"/>
        <v/>
      </c>
      <c r="P1909" s="65" t="str">
        <f t="shared" ca="1" si="241"/>
        <v/>
      </c>
      <c r="Q1909" s="2"/>
      <c r="R1909" s="2"/>
      <c r="S1909" s="1" t="str">
        <f t="shared" si="234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235"/>
        <v>0</v>
      </c>
      <c r="W1909" s="1" t="str">
        <f t="shared" si="236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customHeight="1" x14ac:dyDescent="0.3">
      <c r="A1910" s="2"/>
      <c r="B1910" s="65" t="str">
        <f t="shared" si="237"/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 t="shared" si="238"/>
        <v/>
      </c>
      <c r="N1910" s="74" t="str">
        <f t="shared" si="239"/>
        <v/>
      </c>
      <c r="O1910" s="73" t="str">
        <f t="shared" si="240"/>
        <v/>
      </c>
      <c r="P1910" s="65" t="str">
        <f t="shared" ca="1" si="241"/>
        <v/>
      </c>
      <c r="Q1910" s="2"/>
      <c r="R1910" s="2"/>
      <c r="S1910" s="1" t="str">
        <f t="shared" si="234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235"/>
        <v>0</v>
      </c>
      <c r="W1910" s="1" t="str">
        <f t="shared" si="236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customHeight="1" x14ac:dyDescent="0.3">
      <c r="A1911" s="2"/>
      <c r="B1911" s="65" t="str">
        <f t="shared" si="237"/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 t="shared" si="238"/>
        <v/>
      </c>
      <c r="N1911" s="74" t="str">
        <f t="shared" si="239"/>
        <v/>
      </c>
      <c r="O1911" s="73" t="str">
        <f t="shared" si="240"/>
        <v/>
      </c>
      <c r="P1911" s="65" t="str">
        <f t="shared" ca="1" si="241"/>
        <v/>
      </c>
      <c r="Q1911" s="2"/>
      <c r="R1911" s="2"/>
      <c r="S1911" s="1" t="str">
        <f t="shared" si="234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235"/>
        <v>0</v>
      </c>
      <c r="W1911" s="1" t="str">
        <f t="shared" si="236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customHeight="1" x14ac:dyDescent="0.3">
      <c r="A1912" s="2"/>
      <c r="B1912" s="65" t="str">
        <f t="shared" si="237"/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 t="shared" si="238"/>
        <v/>
      </c>
      <c r="N1912" s="74" t="str">
        <f t="shared" si="239"/>
        <v/>
      </c>
      <c r="O1912" s="73" t="str">
        <f t="shared" si="240"/>
        <v/>
      </c>
      <c r="P1912" s="65" t="str">
        <f t="shared" ca="1" si="241"/>
        <v/>
      </c>
      <c r="Q1912" s="2"/>
      <c r="R1912" s="2"/>
      <c r="S1912" s="1" t="str">
        <f t="shared" si="234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235"/>
        <v>0</v>
      </c>
      <c r="W1912" s="1" t="str">
        <f t="shared" si="236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customHeight="1" x14ac:dyDescent="0.3">
      <c r="A1913" s="2"/>
      <c r="B1913" s="65" t="str">
        <f t="shared" si="237"/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 t="shared" si="238"/>
        <v/>
      </c>
      <c r="N1913" s="74" t="str">
        <f t="shared" si="239"/>
        <v/>
      </c>
      <c r="O1913" s="73" t="str">
        <f t="shared" si="240"/>
        <v/>
      </c>
      <c r="P1913" s="65" t="str">
        <f t="shared" ca="1" si="241"/>
        <v/>
      </c>
      <c r="Q1913" s="2"/>
      <c r="R1913" s="2"/>
      <c r="S1913" s="1" t="str">
        <f t="shared" si="234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235"/>
        <v>0</v>
      </c>
      <c r="W1913" s="1" t="str">
        <f t="shared" si="236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customHeight="1" x14ac:dyDescent="0.3">
      <c r="A1914" s="2"/>
      <c r="B1914" s="65" t="str">
        <f t="shared" si="237"/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 t="shared" si="238"/>
        <v/>
      </c>
      <c r="N1914" s="74" t="str">
        <f t="shared" si="239"/>
        <v/>
      </c>
      <c r="O1914" s="73" t="str">
        <f t="shared" si="240"/>
        <v/>
      </c>
      <c r="P1914" s="65" t="str">
        <f t="shared" ca="1" si="241"/>
        <v/>
      </c>
      <c r="Q1914" s="2"/>
      <c r="R1914" s="2"/>
      <c r="S1914" s="1" t="str">
        <f t="shared" si="234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235"/>
        <v>0</v>
      </c>
      <c r="W1914" s="1" t="str">
        <f t="shared" si="236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customHeight="1" x14ac:dyDescent="0.3">
      <c r="A1915" s="2"/>
      <c r="B1915" s="65" t="str">
        <f t="shared" si="237"/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 t="shared" si="238"/>
        <v/>
      </c>
      <c r="N1915" s="74" t="str">
        <f t="shared" si="239"/>
        <v/>
      </c>
      <c r="O1915" s="73" t="str">
        <f t="shared" si="240"/>
        <v/>
      </c>
      <c r="P1915" s="65" t="str">
        <f t="shared" ca="1" si="241"/>
        <v/>
      </c>
      <c r="Q1915" s="2"/>
      <c r="R1915" s="2"/>
      <c r="S1915" s="1" t="str">
        <f t="shared" si="234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235"/>
        <v>0</v>
      </c>
      <c r="W1915" s="1" t="str">
        <f t="shared" si="236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customHeight="1" x14ac:dyDescent="0.3">
      <c r="A1916" s="2"/>
      <c r="B1916" s="65" t="str">
        <f t="shared" si="237"/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 t="shared" si="238"/>
        <v/>
      </c>
      <c r="N1916" s="74" t="str">
        <f t="shared" si="239"/>
        <v/>
      </c>
      <c r="O1916" s="73" t="str">
        <f t="shared" si="240"/>
        <v/>
      </c>
      <c r="P1916" s="65" t="str">
        <f t="shared" ca="1" si="241"/>
        <v/>
      </c>
      <c r="Q1916" s="2"/>
      <c r="R1916" s="2"/>
      <c r="S1916" s="1" t="str">
        <f t="shared" si="234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235"/>
        <v>0</v>
      </c>
      <c r="W1916" s="1" t="str">
        <f t="shared" si="236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customHeight="1" x14ac:dyDescent="0.3">
      <c r="A1917" s="2"/>
      <c r="B1917" s="65" t="str">
        <f t="shared" si="237"/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 t="shared" si="238"/>
        <v/>
      </c>
      <c r="N1917" s="74" t="str">
        <f t="shared" si="239"/>
        <v/>
      </c>
      <c r="O1917" s="73" t="str">
        <f t="shared" si="240"/>
        <v/>
      </c>
      <c r="P1917" s="65" t="str">
        <f t="shared" ca="1" si="241"/>
        <v/>
      </c>
      <c r="Q1917" s="2"/>
      <c r="R1917" s="2"/>
      <c r="S1917" s="1" t="str">
        <f t="shared" si="234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235"/>
        <v>0</v>
      </c>
      <c r="W1917" s="1" t="str">
        <f t="shared" si="236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customHeight="1" x14ac:dyDescent="0.3">
      <c r="A1918" s="2"/>
      <c r="B1918" s="65" t="str">
        <f t="shared" si="237"/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 t="shared" si="238"/>
        <v/>
      </c>
      <c r="N1918" s="74" t="str">
        <f t="shared" si="239"/>
        <v/>
      </c>
      <c r="O1918" s="73" t="str">
        <f t="shared" si="240"/>
        <v/>
      </c>
      <c r="P1918" s="65" t="str">
        <f t="shared" ca="1" si="241"/>
        <v/>
      </c>
      <c r="Q1918" s="2"/>
      <c r="R1918" s="2"/>
      <c r="S1918" s="1" t="str">
        <f t="shared" si="234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235"/>
        <v>0</v>
      </c>
      <c r="W1918" s="1" t="str">
        <f t="shared" si="236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customHeight="1" x14ac:dyDescent="0.3">
      <c r="A1919" s="2"/>
      <c r="B1919" s="65" t="str">
        <f t="shared" si="237"/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 t="shared" si="238"/>
        <v/>
      </c>
      <c r="N1919" s="74" t="str">
        <f t="shared" si="239"/>
        <v/>
      </c>
      <c r="O1919" s="73" t="str">
        <f t="shared" si="240"/>
        <v/>
      </c>
      <c r="P1919" s="65" t="str">
        <f t="shared" ca="1" si="241"/>
        <v/>
      </c>
      <c r="Q1919" s="2"/>
      <c r="R1919" s="2"/>
      <c r="S1919" s="1" t="str">
        <f t="shared" si="234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235"/>
        <v>0</v>
      </c>
      <c r="W1919" s="1" t="str">
        <f t="shared" si="236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customHeight="1" x14ac:dyDescent="0.3">
      <c r="A1920" s="2"/>
      <c r="B1920" s="65" t="str">
        <f t="shared" si="237"/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 t="shared" si="238"/>
        <v/>
      </c>
      <c r="N1920" s="74" t="str">
        <f t="shared" si="239"/>
        <v/>
      </c>
      <c r="O1920" s="73" t="str">
        <f t="shared" si="240"/>
        <v/>
      </c>
      <c r="P1920" s="65" t="str">
        <f t="shared" ca="1" si="241"/>
        <v/>
      </c>
      <c r="Q1920" s="2"/>
      <c r="R1920" s="2"/>
      <c r="S1920" s="1" t="str">
        <f t="shared" si="234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235"/>
        <v>0</v>
      </c>
      <c r="W1920" s="1" t="str">
        <f t="shared" si="236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customHeight="1" x14ac:dyDescent="0.3">
      <c r="A1921" s="2"/>
      <c r="B1921" s="65" t="str">
        <f t="shared" si="237"/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 t="shared" si="238"/>
        <v/>
      </c>
      <c r="N1921" s="74" t="str">
        <f t="shared" si="239"/>
        <v/>
      </c>
      <c r="O1921" s="73" t="str">
        <f t="shared" si="240"/>
        <v/>
      </c>
      <c r="P1921" s="65" t="str">
        <f t="shared" ca="1" si="241"/>
        <v/>
      </c>
      <c r="Q1921" s="2"/>
      <c r="R1921" s="2"/>
      <c r="S1921" s="1" t="str">
        <f t="shared" si="234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235"/>
        <v>0</v>
      </c>
      <c r="W1921" s="1" t="str">
        <f t="shared" si="236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customHeight="1" x14ac:dyDescent="0.3">
      <c r="A1922" s="2"/>
      <c r="B1922" s="65" t="str">
        <f t="shared" si="237"/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 t="shared" si="238"/>
        <v/>
      </c>
      <c r="N1922" s="74" t="str">
        <f t="shared" si="239"/>
        <v/>
      </c>
      <c r="O1922" s="73" t="str">
        <f t="shared" si="240"/>
        <v/>
      </c>
      <c r="P1922" s="65" t="str">
        <f t="shared" ca="1" si="241"/>
        <v/>
      </c>
      <c r="Q1922" s="2"/>
      <c r="R1922" s="2"/>
      <c r="S1922" s="1" t="str">
        <f t="shared" si="234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235"/>
        <v>0</v>
      </c>
      <c r="W1922" s="1" t="str">
        <f t="shared" si="236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customHeight="1" x14ac:dyDescent="0.3">
      <c r="A1923" s="2"/>
      <c r="B1923" s="65" t="str">
        <f t="shared" si="237"/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 t="shared" si="238"/>
        <v/>
      </c>
      <c r="N1923" s="74" t="str">
        <f t="shared" si="239"/>
        <v/>
      </c>
      <c r="O1923" s="73" t="str">
        <f t="shared" si="240"/>
        <v/>
      </c>
      <c r="P1923" s="65" t="str">
        <f t="shared" ca="1" si="241"/>
        <v/>
      </c>
      <c r="Q1923" s="2"/>
      <c r="R1923" s="2"/>
      <c r="S1923" s="1" t="str">
        <f t="shared" si="234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235"/>
        <v>0</v>
      </c>
      <c r="W1923" s="1" t="str">
        <f t="shared" si="236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customHeight="1" x14ac:dyDescent="0.3">
      <c r="A1924" s="2"/>
      <c r="B1924" s="65" t="str">
        <f t="shared" si="237"/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 t="shared" si="238"/>
        <v/>
      </c>
      <c r="N1924" s="74" t="str">
        <f t="shared" si="239"/>
        <v/>
      </c>
      <c r="O1924" s="73" t="str">
        <f t="shared" si="240"/>
        <v/>
      </c>
      <c r="P1924" s="65" t="str">
        <f t="shared" ca="1" si="241"/>
        <v/>
      </c>
      <c r="Q1924" s="2"/>
      <c r="R1924" s="2"/>
      <c r="S1924" s="1" t="str">
        <f t="shared" si="234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235"/>
        <v>0</v>
      </c>
      <c r="W1924" s="1" t="str">
        <f t="shared" si="236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customHeight="1" x14ac:dyDescent="0.3">
      <c r="A1925" s="2"/>
      <c r="B1925" s="65" t="str">
        <f t="shared" si="237"/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 t="shared" si="238"/>
        <v/>
      </c>
      <c r="N1925" s="74" t="str">
        <f t="shared" si="239"/>
        <v/>
      </c>
      <c r="O1925" s="73" t="str">
        <f t="shared" si="240"/>
        <v/>
      </c>
      <c r="P1925" s="65" t="str">
        <f t="shared" ca="1" si="241"/>
        <v/>
      </c>
      <c r="Q1925" s="2"/>
      <c r="R1925" s="2"/>
      <c r="S1925" s="1" t="str">
        <f t="shared" ref="S1925:S1988" si="242"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ref="V1925:V1988" si="243">IF($T1925="",0,1)</f>
        <v>0</v>
      </c>
      <c r="W1925" s="1" t="str">
        <f t="shared" ref="W1925:W1988" si="244">IF($C1925="","",$D1925&amp;"|"&amp;$E1925&amp;"|"&amp;TEXT($C1925,"0")&amp;"|"&amp;TEXT($G1925,"0")&amp;"|"&amp;$F1925&amp;"|"&amp;$J1925)</f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customHeight="1" x14ac:dyDescent="0.3">
      <c r="A1926" s="2"/>
      <c r="B1926" s="65" t="str">
        <f t="shared" si="237"/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 t="shared" si="238"/>
        <v/>
      </c>
      <c r="N1926" s="74" t="str">
        <f t="shared" si="239"/>
        <v/>
      </c>
      <c r="O1926" s="73" t="str">
        <f t="shared" si="240"/>
        <v/>
      </c>
      <c r="P1926" s="65" t="str">
        <f t="shared" ca="1" si="241"/>
        <v/>
      </c>
      <c r="Q1926" s="2"/>
      <c r="R1926" s="2"/>
      <c r="S1926" s="1" t="str">
        <f t="shared" si="242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243"/>
        <v>0</v>
      </c>
      <c r="W1926" s="1" t="str">
        <f t="shared" si="244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customHeight="1" x14ac:dyDescent="0.3">
      <c r="A1927" s="2"/>
      <c r="B1927" s="65" t="str">
        <f t="shared" ref="B1927:B1990" si="245"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 t="shared" ref="M1927:M1990" si="246">IF($C1927="","",IF($D1927="Gider",$E1927,IF($L1927&lt;&gt;"",$L1927,$H1927)))</f>
        <v/>
      </c>
      <c r="N1927" s="74" t="str">
        <f t="shared" ref="N1927:N1990" si="247">IF($C1927="","",IF($D1927="Gider",$H1927,$E1927))</f>
        <v/>
      </c>
      <c r="O1927" s="73" t="str">
        <f t="shared" ref="O1927:O1990" si="248">IF($C1927="","",DATE(YEAR($C1927),MONTH($C1927),1))</f>
        <v/>
      </c>
      <c r="P1927" s="65" t="str">
        <f t="shared" ref="P1927:P1990" ca="1" si="249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TARİH",IF(COUNTIF($W$7:$W$3001,$W1927)&gt;1,"MÜKERRER?",IF($AD1927&gt;0,"KAPALI DÖNEM",IF($I1927="Hayır","ÖDENECEK","UYGUN")))),"EKSİK"))))</f>
        <v/>
      </c>
      <c r="Q1927" s="2"/>
      <c r="R1927" s="2"/>
      <c r="S1927" s="1" t="str">
        <f t="shared" si="242"/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si="243"/>
        <v>0</v>
      </c>
      <c r="W1927" s="1" t="str">
        <f t="shared" si="244"/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customHeight="1" x14ac:dyDescent="0.3">
      <c r="A1928" s="2"/>
      <c r="B1928" s="65" t="str">
        <f t="shared" si="245"/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 t="shared" si="246"/>
        <v/>
      </c>
      <c r="N1928" s="74" t="str">
        <f t="shared" si="247"/>
        <v/>
      </c>
      <c r="O1928" s="73" t="str">
        <f t="shared" si="248"/>
        <v/>
      </c>
      <c r="P1928" s="65" t="str">
        <f t="shared" ca="1" si="249"/>
        <v/>
      </c>
      <c r="Q1928" s="2"/>
      <c r="R1928" s="2"/>
      <c r="S1928" s="1" t="str">
        <f t="shared" si="242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243"/>
        <v>0</v>
      </c>
      <c r="W1928" s="1" t="str">
        <f t="shared" si="244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customHeight="1" x14ac:dyDescent="0.3">
      <c r="A1929" s="2"/>
      <c r="B1929" s="65" t="str">
        <f t="shared" si="245"/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 t="shared" si="246"/>
        <v/>
      </c>
      <c r="N1929" s="74" t="str">
        <f t="shared" si="247"/>
        <v/>
      </c>
      <c r="O1929" s="73" t="str">
        <f t="shared" si="248"/>
        <v/>
      </c>
      <c r="P1929" s="65" t="str">
        <f t="shared" ca="1" si="249"/>
        <v/>
      </c>
      <c r="Q1929" s="2"/>
      <c r="R1929" s="2"/>
      <c r="S1929" s="1" t="str">
        <f t="shared" si="242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243"/>
        <v>0</v>
      </c>
      <c r="W1929" s="1" t="str">
        <f t="shared" si="244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customHeight="1" x14ac:dyDescent="0.3">
      <c r="A1930" s="2"/>
      <c r="B1930" s="65" t="str">
        <f t="shared" si="245"/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 t="shared" si="246"/>
        <v/>
      </c>
      <c r="N1930" s="74" t="str">
        <f t="shared" si="247"/>
        <v/>
      </c>
      <c r="O1930" s="73" t="str">
        <f t="shared" si="248"/>
        <v/>
      </c>
      <c r="P1930" s="65" t="str">
        <f t="shared" ca="1" si="249"/>
        <v/>
      </c>
      <c r="Q1930" s="2"/>
      <c r="R1930" s="2"/>
      <c r="S1930" s="1" t="str">
        <f t="shared" si="242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243"/>
        <v>0</v>
      </c>
      <c r="W1930" s="1" t="str">
        <f t="shared" si="244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customHeight="1" x14ac:dyDescent="0.3">
      <c r="A1931" s="2"/>
      <c r="B1931" s="65" t="str">
        <f t="shared" si="245"/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 t="shared" si="246"/>
        <v/>
      </c>
      <c r="N1931" s="74" t="str">
        <f t="shared" si="247"/>
        <v/>
      </c>
      <c r="O1931" s="73" t="str">
        <f t="shared" si="248"/>
        <v/>
      </c>
      <c r="P1931" s="65" t="str">
        <f t="shared" ca="1" si="249"/>
        <v/>
      </c>
      <c r="Q1931" s="2"/>
      <c r="R1931" s="2"/>
      <c r="S1931" s="1" t="str">
        <f t="shared" si="242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243"/>
        <v>0</v>
      </c>
      <c r="W1931" s="1" t="str">
        <f t="shared" si="244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customHeight="1" x14ac:dyDescent="0.3">
      <c r="A1932" s="2"/>
      <c r="B1932" s="65" t="str">
        <f t="shared" si="245"/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 t="shared" si="246"/>
        <v/>
      </c>
      <c r="N1932" s="74" t="str">
        <f t="shared" si="247"/>
        <v/>
      </c>
      <c r="O1932" s="73" t="str">
        <f t="shared" si="248"/>
        <v/>
      </c>
      <c r="P1932" s="65" t="str">
        <f t="shared" ca="1" si="249"/>
        <v/>
      </c>
      <c r="Q1932" s="2"/>
      <c r="R1932" s="2"/>
      <c r="S1932" s="1" t="str">
        <f t="shared" si="242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243"/>
        <v>0</v>
      </c>
      <c r="W1932" s="1" t="str">
        <f t="shared" si="244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customHeight="1" x14ac:dyDescent="0.3">
      <c r="A1933" s="2"/>
      <c r="B1933" s="65" t="str">
        <f t="shared" si="245"/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 t="shared" si="246"/>
        <v/>
      </c>
      <c r="N1933" s="74" t="str">
        <f t="shared" si="247"/>
        <v/>
      </c>
      <c r="O1933" s="73" t="str">
        <f t="shared" si="248"/>
        <v/>
      </c>
      <c r="P1933" s="65" t="str">
        <f t="shared" ca="1" si="249"/>
        <v/>
      </c>
      <c r="Q1933" s="2"/>
      <c r="R1933" s="2"/>
      <c r="S1933" s="1" t="str">
        <f t="shared" si="242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243"/>
        <v>0</v>
      </c>
      <c r="W1933" s="1" t="str">
        <f t="shared" si="244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customHeight="1" x14ac:dyDescent="0.3">
      <c r="A1934" s="2"/>
      <c r="B1934" s="65" t="str">
        <f t="shared" si="245"/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 t="shared" si="246"/>
        <v/>
      </c>
      <c r="N1934" s="74" t="str">
        <f t="shared" si="247"/>
        <v/>
      </c>
      <c r="O1934" s="73" t="str">
        <f t="shared" si="248"/>
        <v/>
      </c>
      <c r="P1934" s="65" t="str">
        <f t="shared" ca="1" si="249"/>
        <v/>
      </c>
      <c r="Q1934" s="2"/>
      <c r="R1934" s="2"/>
      <c r="S1934" s="1" t="str">
        <f t="shared" si="242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243"/>
        <v>0</v>
      </c>
      <c r="W1934" s="1" t="str">
        <f t="shared" si="244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customHeight="1" x14ac:dyDescent="0.3">
      <c r="A1935" s="2"/>
      <c r="B1935" s="65" t="str">
        <f t="shared" si="245"/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 t="shared" si="246"/>
        <v/>
      </c>
      <c r="N1935" s="74" t="str">
        <f t="shared" si="247"/>
        <v/>
      </c>
      <c r="O1935" s="73" t="str">
        <f t="shared" si="248"/>
        <v/>
      </c>
      <c r="P1935" s="65" t="str">
        <f t="shared" ca="1" si="249"/>
        <v/>
      </c>
      <c r="Q1935" s="2"/>
      <c r="R1935" s="2"/>
      <c r="S1935" s="1" t="str">
        <f t="shared" si="242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243"/>
        <v>0</v>
      </c>
      <c r="W1935" s="1" t="str">
        <f t="shared" si="244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customHeight="1" x14ac:dyDescent="0.3">
      <c r="A1936" s="2"/>
      <c r="B1936" s="65" t="str">
        <f t="shared" si="245"/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 t="shared" si="246"/>
        <v/>
      </c>
      <c r="N1936" s="74" t="str">
        <f t="shared" si="247"/>
        <v/>
      </c>
      <c r="O1936" s="73" t="str">
        <f t="shared" si="248"/>
        <v/>
      </c>
      <c r="P1936" s="65" t="str">
        <f t="shared" ca="1" si="249"/>
        <v/>
      </c>
      <c r="Q1936" s="2"/>
      <c r="R1936" s="2"/>
      <c r="S1936" s="1" t="str">
        <f t="shared" si="242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243"/>
        <v>0</v>
      </c>
      <c r="W1936" s="1" t="str">
        <f t="shared" si="244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customHeight="1" x14ac:dyDescent="0.3">
      <c r="A1937" s="2"/>
      <c r="B1937" s="65" t="str">
        <f t="shared" si="245"/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 t="shared" si="246"/>
        <v/>
      </c>
      <c r="N1937" s="74" t="str">
        <f t="shared" si="247"/>
        <v/>
      </c>
      <c r="O1937" s="73" t="str">
        <f t="shared" si="248"/>
        <v/>
      </c>
      <c r="P1937" s="65" t="str">
        <f t="shared" ca="1" si="249"/>
        <v/>
      </c>
      <c r="Q1937" s="2"/>
      <c r="R1937" s="2"/>
      <c r="S1937" s="1" t="str">
        <f t="shared" si="242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243"/>
        <v>0</v>
      </c>
      <c r="W1937" s="1" t="str">
        <f t="shared" si="244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customHeight="1" x14ac:dyDescent="0.3">
      <c r="A1938" s="2"/>
      <c r="B1938" s="65" t="str">
        <f t="shared" si="245"/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 t="shared" si="246"/>
        <v/>
      </c>
      <c r="N1938" s="74" t="str">
        <f t="shared" si="247"/>
        <v/>
      </c>
      <c r="O1938" s="73" t="str">
        <f t="shared" si="248"/>
        <v/>
      </c>
      <c r="P1938" s="65" t="str">
        <f t="shared" ca="1" si="249"/>
        <v/>
      </c>
      <c r="Q1938" s="2"/>
      <c r="R1938" s="2"/>
      <c r="S1938" s="1" t="str">
        <f t="shared" si="242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243"/>
        <v>0</v>
      </c>
      <c r="W1938" s="1" t="str">
        <f t="shared" si="244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customHeight="1" x14ac:dyDescent="0.3">
      <c r="A1939" s="2"/>
      <c r="B1939" s="65" t="str">
        <f t="shared" si="245"/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 t="shared" si="246"/>
        <v/>
      </c>
      <c r="N1939" s="74" t="str">
        <f t="shared" si="247"/>
        <v/>
      </c>
      <c r="O1939" s="73" t="str">
        <f t="shared" si="248"/>
        <v/>
      </c>
      <c r="P1939" s="65" t="str">
        <f t="shared" ca="1" si="249"/>
        <v/>
      </c>
      <c r="Q1939" s="2"/>
      <c r="R1939" s="2"/>
      <c r="S1939" s="1" t="str">
        <f t="shared" si="242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243"/>
        <v>0</v>
      </c>
      <c r="W1939" s="1" t="str">
        <f t="shared" si="244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customHeight="1" x14ac:dyDescent="0.3">
      <c r="A1940" s="2"/>
      <c r="B1940" s="65" t="str">
        <f t="shared" si="245"/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 t="shared" si="246"/>
        <v/>
      </c>
      <c r="N1940" s="74" t="str">
        <f t="shared" si="247"/>
        <v/>
      </c>
      <c r="O1940" s="73" t="str">
        <f t="shared" si="248"/>
        <v/>
      </c>
      <c r="P1940" s="65" t="str">
        <f t="shared" ca="1" si="249"/>
        <v/>
      </c>
      <c r="Q1940" s="2"/>
      <c r="R1940" s="2"/>
      <c r="S1940" s="1" t="str">
        <f t="shared" si="242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243"/>
        <v>0</v>
      </c>
      <c r="W1940" s="1" t="str">
        <f t="shared" si="244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customHeight="1" x14ac:dyDescent="0.3">
      <c r="A1941" s="2"/>
      <c r="B1941" s="65" t="str">
        <f t="shared" si="245"/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 t="shared" si="246"/>
        <v/>
      </c>
      <c r="N1941" s="74" t="str">
        <f t="shared" si="247"/>
        <v/>
      </c>
      <c r="O1941" s="73" t="str">
        <f t="shared" si="248"/>
        <v/>
      </c>
      <c r="P1941" s="65" t="str">
        <f t="shared" ca="1" si="249"/>
        <v/>
      </c>
      <c r="Q1941" s="2"/>
      <c r="R1941" s="2"/>
      <c r="S1941" s="1" t="str">
        <f t="shared" si="242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243"/>
        <v>0</v>
      </c>
      <c r="W1941" s="1" t="str">
        <f t="shared" si="244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customHeight="1" x14ac:dyDescent="0.3">
      <c r="A1942" s="2"/>
      <c r="B1942" s="65" t="str">
        <f t="shared" si="245"/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 t="shared" si="246"/>
        <v/>
      </c>
      <c r="N1942" s="74" t="str">
        <f t="shared" si="247"/>
        <v/>
      </c>
      <c r="O1942" s="73" t="str">
        <f t="shared" si="248"/>
        <v/>
      </c>
      <c r="P1942" s="65" t="str">
        <f t="shared" ca="1" si="249"/>
        <v/>
      </c>
      <c r="Q1942" s="2"/>
      <c r="R1942" s="2"/>
      <c r="S1942" s="1" t="str">
        <f t="shared" si="242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243"/>
        <v>0</v>
      </c>
      <c r="W1942" s="1" t="str">
        <f t="shared" si="244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customHeight="1" x14ac:dyDescent="0.3">
      <c r="A1943" s="2"/>
      <c r="B1943" s="65" t="str">
        <f t="shared" si="245"/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 t="shared" si="246"/>
        <v/>
      </c>
      <c r="N1943" s="74" t="str">
        <f t="shared" si="247"/>
        <v/>
      </c>
      <c r="O1943" s="73" t="str">
        <f t="shared" si="248"/>
        <v/>
      </c>
      <c r="P1943" s="65" t="str">
        <f t="shared" ca="1" si="249"/>
        <v/>
      </c>
      <c r="Q1943" s="2"/>
      <c r="R1943" s="2"/>
      <c r="S1943" s="1" t="str">
        <f t="shared" si="242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243"/>
        <v>0</v>
      </c>
      <c r="W1943" s="1" t="str">
        <f t="shared" si="244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customHeight="1" x14ac:dyDescent="0.3">
      <c r="A1944" s="2"/>
      <c r="B1944" s="65" t="str">
        <f t="shared" si="245"/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 t="shared" si="246"/>
        <v/>
      </c>
      <c r="N1944" s="74" t="str">
        <f t="shared" si="247"/>
        <v/>
      </c>
      <c r="O1944" s="73" t="str">
        <f t="shared" si="248"/>
        <v/>
      </c>
      <c r="P1944" s="65" t="str">
        <f t="shared" ca="1" si="249"/>
        <v/>
      </c>
      <c r="Q1944" s="2"/>
      <c r="R1944" s="2"/>
      <c r="S1944" s="1" t="str">
        <f t="shared" si="242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243"/>
        <v>0</v>
      </c>
      <c r="W1944" s="1" t="str">
        <f t="shared" si="244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customHeight="1" x14ac:dyDescent="0.3">
      <c r="A1945" s="2"/>
      <c r="B1945" s="65" t="str">
        <f t="shared" si="245"/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 t="shared" si="246"/>
        <v/>
      </c>
      <c r="N1945" s="74" t="str">
        <f t="shared" si="247"/>
        <v/>
      </c>
      <c r="O1945" s="73" t="str">
        <f t="shared" si="248"/>
        <v/>
      </c>
      <c r="P1945" s="65" t="str">
        <f t="shared" ca="1" si="249"/>
        <v/>
      </c>
      <c r="Q1945" s="2"/>
      <c r="R1945" s="2"/>
      <c r="S1945" s="1" t="str">
        <f t="shared" si="242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243"/>
        <v>0</v>
      </c>
      <c r="W1945" s="1" t="str">
        <f t="shared" si="244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customHeight="1" x14ac:dyDescent="0.3">
      <c r="A1946" s="2"/>
      <c r="B1946" s="65" t="str">
        <f t="shared" si="245"/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 t="shared" si="246"/>
        <v/>
      </c>
      <c r="N1946" s="74" t="str">
        <f t="shared" si="247"/>
        <v/>
      </c>
      <c r="O1946" s="73" t="str">
        <f t="shared" si="248"/>
        <v/>
      </c>
      <c r="P1946" s="65" t="str">
        <f t="shared" ca="1" si="249"/>
        <v/>
      </c>
      <c r="Q1946" s="2"/>
      <c r="R1946" s="2"/>
      <c r="S1946" s="1" t="str">
        <f t="shared" si="242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243"/>
        <v>0</v>
      </c>
      <c r="W1946" s="1" t="str">
        <f t="shared" si="244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customHeight="1" x14ac:dyDescent="0.3">
      <c r="A1947" s="2"/>
      <c r="B1947" s="65" t="str">
        <f t="shared" si="245"/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 t="shared" si="246"/>
        <v/>
      </c>
      <c r="N1947" s="74" t="str">
        <f t="shared" si="247"/>
        <v/>
      </c>
      <c r="O1947" s="73" t="str">
        <f t="shared" si="248"/>
        <v/>
      </c>
      <c r="P1947" s="65" t="str">
        <f t="shared" ca="1" si="249"/>
        <v/>
      </c>
      <c r="Q1947" s="2"/>
      <c r="R1947" s="2"/>
      <c r="S1947" s="1" t="str">
        <f t="shared" si="242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243"/>
        <v>0</v>
      </c>
      <c r="W1947" s="1" t="str">
        <f t="shared" si="244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customHeight="1" x14ac:dyDescent="0.3">
      <c r="A1948" s="2"/>
      <c r="B1948" s="65" t="str">
        <f t="shared" si="245"/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 t="shared" si="246"/>
        <v/>
      </c>
      <c r="N1948" s="74" t="str">
        <f t="shared" si="247"/>
        <v/>
      </c>
      <c r="O1948" s="73" t="str">
        <f t="shared" si="248"/>
        <v/>
      </c>
      <c r="P1948" s="65" t="str">
        <f t="shared" ca="1" si="249"/>
        <v/>
      </c>
      <c r="Q1948" s="2"/>
      <c r="R1948" s="2"/>
      <c r="S1948" s="1" t="str">
        <f t="shared" si="242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243"/>
        <v>0</v>
      </c>
      <c r="W1948" s="1" t="str">
        <f t="shared" si="244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customHeight="1" x14ac:dyDescent="0.3">
      <c r="A1949" s="2"/>
      <c r="B1949" s="65" t="str">
        <f t="shared" si="245"/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 t="shared" si="246"/>
        <v/>
      </c>
      <c r="N1949" s="74" t="str">
        <f t="shared" si="247"/>
        <v/>
      </c>
      <c r="O1949" s="73" t="str">
        <f t="shared" si="248"/>
        <v/>
      </c>
      <c r="P1949" s="65" t="str">
        <f t="shared" ca="1" si="249"/>
        <v/>
      </c>
      <c r="Q1949" s="2"/>
      <c r="R1949" s="2"/>
      <c r="S1949" s="1" t="str">
        <f t="shared" si="242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243"/>
        <v>0</v>
      </c>
      <c r="W1949" s="1" t="str">
        <f t="shared" si="244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customHeight="1" x14ac:dyDescent="0.3">
      <c r="A1950" s="2"/>
      <c r="B1950" s="65" t="str">
        <f t="shared" si="245"/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 t="shared" si="246"/>
        <v/>
      </c>
      <c r="N1950" s="74" t="str">
        <f t="shared" si="247"/>
        <v/>
      </c>
      <c r="O1950" s="73" t="str">
        <f t="shared" si="248"/>
        <v/>
      </c>
      <c r="P1950" s="65" t="str">
        <f t="shared" ca="1" si="249"/>
        <v/>
      </c>
      <c r="Q1950" s="2"/>
      <c r="R1950" s="2"/>
      <c r="S1950" s="1" t="str">
        <f t="shared" si="242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243"/>
        <v>0</v>
      </c>
      <c r="W1950" s="1" t="str">
        <f t="shared" si="244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customHeight="1" x14ac:dyDescent="0.3">
      <c r="A1951" s="2"/>
      <c r="B1951" s="65" t="str">
        <f t="shared" si="245"/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 t="shared" si="246"/>
        <v/>
      </c>
      <c r="N1951" s="74" t="str">
        <f t="shared" si="247"/>
        <v/>
      </c>
      <c r="O1951" s="73" t="str">
        <f t="shared" si="248"/>
        <v/>
      </c>
      <c r="P1951" s="65" t="str">
        <f t="shared" ca="1" si="249"/>
        <v/>
      </c>
      <c r="Q1951" s="2"/>
      <c r="R1951" s="2"/>
      <c r="S1951" s="1" t="str">
        <f t="shared" si="242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243"/>
        <v>0</v>
      </c>
      <c r="W1951" s="1" t="str">
        <f t="shared" si="244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customHeight="1" x14ac:dyDescent="0.3">
      <c r="A1952" s="2"/>
      <c r="B1952" s="65" t="str">
        <f t="shared" si="245"/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 t="shared" si="246"/>
        <v/>
      </c>
      <c r="N1952" s="74" t="str">
        <f t="shared" si="247"/>
        <v/>
      </c>
      <c r="O1952" s="73" t="str">
        <f t="shared" si="248"/>
        <v/>
      </c>
      <c r="P1952" s="65" t="str">
        <f t="shared" ca="1" si="249"/>
        <v/>
      </c>
      <c r="Q1952" s="2"/>
      <c r="R1952" s="2"/>
      <c r="S1952" s="1" t="str">
        <f t="shared" si="242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243"/>
        <v>0</v>
      </c>
      <c r="W1952" s="1" t="str">
        <f t="shared" si="244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customHeight="1" x14ac:dyDescent="0.3">
      <c r="A1953" s="2"/>
      <c r="B1953" s="65" t="str">
        <f t="shared" si="245"/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 t="shared" si="246"/>
        <v/>
      </c>
      <c r="N1953" s="74" t="str">
        <f t="shared" si="247"/>
        <v/>
      </c>
      <c r="O1953" s="73" t="str">
        <f t="shared" si="248"/>
        <v/>
      </c>
      <c r="P1953" s="65" t="str">
        <f t="shared" ca="1" si="249"/>
        <v/>
      </c>
      <c r="Q1953" s="2"/>
      <c r="R1953" s="2"/>
      <c r="S1953" s="1" t="str">
        <f t="shared" si="242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243"/>
        <v>0</v>
      </c>
      <c r="W1953" s="1" t="str">
        <f t="shared" si="244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customHeight="1" x14ac:dyDescent="0.3">
      <c r="A1954" s="2"/>
      <c r="B1954" s="65" t="str">
        <f t="shared" si="245"/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 t="shared" si="246"/>
        <v/>
      </c>
      <c r="N1954" s="74" t="str">
        <f t="shared" si="247"/>
        <v/>
      </c>
      <c r="O1954" s="73" t="str">
        <f t="shared" si="248"/>
        <v/>
      </c>
      <c r="P1954" s="65" t="str">
        <f t="shared" ca="1" si="249"/>
        <v/>
      </c>
      <c r="Q1954" s="2"/>
      <c r="R1954" s="2"/>
      <c r="S1954" s="1" t="str">
        <f t="shared" si="242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243"/>
        <v>0</v>
      </c>
      <c r="W1954" s="1" t="str">
        <f t="shared" si="244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customHeight="1" x14ac:dyDescent="0.3">
      <c r="A1955" s="2"/>
      <c r="B1955" s="65" t="str">
        <f t="shared" si="245"/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 t="shared" si="246"/>
        <v/>
      </c>
      <c r="N1955" s="74" t="str">
        <f t="shared" si="247"/>
        <v/>
      </c>
      <c r="O1955" s="73" t="str">
        <f t="shared" si="248"/>
        <v/>
      </c>
      <c r="P1955" s="65" t="str">
        <f t="shared" ca="1" si="249"/>
        <v/>
      </c>
      <c r="Q1955" s="2"/>
      <c r="R1955" s="2"/>
      <c r="S1955" s="1" t="str">
        <f t="shared" si="242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243"/>
        <v>0</v>
      </c>
      <c r="W1955" s="1" t="str">
        <f t="shared" si="244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customHeight="1" x14ac:dyDescent="0.3">
      <c r="A1956" s="2"/>
      <c r="B1956" s="65" t="str">
        <f t="shared" si="245"/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 t="shared" si="246"/>
        <v/>
      </c>
      <c r="N1956" s="74" t="str">
        <f t="shared" si="247"/>
        <v/>
      </c>
      <c r="O1956" s="73" t="str">
        <f t="shared" si="248"/>
        <v/>
      </c>
      <c r="P1956" s="65" t="str">
        <f t="shared" ca="1" si="249"/>
        <v/>
      </c>
      <c r="Q1956" s="2"/>
      <c r="R1956" s="2"/>
      <c r="S1956" s="1" t="str">
        <f t="shared" si="242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243"/>
        <v>0</v>
      </c>
      <c r="W1956" s="1" t="str">
        <f t="shared" si="244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customHeight="1" x14ac:dyDescent="0.3">
      <c r="A1957" s="2"/>
      <c r="B1957" s="65" t="str">
        <f t="shared" si="245"/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 t="shared" si="246"/>
        <v/>
      </c>
      <c r="N1957" s="74" t="str">
        <f t="shared" si="247"/>
        <v/>
      </c>
      <c r="O1957" s="73" t="str">
        <f t="shared" si="248"/>
        <v/>
      </c>
      <c r="P1957" s="65" t="str">
        <f t="shared" ca="1" si="249"/>
        <v/>
      </c>
      <c r="Q1957" s="2"/>
      <c r="R1957" s="2"/>
      <c r="S1957" s="1" t="str">
        <f t="shared" si="242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243"/>
        <v>0</v>
      </c>
      <c r="W1957" s="1" t="str">
        <f t="shared" si="244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customHeight="1" x14ac:dyDescent="0.3">
      <c r="A1958" s="2"/>
      <c r="B1958" s="65" t="str">
        <f t="shared" si="245"/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 t="shared" si="246"/>
        <v/>
      </c>
      <c r="N1958" s="74" t="str">
        <f t="shared" si="247"/>
        <v/>
      </c>
      <c r="O1958" s="73" t="str">
        <f t="shared" si="248"/>
        <v/>
      </c>
      <c r="P1958" s="65" t="str">
        <f t="shared" ca="1" si="249"/>
        <v/>
      </c>
      <c r="Q1958" s="2"/>
      <c r="R1958" s="2"/>
      <c r="S1958" s="1" t="str">
        <f t="shared" si="242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243"/>
        <v>0</v>
      </c>
      <c r="W1958" s="1" t="str">
        <f t="shared" si="244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customHeight="1" x14ac:dyDescent="0.3">
      <c r="A1959" s="2"/>
      <c r="B1959" s="65" t="str">
        <f t="shared" si="245"/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 t="shared" si="246"/>
        <v/>
      </c>
      <c r="N1959" s="74" t="str">
        <f t="shared" si="247"/>
        <v/>
      </c>
      <c r="O1959" s="73" t="str">
        <f t="shared" si="248"/>
        <v/>
      </c>
      <c r="P1959" s="65" t="str">
        <f t="shared" ca="1" si="249"/>
        <v/>
      </c>
      <c r="Q1959" s="2"/>
      <c r="R1959" s="2"/>
      <c r="S1959" s="1" t="str">
        <f t="shared" si="242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243"/>
        <v>0</v>
      </c>
      <c r="W1959" s="1" t="str">
        <f t="shared" si="244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customHeight="1" x14ac:dyDescent="0.3">
      <c r="A1960" s="2"/>
      <c r="B1960" s="65" t="str">
        <f t="shared" si="245"/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 t="shared" si="246"/>
        <v/>
      </c>
      <c r="N1960" s="74" t="str">
        <f t="shared" si="247"/>
        <v/>
      </c>
      <c r="O1960" s="73" t="str">
        <f t="shared" si="248"/>
        <v/>
      </c>
      <c r="P1960" s="65" t="str">
        <f t="shared" ca="1" si="249"/>
        <v/>
      </c>
      <c r="Q1960" s="2"/>
      <c r="R1960" s="2"/>
      <c r="S1960" s="1" t="str">
        <f t="shared" si="242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243"/>
        <v>0</v>
      </c>
      <c r="W1960" s="1" t="str">
        <f t="shared" si="244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customHeight="1" x14ac:dyDescent="0.3">
      <c r="A1961" s="2"/>
      <c r="B1961" s="65" t="str">
        <f t="shared" si="245"/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 t="shared" si="246"/>
        <v/>
      </c>
      <c r="N1961" s="74" t="str">
        <f t="shared" si="247"/>
        <v/>
      </c>
      <c r="O1961" s="73" t="str">
        <f t="shared" si="248"/>
        <v/>
      </c>
      <c r="P1961" s="65" t="str">
        <f t="shared" ca="1" si="249"/>
        <v/>
      </c>
      <c r="Q1961" s="2"/>
      <c r="R1961" s="2"/>
      <c r="S1961" s="1" t="str">
        <f t="shared" si="242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243"/>
        <v>0</v>
      </c>
      <c r="W1961" s="1" t="str">
        <f t="shared" si="244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customHeight="1" x14ac:dyDescent="0.3">
      <c r="A1962" s="2"/>
      <c r="B1962" s="65" t="str">
        <f t="shared" si="245"/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 t="shared" si="246"/>
        <v/>
      </c>
      <c r="N1962" s="74" t="str">
        <f t="shared" si="247"/>
        <v/>
      </c>
      <c r="O1962" s="73" t="str">
        <f t="shared" si="248"/>
        <v/>
      </c>
      <c r="P1962" s="65" t="str">
        <f t="shared" ca="1" si="249"/>
        <v/>
      </c>
      <c r="Q1962" s="2"/>
      <c r="R1962" s="2"/>
      <c r="S1962" s="1" t="str">
        <f t="shared" si="242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243"/>
        <v>0</v>
      </c>
      <c r="W1962" s="1" t="str">
        <f t="shared" si="244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customHeight="1" x14ac:dyDescent="0.3">
      <c r="A1963" s="2"/>
      <c r="B1963" s="65" t="str">
        <f t="shared" si="245"/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 t="shared" si="246"/>
        <v/>
      </c>
      <c r="N1963" s="74" t="str">
        <f t="shared" si="247"/>
        <v/>
      </c>
      <c r="O1963" s="73" t="str">
        <f t="shared" si="248"/>
        <v/>
      </c>
      <c r="P1963" s="65" t="str">
        <f t="shared" ca="1" si="249"/>
        <v/>
      </c>
      <c r="Q1963" s="2"/>
      <c r="R1963" s="2"/>
      <c r="S1963" s="1" t="str">
        <f t="shared" si="242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243"/>
        <v>0</v>
      </c>
      <c r="W1963" s="1" t="str">
        <f t="shared" si="244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customHeight="1" x14ac:dyDescent="0.3">
      <c r="A1964" s="2"/>
      <c r="B1964" s="65" t="str">
        <f t="shared" si="245"/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 t="shared" si="246"/>
        <v/>
      </c>
      <c r="N1964" s="74" t="str">
        <f t="shared" si="247"/>
        <v/>
      </c>
      <c r="O1964" s="73" t="str">
        <f t="shared" si="248"/>
        <v/>
      </c>
      <c r="P1964" s="65" t="str">
        <f t="shared" ca="1" si="249"/>
        <v/>
      </c>
      <c r="Q1964" s="2"/>
      <c r="R1964" s="2"/>
      <c r="S1964" s="1" t="str">
        <f t="shared" si="242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243"/>
        <v>0</v>
      </c>
      <c r="W1964" s="1" t="str">
        <f t="shared" si="244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customHeight="1" x14ac:dyDescent="0.3">
      <c r="A1965" s="2"/>
      <c r="B1965" s="65" t="str">
        <f t="shared" si="245"/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 t="shared" si="246"/>
        <v/>
      </c>
      <c r="N1965" s="74" t="str">
        <f t="shared" si="247"/>
        <v/>
      </c>
      <c r="O1965" s="73" t="str">
        <f t="shared" si="248"/>
        <v/>
      </c>
      <c r="P1965" s="65" t="str">
        <f t="shared" ca="1" si="249"/>
        <v/>
      </c>
      <c r="Q1965" s="2"/>
      <c r="R1965" s="2"/>
      <c r="S1965" s="1" t="str">
        <f t="shared" si="242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243"/>
        <v>0</v>
      </c>
      <c r="W1965" s="1" t="str">
        <f t="shared" si="244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customHeight="1" x14ac:dyDescent="0.3">
      <c r="A1966" s="2"/>
      <c r="B1966" s="65" t="str">
        <f t="shared" si="245"/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 t="shared" si="246"/>
        <v/>
      </c>
      <c r="N1966" s="74" t="str">
        <f t="shared" si="247"/>
        <v/>
      </c>
      <c r="O1966" s="73" t="str">
        <f t="shared" si="248"/>
        <v/>
      </c>
      <c r="P1966" s="65" t="str">
        <f t="shared" ca="1" si="249"/>
        <v/>
      </c>
      <c r="Q1966" s="2"/>
      <c r="R1966" s="2"/>
      <c r="S1966" s="1" t="str">
        <f t="shared" si="242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243"/>
        <v>0</v>
      </c>
      <c r="W1966" s="1" t="str">
        <f t="shared" si="244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customHeight="1" x14ac:dyDescent="0.3">
      <c r="A1967" s="2"/>
      <c r="B1967" s="65" t="str">
        <f t="shared" si="245"/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 t="shared" si="246"/>
        <v/>
      </c>
      <c r="N1967" s="74" t="str">
        <f t="shared" si="247"/>
        <v/>
      </c>
      <c r="O1967" s="73" t="str">
        <f t="shared" si="248"/>
        <v/>
      </c>
      <c r="P1967" s="65" t="str">
        <f t="shared" ca="1" si="249"/>
        <v/>
      </c>
      <c r="Q1967" s="2"/>
      <c r="R1967" s="2"/>
      <c r="S1967" s="1" t="str">
        <f t="shared" si="242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243"/>
        <v>0</v>
      </c>
      <c r="W1967" s="1" t="str">
        <f t="shared" si="244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customHeight="1" x14ac:dyDescent="0.3">
      <c r="A1968" s="2"/>
      <c r="B1968" s="65" t="str">
        <f t="shared" si="245"/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 t="shared" si="246"/>
        <v/>
      </c>
      <c r="N1968" s="74" t="str">
        <f t="shared" si="247"/>
        <v/>
      </c>
      <c r="O1968" s="73" t="str">
        <f t="shared" si="248"/>
        <v/>
      </c>
      <c r="P1968" s="65" t="str">
        <f t="shared" ca="1" si="249"/>
        <v/>
      </c>
      <c r="Q1968" s="2"/>
      <c r="R1968" s="2"/>
      <c r="S1968" s="1" t="str">
        <f t="shared" si="242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243"/>
        <v>0</v>
      </c>
      <c r="W1968" s="1" t="str">
        <f t="shared" si="244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customHeight="1" x14ac:dyDescent="0.3">
      <c r="A1969" s="2"/>
      <c r="B1969" s="65" t="str">
        <f t="shared" si="245"/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 t="shared" si="246"/>
        <v/>
      </c>
      <c r="N1969" s="74" t="str">
        <f t="shared" si="247"/>
        <v/>
      </c>
      <c r="O1969" s="73" t="str">
        <f t="shared" si="248"/>
        <v/>
      </c>
      <c r="P1969" s="65" t="str">
        <f t="shared" ca="1" si="249"/>
        <v/>
      </c>
      <c r="Q1969" s="2"/>
      <c r="R1969" s="2"/>
      <c r="S1969" s="1" t="str">
        <f t="shared" si="242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243"/>
        <v>0</v>
      </c>
      <c r="W1969" s="1" t="str">
        <f t="shared" si="244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customHeight="1" x14ac:dyDescent="0.3">
      <c r="A1970" s="2"/>
      <c r="B1970" s="65" t="str">
        <f t="shared" si="245"/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 t="shared" si="246"/>
        <v/>
      </c>
      <c r="N1970" s="74" t="str">
        <f t="shared" si="247"/>
        <v/>
      </c>
      <c r="O1970" s="73" t="str">
        <f t="shared" si="248"/>
        <v/>
      </c>
      <c r="P1970" s="65" t="str">
        <f t="shared" ca="1" si="249"/>
        <v/>
      </c>
      <c r="Q1970" s="2"/>
      <c r="R1970" s="2"/>
      <c r="S1970" s="1" t="str">
        <f t="shared" si="242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243"/>
        <v>0</v>
      </c>
      <c r="W1970" s="1" t="str">
        <f t="shared" si="244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customHeight="1" x14ac:dyDescent="0.3">
      <c r="A1971" s="2"/>
      <c r="B1971" s="65" t="str">
        <f t="shared" si="245"/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 t="shared" si="246"/>
        <v/>
      </c>
      <c r="N1971" s="74" t="str">
        <f t="shared" si="247"/>
        <v/>
      </c>
      <c r="O1971" s="73" t="str">
        <f t="shared" si="248"/>
        <v/>
      </c>
      <c r="P1971" s="65" t="str">
        <f t="shared" ca="1" si="249"/>
        <v/>
      </c>
      <c r="Q1971" s="2"/>
      <c r="R1971" s="2"/>
      <c r="S1971" s="1" t="str">
        <f t="shared" si="242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243"/>
        <v>0</v>
      </c>
      <c r="W1971" s="1" t="str">
        <f t="shared" si="244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customHeight="1" x14ac:dyDescent="0.3">
      <c r="A1972" s="2"/>
      <c r="B1972" s="65" t="str">
        <f t="shared" si="245"/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 t="shared" si="246"/>
        <v/>
      </c>
      <c r="N1972" s="74" t="str">
        <f t="shared" si="247"/>
        <v/>
      </c>
      <c r="O1972" s="73" t="str">
        <f t="shared" si="248"/>
        <v/>
      </c>
      <c r="P1972" s="65" t="str">
        <f t="shared" ca="1" si="249"/>
        <v/>
      </c>
      <c r="Q1972" s="2"/>
      <c r="R1972" s="2"/>
      <c r="S1972" s="1" t="str">
        <f t="shared" si="242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243"/>
        <v>0</v>
      </c>
      <c r="W1972" s="1" t="str">
        <f t="shared" si="244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customHeight="1" x14ac:dyDescent="0.3">
      <c r="A1973" s="2"/>
      <c r="B1973" s="65" t="str">
        <f t="shared" si="245"/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 t="shared" si="246"/>
        <v/>
      </c>
      <c r="N1973" s="74" t="str">
        <f t="shared" si="247"/>
        <v/>
      </c>
      <c r="O1973" s="73" t="str">
        <f t="shared" si="248"/>
        <v/>
      </c>
      <c r="P1973" s="65" t="str">
        <f t="shared" ca="1" si="249"/>
        <v/>
      </c>
      <c r="Q1973" s="2"/>
      <c r="R1973" s="2"/>
      <c r="S1973" s="1" t="str">
        <f t="shared" si="242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243"/>
        <v>0</v>
      </c>
      <c r="W1973" s="1" t="str">
        <f t="shared" si="244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customHeight="1" x14ac:dyDescent="0.3">
      <c r="A1974" s="2"/>
      <c r="B1974" s="65" t="str">
        <f t="shared" si="245"/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 t="shared" si="246"/>
        <v/>
      </c>
      <c r="N1974" s="74" t="str">
        <f t="shared" si="247"/>
        <v/>
      </c>
      <c r="O1974" s="73" t="str">
        <f t="shared" si="248"/>
        <v/>
      </c>
      <c r="P1974" s="65" t="str">
        <f t="shared" ca="1" si="249"/>
        <v/>
      </c>
      <c r="Q1974" s="2"/>
      <c r="R1974" s="2"/>
      <c r="S1974" s="1" t="str">
        <f t="shared" si="242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243"/>
        <v>0</v>
      </c>
      <c r="W1974" s="1" t="str">
        <f t="shared" si="244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customHeight="1" x14ac:dyDescent="0.3">
      <c r="A1975" s="2"/>
      <c r="B1975" s="65" t="str">
        <f t="shared" si="245"/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 t="shared" si="246"/>
        <v/>
      </c>
      <c r="N1975" s="74" t="str">
        <f t="shared" si="247"/>
        <v/>
      </c>
      <c r="O1975" s="73" t="str">
        <f t="shared" si="248"/>
        <v/>
      </c>
      <c r="P1975" s="65" t="str">
        <f t="shared" ca="1" si="249"/>
        <v/>
      </c>
      <c r="Q1975" s="2"/>
      <c r="R1975" s="2"/>
      <c r="S1975" s="1" t="str">
        <f t="shared" si="242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243"/>
        <v>0</v>
      </c>
      <c r="W1975" s="1" t="str">
        <f t="shared" si="244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customHeight="1" x14ac:dyDescent="0.3">
      <c r="A1976" s="2"/>
      <c r="B1976" s="65" t="str">
        <f t="shared" si="245"/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 t="shared" si="246"/>
        <v/>
      </c>
      <c r="N1976" s="74" t="str">
        <f t="shared" si="247"/>
        <v/>
      </c>
      <c r="O1976" s="73" t="str">
        <f t="shared" si="248"/>
        <v/>
      </c>
      <c r="P1976" s="65" t="str">
        <f t="shared" ca="1" si="249"/>
        <v/>
      </c>
      <c r="Q1976" s="2"/>
      <c r="R1976" s="2"/>
      <c r="S1976" s="1" t="str">
        <f t="shared" si="242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243"/>
        <v>0</v>
      </c>
      <c r="W1976" s="1" t="str">
        <f t="shared" si="244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customHeight="1" x14ac:dyDescent="0.3">
      <c r="A1977" s="2"/>
      <c r="B1977" s="65" t="str">
        <f t="shared" si="245"/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 t="shared" si="246"/>
        <v/>
      </c>
      <c r="N1977" s="74" t="str">
        <f t="shared" si="247"/>
        <v/>
      </c>
      <c r="O1977" s="73" t="str">
        <f t="shared" si="248"/>
        <v/>
      </c>
      <c r="P1977" s="65" t="str">
        <f t="shared" ca="1" si="249"/>
        <v/>
      </c>
      <c r="Q1977" s="2"/>
      <c r="R1977" s="2"/>
      <c r="S1977" s="1" t="str">
        <f t="shared" si="242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243"/>
        <v>0</v>
      </c>
      <c r="W1977" s="1" t="str">
        <f t="shared" si="244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customHeight="1" x14ac:dyDescent="0.3">
      <c r="A1978" s="2"/>
      <c r="B1978" s="65" t="str">
        <f t="shared" si="245"/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 t="shared" si="246"/>
        <v/>
      </c>
      <c r="N1978" s="74" t="str">
        <f t="shared" si="247"/>
        <v/>
      </c>
      <c r="O1978" s="73" t="str">
        <f t="shared" si="248"/>
        <v/>
      </c>
      <c r="P1978" s="65" t="str">
        <f t="shared" ca="1" si="249"/>
        <v/>
      </c>
      <c r="Q1978" s="2"/>
      <c r="R1978" s="2"/>
      <c r="S1978" s="1" t="str">
        <f t="shared" si="242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243"/>
        <v>0</v>
      </c>
      <c r="W1978" s="1" t="str">
        <f t="shared" si="244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customHeight="1" x14ac:dyDescent="0.3">
      <c r="A1979" s="2"/>
      <c r="B1979" s="65" t="str">
        <f t="shared" si="245"/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 t="shared" si="246"/>
        <v/>
      </c>
      <c r="N1979" s="74" t="str">
        <f t="shared" si="247"/>
        <v/>
      </c>
      <c r="O1979" s="73" t="str">
        <f t="shared" si="248"/>
        <v/>
      </c>
      <c r="P1979" s="65" t="str">
        <f t="shared" ca="1" si="249"/>
        <v/>
      </c>
      <c r="Q1979" s="2"/>
      <c r="R1979" s="2"/>
      <c r="S1979" s="1" t="str">
        <f t="shared" si="242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243"/>
        <v>0</v>
      </c>
      <c r="W1979" s="1" t="str">
        <f t="shared" si="244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customHeight="1" x14ac:dyDescent="0.3">
      <c r="A1980" s="2"/>
      <c r="B1980" s="65" t="str">
        <f t="shared" si="245"/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 t="shared" si="246"/>
        <v/>
      </c>
      <c r="N1980" s="74" t="str">
        <f t="shared" si="247"/>
        <v/>
      </c>
      <c r="O1980" s="73" t="str">
        <f t="shared" si="248"/>
        <v/>
      </c>
      <c r="P1980" s="65" t="str">
        <f t="shared" ca="1" si="249"/>
        <v/>
      </c>
      <c r="Q1980" s="2"/>
      <c r="R1980" s="2"/>
      <c r="S1980" s="1" t="str">
        <f t="shared" si="242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243"/>
        <v>0</v>
      </c>
      <c r="W1980" s="1" t="str">
        <f t="shared" si="244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customHeight="1" x14ac:dyDescent="0.3">
      <c r="A1981" s="2"/>
      <c r="B1981" s="65" t="str">
        <f t="shared" si="245"/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 t="shared" si="246"/>
        <v/>
      </c>
      <c r="N1981" s="74" t="str">
        <f t="shared" si="247"/>
        <v/>
      </c>
      <c r="O1981" s="73" t="str">
        <f t="shared" si="248"/>
        <v/>
      </c>
      <c r="P1981" s="65" t="str">
        <f t="shared" ca="1" si="249"/>
        <v/>
      </c>
      <c r="Q1981" s="2"/>
      <c r="R1981" s="2"/>
      <c r="S1981" s="1" t="str">
        <f t="shared" si="242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243"/>
        <v>0</v>
      </c>
      <c r="W1981" s="1" t="str">
        <f t="shared" si="244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customHeight="1" x14ac:dyDescent="0.3">
      <c r="A1982" s="2"/>
      <c r="B1982" s="65" t="str">
        <f t="shared" si="245"/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 t="shared" si="246"/>
        <v/>
      </c>
      <c r="N1982" s="74" t="str">
        <f t="shared" si="247"/>
        <v/>
      </c>
      <c r="O1982" s="73" t="str">
        <f t="shared" si="248"/>
        <v/>
      </c>
      <c r="P1982" s="65" t="str">
        <f t="shared" ca="1" si="249"/>
        <v/>
      </c>
      <c r="Q1982" s="2"/>
      <c r="R1982" s="2"/>
      <c r="S1982" s="1" t="str">
        <f t="shared" si="242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243"/>
        <v>0</v>
      </c>
      <c r="W1982" s="1" t="str">
        <f t="shared" si="244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customHeight="1" x14ac:dyDescent="0.3">
      <c r="A1983" s="2"/>
      <c r="B1983" s="65" t="str">
        <f t="shared" si="245"/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 t="shared" si="246"/>
        <v/>
      </c>
      <c r="N1983" s="74" t="str">
        <f t="shared" si="247"/>
        <v/>
      </c>
      <c r="O1983" s="73" t="str">
        <f t="shared" si="248"/>
        <v/>
      </c>
      <c r="P1983" s="65" t="str">
        <f t="shared" ca="1" si="249"/>
        <v/>
      </c>
      <c r="Q1983" s="2"/>
      <c r="R1983" s="2"/>
      <c r="S1983" s="1" t="str">
        <f t="shared" si="242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243"/>
        <v>0</v>
      </c>
      <c r="W1983" s="1" t="str">
        <f t="shared" si="244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customHeight="1" x14ac:dyDescent="0.3">
      <c r="A1984" s="2"/>
      <c r="B1984" s="65" t="str">
        <f t="shared" si="245"/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 t="shared" si="246"/>
        <v/>
      </c>
      <c r="N1984" s="74" t="str">
        <f t="shared" si="247"/>
        <v/>
      </c>
      <c r="O1984" s="73" t="str">
        <f t="shared" si="248"/>
        <v/>
      </c>
      <c r="P1984" s="65" t="str">
        <f t="shared" ca="1" si="249"/>
        <v/>
      </c>
      <c r="Q1984" s="2"/>
      <c r="R1984" s="2"/>
      <c r="S1984" s="1" t="str">
        <f t="shared" si="242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243"/>
        <v>0</v>
      </c>
      <c r="W1984" s="1" t="str">
        <f t="shared" si="244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customHeight="1" x14ac:dyDescent="0.3">
      <c r="A1985" s="2"/>
      <c r="B1985" s="65" t="str">
        <f t="shared" si="245"/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 t="shared" si="246"/>
        <v/>
      </c>
      <c r="N1985" s="74" t="str">
        <f t="shared" si="247"/>
        <v/>
      </c>
      <c r="O1985" s="73" t="str">
        <f t="shared" si="248"/>
        <v/>
      </c>
      <c r="P1985" s="65" t="str">
        <f t="shared" ca="1" si="249"/>
        <v/>
      </c>
      <c r="Q1985" s="2"/>
      <c r="R1985" s="2"/>
      <c r="S1985" s="1" t="str">
        <f t="shared" si="242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243"/>
        <v>0</v>
      </c>
      <c r="W1985" s="1" t="str">
        <f t="shared" si="244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customHeight="1" x14ac:dyDescent="0.3">
      <c r="A1986" s="2"/>
      <c r="B1986" s="65" t="str">
        <f t="shared" si="245"/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 t="shared" si="246"/>
        <v/>
      </c>
      <c r="N1986" s="74" t="str">
        <f t="shared" si="247"/>
        <v/>
      </c>
      <c r="O1986" s="73" t="str">
        <f t="shared" si="248"/>
        <v/>
      </c>
      <c r="P1986" s="65" t="str">
        <f t="shared" ca="1" si="249"/>
        <v/>
      </c>
      <c r="Q1986" s="2"/>
      <c r="R1986" s="2"/>
      <c r="S1986" s="1" t="str">
        <f t="shared" si="242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243"/>
        <v>0</v>
      </c>
      <c r="W1986" s="1" t="str">
        <f t="shared" si="244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customHeight="1" x14ac:dyDescent="0.3">
      <c r="A1987" s="2"/>
      <c r="B1987" s="65" t="str">
        <f t="shared" si="245"/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 t="shared" si="246"/>
        <v/>
      </c>
      <c r="N1987" s="74" t="str">
        <f t="shared" si="247"/>
        <v/>
      </c>
      <c r="O1987" s="73" t="str">
        <f t="shared" si="248"/>
        <v/>
      </c>
      <c r="P1987" s="65" t="str">
        <f t="shared" ca="1" si="249"/>
        <v/>
      </c>
      <c r="Q1987" s="2"/>
      <c r="R1987" s="2"/>
      <c r="S1987" s="1" t="str">
        <f t="shared" si="242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243"/>
        <v>0</v>
      </c>
      <c r="W1987" s="1" t="str">
        <f t="shared" si="244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customHeight="1" x14ac:dyDescent="0.3">
      <c r="A1988" s="2"/>
      <c r="B1988" s="65" t="str">
        <f t="shared" si="245"/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 t="shared" si="246"/>
        <v/>
      </c>
      <c r="N1988" s="74" t="str">
        <f t="shared" si="247"/>
        <v/>
      </c>
      <c r="O1988" s="73" t="str">
        <f t="shared" si="248"/>
        <v/>
      </c>
      <c r="P1988" s="65" t="str">
        <f t="shared" ca="1" si="249"/>
        <v/>
      </c>
      <c r="Q1988" s="2"/>
      <c r="R1988" s="2"/>
      <c r="S1988" s="1" t="str">
        <f t="shared" si="242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243"/>
        <v>0</v>
      </c>
      <c r="W1988" s="1" t="str">
        <f t="shared" si="244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customHeight="1" x14ac:dyDescent="0.3">
      <c r="A1989" s="2"/>
      <c r="B1989" s="65" t="str">
        <f t="shared" si="245"/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 t="shared" si="246"/>
        <v/>
      </c>
      <c r="N1989" s="74" t="str">
        <f t="shared" si="247"/>
        <v/>
      </c>
      <c r="O1989" s="73" t="str">
        <f t="shared" si="248"/>
        <v/>
      </c>
      <c r="P1989" s="65" t="str">
        <f t="shared" ca="1" si="249"/>
        <v/>
      </c>
      <c r="Q1989" s="2"/>
      <c r="R1989" s="2"/>
      <c r="S1989" s="1" t="str">
        <f t="shared" ref="S1989:S2052" si="250"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ref="V1989:V2052" si="251">IF($T1989="",0,1)</f>
        <v>0</v>
      </c>
      <c r="W1989" s="1" t="str">
        <f t="shared" ref="W1989:W2052" si="252">IF($C1989="","",$D1989&amp;"|"&amp;$E1989&amp;"|"&amp;TEXT($C1989,"0")&amp;"|"&amp;TEXT($G1989,"0")&amp;"|"&amp;$F1989&amp;"|"&amp;$J1989)</f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customHeight="1" x14ac:dyDescent="0.3">
      <c r="A1990" s="2"/>
      <c r="B1990" s="65" t="str">
        <f t="shared" si="245"/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 t="shared" si="246"/>
        <v/>
      </c>
      <c r="N1990" s="74" t="str">
        <f t="shared" si="247"/>
        <v/>
      </c>
      <c r="O1990" s="73" t="str">
        <f t="shared" si="248"/>
        <v/>
      </c>
      <c r="P1990" s="65" t="str">
        <f t="shared" ca="1" si="249"/>
        <v/>
      </c>
      <c r="Q1990" s="2"/>
      <c r="R1990" s="2"/>
      <c r="S1990" s="1" t="str">
        <f t="shared" si="250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251"/>
        <v>0</v>
      </c>
      <c r="W1990" s="1" t="str">
        <f t="shared" si="252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customHeight="1" x14ac:dyDescent="0.3">
      <c r="A1991" s="2"/>
      <c r="B1991" s="65" t="str">
        <f t="shared" ref="B1991:B2054" si="253"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 t="shared" ref="M1991:M2054" si="254">IF($C1991="","",IF($D1991="Gider",$E1991,IF($L1991&lt;&gt;"",$L1991,$H1991)))</f>
        <v/>
      </c>
      <c r="N1991" s="74" t="str">
        <f t="shared" ref="N1991:N2054" si="255">IF($C1991="","",IF($D1991="Gider",$H1991,$E1991))</f>
        <v/>
      </c>
      <c r="O1991" s="73" t="str">
        <f t="shared" ref="O1991:O2054" si="256">IF($C1991="","",DATE(YEAR($C1991),MONTH($C1991),1))</f>
        <v/>
      </c>
      <c r="P1991" s="65" t="str">
        <f t="shared" ref="P1991:P2054" ca="1" si="257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TARİH",IF(COUNTIF($W$7:$W$3001,$W1991)&gt;1,"MÜKERRER?",IF($AD1991&gt;0,"KAPALI DÖNEM",IF($I1991="Hayır","ÖDENECEK","UYGUN")))),"EKSİK"))))</f>
        <v/>
      </c>
      <c r="Q1991" s="2"/>
      <c r="R1991" s="2"/>
      <c r="S1991" s="1" t="str">
        <f t="shared" si="250"/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si="251"/>
        <v>0</v>
      </c>
      <c r="W1991" s="1" t="str">
        <f t="shared" si="252"/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customHeight="1" x14ac:dyDescent="0.3">
      <c r="A1992" s="2"/>
      <c r="B1992" s="65" t="str">
        <f t="shared" si="253"/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 t="shared" si="254"/>
        <v/>
      </c>
      <c r="N1992" s="74" t="str">
        <f t="shared" si="255"/>
        <v/>
      </c>
      <c r="O1992" s="73" t="str">
        <f t="shared" si="256"/>
        <v/>
      </c>
      <c r="P1992" s="65" t="str">
        <f t="shared" ca="1" si="257"/>
        <v/>
      </c>
      <c r="Q1992" s="2"/>
      <c r="R1992" s="2"/>
      <c r="S1992" s="1" t="str">
        <f t="shared" si="250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251"/>
        <v>0</v>
      </c>
      <c r="W1992" s="1" t="str">
        <f t="shared" si="252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customHeight="1" x14ac:dyDescent="0.3">
      <c r="A1993" s="2"/>
      <c r="B1993" s="65" t="str">
        <f t="shared" si="253"/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 t="shared" si="254"/>
        <v/>
      </c>
      <c r="N1993" s="74" t="str">
        <f t="shared" si="255"/>
        <v/>
      </c>
      <c r="O1993" s="73" t="str">
        <f t="shared" si="256"/>
        <v/>
      </c>
      <c r="P1993" s="65" t="str">
        <f t="shared" ca="1" si="257"/>
        <v/>
      </c>
      <c r="Q1993" s="2"/>
      <c r="R1993" s="2"/>
      <c r="S1993" s="1" t="str">
        <f t="shared" si="250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251"/>
        <v>0</v>
      </c>
      <c r="W1993" s="1" t="str">
        <f t="shared" si="252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customHeight="1" x14ac:dyDescent="0.3">
      <c r="A1994" s="2"/>
      <c r="B1994" s="65" t="str">
        <f t="shared" si="253"/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 t="shared" si="254"/>
        <v/>
      </c>
      <c r="N1994" s="74" t="str">
        <f t="shared" si="255"/>
        <v/>
      </c>
      <c r="O1994" s="73" t="str">
        <f t="shared" si="256"/>
        <v/>
      </c>
      <c r="P1994" s="65" t="str">
        <f t="shared" ca="1" si="257"/>
        <v/>
      </c>
      <c r="Q1994" s="2"/>
      <c r="R1994" s="2"/>
      <c r="S1994" s="1" t="str">
        <f t="shared" si="250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251"/>
        <v>0</v>
      </c>
      <c r="W1994" s="1" t="str">
        <f t="shared" si="252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customHeight="1" x14ac:dyDescent="0.3">
      <c r="A1995" s="2"/>
      <c r="B1995" s="65" t="str">
        <f t="shared" si="253"/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 t="shared" si="254"/>
        <v/>
      </c>
      <c r="N1995" s="74" t="str">
        <f t="shared" si="255"/>
        <v/>
      </c>
      <c r="O1995" s="73" t="str">
        <f t="shared" si="256"/>
        <v/>
      </c>
      <c r="P1995" s="65" t="str">
        <f t="shared" ca="1" si="257"/>
        <v/>
      </c>
      <c r="Q1995" s="2"/>
      <c r="R1995" s="2"/>
      <c r="S1995" s="1" t="str">
        <f t="shared" si="250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251"/>
        <v>0</v>
      </c>
      <c r="W1995" s="1" t="str">
        <f t="shared" si="252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customHeight="1" x14ac:dyDescent="0.3">
      <c r="A1996" s="2"/>
      <c r="B1996" s="65" t="str">
        <f t="shared" si="253"/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 t="shared" si="254"/>
        <v/>
      </c>
      <c r="N1996" s="74" t="str">
        <f t="shared" si="255"/>
        <v/>
      </c>
      <c r="O1996" s="73" t="str">
        <f t="shared" si="256"/>
        <v/>
      </c>
      <c r="P1996" s="65" t="str">
        <f t="shared" ca="1" si="257"/>
        <v/>
      </c>
      <c r="Q1996" s="2"/>
      <c r="R1996" s="2"/>
      <c r="S1996" s="1" t="str">
        <f t="shared" si="250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251"/>
        <v>0</v>
      </c>
      <c r="W1996" s="1" t="str">
        <f t="shared" si="252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customHeight="1" x14ac:dyDescent="0.3">
      <c r="A1997" s="2"/>
      <c r="B1997" s="65" t="str">
        <f t="shared" si="253"/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 t="shared" si="254"/>
        <v/>
      </c>
      <c r="N1997" s="74" t="str">
        <f t="shared" si="255"/>
        <v/>
      </c>
      <c r="O1997" s="73" t="str">
        <f t="shared" si="256"/>
        <v/>
      </c>
      <c r="P1997" s="65" t="str">
        <f t="shared" ca="1" si="257"/>
        <v/>
      </c>
      <c r="Q1997" s="2"/>
      <c r="R1997" s="2"/>
      <c r="S1997" s="1" t="str">
        <f t="shared" si="250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251"/>
        <v>0</v>
      </c>
      <c r="W1997" s="1" t="str">
        <f t="shared" si="252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customHeight="1" x14ac:dyDescent="0.3">
      <c r="A1998" s="2"/>
      <c r="B1998" s="65" t="str">
        <f t="shared" si="253"/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 t="shared" si="254"/>
        <v/>
      </c>
      <c r="N1998" s="74" t="str">
        <f t="shared" si="255"/>
        <v/>
      </c>
      <c r="O1998" s="73" t="str">
        <f t="shared" si="256"/>
        <v/>
      </c>
      <c r="P1998" s="65" t="str">
        <f t="shared" ca="1" si="257"/>
        <v/>
      </c>
      <c r="Q1998" s="2"/>
      <c r="R1998" s="2"/>
      <c r="S1998" s="1" t="str">
        <f t="shared" si="250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251"/>
        <v>0</v>
      </c>
      <c r="W1998" s="1" t="str">
        <f t="shared" si="252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customHeight="1" x14ac:dyDescent="0.3">
      <c r="A1999" s="2"/>
      <c r="B1999" s="65" t="str">
        <f t="shared" si="253"/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 t="shared" si="254"/>
        <v/>
      </c>
      <c r="N1999" s="74" t="str">
        <f t="shared" si="255"/>
        <v/>
      </c>
      <c r="O1999" s="73" t="str">
        <f t="shared" si="256"/>
        <v/>
      </c>
      <c r="P1999" s="65" t="str">
        <f t="shared" ca="1" si="257"/>
        <v/>
      </c>
      <c r="Q1999" s="2"/>
      <c r="R1999" s="2"/>
      <c r="S1999" s="1" t="str">
        <f t="shared" si="250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251"/>
        <v>0</v>
      </c>
      <c r="W1999" s="1" t="str">
        <f t="shared" si="252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customHeight="1" x14ac:dyDescent="0.3">
      <c r="A2000" s="2"/>
      <c r="B2000" s="65" t="str">
        <f t="shared" si="253"/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 t="shared" si="254"/>
        <v/>
      </c>
      <c r="N2000" s="74" t="str">
        <f t="shared" si="255"/>
        <v/>
      </c>
      <c r="O2000" s="73" t="str">
        <f t="shared" si="256"/>
        <v/>
      </c>
      <c r="P2000" s="65" t="str">
        <f t="shared" ca="1" si="257"/>
        <v/>
      </c>
      <c r="Q2000" s="2"/>
      <c r="R2000" s="2"/>
      <c r="S2000" s="1" t="str">
        <f t="shared" si="250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251"/>
        <v>0</v>
      </c>
      <c r="W2000" s="1" t="str">
        <f t="shared" si="252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customHeight="1" x14ac:dyDescent="0.3">
      <c r="A2001" s="2"/>
      <c r="B2001" s="65" t="str">
        <f t="shared" si="253"/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 t="shared" si="254"/>
        <v/>
      </c>
      <c r="N2001" s="74" t="str">
        <f t="shared" si="255"/>
        <v/>
      </c>
      <c r="O2001" s="73" t="str">
        <f t="shared" si="256"/>
        <v/>
      </c>
      <c r="P2001" s="65" t="str">
        <f t="shared" ca="1" si="257"/>
        <v/>
      </c>
      <c r="Q2001" s="2"/>
      <c r="R2001" s="2"/>
      <c r="S2001" s="1" t="str">
        <f t="shared" si="250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251"/>
        <v>0</v>
      </c>
      <c r="W2001" s="1" t="str">
        <f t="shared" si="252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customHeight="1" x14ac:dyDescent="0.3">
      <c r="A2002" s="2"/>
      <c r="B2002" s="65" t="str">
        <f t="shared" si="253"/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 t="shared" si="254"/>
        <v/>
      </c>
      <c r="N2002" s="74" t="str">
        <f t="shared" si="255"/>
        <v/>
      </c>
      <c r="O2002" s="73" t="str">
        <f t="shared" si="256"/>
        <v/>
      </c>
      <c r="P2002" s="65" t="str">
        <f t="shared" ca="1" si="257"/>
        <v/>
      </c>
      <c r="Q2002" s="2"/>
      <c r="R2002" s="2"/>
      <c r="S2002" s="1" t="str">
        <f t="shared" si="250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251"/>
        <v>0</v>
      </c>
      <c r="W2002" s="1" t="str">
        <f t="shared" si="252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customHeight="1" x14ac:dyDescent="0.3">
      <c r="A2003" s="2"/>
      <c r="B2003" s="65" t="str">
        <f t="shared" si="253"/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 t="shared" si="254"/>
        <v/>
      </c>
      <c r="N2003" s="74" t="str">
        <f t="shared" si="255"/>
        <v/>
      </c>
      <c r="O2003" s="73" t="str">
        <f t="shared" si="256"/>
        <v/>
      </c>
      <c r="P2003" s="65" t="str">
        <f t="shared" ca="1" si="257"/>
        <v/>
      </c>
      <c r="Q2003" s="2"/>
      <c r="R2003" s="2"/>
      <c r="S2003" s="1" t="str">
        <f t="shared" si="250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251"/>
        <v>0</v>
      </c>
      <c r="W2003" s="1" t="str">
        <f t="shared" si="252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customHeight="1" x14ac:dyDescent="0.3">
      <c r="A2004" s="2"/>
      <c r="B2004" s="65" t="str">
        <f t="shared" si="253"/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 t="shared" si="254"/>
        <v/>
      </c>
      <c r="N2004" s="74" t="str">
        <f t="shared" si="255"/>
        <v/>
      </c>
      <c r="O2004" s="73" t="str">
        <f t="shared" si="256"/>
        <v/>
      </c>
      <c r="P2004" s="65" t="str">
        <f t="shared" ca="1" si="257"/>
        <v/>
      </c>
      <c r="Q2004" s="2"/>
      <c r="R2004" s="2"/>
      <c r="S2004" s="1" t="str">
        <f t="shared" si="250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251"/>
        <v>0</v>
      </c>
      <c r="W2004" s="1" t="str">
        <f t="shared" si="252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customHeight="1" x14ac:dyDescent="0.3">
      <c r="A2005" s="2"/>
      <c r="B2005" s="65" t="str">
        <f t="shared" si="253"/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 t="shared" si="254"/>
        <v/>
      </c>
      <c r="N2005" s="74" t="str">
        <f t="shared" si="255"/>
        <v/>
      </c>
      <c r="O2005" s="73" t="str">
        <f t="shared" si="256"/>
        <v/>
      </c>
      <c r="P2005" s="65" t="str">
        <f t="shared" ca="1" si="257"/>
        <v/>
      </c>
      <c r="Q2005" s="2"/>
      <c r="R2005" s="2"/>
      <c r="S2005" s="1" t="str">
        <f t="shared" si="250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251"/>
        <v>0</v>
      </c>
      <c r="W2005" s="1" t="str">
        <f t="shared" si="252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customHeight="1" x14ac:dyDescent="0.3">
      <c r="A2006" s="2"/>
      <c r="B2006" s="65" t="str">
        <f t="shared" si="253"/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 t="shared" si="254"/>
        <v/>
      </c>
      <c r="N2006" s="74" t="str">
        <f t="shared" si="255"/>
        <v/>
      </c>
      <c r="O2006" s="73" t="str">
        <f t="shared" si="256"/>
        <v/>
      </c>
      <c r="P2006" s="65" t="str">
        <f t="shared" ca="1" si="257"/>
        <v/>
      </c>
      <c r="Q2006" s="2"/>
      <c r="R2006" s="2"/>
      <c r="S2006" s="1" t="str">
        <f t="shared" si="250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251"/>
        <v>0</v>
      </c>
      <c r="W2006" s="1" t="str">
        <f t="shared" si="252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customHeight="1" x14ac:dyDescent="0.3">
      <c r="A2007" s="2"/>
      <c r="B2007" s="65" t="str">
        <f t="shared" si="253"/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 t="shared" si="254"/>
        <v/>
      </c>
      <c r="N2007" s="74" t="str">
        <f t="shared" si="255"/>
        <v/>
      </c>
      <c r="O2007" s="73" t="str">
        <f t="shared" si="256"/>
        <v/>
      </c>
      <c r="P2007" s="65" t="str">
        <f t="shared" ca="1" si="257"/>
        <v/>
      </c>
      <c r="Q2007" s="2"/>
      <c r="R2007" s="2"/>
      <c r="S2007" s="1" t="str">
        <f t="shared" si="250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251"/>
        <v>0</v>
      </c>
      <c r="W2007" s="1" t="str">
        <f t="shared" si="252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customHeight="1" x14ac:dyDescent="0.3">
      <c r="A2008" s="2"/>
      <c r="B2008" s="65" t="str">
        <f t="shared" si="253"/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 t="shared" si="254"/>
        <v/>
      </c>
      <c r="N2008" s="74" t="str">
        <f t="shared" si="255"/>
        <v/>
      </c>
      <c r="O2008" s="73" t="str">
        <f t="shared" si="256"/>
        <v/>
      </c>
      <c r="P2008" s="65" t="str">
        <f t="shared" ca="1" si="257"/>
        <v/>
      </c>
      <c r="Q2008" s="2"/>
      <c r="R2008" s="2"/>
      <c r="S2008" s="1" t="str">
        <f t="shared" si="250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251"/>
        <v>0</v>
      </c>
      <c r="W2008" s="1" t="str">
        <f t="shared" si="252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customHeight="1" x14ac:dyDescent="0.3">
      <c r="A2009" s="2"/>
      <c r="B2009" s="65" t="str">
        <f t="shared" si="253"/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 t="shared" si="254"/>
        <v/>
      </c>
      <c r="N2009" s="74" t="str">
        <f t="shared" si="255"/>
        <v/>
      </c>
      <c r="O2009" s="73" t="str">
        <f t="shared" si="256"/>
        <v/>
      </c>
      <c r="P2009" s="65" t="str">
        <f t="shared" ca="1" si="257"/>
        <v/>
      </c>
      <c r="Q2009" s="2"/>
      <c r="R2009" s="2"/>
      <c r="S2009" s="1" t="str">
        <f t="shared" si="250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251"/>
        <v>0</v>
      </c>
      <c r="W2009" s="1" t="str">
        <f t="shared" si="252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customHeight="1" x14ac:dyDescent="0.3">
      <c r="A2010" s="2"/>
      <c r="B2010" s="65" t="str">
        <f t="shared" si="253"/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 t="shared" si="254"/>
        <v/>
      </c>
      <c r="N2010" s="74" t="str">
        <f t="shared" si="255"/>
        <v/>
      </c>
      <c r="O2010" s="73" t="str">
        <f t="shared" si="256"/>
        <v/>
      </c>
      <c r="P2010" s="65" t="str">
        <f t="shared" ca="1" si="257"/>
        <v/>
      </c>
      <c r="Q2010" s="2"/>
      <c r="R2010" s="2"/>
      <c r="S2010" s="1" t="str">
        <f t="shared" si="250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251"/>
        <v>0</v>
      </c>
      <c r="W2010" s="1" t="str">
        <f t="shared" si="252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customHeight="1" x14ac:dyDescent="0.3">
      <c r="A2011" s="2"/>
      <c r="B2011" s="65" t="str">
        <f t="shared" si="253"/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 t="shared" si="254"/>
        <v/>
      </c>
      <c r="N2011" s="74" t="str">
        <f t="shared" si="255"/>
        <v/>
      </c>
      <c r="O2011" s="73" t="str">
        <f t="shared" si="256"/>
        <v/>
      </c>
      <c r="P2011" s="65" t="str">
        <f t="shared" ca="1" si="257"/>
        <v/>
      </c>
      <c r="Q2011" s="2"/>
      <c r="R2011" s="2"/>
      <c r="S2011" s="1" t="str">
        <f t="shared" si="250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251"/>
        <v>0</v>
      </c>
      <c r="W2011" s="1" t="str">
        <f t="shared" si="252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customHeight="1" x14ac:dyDescent="0.3">
      <c r="A2012" s="2"/>
      <c r="B2012" s="65" t="str">
        <f t="shared" si="253"/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 t="shared" si="254"/>
        <v/>
      </c>
      <c r="N2012" s="74" t="str">
        <f t="shared" si="255"/>
        <v/>
      </c>
      <c r="O2012" s="73" t="str">
        <f t="shared" si="256"/>
        <v/>
      </c>
      <c r="P2012" s="65" t="str">
        <f t="shared" ca="1" si="257"/>
        <v/>
      </c>
      <c r="Q2012" s="2"/>
      <c r="R2012" s="2"/>
      <c r="S2012" s="1" t="str">
        <f t="shared" si="250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251"/>
        <v>0</v>
      </c>
      <c r="W2012" s="1" t="str">
        <f t="shared" si="252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customHeight="1" x14ac:dyDescent="0.3">
      <c r="A2013" s="2"/>
      <c r="B2013" s="65" t="str">
        <f t="shared" si="253"/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 t="shared" si="254"/>
        <v/>
      </c>
      <c r="N2013" s="74" t="str">
        <f t="shared" si="255"/>
        <v/>
      </c>
      <c r="O2013" s="73" t="str">
        <f t="shared" si="256"/>
        <v/>
      </c>
      <c r="P2013" s="65" t="str">
        <f t="shared" ca="1" si="257"/>
        <v/>
      </c>
      <c r="Q2013" s="2"/>
      <c r="R2013" s="2"/>
      <c r="S2013" s="1" t="str">
        <f t="shared" si="250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251"/>
        <v>0</v>
      </c>
      <c r="W2013" s="1" t="str">
        <f t="shared" si="252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customHeight="1" x14ac:dyDescent="0.3">
      <c r="A2014" s="2"/>
      <c r="B2014" s="65" t="str">
        <f t="shared" si="253"/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 t="shared" si="254"/>
        <v/>
      </c>
      <c r="N2014" s="74" t="str">
        <f t="shared" si="255"/>
        <v/>
      </c>
      <c r="O2014" s="73" t="str">
        <f t="shared" si="256"/>
        <v/>
      </c>
      <c r="P2014" s="65" t="str">
        <f t="shared" ca="1" si="257"/>
        <v/>
      </c>
      <c r="Q2014" s="2"/>
      <c r="R2014" s="2"/>
      <c r="S2014" s="1" t="str">
        <f t="shared" si="250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251"/>
        <v>0</v>
      </c>
      <c r="W2014" s="1" t="str">
        <f t="shared" si="252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customHeight="1" x14ac:dyDescent="0.3">
      <c r="A2015" s="2"/>
      <c r="B2015" s="65" t="str">
        <f t="shared" si="253"/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 t="shared" si="254"/>
        <v/>
      </c>
      <c r="N2015" s="74" t="str">
        <f t="shared" si="255"/>
        <v/>
      </c>
      <c r="O2015" s="73" t="str">
        <f t="shared" si="256"/>
        <v/>
      </c>
      <c r="P2015" s="65" t="str">
        <f t="shared" ca="1" si="257"/>
        <v/>
      </c>
      <c r="Q2015" s="2"/>
      <c r="R2015" s="2"/>
      <c r="S2015" s="1" t="str">
        <f t="shared" si="250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251"/>
        <v>0</v>
      </c>
      <c r="W2015" s="1" t="str">
        <f t="shared" si="252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customHeight="1" x14ac:dyDescent="0.3">
      <c r="A2016" s="2"/>
      <c r="B2016" s="65" t="str">
        <f t="shared" si="253"/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 t="shared" si="254"/>
        <v/>
      </c>
      <c r="N2016" s="74" t="str">
        <f t="shared" si="255"/>
        <v/>
      </c>
      <c r="O2016" s="73" t="str">
        <f t="shared" si="256"/>
        <v/>
      </c>
      <c r="P2016" s="65" t="str">
        <f t="shared" ca="1" si="257"/>
        <v/>
      </c>
      <c r="Q2016" s="2"/>
      <c r="R2016" s="2"/>
      <c r="S2016" s="1" t="str">
        <f t="shared" si="250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251"/>
        <v>0</v>
      </c>
      <c r="W2016" s="1" t="str">
        <f t="shared" si="252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customHeight="1" x14ac:dyDescent="0.3">
      <c r="A2017" s="2"/>
      <c r="B2017" s="65" t="str">
        <f t="shared" si="253"/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 t="shared" si="254"/>
        <v/>
      </c>
      <c r="N2017" s="74" t="str">
        <f t="shared" si="255"/>
        <v/>
      </c>
      <c r="O2017" s="73" t="str">
        <f t="shared" si="256"/>
        <v/>
      </c>
      <c r="P2017" s="65" t="str">
        <f t="shared" ca="1" si="257"/>
        <v/>
      </c>
      <c r="Q2017" s="2"/>
      <c r="R2017" s="2"/>
      <c r="S2017" s="1" t="str">
        <f t="shared" si="250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251"/>
        <v>0</v>
      </c>
      <c r="W2017" s="1" t="str">
        <f t="shared" si="252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customHeight="1" x14ac:dyDescent="0.3">
      <c r="A2018" s="2"/>
      <c r="B2018" s="65" t="str">
        <f t="shared" si="253"/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 t="shared" si="254"/>
        <v/>
      </c>
      <c r="N2018" s="74" t="str">
        <f t="shared" si="255"/>
        <v/>
      </c>
      <c r="O2018" s="73" t="str">
        <f t="shared" si="256"/>
        <v/>
      </c>
      <c r="P2018" s="65" t="str">
        <f t="shared" ca="1" si="257"/>
        <v/>
      </c>
      <c r="Q2018" s="2"/>
      <c r="R2018" s="2"/>
      <c r="S2018" s="1" t="str">
        <f t="shared" si="250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251"/>
        <v>0</v>
      </c>
      <c r="W2018" s="1" t="str">
        <f t="shared" si="252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customHeight="1" x14ac:dyDescent="0.3">
      <c r="A2019" s="2"/>
      <c r="B2019" s="65" t="str">
        <f t="shared" si="253"/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 t="shared" si="254"/>
        <v/>
      </c>
      <c r="N2019" s="74" t="str">
        <f t="shared" si="255"/>
        <v/>
      </c>
      <c r="O2019" s="73" t="str">
        <f t="shared" si="256"/>
        <v/>
      </c>
      <c r="P2019" s="65" t="str">
        <f t="shared" ca="1" si="257"/>
        <v/>
      </c>
      <c r="Q2019" s="2"/>
      <c r="R2019" s="2"/>
      <c r="S2019" s="1" t="str">
        <f t="shared" si="250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251"/>
        <v>0</v>
      </c>
      <c r="W2019" s="1" t="str">
        <f t="shared" si="252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customHeight="1" x14ac:dyDescent="0.3">
      <c r="A2020" s="2"/>
      <c r="B2020" s="65" t="str">
        <f t="shared" si="253"/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 t="shared" si="254"/>
        <v/>
      </c>
      <c r="N2020" s="74" t="str">
        <f t="shared" si="255"/>
        <v/>
      </c>
      <c r="O2020" s="73" t="str">
        <f t="shared" si="256"/>
        <v/>
      </c>
      <c r="P2020" s="65" t="str">
        <f t="shared" ca="1" si="257"/>
        <v/>
      </c>
      <c r="Q2020" s="2"/>
      <c r="R2020" s="2"/>
      <c r="S2020" s="1" t="str">
        <f t="shared" si="250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251"/>
        <v>0</v>
      </c>
      <c r="W2020" s="1" t="str">
        <f t="shared" si="252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customHeight="1" x14ac:dyDescent="0.3">
      <c r="A2021" s="2"/>
      <c r="B2021" s="65" t="str">
        <f t="shared" si="253"/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 t="shared" si="254"/>
        <v/>
      </c>
      <c r="N2021" s="74" t="str">
        <f t="shared" si="255"/>
        <v/>
      </c>
      <c r="O2021" s="73" t="str">
        <f t="shared" si="256"/>
        <v/>
      </c>
      <c r="P2021" s="65" t="str">
        <f t="shared" ca="1" si="257"/>
        <v/>
      </c>
      <c r="Q2021" s="2"/>
      <c r="R2021" s="2"/>
      <c r="S2021" s="1" t="str">
        <f t="shared" si="250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251"/>
        <v>0</v>
      </c>
      <c r="W2021" s="1" t="str">
        <f t="shared" si="252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customHeight="1" x14ac:dyDescent="0.3">
      <c r="A2022" s="2"/>
      <c r="B2022" s="65" t="str">
        <f t="shared" si="253"/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 t="shared" si="254"/>
        <v/>
      </c>
      <c r="N2022" s="74" t="str">
        <f t="shared" si="255"/>
        <v/>
      </c>
      <c r="O2022" s="73" t="str">
        <f t="shared" si="256"/>
        <v/>
      </c>
      <c r="P2022" s="65" t="str">
        <f t="shared" ca="1" si="257"/>
        <v/>
      </c>
      <c r="Q2022" s="2"/>
      <c r="R2022" s="2"/>
      <c r="S2022" s="1" t="str">
        <f t="shared" si="250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251"/>
        <v>0</v>
      </c>
      <c r="W2022" s="1" t="str">
        <f t="shared" si="252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customHeight="1" x14ac:dyDescent="0.3">
      <c r="A2023" s="2"/>
      <c r="B2023" s="65" t="str">
        <f t="shared" si="253"/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 t="shared" si="254"/>
        <v/>
      </c>
      <c r="N2023" s="74" t="str">
        <f t="shared" si="255"/>
        <v/>
      </c>
      <c r="O2023" s="73" t="str">
        <f t="shared" si="256"/>
        <v/>
      </c>
      <c r="P2023" s="65" t="str">
        <f t="shared" ca="1" si="257"/>
        <v/>
      </c>
      <c r="Q2023" s="2"/>
      <c r="R2023" s="2"/>
      <c r="S2023" s="1" t="str">
        <f t="shared" si="250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251"/>
        <v>0</v>
      </c>
      <c r="W2023" s="1" t="str">
        <f t="shared" si="252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customHeight="1" x14ac:dyDescent="0.3">
      <c r="A2024" s="2"/>
      <c r="B2024" s="65" t="str">
        <f t="shared" si="253"/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 t="shared" si="254"/>
        <v/>
      </c>
      <c r="N2024" s="74" t="str">
        <f t="shared" si="255"/>
        <v/>
      </c>
      <c r="O2024" s="73" t="str">
        <f t="shared" si="256"/>
        <v/>
      </c>
      <c r="P2024" s="65" t="str">
        <f t="shared" ca="1" si="257"/>
        <v/>
      </c>
      <c r="Q2024" s="2"/>
      <c r="R2024" s="2"/>
      <c r="S2024" s="1" t="str">
        <f t="shared" si="250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251"/>
        <v>0</v>
      </c>
      <c r="W2024" s="1" t="str">
        <f t="shared" si="252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customHeight="1" x14ac:dyDescent="0.3">
      <c r="A2025" s="2"/>
      <c r="B2025" s="65" t="str">
        <f t="shared" si="253"/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 t="shared" si="254"/>
        <v/>
      </c>
      <c r="N2025" s="74" t="str">
        <f t="shared" si="255"/>
        <v/>
      </c>
      <c r="O2025" s="73" t="str">
        <f t="shared" si="256"/>
        <v/>
      </c>
      <c r="P2025" s="65" t="str">
        <f t="shared" ca="1" si="257"/>
        <v/>
      </c>
      <c r="Q2025" s="2"/>
      <c r="R2025" s="2"/>
      <c r="S2025" s="1" t="str">
        <f t="shared" si="250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251"/>
        <v>0</v>
      </c>
      <c r="W2025" s="1" t="str">
        <f t="shared" si="252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customHeight="1" x14ac:dyDescent="0.3">
      <c r="A2026" s="2"/>
      <c r="B2026" s="65" t="str">
        <f t="shared" si="253"/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 t="shared" si="254"/>
        <v/>
      </c>
      <c r="N2026" s="74" t="str">
        <f t="shared" si="255"/>
        <v/>
      </c>
      <c r="O2026" s="73" t="str">
        <f t="shared" si="256"/>
        <v/>
      </c>
      <c r="P2026" s="65" t="str">
        <f t="shared" ca="1" si="257"/>
        <v/>
      </c>
      <c r="Q2026" s="2"/>
      <c r="R2026" s="2"/>
      <c r="S2026" s="1" t="str">
        <f t="shared" si="250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251"/>
        <v>0</v>
      </c>
      <c r="W2026" s="1" t="str">
        <f t="shared" si="252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customHeight="1" x14ac:dyDescent="0.3">
      <c r="A2027" s="2"/>
      <c r="B2027" s="65" t="str">
        <f t="shared" si="253"/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 t="shared" si="254"/>
        <v/>
      </c>
      <c r="N2027" s="74" t="str">
        <f t="shared" si="255"/>
        <v/>
      </c>
      <c r="O2027" s="73" t="str">
        <f t="shared" si="256"/>
        <v/>
      </c>
      <c r="P2027" s="65" t="str">
        <f t="shared" ca="1" si="257"/>
        <v/>
      </c>
      <c r="Q2027" s="2"/>
      <c r="R2027" s="2"/>
      <c r="S2027" s="1" t="str">
        <f t="shared" si="250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251"/>
        <v>0</v>
      </c>
      <c r="W2027" s="1" t="str">
        <f t="shared" si="252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customHeight="1" x14ac:dyDescent="0.3">
      <c r="A2028" s="2"/>
      <c r="B2028" s="65" t="str">
        <f t="shared" si="253"/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 t="shared" si="254"/>
        <v/>
      </c>
      <c r="N2028" s="74" t="str">
        <f t="shared" si="255"/>
        <v/>
      </c>
      <c r="O2028" s="73" t="str">
        <f t="shared" si="256"/>
        <v/>
      </c>
      <c r="P2028" s="65" t="str">
        <f t="shared" ca="1" si="257"/>
        <v/>
      </c>
      <c r="Q2028" s="2"/>
      <c r="R2028" s="2"/>
      <c r="S2028" s="1" t="str">
        <f t="shared" si="250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251"/>
        <v>0</v>
      </c>
      <c r="W2028" s="1" t="str">
        <f t="shared" si="252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customHeight="1" x14ac:dyDescent="0.3">
      <c r="A2029" s="2"/>
      <c r="B2029" s="65" t="str">
        <f t="shared" si="253"/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 t="shared" si="254"/>
        <v/>
      </c>
      <c r="N2029" s="74" t="str">
        <f t="shared" si="255"/>
        <v/>
      </c>
      <c r="O2029" s="73" t="str">
        <f t="shared" si="256"/>
        <v/>
      </c>
      <c r="P2029" s="65" t="str">
        <f t="shared" ca="1" si="257"/>
        <v/>
      </c>
      <c r="Q2029" s="2"/>
      <c r="R2029" s="2"/>
      <c r="S2029" s="1" t="str">
        <f t="shared" si="250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251"/>
        <v>0</v>
      </c>
      <c r="W2029" s="1" t="str">
        <f t="shared" si="252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customHeight="1" x14ac:dyDescent="0.3">
      <c r="A2030" s="2"/>
      <c r="B2030" s="65" t="str">
        <f t="shared" si="253"/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 t="shared" si="254"/>
        <v/>
      </c>
      <c r="N2030" s="74" t="str">
        <f t="shared" si="255"/>
        <v/>
      </c>
      <c r="O2030" s="73" t="str">
        <f t="shared" si="256"/>
        <v/>
      </c>
      <c r="P2030" s="65" t="str">
        <f t="shared" ca="1" si="257"/>
        <v/>
      </c>
      <c r="Q2030" s="2"/>
      <c r="R2030" s="2"/>
      <c r="S2030" s="1" t="str">
        <f t="shared" si="250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251"/>
        <v>0</v>
      </c>
      <c r="W2030" s="1" t="str">
        <f t="shared" si="252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customHeight="1" x14ac:dyDescent="0.3">
      <c r="A2031" s="2"/>
      <c r="B2031" s="65" t="str">
        <f t="shared" si="253"/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 t="shared" si="254"/>
        <v/>
      </c>
      <c r="N2031" s="74" t="str">
        <f t="shared" si="255"/>
        <v/>
      </c>
      <c r="O2031" s="73" t="str">
        <f t="shared" si="256"/>
        <v/>
      </c>
      <c r="P2031" s="65" t="str">
        <f t="shared" ca="1" si="257"/>
        <v/>
      </c>
      <c r="Q2031" s="2"/>
      <c r="R2031" s="2"/>
      <c r="S2031" s="1" t="str">
        <f t="shared" si="250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251"/>
        <v>0</v>
      </c>
      <c r="W2031" s="1" t="str">
        <f t="shared" si="252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customHeight="1" x14ac:dyDescent="0.3">
      <c r="A2032" s="2"/>
      <c r="B2032" s="65" t="str">
        <f t="shared" si="253"/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 t="shared" si="254"/>
        <v/>
      </c>
      <c r="N2032" s="74" t="str">
        <f t="shared" si="255"/>
        <v/>
      </c>
      <c r="O2032" s="73" t="str">
        <f t="shared" si="256"/>
        <v/>
      </c>
      <c r="P2032" s="65" t="str">
        <f t="shared" ca="1" si="257"/>
        <v/>
      </c>
      <c r="Q2032" s="2"/>
      <c r="R2032" s="2"/>
      <c r="S2032" s="1" t="str">
        <f t="shared" si="250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251"/>
        <v>0</v>
      </c>
      <c r="W2032" s="1" t="str">
        <f t="shared" si="252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customHeight="1" x14ac:dyDescent="0.3">
      <c r="A2033" s="2"/>
      <c r="B2033" s="65" t="str">
        <f t="shared" si="253"/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 t="shared" si="254"/>
        <v/>
      </c>
      <c r="N2033" s="74" t="str">
        <f t="shared" si="255"/>
        <v/>
      </c>
      <c r="O2033" s="73" t="str">
        <f t="shared" si="256"/>
        <v/>
      </c>
      <c r="P2033" s="65" t="str">
        <f t="shared" ca="1" si="257"/>
        <v/>
      </c>
      <c r="Q2033" s="2"/>
      <c r="R2033" s="2"/>
      <c r="S2033" s="1" t="str">
        <f t="shared" si="250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251"/>
        <v>0</v>
      </c>
      <c r="W2033" s="1" t="str">
        <f t="shared" si="252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customHeight="1" x14ac:dyDescent="0.3">
      <c r="A2034" s="2"/>
      <c r="B2034" s="65" t="str">
        <f t="shared" si="253"/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 t="shared" si="254"/>
        <v/>
      </c>
      <c r="N2034" s="74" t="str">
        <f t="shared" si="255"/>
        <v/>
      </c>
      <c r="O2034" s="73" t="str">
        <f t="shared" si="256"/>
        <v/>
      </c>
      <c r="P2034" s="65" t="str">
        <f t="shared" ca="1" si="257"/>
        <v/>
      </c>
      <c r="Q2034" s="2"/>
      <c r="R2034" s="2"/>
      <c r="S2034" s="1" t="str">
        <f t="shared" si="250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251"/>
        <v>0</v>
      </c>
      <c r="W2034" s="1" t="str">
        <f t="shared" si="252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customHeight="1" x14ac:dyDescent="0.3">
      <c r="A2035" s="2"/>
      <c r="B2035" s="65" t="str">
        <f t="shared" si="253"/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 t="shared" si="254"/>
        <v/>
      </c>
      <c r="N2035" s="74" t="str">
        <f t="shared" si="255"/>
        <v/>
      </c>
      <c r="O2035" s="73" t="str">
        <f t="shared" si="256"/>
        <v/>
      </c>
      <c r="P2035" s="65" t="str">
        <f t="shared" ca="1" si="257"/>
        <v/>
      </c>
      <c r="Q2035" s="2"/>
      <c r="R2035" s="2"/>
      <c r="S2035" s="1" t="str">
        <f t="shared" si="250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251"/>
        <v>0</v>
      </c>
      <c r="W2035" s="1" t="str">
        <f t="shared" si="252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customHeight="1" x14ac:dyDescent="0.3">
      <c r="A2036" s="2"/>
      <c r="B2036" s="65" t="str">
        <f t="shared" si="253"/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 t="shared" si="254"/>
        <v/>
      </c>
      <c r="N2036" s="74" t="str">
        <f t="shared" si="255"/>
        <v/>
      </c>
      <c r="O2036" s="73" t="str">
        <f t="shared" si="256"/>
        <v/>
      </c>
      <c r="P2036" s="65" t="str">
        <f t="shared" ca="1" si="257"/>
        <v/>
      </c>
      <c r="Q2036" s="2"/>
      <c r="R2036" s="2"/>
      <c r="S2036" s="1" t="str">
        <f t="shared" si="250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251"/>
        <v>0</v>
      </c>
      <c r="W2036" s="1" t="str">
        <f t="shared" si="252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customHeight="1" x14ac:dyDescent="0.3">
      <c r="A2037" s="2"/>
      <c r="B2037" s="65" t="str">
        <f t="shared" si="253"/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 t="shared" si="254"/>
        <v/>
      </c>
      <c r="N2037" s="74" t="str">
        <f t="shared" si="255"/>
        <v/>
      </c>
      <c r="O2037" s="73" t="str">
        <f t="shared" si="256"/>
        <v/>
      </c>
      <c r="P2037" s="65" t="str">
        <f t="shared" ca="1" si="257"/>
        <v/>
      </c>
      <c r="Q2037" s="2"/>
      <c r="R2037" s="2"/>
      <c r="S2037" s="1" t="str">
        <f t="shared" si="250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251"/>
        <v>0</v>
      </c>
      <c r="W2037" s="1" t="str">
        <f t="shared" si="252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customHeight="1" x14ac:dyDescent="0.3">
      <c r="A2038" s="2"/>
      <c r="B2038" s="65" t="str">
        <f t="shared" si="253"/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 t="shared" si="254"/>
        <v/>
      </c>
      <c r="N2038" s="74" t="str">
        <f t="shared" si="255"/>
        <v/>
      </c>
      <c r="O2038" s="73" t="str">
        <f t="shared" si="256"/>
        <v/>
      </c>
      <c r="P2038" s="65" t="str">
        <f t="shared" ca="1" si="257"/>
        <v/>
      </c>
      <c r="Q2038" s="2"/>
      <c r="R2038" s="2"/>
      <c r="S2038" s="1" t="str">
        <f t="shared" si="250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251"/>
        <v>0</v>
      </c>
      <c r="W2038" s="1" t="str">
        <f t="shared" si="252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customHeight="1" x14ac:dyDescent="0.3">
      <c r="A2039" s="2"/>
      <c r="B2039" s="65" t="str">
        <f t="shared" si="253"/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 t="shared" si="254"/>
        <v/>
      </c>
      <c r="N2039" s="74" t="str">
        <f t="shared" si="255"/>
        <v/>
      </c>
      <c r="O2039" s="73" t="str">
        <f t="shared" si="256"/>
        <v/>
      </c>
      <c r="P2039" s="65" t="str">
        <f t="shared" ca="1" si="257"/>
        <v/>
      </c>
      <c r="Q2039" s="2"/>
      <c r="R2039" s="2"/>
      <c r="S2039" s="1" t="str">
        <f t="shared" si="250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251"/>
        <v>0</v>
      </c>
      <c r="W2039" s="1" t="str">
        <f t="shared" si="252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customHeight="1" x14ac:dyDescent="0.3">
      <c r="A2040" s="2"/>
      <c r="B2040" s="65" t="str">
        <f t="shared" si="253"/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 t="shared" si="254"/>
        <v/>
      </c>
      <c r="N2040" s="74" t="str">
        <f t="shared" si="255"/>
        <v/>
      </c>
      <c r="O2040" s="73" t="str">
        <f t="shared" si="256"/>
        <v/>
      </c>
      <c r="P2040" s="65" t="str">
        <f t="shared" ca="1" si="257"/>
        <v/>
      </c>
      <c r="Q2040" s="2"/>
      <c r="R2040" s="2"/>
      <c r="S2040" s="1" t="str">
        <f t="shared" si="250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251"/>
        <v>0</v>
      </c>
      <c r="W2040" s="1" t="str">
        <f t="shared" si="252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customHeight="1" x14ac:dyDescent="0.3">
      <c r="A2041" s="2"/>
      <c r="B2041" s="65" t="str">
        <f t="shared" si="253"/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 t="shared" si="254"/>
        <v/>
      </c>
      <c r="N2041" s="74" t="str">
        <f t="shared" si="255"/>
        <v/>
      </c>
      <c r="O2041" s="73" t="str">
        <f t="shared" si="256"/>
        <v/>
      </c>
      <c r="P2041" s="65" t="str">
        <f t="shared" ca="1" si="257"/>
        <v/>
      </c>
      <c r="Q2041" s="2"/>
      <c r="R2041" s="2"/>
      <c r="S2041" s="1" t="str">
        <f t="shared" si="250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251"/>
        <v>0</v>
      </c>
      <c r="W2041" s="1" t="str">
        <f t="shared" si="252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customHeight="1" x14ac:dyDescent="0.3">
      <c r="A2042" s="2"/>
      <c r="B2042" s="65" t="str">
        <f t="shared" si="253"/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 t="shared" si="254"/>
        <v/>
      </c>
      <c r="N2042" s="74" t="str">
        <f t="shared" si="255"/>
        <v/>
      </c>
      <c r="O2042" s="73" t="str">
        <f t="shared" si="256"/>
        <v/>
      </c>
      <c r="P2042" s="65" t="str">
        <f t="shared" ca="1" si="257"/>
        <v/>
      </c>
      <c r="Q2042" s="2"/>
      <c r="R2042" s="2"/>
      <c r="S2042" s="1" t="str">
        <f t="shared" si="250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251"/>
        <v>0</v>
      </c>
      <c r="W2042" s="1" t="str">
        <f t="shared" si="252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customHeight="1" x14ac:dyDescent="0.3">
      <c r="A2043" s="2"/>
      <c r="B2043" s="65" t="str">
        <f t="shared" si="253"/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 t="shared" si="254"/>
        <v/>
      </c>
      <c r="N2043" s="74" t="str">
        <f t="shared" si="255"/>
        <v/>
      </c>
      <c r="O2043" s="73" t="str">
        <f t="shared" si="256"/>
        <v/>
      </c>
      <c r="P2043" s="65" t="str">
        <f t="shared" ca="1" si="257"/>
        <v/>
      </c>
      <c r="Q2043" s="2"/>
      <c r="R2043" s="2"/>
      <c r="S2043" s="1" t="str">
        <f t="shared" si="250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251"/>
        <v>0</v>
      </c>
      <c r="W2043" s="1" t="str">
        <f t="shared" si="252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customHeight="1" x14ac:dyDescent="0.3">
      <c r="A2044" s="2"/>
      <c r="B2044" s="65" t="str">
        <f t="shared" si="253"/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 t="shared" si="254"/>
        <v/>
      </c>
      <c r="N2044" s="74" t="str">
        <f t="shared" si="255"/>
        <v/>
      </c>
      <c r="O2044" s="73" t="str">
        <f t="shared" si="256"/>
        <v/>
      </c>
      <c r="P2044" s="65" t="str">
        <f t="shared" ca="1" si="257"/>
        <v/>
      </c>
      <c r="Q2044" s="2"/>
      <c r="R2044" s="2"/>
      <c r="S2044" s="1" t="str">
        <f t="shared" si="250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251"/>
        <v>0</v>
      </c>
      <c r="W2044" s="1" t="str">
        <f t="shared" si="252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customHeight="1" x14ac:dyDescent="0.3">
      <c r="A2045" s="2"/>
      <c r="B2045" s="65" t="str">
        <f t="shared" si="253"/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 t="shared" si="254"/>
        <v/>
      </c>
      <c r="N2045" s="74" t="str">
        <f t="shared" si="255"/>
        <v/>
      </c>
      <c r="O2045" s="73" t="str">
        <f t="shared" si="256"/>
        <v/>
      </c>
      <c r="P2045" s="65" t="str">
        <f t="shared" ca="1" si="257"/>
        <v/>
      </c>
      <c r="Q2045" s="2"/>
      <c r="R2045" s="2"/>
      <c r="S2045" s="1" t="str">
        <f t="shared" si="250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251"/>
        <v>0</v>
      </c>
      <c r="W2045" s="1" t="str">
        <f t="shared" si="252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customHeight="1" x14ac:dyDescent="0.3">
      <c r="A2046" s="2"/>
      <c r="B2046" s="65" t="str">
        <f t="shared" si="253"/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 t="shared" si="254"/>
        <v/>
      </c>
      <c r="N2046" s="74" t="str">
        <f t="shared" si="255"/>
        <v/>
      </c>
      <c r="O2046" s="73" t="str">
        <f t="shared" si="256"/>
        <v/>
      </c>
      <c r="P2046" s="65" t="str">
        <f t="shared" ca="1" si="257"/>
        <v/>
      </c>
      <c r="Q2046" s="2"/>
      <c r="R2046" s="2"/>
      <c r="S2046" s="1" t="str">
        <f t="shared" si="250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251"/>
        <v>0</v>
      </c>
      <c r="W2046" s="1" t="str">
        <f t="shared" si="252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customHeight="1" x14ac:dyDescent="0.3">
      <c r="A2047" s="2"/>
      <c r="B2047" s="65" t="str">
        <f t="shared" si="253"/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 t="shared" si="254"/>
        <v/>
      </c>
      <c r="N2047" s="74" t="str">
        <f t="shared" si="255"/>
        <v/>
      </c>
      <c r="O2047" s="73" t="str">
        <f t="shared" si="256"/>
        <v/>
      </c>
      <c r="P2047" s="65" t="str">
        <f t="shared" ca="1" si="257"/>
        <v/>
      </c>
      <c r="Q2047" s="2"/>
      <c r="R2047" s="2"/>
      <c r="S2047" s="1" t="str">
        <f t="shared" si="250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251"/>
        <v>0</v>
      </c>
      <c r="W2047" s="1" t="str">
        <f t="shared" si="252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customHeight="1" x14ac:dyDescent="0.3">
      <c r="A2048" s="2"/>
      <c r="B2048" s="65" t="str">
        <f t="shared" si="253"/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 t="shared" si="254"/>
        <v/>
      </c>
      <c r="N2048" s="74" t="str">
        <f t="shared" si="255"/>
        <v/>
      </c>
      <c r="O2048" s="73" t="str">
        <f t="shared" si="256"/>
        <v/>
      </c>
      <c r="P2048" s="65" t="str">
        <f t="shared" ca="1" si="257"/>
        <v/>
      </c>
      <c r="Q2048" s="2"/>
      <c r="R2048" s="2"/>
      <c r="S2048" s="1" t="str">
        <f t="shared" si="250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251"/>
        <v>0</v>
      </c>
      <c r="W2048" s="1" t="str">
        <f t="shared" si="252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customHeight="1" x14ac:dyDescent="0.3">
      <c r="A2049" s="2"/>
      <c r="B2049" s="65" t="str">
        <f t="shared" si="253"/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 t="shared" si="254"/>
        <v/>
      </c>
      <c r="N2049" s="74" t="str">
        <f t="shared" si="255"/>
        <v/>
      </c>
      <c r="O2049" s="73" t="str">
        <f t="shared" si="256"/>
        <v/>
      </c>
      <c r="P2049" s="65" t="str">
        <f t="shared" ca="1" si="257"/>
        <v/>
      </c>
      <c r="Q2049" s="2"/>
      <c r="R2049" s="2"/>
      <c r="S2049" s="1" t="str">
        <f t="shared" si="250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251"/>
        <v>0</v>
      </c>
      <c r="W2049" s="1" t="str">
        <f t="shared" si="252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customHeight="1" x14ac:dyDescent="0.3">
      <c r="A2050" s="2"/>
      <c r="B2050" s="65" t="str">
        <f t="shared" si="253"/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 t="shared" si="254"/>
        <v/>
      </c>
      <c r="N2050" s="74" t="str">
        <f t="shared" si="255"/>
        <v/>
      </c>
      <c r="O2050" s="73" t="str">
        <f t="shared" si="256"/>
        <v/>
      </c>
      <c r="P2050" s="65" t="str">
        <f t="shared" ca="1" si="257"/>
        <v/>
      </c>
      <c r="Q2050" s="2"/>
      <c r="R2050" s="2"/>
      <c r="S2050" s="1" t="str">
        <f t="shared" si="250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251"/>
        <v>0</v>
      </c>
      <c r="W2050" s="1" t="str">
        <f t="shared" si="252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customHeight="1" x14ac:dyDescent="0.3">
      <c r="A2051" s="2"/>
      <c r="B2051" s="65" t="str">
        <f t="shared" si="253"/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 t="shared" si="254"/>
        <v/>
      </c>
      <c r="N2051" s="74" t="str">
        <f t="shared" si="255"/>
        <v/>
      </c>
      <c r="O2051" s="73" t="str">
        <f t="shared" si="256"/>
        <v/>
      </c>
      <c r="P2051" s="65" t="str">
        <f t="shared" ca="1" si="257"/>
        <v/>
      </c>
      <c r="Q2051" s="2"/>
      <c r="R2051" s="2"/>
      <c r="S2051" s="1" t="str">
        <f t="shared" si="250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251"/>
        <v>0</v>
      </c>
      <c r="W2051" s="1" t="str">
        <f t="shared" si="252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customHeight="1" x14ac:dyDescent="0.3">
      <c r="A2052" s="2"/>
      <c r="B2052" s="65" t="str">
        <f t="shared" si="253"/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 t="shared" si="254"/>
        <v/>
      </c>
      <c r="N2052" s="74" t="str">
        <f t="shared" si="255"/>
        <v/>
      </c>
      <c r="O2052" s="73" t="str">
        <f t="shared" si="256"/>
        <v/>
      </c>
      <c r="P2052" s="65" t="str">
        <f t="shared" ca="1" si="257"/>
        <v/>
      </c>
      <c r="Q2052" s="2"/>
      <c r="R2052" s="2"/>
      <c r="S2052" s="1" t="str">
        <f t="shared" si="250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251"/>
        <v>0</v>
      </c>
      <c r="W2052" s="1" t="str">
        <f t="shared" si="252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customHeight="1" x14ac:dyDescent="0.3">
      <c r="A2053" s="2"/>
      <c r="B2053" s="65" t="str">
        <f t="shared" si="253"/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 t="shared" si="254"/>
        <v/>
      </c>
      <c r="N2053" s="74" t="str">
        <f t="shared" si="255"/>
        <v/>
      </c>
      <c r="O2053" s="73" t="str">
        <f t="shared" si="256"/>
        <v/>
      </c>
      <c r="P2053" s="65" t="str">
        <f t="shared" ca="1" si="257"/>
        <v/>
      </c>
      <c r="Q2053" s="2"/>
      <c r="R2053" s="2"/>
      <c r="S2053" s="1" t="str">
        <f t="shared" ref="S2053:S2116" si="258"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ref="V2053:V2116" si="259">IF($T2053="",0,1)</f>
        <v>0</v>
      </c>
      <c r="W2053" s="1" t="str">
        <f t="shared" ref="W2053:W2116" si="260">IF($C2053="","",$D2053&amp;"|"&amp;$E2053&amp;"|"&amp;TEXT($C2053,"0")&amp;"|"&amp;TEXT($G2053,"0")&amp;"|"&amp;$F2053&amp;"|"&amp;$J2053)</f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customHeight="1" x14ac:dyDescent="0.3">
      <c r="A2054" s="2"/>
      <c r="B2054" s="65" t="str">
        <f t="shared" si="253"/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 t="shared" si="254"/>
        <v/>
      </c>
      <c r="N2054" s="74" t="str">
        <f t="shared" si="255"/>
        <v/>
      </c>
      <c r="O2054" s="73" t="str">
        <f t="shared" si="256"/>
        <v/>
      </c>
      <c r="P2054" s="65" t="str">
        <f t="shared" ca="1" si="257"/>
        <v/>
      </c>
      <c r="Q2054" s="2"/>
      <c r="R2054" s="2"/>
      <c r="S2054" s="1" t="str">
        <f t="shared" si="258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259"/>
        <v>0</v>
      </c>
      <c r="W2054" s="1" t="str">
        <f t="shared" si="260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customHeight="1" x14ac:dyDescent="0.3">
      <c r="A2055" s="2"/>
      <c r="B2055" s="65" t="str">
        <f t="shared" ref="B2055:B2118" si="261"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 t="shared" ref="M2055:M2118" si="262">IF($C2055="","",IF($D2055="Gider",$E2055,IF($L2055&lt;&gt;"",$L2055,$H2055)))</f>
        <v/>
      </c>
      <c r="N2055" s="74" t="str">
        <f t="shared" ref="N2055:N2118" si="263">IF($C2055="","",IF($D2055="Gider",$H2055,$E2055))</f>
        <v/>
      </c>
      <c r="O2055" s="73" t="str">
        <f t="shared" ref="O2055:O2118" si="264">IF($C2055="","",DATE(YEAR($C2055),MONTH($C2055),1))</f>
        <v/>
      </c>
      <c r="P2055" s="65" t="str">
        <f t="shared" ref="P2055:P2118" ca="1" si="265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TARİH",IF(COUNTIF($W$7:$W$3001,$W2055)&gt;1,"MÜKERRER?",IF($AD2055&gt;0,"KAPALI DÖNEM",IF($I2055="Hayır","ÖDENECEK","UYGUN")))),"EKSİK"))))</f>
        <v/>
      </c>
      <c r="Q2055" s="2"/>
      <c r="R2055" s="2"/>
      <c r="S2055" s="1" t="str">
        <f t="shared" si="258"/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si="259"/>
        <v>0</v>
      </c>
      <c r="W2055" s="1" t="str">
        <f t="shared" si="260"/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customHeight="1" x14ac:dyDescent="0.3">
      <c r="A2056" s="2"/>
      <c r="B2056" s="65" t="str">
        <f t="shared" si="261"/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 t="shared" si="262"/>
        <v/>
      </c>
      <c r="N2056" s="74" t="str">
        <f t="shared" si="263"/>
        <v/>
      </c>
      <c r="O2056" s="73" t="str">
        <f t="shared" si="264"/>
        <v/>
      </c>
      <c r="P2056" s="65" t="str">
        <f t="shared" ca="1" si="265"/>
        <v/>
      </c>
      <c r="Q2056" s="2"/>
      <c r="R2056" s="2"/>
      <c r="S2056" s="1" t="str">
        <f t="shared" si="258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259"/>
        <v>0</v>
      </c>
      <c r="W2056" s="1" t="str">
        <f t="shared" si="260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customHeight="1" x14ac:dyDescent="0.3">
      <c r="A2057" s="2"/>
      <c r="B2057" s="65" t="str">
        <f t="shared" si="261"/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 t="shared" si="262"/>
        <v/>
      </c>
      <c r="N2057" s="74" t="str">
        <f t="shared" si="263"/>
        <v/>
      </c>
      <c r="O2057" s="73" t="str">
        <f t="shared" si="264"/>
        <v/>
      </c>
      <c r="P2057" s="65" t="str">
        <f t="shared" ca="1" si="265"/>
        <v/>
      </c>
      <c r="Q2057" s="2"/>
      <c r="R2057" s="2"/>
      <c r="S2057" s="1" t="str">
        <f t="shared" si="258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259"/>
        <v>0</v>
      </c>
      <c r="W2057" s="1" t="str">
        <f t="shared" si="260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customHeight="1" x14ac:dyDescent="0.3">
      <c r="A2058" s="2"/>
      <c r="B2058" s="65" t="str">
        <f t="shared" si="261"/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 t="shared" si="262"/>
        <v/>
      </c>
      <c r="N2058" s="74" t="str">
        <f t="shared" si="263"/>
        <v/>
      </c>
      <c r="O2058" s="73" t="str">
        <f t="shared" si="264"/>
        <v/>
      </c>
      <c r="P2058" s="65" t="str">
        <f t="shared" ca="1" si="265"/>
        <v/>
      </c>
      <c r="Q2058" s="2"/>
      <c r="R2058" s="2"/>
      <c r="S2058" s="1" t="str">
        <f t="shared" si="258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259"/>
        <v>0</v>
      </c>
      <c r="W2058" s="1" t="str">
        <f t="shared" si="260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customHeight="1" x14ac:dyDescent="0.3">
      <c r="A2059" s="2"/>
      <c r="B2059" s="65" t="str">
        <f t="shared" si="261"/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 t="shared" si="262"/>
        <v/>
      </c>
      <c r="N2059" s="74" t="str">
        <f t="shared" si="263"/>
        <v/>
      </c>
      <c r="O2059" s="73" t="str">
        <f t="shared" si="264"/>
        <v/>
      </c>
      <c r="P2059" s="65" t="str">
        <f t="shared" ca="1" si="265"/>
        <v/>
      </c>
      <c r="Q2059" s="2"/>
      <c r="R2059" s="2"/>
      <c r="S2059" s="1" t="str">
        <f t="shared" si="258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259"/>
        <v>0</v>
      </c>
      <c r="W2059" s="1" t="str">
        <f t="shared" si="260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customHeight="1" x14ac:dyDescent="0.3">
      <c r="A2060" s="2"/>
      <c r="B2060" s="65" t="str">
        <f t="shared" si="261"/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 t="shared" si="262"/>
        <v/>
      </c>
      <c r="N2060" s="74" t="str">
        <f t="shared" si="263"/>
        <v/>
      </c>
      <c r="O2060" s="73" t="str">
        <f t="shared" si="264"/>
        <v/>
      </c>
      <c r="P2060" s="65" t="str">
        <f t="shared" ca="1" si="265"/>
        <v/>
      </c>
      <c r="Q2060" s="2"/>
      <c r="R2060" s="2"/>
      <c r="S2060" s="1" t="str">
        <f t="shared" si="258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259"/>
        <v>0</v>
      </c>
      <c r="W2060" s="1" t="str">
        <f t="shared" si="260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customHeight="1" x14ac:dyDescent="0.3">
      <c r="A2061" s="2"/>
      <c r="B2061" s="65" t="str">
        <f t="shared" si="261"/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 t="shared" si="262"/>
        <v/>
      </c>
      <c r="N2061" s="74" t="str">
        <f t="shared" si="263"/>
        <v/>
      </c>
      <c r="O2061" s="73" t="str">
        <f t="shared" si="264"/>
        <v/>
      </c>
      <c r="P2061" s="65" t="str">
        <f t="shared" ca="1" si="265"/>
        <v/>
      </c>
      <c r="Q2061" s="2"/>
      <c r="R2061" s="2"/>
      <c r="S2061" s="1" t="str">
        <f t="shared" si="258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259"/>
        <v>0</v>
      </c>
      <c r="W2061" s="1" t="str">
        <f t="shared" si="260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customHeight="1" x14ac:dyDescent="0.3">
      <c r="A2062" s="2"/>
      <c r="B2062" s="65" t="str">
        <f t="shared" si="261"/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 t="shared" si="262"/>
        <v/>
      </c>
      <c r="N2062" s="74" t="str">
        <f t="shared" si="263"/>
        <v/>
      </c>
      <c r="O2062" s="73" t="str">
        <f t="shared" si="264"/>
        <v/>
      </c>
      <c r="P2062" s="65" t="str">
        <f t="shared" ca="1" si="265"/>
        <v/>
      </c>
      <c r="Q2062" s="2"/>
      <c r="R2062" s="2"/>
      <c r="S2062" s="1" t="str">
        <f t="shared" si="258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259"/>
        <v>0</v>
      </c>
      <c r="W2062" s="1" t="str">
        <f t="shared" si="260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customHeight="1" x14ac:dyDescent="0.3">
      <c r="A2063" s="2"/>
      <c r="B2063" s="65" t="str">
        <f t="shared" si="261"/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 t="shared" si="262"/>
        <v/>
      </c>
      <c r="N2063" s="74" t="str">
        <f t="shared" si="263"/>
        <v/>
      </c>
      <c r="O2063" s="73" t="str">
        <f t="shared" si="264"/>
        <v/>
      </c>
      <c r="P2063" s="65" t="str">
        <f t="shared" ca="1" si="265"/>
        <v/>
      </c>
      <c r="Q2063" s="2"/>
      <c r="R2063" s="2"/>
      <c r="S2063" s="1" t="str">
        <f t="shared" si="258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259"/>
        <v>0</v>
      </c>
      <c r="W2063" s="1" t="str">
        <f t="shared" si="260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customHeight="1" x14ac:dyDescent="0.3">
      <c r="A2064" s="2"/>
      <c r="B2064" s="65" t="str">
        <f t="shared" si="261"/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 t="shared" si="262"/>
        <v/>
      </c>
      <c r="N2064" s="74" t="str">
        <f t="shared" si="263"/>
        <v/>
      </c>
      <c r="O2064" s="73" t="str">
        <f t="shared" si="264"/>
        <v/>
      </c>
      <c r="P2064" s="65" t="str">
        <f t="shared" ca="1" si="265"/>
        <v/>
      </c>
      <c r="Q2064" s="2"/>
      <c r="R2064" s="2"/>
      <c r="S2064" s="1" t="str">
        <f t="shared" si="258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259"/>
        <v>0</v>
      </c>
      <c r="W2064" s="1" t="str">
        <f t="shared" si="260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customHeight="1" x14ac:dyDescent="0.3">
      <c r="A2065" s="2"/>
      <c r="B2065" s="65" t="str">
        <f t="shared" si="261"/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 t="shared" si="262"/>
        <v/>
      </c>
      <c r="N2065" s="74" t="str">
        <f t="shared" si="263"/>
        <v/>
      </c>
      <c r="O2065" s="73" t="str">
        <f t="shared" si="264"/>
        <v/>
      </c>
      <c r="P2065" s="65" t="str">
        <f t="shared" ca="1" si="265"/>
        <v/>
      </c>
      <c r="Q2065" s="2"/>
      <c r="R2065" s="2"/>
      <c r="S2065" s="1" t="str">
        <f t="shared" si="258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259"/>
        <v>0</v>
      </c>
      <c r="W2065" s="1" t="str">
        <f t="shared" si="260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customHeight="1" x14ac:dyDescent="0.3">
      <c r="A2066" s="2"/>
      <c r="B2066" s="65" t="str">
        <f t="shared" si="261"/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 t="shared" si="262"/>
        <v/>
      </c>
      <c r="N2066" s="74" t="str">
        <f t="shared" si="263"/>
        <v/>
      </c>
      <c r="O2066" s="73" t="str">
        <f t="shared" si="264"/>
        <v/>
      </c>
      <c r="P2066" s="65" t="str">
        <f t="shared" ca="1" si="265"/>
        <v/>
      </c>
      <c r="Q2066" s="2"/>
      <c r="R2066" s="2"/>
      <c r="S2066" s="1" t="str">
        <f t="shared" si="258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259"/>
        <v>0</v>
      </c>
      <c r="W2066" s="1" t="str">
        <f t="shared" si="260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customHeight="1" x14ac:dyDescent="0.3">
      <c r="A2067" s="2"/>
      <c r="B2067" s="65" t="str">
        <f t="shared" si="261"/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 t="shared" si="262"/>
        <v/>
      </c>
      <c r="N2067" s="74" t="str">
        <f t="shared" si="263"/>
        <v/>
      </c>
      <c r="O2067" s="73" t="str">
        <f t="shared" si="264"/>
        <v/>
      </c>
      <c r="P2067" s="65" t="str">
        <f t="shared" ca="1" si="265"/>
        <v/>
      </c>
      <c r="Q2067" s="2"/>
      <c r="R2067" s="2"/>
      <c r="S2067" s="1" t="str">
        <f t="shared" si="258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259"/>
        <v>0</v>
      </c>
      <c r="W2067" s="1" t="str">
        <f t="shared" si="260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customHeight="1" x14ac:dyDescent="0.3">
      <c r="A2068" s="2"/>
      <c r="B2068" s="65" t="str">
        <f t="shared" si="261"/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 t="shared" si="262"/>
        <v/>
      </c>
      <c r="N2068" s="74" t="str">
        <f t="shared" si="263"/>
        <v/>
      </c>
      <c r="O2068" s="73" t="str">
        <f t="shared" si="264"/>
        <v/>
      </c>
      <c r="P2068" s="65" t="str">
        <f t="shared" ca="1" si="265"/>
        <v/>
      </c>
      <c r="Q2068" s="2"/>
      <c r="R2068" s="2"/>
      <c r="S2068" s="1" t="str">
        <f t="shared" si="258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259"/>
        <v>0</v>
      </c>
      <c r="W2068" s="1" t="str">
        <f t="shared" si="260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customHeight="1" x14ac:dyDescent="0.3">
      <c r="A2069" s="2"/>
      <c r="B2069" s="65" t="str">
        <f t="shared" si="261"/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 t="shared" si="262"/>
        <v/>
      </c>
      <c r="N2069" s="74" t="str">
        <f t="shared" si="263"/>
        <v/>
      </c>
      <c r="O2069" s="73" t="str">
        <f t="shared" si="264"/>
        <v/>
      </c>
      <c r="P2069" s="65" t="str">
        <f t="shared" ca="1" si="265"/>
        <v/>
      </c>
      <c r="Q2069" s="2"/>
      <c r="R2069" s="2"/>
      <c r="S2069" s="1" t="str">
        <f t="shared" si="258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259"/>
        <v>0</v>
      </c>
      <c r="W2069" s="1" t="str">
        <f t="shared" si="260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customHeight="1" x14ac:dyDescent="0.3">
      <c r="A2070" s="2"/>
      <c r="B2070" s="65" t="str">
        <f t="shared" si="261"/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 t="shared" si="262"/>
        <v/>
      </c>
      <c r="N2070" s="74" t="str">
        <f t="shared" si="263"/>
        <v/>
      </c>
      <c r="O2070" s="73" t="str">
        <f t="shared" si="264"/>
        <v/>
      </c>
      <c r="P2070" s="65" t="str">
        <f t="shared" ca="1" si="265"/>
        <v/>
      </c>
      <c r="Q2070" s="2"/>
      <c r="R2070" s="2"/>
      <c r="S2070" s="1" t="str">
        <f t="shared" si="258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259"/>
        <v>0</v>
      </c>
      <c r="W2070" s="1" t="str">
        <f t="shared" si="260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customHeight="1" x14ac:dyDescent="0.3">
      <c r="A2071" s="2"/>
      <c r="B2071" s="65" t="str">
        <f t="shared" si="261"/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 t="shared" si="262"/>
        <v/>
      </c>
      <c r="N2071" s="74" t="str">
        <f t="shared" si="263"/>
        <v/>
      </c>
      <c r="O2071" s="73" t="str">
        <f t="shared" si="264"/>
        <v/>
      </c>
      <c r="P2071" s="65" t="str">
        <f t="shared" ca="1" si="265"/>
        <v/>
      </c>
      <c r="Q2071" s="2"/>
      <c r="R2071" s="2"/>
      <c r="S2071" s="1" t="str">
        <f t="shared" si="258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259"/>
        <v>0</v>
      </c>
      <c r="W2071" s="1" t="str">
        <f t="shared" si="260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customHeight="1" x14ac:dyDescent="0.3">
      <c r="A2072" s="2"/>
      <c r="B2072" s="65" t="str">
        <f t="shared" si="261"/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 t="shared" si="262"/>
        <v/>
      </c>
      <c r="N2072" s="74" t="str">
        <f t="shared" si="263"/>
        <v/>
      </c>
      <c r="O2072" s="73" t="str">
        <f t="shared" si="264"/>
        <v/>
      </c>
      <c r="P2072" s="65" t="str">
        <f t="shared" ca="1" si="265"/>
        <v/>
      </c>
      <c r="Q2072" s="2"/>
      <c r="R2072" s="2"/>
      <c r="S2072" s="1" t="str">
        <f t="shared" si="258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259"/>
        <v>0</v>
      </c>
      <c r="W2072" s="1" t="str">
        <f t="shared" si="260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customHeight="1" x14ac:dyDescent="0.3">
      <c r="A2073" s="2"/>
      <c r="B2073" s="65" t="str">
        <f t="shared" si="261"/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 t="shared" si="262"/>
        <v/>
      </c>
      <c r="N2073" s="74" t="str">
        <f t="shared" si="263"/>
        <v/>
      </c>
      <c r="O2073" s="73" t="str">
        <f t="shared" si="264"/>
        <v/>
      </c>
      <c r="P2073" s="65" t="str">
        <f t="shared" ca="1" si="265"/>
        <v/>
      </c>
      <c r="Q2073" s="2"/>
      <c r="R2073" s="2"/>
      <c r="S2073" s="1" t="str">
        <f t="shared" si="258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259"/>
        <v>0</v>
      </c>
      <c r="W2073" s="1" t="str">
        <f t="shared" si="260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customHeight="1" x14ac:dyDescent="0.3">
      <c r="A2074" s="2"/>
      <c r="B2074" s="65" t="str">
        <f t="shared" si="261"/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 t="shared" si="262"/>
        <v/>
      </c>
      <c r="N2074" s="74" t="str">
        <f t="shared" si="263"/>
        <v/>
      </c>
      <c r="O2074" s="73" t="str">
        <f t="shared" si="264"/>
        <v/>
      </c>
      <c r="P2074" s="65" t="str">
        <f t="shared" ca="1" si="265"/>
        <v/>
      </c>
      <c r="Q2074" s="2"/>
      <c r="R2074" s="2"/>
      <c r="S2074" s="1" t="str">
        <f t="shared" si="258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259"/>
        <v>0</v>
      </c>
      <c r="W2074" s="1" t="str">
        <f t="shared" si="260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customHeight="1" x14ac:dyDescent="0.3">
      <c r="A2075" s="2"/>
      <c r="B2075" s="65" t="str">
        <f t="shared" si="261"/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 t="shared" si="262"/>
        <v/>
      </c>
      <c r="N2075" s="74" t="str">
        <f t="shared" si="263"/>
        <v/>
      </c>
      <c r="O2075" s="73" t="str">
        <f t="shared" si="264"/>
        <v/>
      </c>
      <c r="P2075" s="65" t="str">
        <f t="shared" ca="1" si="265"/>
        <v/>
      </c>
      <c r="Q2075" s="2"/>
      <c r="R2075" s="2"/>
      <c r="S2075" s="1" t="str">
        <f t="shared" si="258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259"/>
        <v>0</v>
      </c>
      <c r="W2075" s="1" t="str">
        <f t="shared" si="260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customHeight="1" x14ac:dyDescent="0.3">
      <c r="A2076" s="2"/>
      <c r="B2076" s="65" t="str">
        <f t="shared" si="261"/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 t="shared" si="262"/>
        <v/>
      </c>
      <c r="N2076" s="74" t="str">
        <f t="shared" si="263"/>
        <v/>
      </c>
      <c r="O2076" s="73" t="str">
        <f t="shared" si="264"/>
        <v/>
      </c>
      <c r="P2076" s="65" t="str">
        <f t="shared" ca="1" si="265"/>
        <v/>
      </c>
      <c r="Q2076" s="2"/>
      <c r="R2076" s="2"/>
      <c r="S2076" s="1" t="str">
        <f t="shared" si="258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259"/>
        <v>0</v>
      </c>
      <c r="W2076" s="1" t="str">
        <f t="shared" si="260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customHeight="1" x14ac:dyDescent="0.3">
      <c r="A2077" s="2"/>
      <c r="B2077" s="65" t="str">
        <f t="shared" si="261"/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 t="shared" si="262"/>
        <v/>
      </c>
      <c r="N2077" s="74" t="str">
        <f t="shared" si="263"/>
        <v/>
      </c>
      <c r="O2077" s="73" t="str">
        <f t="shared" si="264"/>
        <v/>
      </c>
      <c r="P2077" s="65" t="str">
        <f t="shared" ca="1" si="265"/>
        <v/>
      </c>
      <c r="Q2077" s="2"/>
      <c r="R2077" s="2"/>
      <c r="S2077" s="1" t="str">
        <f t="shared" si="258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259"/>
        <v>0</v>
      </c>
      <c r="W2077" s="1" t="str">
        <f t="shared" si="260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customHeight="1" x14ac:dyDescent="0.3">
      <c r="A2078" s="2"/>
      <c r="B2078" s="65" t="str">
        <f t="shared" si="261"/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 t="shared" si="262"/>
        <v/>
      </c>
      <c r="N2078" s="74" t="str">
        <f t="shared" si="263"/>
        <v/>
      </c>
      <c r="O2078" s="73" t="str">
        <f t="shared" si="264"/>
        <v/>
      </c>
      <c r="P2078" s="65" t="str">
        <f t="shared" ca="1" si="265"/>
        <v/>
      </c>
      <c r="Q2078" s="2"/>
      <c r="R2078" s="2"/>
      <c r="S2078" s="1" t="str">
        <f t="shared" si="258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259"/>
        <v>0</v>
      </c>
      <c r="W2078" s="1" t="str">
        <f t="shared" si="260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customHeight="1" x14ac:dyDescent="0.3">
      <c r="A2079" s="2"/>
      <c r="B2079" s="65" t="str">
        <f t="shared" si="261"/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 t="shared" si="262"/>
        <v/>
      </c>
      <c r="N2079" s="74" t="str">
        <f t="shared" si="263"/>
        <v/>
      </c>
      <c r="O2079" s="73" t="str">
        <f t="shared" si="264"/>
        <v/>
      </c>
      <c r="P2079" s="65" t="str">
        <f t="shared" ca="1" si="265"/>
        <v/>
      </c>
      <c r="Q2079" s="2"/>
      <c r="R2079" s="2"/>
      <c r="S2079" s="1" t="str">
        <f t="shared" si="258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259"/>
        <v>0</v>
      </c>
      <c r="W2079" s="1" t="str">
        <f t="shared" si="260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customHeight="1" x14ac:dyDescent="0.3">
      <c r="A2080" s="2"/>
      <c r="B2080" s="65" t="str">
        <f t="shared" si="261"/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 t="shared" si="262"/>
        <v/>
      </c>
      <c r="N2080" s="74" t="str">
        <f t="shared" si="263"/>
        <v/>
      </c>
      <c r="O2080" s="73" t="str">
        <f t="shared" si="264"/>
        <v/>
      </c>
      <c r="P2080" s="65" t="str">
        <f t="shared" ca="1" si="265"/>
        <v/>
      </c>
      <c r="Q2080" s="2"/>
      <c r="R2080" s="2"/>
      <c r="S2080" s="1" t="str">
        <f t="shared" si="258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259"/>
        <v>0</v>
      </c>
      <c r="W2080" s="1" t="str">
        <f t="shared" si="260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customHeight="1" x14ac:dyDescent="0.3">
      <c r="A2081" s="2"/>
      <c r="B2081" s="65" t="str">
        <f t="shared" si="261"/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 t="shared" si="262"/>
        <v/>
      </c>
      <c r="N2081" s="74" t="str">
        <f t="shared" si="263"/>
        <v/>
      </c>
      <c r="O2081" s="73" t="str">
        <f t="shared" si="264"/>
        <v/>
      </c>
      <c r="P2081" s="65" t="str">
        <f t="shared" ca="1" si="265"/>
        <v/>
      </c>
      <c r="Q2081" s="2"/>
      <c r="R2081" s="2"/>
      <c r="S2081" s="1" t="str">
        <f t="shared" si="258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259"/>
        <v>0</v>
      </c>
      <c r="W2081" s="1" t="str">
        <f t="shared" si="260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customHeight="1" x14ac:dyDescent="0.3">
      <c r="A2082" s="2"/>
      <c r="B2082" s="65" t="str">
        <f t="shared" si="261"/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 t="shared" si="262"/>
        <v/>
      </c>
      <c r="N2082" s="74" t="str">
        <f t="shared" si="263"/>
        <v/>
      </c>
      <c r="O2082" s="73" t="str">
        <f t="shared" si="264"/>
        <v/>
      </c>
      <c r="P2082" s="65" t="str">
        <f t="shared" ca="1" si="265"/>
        <v/>
      </c>
      <c r="Q2082" s="2"/>
      <c r="R2082" s="2"/>
      <c r="S2082" s="1" t="str">
        <f t="shared" si="258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259"/>
        <v>0</v>
      </c>
      <c r="W2082" s="1" t="str">
        <f t="shared" si="260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customHeight="1" x14ac:dyDescent="0.3">
      <c r="A2083" s="2"/>
      <c r="B2083" s="65" t="str">
        <f t="shared" si="261"/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 t="shared" si="262"/>
        <v/>
      </c>
      <c r="N2083" s="74" t="str">
        <f t="shared" si="263"/>
        <v/>
      </c>
      <c r="O2083" s="73" t="str">
        <f t="shared" si="264"/>
        <v/>
      </c>
      <c r="P2083" s="65" t="str">
        <f t="shared" ca="1" si="265"/>
        <v/>
      </c>
      <c r="Q2083" s="2"/>
      <c r="R2083" s="2"/>
      <c r="S2083" s="1" t="str">
        <f t="shared" si="258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259"/>
        <v>0</v>
      </c>
      <c r="W2083" s="1" t="str">
        <f t="shared" si="260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customHeight="1" x14ac:dyDescent="0.3">
      <c r="A2084" s="2"/>
      <c r="B2084" s="65" t="str">
        <f t="shared" si="261"/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 t="shared" si="262"/>
        <v/>
      </c>
      <c r="N2084" s="74" t="str">
        <f t="shared" si="263"/>
        <v/>
      </c>
      <c r="O2084" s="73" t="str">
        <f t="shared" si="264"/>
        <v/>
      </c>
      <c r="P2084" s="65" t="str">
        <f t="shared" ca="1" si="265"/>
        <v/>
      </c>
      <c r="Q2084" s="2"/>
      <c r="R2084" s="2"/>
      <c r="S2084" s="1" t="str">
        <f t="shared" si="258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259"/>
        <v>0</v>
      </c>
      <c r="W2084" s="1" t="str">
        <f t="shared" si="260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customHeight="1" x14ac:dyDescent="0.3">
      <c r="A2085" s="2"/>
      <c r="B2085" s="65" t="str">
        <f t="shared" si="261"/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 t="shared" si="262"/>
        <v/>
      </c>
      <c r="N2085" s="74" t="str">
        <f t="shared" si="263"/>
        <v/>
      </c>
      <c r="O2085" s="73" t="str">
        <f t="shared" si="264"/>
        <v/>
      </c>
      <c r="P2085" s="65" t="str">
        <f t="shared" ca="1" si="265"/>
        <v/>
      </c>
      <c r="Q2085" s="2"/>
      <c r="R2085" s="2"/>
      <c r="S2085" s="1" t="str">
        <f t="shared" si="258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259"/>
        <v>0</v>
      </c>
      <c r="W2085" s="1" t="str">
        <f t="shared" si="260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customHeight="1" x14ac:dyDescent="0.3">
      <c r="A2086" s="2"/>
      <c r="B2086" s="65" t="str">
        <f t="shared" si="261"/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 t="shared" si="262"/>
        <v/>
      </c>
      <c r="N2086" s="74" t="str">
        <f t="shared" si="263"/>
        <v/>
      </c>
      <c r="O2086" s="73" t="str">
        <f t="shared" si="264"/>
        <v/>
      </c>
      <c r="P2086" s="65" t="str">
        <f t="shared" ca="1" si="265"/>
        <v/>
      </c>
      <c r="Q2086" s="2"/>
      <c r="R2086" s="2"/>
      <c r="S2086" s="1" t="str">
        <f t="shared" si="258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259"/>
        <v>0</v>
      </c>
      <c r="W2086" s="1" t="str">
        <f t="shared" si="260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customHeight="1" x14ac:dyDescent="0.3">
      <c r="A2087" s="2"/>
      <c r="B2087" s="65" t="str">
        <f t="shared" si="261"/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 t="shared" si="262"/>
        <v/>
      </c>
      <c r="N2087" s="74" t="str">
        <f t="shared" si="263"/>
        <v/>
      </c>
      <c r="O2087" s="73" t="str">
        <f t="shared" si="264"/>
        <v/>
      </c>
      <c r="P2087" s="65" t="str">
        <f t="shared" ca="1" si="265"/>
        <v/>
      </c>
      <c r="Q2087" s="2"/>
      <c r="R2087" s="2"/>
      <c r="S2087" s="1" t="str">
        <f t="shared" si="258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259"/>
        <v>0</v>
      </c>
      <c r="W2087" s="1" t="str">
        <f t="shared" si="260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customHeight="1" x14ac:dyDescent="0.3">
      <c r="A2088" s="2"/>
      <c r="B2088" s="65" t="str">
        <f t="shared" si="261"/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 t="shared" si="262"/>
        <v/>
      </c>
      <c r="N2088" s="74" t="str">
        <f t="shared" si="263"/>
        <v/>
      </c>
      <c r="O2088" s="73" t="str">
        <f t="shared" si="264"/>
        <v/>
      </c>
      <c r="P2088" s="65" t="str">
        <f t="shared" ca="1" si="265"/>
        <v/>
      </c>
      <c r="Q2088" s="2"/>
      <c r="R2088" s="2"/>
      <c r="S2088" s="1" t="str">
        <f t="shared" si="258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259"/>
        <v>0</v>
      </c>
      <c r="W2088" s="1" t="str">
        <f t="shared" si="260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customHeight="1" x14ac:dyDescent="0.3">
      <c r="A2089" s="2"/>
      <c r="B2089" s="65" t="str">
        <f t="shared" si="261"/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 t="shared" si="262"/>
        <v/>
      </c>
      <c r="N2089" s="74" t="str">
        <f t="shared" si="263"/>
        <v/>
      </c>
      <c r="O2089" s="73" t="str">
        <f t="shared" si="264"/>
        <v/>
      </c>
      <c r="P2089" s="65" t="str">
        <f t="shared" ca="1" si="265"/>
        <v/>
      </c>
      <c r="Q2089" s="2"/>
      <c r="R2089" s="2"/>
      <c r="S2089" s="1" t="str">
        <f t="shared" si="258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259"/>
        <v>0</v>
      </c>
      <c r="W2089" s="1" t="str">
        <f t="shared" si="260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customHeight="1" x14ac:dyDescent="0.3">
      <c r="A2090" s="2"/>
      <c r="B2090" s="65" t="str">
        <f t="shared" si="261"/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 t="shared" si="262"/>
        <v/>
      </c>
      <c r="N2090" s="74" t="str">
        <f t="shared" si="263"/>
        <v/>
      </c>
      <c r="O2090" s="73" t="str">
        <f t="shared" si="264"/>
        <v/>
      </c>
      <c r="P2090" s="65" t="str">
        <f t="shared" ca="1" si="265"/>
        <v/>
      </c>
      <c r="Q2090" s="2"/>
      <c r="R2090" s="2"/>
      <c r="S2090" s="1" t="str">
        <f t="shared" si="258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259"/>
        <v>0</v>
      </c>
      <c r="W2090" s="1" t="str">
        <f t="shared" si="260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customHeight="1" x14ac:dyDescent="0.3">
      <c r="A2091" s="2"/>
      <c r="B2091" s="65" t="str">
        <f t="shared" si="261"/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 t="shared" si="262"/>
        <v/>
      </c>
      <c r="N2091" s="74" t="str">
        <f t="shared" si="263"/>
        <v/>
      </c>
      <c r="O2091" s="73" t="str">
        <f t="shared" si="264"/>
        <v/>
      </c>
      <c r="P2091" s="65" t="str">
        <f t="shared" ca="1" si="265"/>
        <v/>
      </c>
      <c r="Q2091" s="2"/>
      <c r="R2091" s="2"/>
      <c r="S2091" s="1" t="str">
        <f t="shared" si="258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259"/>
        <v>0</v>
      </c>
      <c r="W2091" s="1" t="str">
        <f t="shared" si="260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customHeight="1" x14ac:dyDescent="0.3">
      <c r="A2092" s="2"/>
      <c r="B2092" s="65" t="str">
        <f t="shared" si="261"/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 t="shared" si="262"/>
        <v/>
      </c>
      <c r="N2092" s="74" t="str">
        <f t="shared" si="263"/>
        <v/>
      </c>
      <c r="O2092" s="73" t="str">
        <f t="shared" si="264"/>
        <v/>
      </c>
      <c r="P2092" s="65" t="str">
        <f t="shared" ca="1" si="265"/>
        <v/>
      </c>
      <c r="Q2092" s="2"/>
      <c r="R2092" s="2"/>
      <c r="S2092" s="1" t="str">
        <f t="shared" si="258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259"/>
        <v>0</v>
      </c>
      <c r="W2092" s="1" t="str">
        <f t="shared" si="260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customHeight="1" x14ac:dyDescent="0.3">
      <c r="A2093" s="2"/>
      <c r="B2093" s="65" t="str">
        <f t="shared" si="261"/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 t="shared" si="262"/>
        <v/>
      </c>
      <c r="N2093" s="74" t="str">
        <f t="shared" si="263"/>
        <v/>
      </c>
      <c r="O2093" s="73" t="str">
        <f t="shared" si="264"/>
        <v/>
      </c>
      <c r="P2093" s="65" t="str">
        <f t="shared" ca="1" si="265"/>
        <v/>
      </c>
      <c r="Q2093" s="2"/>
      <c r="R2093" s="2"/>
      <c r="S2093" s="1" t="str">
        <f t="shared" si="258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259"/>
        <v>0</v>
      </c>
      <c r="W2093" s="1" t="str">
        <f t="shared" si="260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customHeight="1" x14ac:dyDescent="0.3">
      <c r="A2094" s="2"/>
      <c r="B2094" s="65" t="str">
        <f t="shared" si="261"/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 t="shared" si="262"/>
        <v/>
      </c>
      <c r="N2094" s="74" t="str">
        <f t="shared" si="263"/>
        <v/>
      </c>
      <c r="O2094" s="73" t="str">
        <f t="shared" si="264"/>
        <v/>
      </c>
      <c r="P2094" s="65" t="str">
        <f t="shared" ca="1" si="265"/>
        <v/>
      </c>
      <c r="Q2094" s="2"/>
      <c r="R2094" s="2"/>
      <c r="S2094" s="1" t="str">
        <f t="shared" si="258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259"/>
        <v>0</v>
      </c>
      <c r="W2094" s="1" t="str">
        <f t="shared" si="260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customHeight="1" x14ac:dyDescent="0.3">
      <c r="A2095" s="2"/>
      <c r="B2095" s="65" t="str">
        <f t="shared" si="261"/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 t="shared" si="262"/>
        <v/>
      </c>
      <c r="N2095" s="74" t="str">
        <f t="shared" si="263"/>
        <v/>
      </c>
      <c r="O2095" s="73" t="str">
        <f t="shared" si="264"/>
        <v/>
      </c>
      <c r="P2095" s="65" t="str">
        <f t="shared" ca="1" si="265"/>
        <v/>
      </c>
      <c r="Q2095" s="2"/>
      <c r="R2095" s="2"/>
      <c r="S2095" s="1" t="str">
        <f t="shared" si="258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259"/>
        <v>0</v>
      </c>
      <c r="W2095" s="1" t="str">
        <f t="shared" si="260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customHeight="1" x14ac:dyDescent="0.3">
      <c r="A2096" s="2"/>
      <c r="B2096" s="65" t="str">
        <f t="shared" si="261"/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 t="shared" si="262"/>
        <v/>
      </c>
      <c r="N2096" s="74" t="str">
        <f t="shared" si="263"/>
        <v/>
      </c>
      <c r="O2096" s="73" t="str">
        <f t="shared" si="264"/>
        <v/>
      </c>
      <c r="P2096" s="65" t="str">
        <f t="shared" ca="1" si="265"/>
        <v/>
      </c>
      <c r="Q2096" s="2"/>
      <c r="R2096" s="2"/>
      <c r="S2096" s="1" t="str">
        <f t="shared" si="258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259"/>
        <v>0</v>
      </c>
      <c r="W2096" s="1" t="str">
        <f t="shared" si="260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customHeight="1" x14ac:dyDescent="0.3">
      <c r="A2097" s="2"/>
      <c r="B2097" s="65" t="str">
        <f t="shared" si="261"/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 t="shared" si="262"/>
        <v/>
      </c>
      <c r="N2097" s="74" t="str">
        <f t="shared" si="263"/>
        <v/>
      </c>
      <c r="O2097" s="73" t="str">
        <f t="shared" si="264"/>
        <v/>
      </c>
      <c r="P2097" s="65" t="str">
        <f t="shared" ca="1" si="265"/>
        <v/>
      </c>
      <c r="Q2097" s="2"/>
      <c r="R2097" s="2"/>
      <c r="S2097" s="1" t="str">
        <f t="shared" si="258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259"/>
        <v>0</v>
      </c>
      <c r="W2097" s="1" t="str">
        <f t="shared" si="260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customHeight="1" x14ac:dyDescent="0.3">
      <c r="A2098" s="2"/>
      <c r="B2098" s="65" t="str">
        <f t="shared" si="261"/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 t="shared" si="262"/>
        <v/>
      </c>
      <c r="N2098" s="74" t="str">
        <f t="shared" si="263"/>
        <v/>
      </c>
      <c r="O2098" s="73" t="str">
        <f t="shared" si="264"/>
        <v/>
      </c>
      <c r="P2098" s="65" t="str">
        <f t="shared" ca="1" si="265"/>
        <v/>
      </c>
      <c r="Q2098" s="2"/>
      <c r="R2098" s="2"/>
      <c r="S2098" s="1" t="str">
        <f t="shared" si="258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259"/>
        <v>0</v>
      </c>
      <c r="W2098" s="1" t="str">
        <f t="shared" si="260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customHeight="1" x14ac:dyDescent="0.3">
      <c r="A2099" s="2"/>
      <c r="B2099" s="65" t="str">
        <f t="shared" si="261"/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 t="shared" si="262"/>
        <v/>
      </c>
      <c r="N2099" s="74" t="str">
        <f t="shared" si="263"/>
        <v/>
      </c>
      <c r="O2099" s="73" t="str">
        <f t="shared" si="264"/>
        <v/>
      </c>
      <c r="P2099" s="65" t="str">
        <f t="shared" ca="1" si="265"/>
        <v/>
      </c>
      <c r="Q2099" s="2"/>
      <c r="R2099" s="2"/>
      <c r="S2099" s="1" t="str">
        <f t="shared" si="258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259"/>
        <v>0</v>
      </c>
      <c r="W2099" s="1" t="str">
        <f t="shared" si="260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customHeight="1" x14ac:dyDescent="0.3">
      <c r="A2100" s="2"/>
      <c r="B2100" s="65" t="str">
        <f t="shared" si="261"/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 t="shared" si="262"/>
        <v/>
      </c>
      <c r="N2100" s="74" t="str">
        <f t="shared" si="263"/>
        <v/>
      </c>
      <c r="O2100" s="73" t="str">
        <f t="shared" si="264"/>
        <v/>
      </c>
      <c r="P2100" s="65" t="str">
        <f t="shared" ca="1" si="265"/>
        <v/>
      </c>
      <c r="Q2100" s="2"/>
      <c r="R2100" s="2"/>
      <c r="S2100" s="1" t="str">
        <f t="shared" si="258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259"/>
        <v>0</v>
      </c>
      <c r="W2100" s="1" t="str">
        <f t="shared" si="260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customHeight="1" x14ac:dyDescent="0.3">
      <c r="A2101" s="2"/>
      <c r="B2101" s="65" t="str">
        <f t="shared" si="261"/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 t="shared" si="262"/>
        <v/>
      </c>
      <c r="N2101" s="74" t="str">
        <f t="shared" si="263"/>
        <v/>
      </c>
      <c r="O2101" s="73" t="str">
        <f t="shared" si="264"/>
        <v/>
      </c>
      <c r="P2101" s="65" t="str">
        <f t="shared" ca="1" si="265"/>
        <v/>
      </c>
      <c r="Q2101" s="2"/>
      <c r="R2101" s="2"/>
      <c r="S2101" s="1" t="str">
        <f t="shared" si="258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259"/>
        <v>0</v>
      </c>
      <c r="W2101" s="1" t="str">
        <f t="shared" si="260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customHeight="1" x14ac:dyDescent="0.3">
      <c r="A2102" s="2"/>
      <c r="B2102" s="65" t="str">
        <f t="shared" si="261"/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 t="shared" si="262"/>
        <v/>
      </c>
      <c r="N2102" s="74" t="str">
        <f t="shared" si="263"/>
        <v/>
      </c>
      <c r="O2102" s="73" t="str">
        <f t="shared" si="264"/>
        <v/>
      </c>
      <c r="P2102" s="65" t="str">
        <f t="shared" ca="1" si="265"/>
        <v/>
      </c>
      <c r="Q2102" s="2"/>
      <c r="R2102" s="2"/>
      <c r="S2102" s="1" t="str">
        <f t="shared" si="258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259"/>
        <v>0</v>
      </c>
      <c r="W2102" s="1" t="str">
        <f t="shared" si="260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customHeight="1" x14ac:dyDescent="0.3">
      <c r="A2103" s="2"/>
      <c r="B2103" s="65" t="str">
        <f t="shared" si="261"/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 t="shared" si="262"/>
        <v/>
      </c>
      <c r="N2103" s="74" t="str">
        <f t="shared" si="263"/>
        <v/>
      </c>
      <c r="O2103" s="73" t="str">
        <f t="shared" si="264"/>
        <v/>
      </c>
      <c r="P2103" s="65" t="str">
        <f t="shared" ca="1" si="265"/>
        <v/>
      </c>
      <c r="Q2103" s="2"/>
      <c r="R2103" s="2"/>
      <c r="S2103" s="1" t="str">
        <f t="shared" si="258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259"/>
        <v>0</v>
      </c>
      <c r="W2103" s="1" t="str">
        <f t="shared" si="260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customHeight="1" x14ac:dyDescent="0.3">
      <c r="A2104" s="2"/>
      <c r="B2104" s="65" t="str">
        <f t="shared" si="261"/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 t="shared" si="262"/>
        <v/>
      </c>
      <c r="N2104" s="74" t="str">
        <f t="shared" si="263"/>
        <v/>
      </c>
      <c r="O2104" s="73" t="str">
        <f t="shared" si="264"/>
        <v/>
      </c>
      <c r="P2104" s="65" t="str">
        <f t="shared" ca="1" si="265"/>
        <v/>
      </c>
      <c r="Q2104" s="2"/>
      <c r="R2104" s="2"/>
      <c r="S2104" s="1" t="str">
        <f t="shared" si="258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259"/>
        <v>0</v>
      </c>
      <c r="W2104" s="1" t="str">
        <f t="shared" si="260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customHeight="1" x14ac:dyDescent="0.3">
      <c r="A2105" s="2"/>
      <c r="B2105" s="65" t="str">
        <f t="shared" si="261"/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 t="shared" si="262"/>
        <v/>
      </c>
      <c r="N2105" s="74" t="str">
        <f t="shared" si="263"/>
        <v/>
      </c>
      <c r="O2105" s="73" t="str">
        <f t="shared" si="264"/>
        <v/>
      </c>
      <c r="P2105" s="65" t="str">
        <f t="shared" ca="1" si="265"/>
        <v/>
      </c>
      <c r="Q2105" s="2"/>
      <c r="R2105" s="2"/>
      <c r="S2105" s="1" t="str">
        <f t="shared" si="258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259"/>
        <v>0</v>
      </c>
      <c r="W2105" s="1" t="str">
        <f t="shared" si="260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customHeight="1" x14ac:dyDescent="0.3">
      <c r="A2106" s="2"/>
      <c r="B2106" s="65" t="str">
        <f t="shared" si="261"/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 t="shared" si="262"/>
        <v/>
      </c>
      <c r="N2106" s="74" t="str">
        <f t="shared" si="263"/>
        <v/>
      </c>
      <c r="O2106" s="73" t="str">
        <f t="shared" si="264"/>
        <v/>
      </c>
      <c r="P2106" s="65" t="str">
        <f t="shared" ca="1" si="265"/>
        <v/>
      </c>
      <c r="Q2106" s="2"/>
      <c r="R2106" s="2"/>
      <c r="S2106" s="1" t="str">
        <f t="shared" si="258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259"/>
        <v>0</v>
      </c>
      <c r="W2106" s="1" t="str">
        <f t="shared" si="260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customHeight="1" x14ac:dyDescent="0.3">
      <c r="A2107" s="2"/>
      <c r="B2107" s="65" t="str">
        <f t="shared" si="261"/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 t="shared" si="262"/>
        <v/>
      </c>
      <c r="N2107" s="74" t="str">
        <f t="shared" si="263"/>
        <v/>
      </c>
      <c r="O2107" s="73" t="str">
        <f t="shared" si="264"/>
        <v/>
      </c>
      <c r="P2107" s="65" t="str">
        <f t="shared" ca="1" si="265"/>
        <v/>
      </c>
      <c r="Q2107" s="2"/>
      <c r="R2107" s="2"/>
      <c r="S2107" s="1" t="str">
        <f t="shared" si="258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259"/>
        <v>0</v>
      </c>
      <c r="W2107" s="1" t="str">
        <f t="shared" si="260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customHeight="1" x14ac:dyDescent="0.3">
      <c r="A2108" s="2"/>
      <c r="B2108" s="65" t="str">
        <f t="shared" si="261"/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 t="shared" si="262"/>
        <v/>
      </c>
      <c r="N2108" s="74" t="str">
        <f t="shared" si="263"/>
        <v/>
      </c>
      <c r="O2108" s="73" t="str">
        <f t="shared" si="264"/>
        <v/>
      </c>
      <c r="P2108" s="65" t="str">
        <f t="shared" ca="1" si="265"/>
        <v/>
      </c>
      <c r="Q2108" s="2"/>
      <c r="R2108" s="2"/>
      <c r="S2108" s="1" t="str">
        <f t="shared" si="258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259"/>
        <v>0</v>
      </c>
      <c r="W2108" s="1" t="str">
        <f t="shared" si="260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customHeight="1" x14ac:dyDescent="0.3">
      <c r="A2109" s="2"/>
      <c r="B2109" s="65" t="str">
        <f t="shared" si="261"/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 t="shared" si="262"/>
        <v/>
      </c>
      <c r="N2109" s="74" t="str">
        <f t="shared" si="263"/>
        <v/>
      </c>
      <c r="O2109" s="73" t="str">
        <f t="shared" si="264"/>
        <v/>
      </c>
      <c r="P2109" s="65" t="str">
        <f t="shared" ca="1" si="265"/>
        <v/>
      </c>
      <c r="Q2109" s="2"/>
      <c r="R2109" s="2"/>
      <c r="S2109" s="1" t="str">
        <f t="shared" si="258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259"/>
        <v>0</v>
      </c>
      <c r="W2109" s="1" t="str">
        <f t="shared" si="260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customHeight="1" x14ac:dyDescent="0.3">
      <c r="A2110" s="2"/>
      <c r="B2110" s="65" t="str">
        <f t="shared" si="261"/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 t="shared" si="262"/>
        <v/>
      </c>
      <c r="N2110" s="74" t="str">
        <f t="shared" si="263"/>
        <v/>
      </c>
      <c r="O2110" s="73" t="str">
        <f t="shared" si="264"/>
        <v/>
      </c>
      <c r="P2110" s="65" t="str">
        <f t="shared" ca="1" si="265"/>
        <v/>
      </c>
      <c r="Q2110" s="2"/>
      <c r="R2110" s="2"/>
      <c r="S2110" s="1" t="str">
        <f t="shared" si="258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259"/>
        <v>0</v>
      </c>
      <c r="W2110" s="1" t="str">
        <f t="shared" si="260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customHeight="1" x14ac:dyDescent="0.3">
      <c r="A2111" s="2"/>
      <c r="B2111" s="65" t="str">
        <f t="shared" si="261"/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 t="shared" si="262"/>
        <v/>
      </c>
      <c r="N2111" s="74" t="str">
        <f t="shared" si="263"/>
        <v/>
      </c>
      <c r="O2111" s="73" t="str">
        <f t="shared" si="264"/>
        <v/>
      </c>
      <c r="P2111" s="65" t="str">
        <f t="shared" ca="1" si="265"/>
        <v/>
      </c>
      <c r="Q2111" s="2"/>
      <c r="R2111" s="2"/>
      <c r="S2111" s="1" t="str">
        <f t="shared" si="258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259"/>
        <v>0</v>
      </c>
      <c r="W2111" s="1" t="str">
        <f t="shared" si="260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customHeight="1" x14ac:dyDescent="0.3">
      <c r="A2112" s="2"/>
      <c r="B2112" s="65" t="str">
        <f t="shared" si="261"/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 t="shared" si="262"/>
        <v/>
      </c>
      <c r="N2112" s="74" t="str">
        <f t="shared" si="263"/>
        <v/>
      </c>
      <c r="O2112" s="73" t="str">
        <f t="shared" si="264"/>
        <v/>
      </c>
      <c r="P2112" s="65" t="str">
        <f t="shared" ca="1" si="265"/>
        <v/>
      </c>
      <c r="Q2112" s="2"/>
      <c r="R2112" s="2"/>
      <c r="S2112" s="1" t="str">
        <f t="shared" si="258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259"/>
        <v>0</v>
      </c>
      <c r="W2112" s="1" t="str">
        <f t="shared" si="260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customHeight="1" x14ac:dyDescent="0.3">
      <c r="A2113" s="2"/>
      <c r="B2113" s="65" t="str">
        <f t="shared" si="261"/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 t="shared" si="262"/>
        <v/>
      </c>
      <c r="N2113" s="74" t="str">
        <f t="shared" si="263"/>
        <v/>
      </c>
      <c r="O2113" s="73" t="str">
        <f t="shared" si="264"/>
        <v/>
      </c>
      <c r="P2113" s="65" t="str">
        <f t="shared" ca="1" si="265"/>
        <v/>
      </c>
      <c r="Q2113" s="2"/>
      <c r="R2113" s="2"/>
      <c r="S2113" s="1" t="str">
        <f t="shared" si="258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259"/>
        <v>0</v>
      </c>
      <c r="W2113" s="1" t="str">
        <f t="shared" si="260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customHeight="1" x14ac:dyDescent="0.3">
      <c r="A2114" s="2"/>
      <c r="B2114" s="65" t="str">
        <f t="shared" si="261"/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 t="shared" si="262"/>
        <v/>
      </c>
      <c r="N2114" s="74" t="str">
        <f t="shared" si="263"/>
        <v/>
      </c>
      <c r="O2114" s="73" t="str">
        <f t="shared" si="264"/>
        <v/>
      </c>
      <c r="P2114" s="65" t="str">
        <f t="shared" ca="1" si="265"/>
        <v/>
      </c>
      <c r="Q2114" s="2"/>
      <c r="R2114" s="2"/>
      <c r="S2114" s="1" t="str">
        <f t="shared" si="258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259"/>
        <v>0</v>
      </c>
      <c r="W2114" s="1" t="str">
        <f t="shared" si="260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customHeight="1" x14ac:dyDescent="0.3">
      <c r="A2115" s="2"/>
      <c r="B2115" s="65" t="str">
        <f t="shared" si="261"/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 t="shared" si="262"/>
        <v/>
      </c>
      <c r="N2115" s="74" t="str">
        <f t="shared" si="263"/>
        <v/>
      </c>
      <c r="O2115" s="73" t="str">
        <f t="shared" si="264"/>
        <v/>
      </c>
      <c r="P2115" s="65" t="str">
        <f t="shared" ca="1" si="265"/>
        <v/>
      </c>
      <c r="Q2115" s="2"/>
      <c r="R2115" s="2"/>
      <c r="S2115" s="1" t="str">
        <f t="shared" si="258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259"/>
        <v>0</v>
      </c>
      <c r="W2115" s="1" t="str">
        <f t="shared" si="260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customHeight="1" x14ac:dyDescent="0.3">
      <c r="A2116" s="2"/>
      <c r="B2116" s="65" t="str">
        <f t="shared" si="261"/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 t="shared" si="262"/>
        <v/>
      </c>
      <c r="N2116" s="74" t="str">
        <f t="shared" si="263"/>
        <v/>
      </c>
      <c r="O2116" s="73" t="str">
        <f t="shared" si="264"/>
        <v/>
      </c>
      <c r="P2116" s="65" t="str">
        <f t="shared" ca="1" si="265"/>
        <v/>
      </c>
      <c r="Q2116" s="2"/>
      <c r="R2116" s="2"/>
      <c r="S2116" s="1" t="str">
        <f t="shared" si="258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259"/>
        <v>0</v>
      </c>
      <c r="W2116" s="1" t="str">
        <f t="shared" si="260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customHeight="1" x14ac:dyDescent="0.3">
      <c r="A2117" s="2"/>
      <c r="B2117" s="65" t="str">
        <f t="shared" si="261"/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 t="shared" si="262"/>
        <v/>
      </c>
      <c r="N2117" s="74" t="str">
        <f t="shared" si="263"/>
        <v/>
      </c>
      <c r="O2117" s="73" t="str">
        <f t="shared" si="264"/>
        <v/>
      </c>
      <c r="P2117" s="65" t="str">
        <f t="shared" ca="1" si="265"/>
        <v/>
      </c>
      <c r="Q2117" s="2"/>
      <c r="R2117" s="2"/>
      <c r="S2117" s="1" t="str">
        <f t="shared" ref="S2117:S2180" si="266"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ref="V2117:V2180" si="267">IF($T2117="",0,1)</f>
        <v>0</v>
      </c>
      <c r="W2117" s="1" t="str">
        <f t="shared" ref="W2117:W2180" si="268">IF($C2117="","",$D2117&amp;"|"&amp;$E2117&amp;"|"&amp;TEXT($C2117,"0")&amp;"|"&amp;TEXT($G2117,"0")&amp;"|"&amp;$F2117&amp;"|"&amp;$J2117)</f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customHeight="1" x14ac:dyDescent="0.3">
      <c r="A2118" s="2"/>
      <c r="B2118" s="65" t="str">
        <f t="shared" si="261"/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 t="shared" si="262"/>
        <v/>
      </c>
      <c r="N2118" s="74" t="str">
        <f t="shared" si="263"/>
        <v/>
      </c>
      <c r="O2118" s="73" t="str">
        <f t="shared" si="264"/>
        <v/>
      </c>
      <c r="P2118" s="65" t="str">
        <f t="shared" ca="1" si="265"/>
        <v/>
      </c>
      <c r="Q2118" s="2"/>
      <c r="R2118" s="2"/>
      <c r="S2118" s="1" t="str">
        <f t="shared" si="266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267"/>
        <v>0</v>
      </c>
      <c r="W2118" s="1" t="str">
        <f t="shared" si="268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customHeight="1" x14ac:dyDescent="0.3">
      <c r="A2119" s="2"/>
      <c r="B2119" s="65" t="str">
        <f t="shared" ref="B2119:B2182" si="269"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 t="shared" ref="M2119:M2182" si="270">IF($C2119="","",IF($D2119="Gider",$E2119,IF($L2119&lt;&gt;"",$L2119,$H2119)))</f>
        <v/>
      </c>
      <c r="N2119" s="74" t="str">
        <f t="shared" ref="N2119:N2182" si="271">IF($C2119="","",IF($D2119="Gider",$H2119,$E2119))</f>
        <v/>
      </c>
      <c r="O2119" s="73" t="str">
        <f t="shared" ref="O2119:O2182" si="272">IF($C2119="","",DATE(YEAR($C2119),MONTH($C2119),1))</f>
        <v/>
      </c>
      <c r="P2119" s="65" t="str">
        <f t="shared" ref="P2119:P2182" ca="1" si="273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TARİH",IF(COUNTIF($W$7:$W$3001,$W2119)&gt;1,"MÜKERRER?",IF($AD2119&gt;0,"KAPALI DÖNEM",IF($I2119="Hayır","ÖDENECEK","UYGUN")))),"EKSİK"))))</f>
        <v/>
      </c>
      <c r="Q2119" s="2"/>
      <c r="R2119" s="2"/>
      <c r="S2119" s="1" t="str">
        <f t="shared" si="266"/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si="267"/>
        <v>0</v>
      </c>
      <c r="W2119" s="1" t="str">
        <f t="shared" si="268"/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customHeight="1" x14ac:dyDescent="0.3">
      <c r="A2120" s="2"/>
      <c r="B2120" s="65" t="str">
        <f t="shared" si="269"/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 t="shared" si="270"/>
        <v/>
      </c>
      <c r="N2120" s="74" t="str">
        <f t="shared" si="271"/>
        <v/>
      </c>
      <c r="O2120" s="73" t="str">
        <f t="shared" si="272"/>
        <v/>
      </c>
      <c r="P2120" s="65" t="str">
        <f t="shared" ca="1" si="273"/>
        <v/>
      </c>
      <c r="Q2120" s="2"/>
      <c r="R2120" s="2"/>
      <c r="S2120" s="1" t="str">
        <f t="shared" si="266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267"/>
        <v>0</v>
      </c>
      <c r="W2120" s="1" t="str">
        <f t="shared" si="268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customHeight="1" x14ac:dyDescent="0.3">
      <c r="A2121" s="2"/>
      <c r="B2121" s="65" t="str">
        <f t="shared" si="269"/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 t="shared" si="270"/>
        <v/>
      </c>
      <c r="N2121" s="74" t="str">
        <f t="shared" si="271"/>
        <v/>
      </c>
      <c r="O2121" s="73" t="str">
        <f t="shared" si="272"/>
        <v/>
      </c>
      <c r="P2121" s="65" t="str">
        <f t="shared" ca="1" si="273"/>
        <v/>
      </c>
      <c r="Q2121" s="2"/>
      <c r="R2121" s="2"/>
      <c r="S2121" s="1" t="str">
        <f t="shared" si="266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267"/>
        <v>0</v>
      </c>
      <c r="W2121" s="1" t="str">
        <f t="shared" si="268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customHeight="1" x14ac:dyDescent="0.3">
      <c r="A2122" s="2"/>
      <c r="B2122" s="65" t="str">
        <f t="shared" si="269"/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 t="shared" si="270"/>
        <v/>
      </c>
      <c r="N2122" s="74" t="str">
        <f t="shared" si="271"/>
        <v/>
      </c>
      <c r="O2122" s="73" t="str">
        <f t="shared" si="272"/>
        <v/>
      </c>
      <c r="P2122" s="65" t="str">
        <f t="shared" ca="1" si="273"/>
        <v/>
      </c>
      <c r="Q2122" s="2"/>
      <c r="R2122" s="2"/>
      <c r="S2122" s="1" t="str">
        <f t="shared" si="266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267"/>
        <v>0</v>
      </c>
      <c r="W2122" s="1" t="str">
        <f t="shared" si="268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customHeight="1" x14ac:dyDescent="0.3">
      <c r="A2123" s="2"/>
      <c r="B2123" s="65" t="str">
        <f t="shared" si="269"/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 t="shared" si="270"/>
        <v/>
      </c>
      <c r="N2123" s="74" t="str">
        <f t="shared" si="271"/>
        <v/>
      </c>
      <c r="O2123" s="73" t="str">
        <f t="shared" si="272"/>
        <v/>
      </c>
      <c r="P2123" s="65" t="str">
        <f t="shared" ca="1" si="273"/>
        <v/>
      </c>
      <c r="Q2123" s="2"/>
      <c r="R2123" s="2"/>
      <c r="S2123" s="1" t="str">
        <f t="shared" si="266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267"/>
        <v>0</v>
      </c>
      <c r="W2123" s="1" t="str">
        <f t="shared" si="268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customHeight="1" x14ac:dyDescent="0.3">
      <c r="A2124" s="2"/>
      <c r="B2124" s="65" t="str">
        <f t="shared" si="269"/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 t="shared" si="270"/>
        <v/>
      </c>
      <c r="N2124" s="74" t="str">
        <f t="shared" si="271"/>
        <v/>
      </c>
      <c r="O2124" s="73" t="str">
        <f t="shared" si="272"/>
        <v/>
      </c>
      <c r="P2124" s="65" t="str">
        <f t="shared" ca="1" si="273"/>
        <v/>
      </c>
      <c r="Q2124" s="2"/>
      <c r="R2124" s="2"/>
      <c r="S2124" s="1" t="str">
        <f t="shared" si="266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267"/>
        <v>0</v>
      </c>
      <c r="W2124" s="1" t="str">
        <f t="shared" si="268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customHeight="1" x14ac:dyDescent="0.3">
      <c r="A2125" s="2"/>
      <c r="B2125" s="65" t="str">
        <f t="shared" si="269"/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 t="shared" si="270"/>
        <v/>
      </c>
      <c r="N2125" s="74" t="str">
        <f t="shared" si="271"/>
        <v/>
      </c>
      <c r="O2125" s="73" t="str">
        <f t="shared" si="272"/>
        <v/>
      </c>
      <c r="P2125" s="65" t="str">
        <f t="shared" ca="1" si="273"/>
        <v/>
      </c>
      <c r="Q2125" s="2"/>
      <c r="R2125" s="2"/>
      <c r="S2125" s="1" t="str">
        <f t="shared" si="266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267"/>
        <v>0</v>
      </c>
      <c r="W2125" s="1" t="str">
        <f t="shared" si="268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customHeight="1" x14ac:dyDescent="0.3">
      <c r="A2126" s="2"/>
      <c r="B2126" s="65" t="str">
        <f t="shared" si="269"/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 t="shared" si="270"/>
        <v/>
      </c>
      <c r="N2126" s="74" t="str">
        <f t="shared" si="271"/>
        <v/>
      </c>
      <c r="O2126" s="73" t="str">
        <f t="shared" si="272"/>
        <v/>
      </c>
      <c r="P2126" s="65" t="str">
        <f t="shared" ca="1" si="273"/>
        <v/>
      </c>
      <c r="Q2126" s="2"/>
      <c r="R2126" s="2"/>
      <c r="S2126" s="1" t="str">
        <f t="shared" si="266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267"/>
        <v>0</v>
      </c>
      <c r="W2126" s="1" t="str">
        <f t="shared" si="268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customHeight="1" x14ac:dyDescent="0.3">
      <c r="A2127" s="2"/>
      <c r="B2127" s="65" t="str">
        <f t="shared" si="269"/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 t="shared" si="270"/>
        <v/>
      </c>
      <c r="N2127" s="74" t="str">
        <f t="shared" si="271"/>
        <v/>
      </c>
      <c r="O2127" s="73" t="str">
        <f t="shared" si="272"/>
        <v/>
      </c>
      <c r="P2127" s="65" t="str">
        <f t="shared" ca="1" si="273"/>
        <v/>
      </c>
      <c r="Q2127" s="2"/>
      <c r="R2127" s="2"/>
      <c r="S2127" s="1" t="str">
        <f t="shared" si="266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267"/>
        <v>0</v>
      </c>
      <c r="W2127" s="1" t="str">
        <f t="shared" si="268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customHeight="1" x14ac:dyDescent="0.3">
      <c r="A2128" s="2"/>
      <c r="B2128" s="65" t="str">
        <f t="shared" si="269"/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 t="shared" si="270"/>
        <v/>
      </c>
      <c r="N2128" s="74" t="str">
        <f t="shared" si="271"/>
        <v/>
      </c>
      <c r="O2128" s="73" t="str">
        <f t="shared" si="272"/>
        <v/>
      </c>
      <c r="P2128" s="65" t="str">
        <f t="shared" ca="1" si="273"/>
        <v/>
      </c>
      <c r="Q2128" s="2"/>
      <c r="R2128" s="2"/>
      <c r="S2128" s="1" t="str">
        <f t="shared" si="266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267"/>
        <v>0</v>
      </c>
      <c r="W2128" s="1" t="str">
        <f t="shared" si="268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customHeight="1" x14ac:dyDescent="0.3">
      <c r="A2129" s="2"/>
      <c r="B2129" s="65" t="str">
        <f t="shared" si="269"/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 t="shared" si="270"/>
        <v/>
      </c>
      <c r="N2129" s="74" t="str">
        <f t="shared" si="271"/>
        <v/>
      </c>
      <c r="O2129" s="73" t="str">
        <f t="shared" si="272"/>
        <v/>
      </c>
      <c r="P2129" s="65" t="str">
        <f t="shared" ca="1" si="273"/>
        <v/>
      </c>
      <c r="Q2129" s="2"/>
      <c r="R2129" s="2"/>
      <c r="S2129" s="1" t="str">
        <f t="shared" si="266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267"/>
        <v>0</v>
      </c>
      <c r="W2129" s="1" t="str">
        <f t="shared" si="268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customHeight="1" x14ac:dyDescent="0.3">
      <c r="A2130" s="2"/>
      <c r="B2130" s="65" t="str">
        <f t="shared" si="269"/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 t="shared" si="270"/>
        <v/>
      </c>
      <c r="N2130" s="74" t="str">
        <f t="shared" si="271"/>
        <v/>
      </c>
      <c r="O2130" s="73" t="str">
        <f t="shared" si="272"/>
        <v/>
      </c>
      <c r="P2130" s="65" t="str">
        <f t="shared" ca="1" si="273"/>
        <v/>
      </c>
      <c r="Q2130" s="2"/>
      <c r="R2130" s="2"/>
      <c r="S2130" s="1" t="str">
        <f t="shared" si="266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267"/>
        <v>0</v>
      </c>
      <c r="W2130" s="1" t="str">
        <f t="shared" si="268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customHeight="1" x14ac:dyDescent="0.3">
      <c r="A2131" s="2"/>
      <c r="B2131" s="65" t="str">
        <f t="shared" si="269"/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 t="shared" si="270"/>
        <v/>
      </c>
      <c r="N2131" s="74" t="str">
        <f t="shared" si="271"/>
        <v/>
      </c>
      <c r="O2131" s="73" t="str">
        <f t="shared" si="272"/>
        <v/>
      </c>
      <c r="P2131" s="65" t="str">
        <f t="shared" ca="1" si="273"/>
        <v/>
      </c>
      <c r="Q2131" s="2"/>
      <c r="R2131" s="2"/>
      <c r="S2131" s="1" t="str">
        <f t="shared" si="266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267"/>
        <v>0</v>
      </c>
      <c r="W2131" s="1" t="str">
        <f t="shared" si="268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customHeight="1" x14ac:dyDescent="0.3">
      <c r="A2132" s="2"/>
      <c r="B2132" s="65" t="str">
        <f t="shared" si="269"/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 t="shared" si="270"/>
        <v/>
      </c>
      <c r="N2132" s="74" t="str">
        <f t="shared" si="271"/>
        <v/>
      </c>
      <c r="O2132" s="73" t="str">
        <f t="shared" si="272"/>
        <v/>
      </c>
      <c r="P2132" s="65" t="str">
        <f t="shared" ca="1" si="273"/>
        <v/>
      </c>
      <c r="Q2132" s="2"/>
      <c r="R2132" s="2"/>
      <c r="S2132" s="1" t="str">
        <f t="shared" si="266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267"/>
        <v>0</v>
      </c>
      <c r="W2132" s="1" t="str">
        <f t="shared" si="268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customHeight="1" x14ac:dyDescent="0.3">
      <c r="A2133" s="2"/>
      <c r="B2133" s="65" t="str">
        <f t="shared" si="269"/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 t="shared" si="270"/>
        <v/>
      </c>
      <c r="N2133" s="74" t="str">
        <f t="shared" si="271"/>
        <v/>
      </c>
      <c r="O2133" s="73" t="str">
        <f t="shared" si="272"/>
        <v/>
      </c>
      <c r="P2133" s="65" t="str">
        <f t="shared" ca="1" si="273"/>
        <v/>
      </c>
      <c r="Q2133" s="2"/>
      <c r="R2133" s="2"/>
      <c r="S2133" s="1" t="str">
        <f t="shared" si="266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267"/>
        <v>0</v>
      </c>
      <c r="W2133" s="1" t="str">
        <f t="shared" si="268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customHeight="1" x14ac:dyDescent="0.3">
      <c r="A2134" s="2"/>
      <c r="B2134" s="65" t="str">
        <f t="shared" si="269"/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 t="shared" si="270"/>
        <v/>
      </c>
      <c r="N2134" s="74" t="str">
        <f t="shared" si="271"/>
        <v/>
      </c>
      <c r="O2134" s="73" t="str">
        <f t="shared" si="272"/>
        <v/>
      </c>
      <c r="P2134" s="65" t="str">
        <f t="shared" ca="1" si="273"/>
        <v/>
      </c>
      <c r="Q2134" s="2"/>
      <c r="R2134" s="2"/>
      <c r="S2134" s="1" t="str">
        <f t="shared" si="266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267"/>
        <v>0</v>
      </c>
      <c r="W2134" s="1" t="str">
        <f t="shared" si="268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customHeight="1" x14ac:dyDescent="0.3">
      <c r="A2135" s="2"/>
      <c r="B2135" s="65" t="str">
        <f t="shared" si="269"/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 t="shared" si="270"/>
        <v/>
      </c>
      <c r="N2135" s="74" t="str">
        <f t="shared" si="271"/>
        <v/>
      </c>
      <c r="O2135" s="73" t="str">
        <f t="shared" si="272"/>
        <v/>
      </c>
      <c r="P2135" s="65" t="str">
        <f t="shared" ca="1" si="273"/>
        <v/>
      </c>
      <c r="Q2135" s="2"/>
      <c r="R2135" s="2"/>
      <c r="S2135" s="1" t="str">
        <f t="shared" si="266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267"/>
        <v>0</v>
      </c>
      <c r="W2135" s="1" t="str">
        <f t="shared" si="268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customHeight="1" x14ac:dyDescent="0.3">
      <c r="A2136" s="2"/>
      <c r="B2136" s="65" t="str">
        <f t="shared" si="269"/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 t="shared" si="270"/>
        <v/>
      </c>
      <c r="N2136" s="74" t="str">
        <f t="shared" si="271"/>
        <v/>
      </c>
      <c r="O2136" s="73" t="str">
        <f t="shared" si="272"/>
        <v/>
      </c>
      <c r="P2136" s="65" t="str">
        <f t="shared" ca="1" si="273"/>
        <v/>
      </c>
      <c r="Q2136" s="2"/>
      <c r="R2136" s="2"/>
      <c r="S2136" s="1" t="str">
        <f t="shared" si="266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267"/>
        <v>0</v>
      </c>
      <c r="W2136" s="1" t="str">
        <f t="shared" si="268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customHeight="1" x14ac:dyDescent="0.3">
      <c r="A2137" s="2"/>
      <c r="B2137" s="65" t="str">
        <f t="shared" si="269"/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 t="shared" si="270"/>
        <v/>
      </c>
      <c r="N2137" s="74" t="str">
        <f t="shared" si="271"/>
        <v/>
      </c>
      <c r="O2137" s="73" t="str">
        <f t="shared" si="272"/>
        <v/>
      </c>
      <c r="P2137" s="65" t="str">
        <f t="shared" ca="1" si="273"/>
        <v/>
      </c>
      <c r="Q2137" s="2"/>
      <c r="R2137" s="2"/>
      <c r="S2137" s="1" t="str">
        <f t="shared" si="266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267"/>
        <v>0</v>
      </c>
      <c r="W2137" s="1" t="str">
        <f t="shared" si="268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customHeight="1" x14ac:dyDescent="0.3">
      <c r="A2138" s="2"/>
      <c r="B2138" s="65" t="str">
        <f t="shared" si="269"/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 t="shared" si="270"/>
        <v/>
      </c>
      <c r="N2138" s="74" t="str">
        <f t="shared" si="271"/>
        <v/>
      </c>
      <c r="O2138" s="73" t="str">
        <f t="shared" si="272"/>
        <v/>
      </c>
      <c r="P2138" s="65" t="str">
        <f t="shared" ca="1" si="273"/>
        <v/>
      </c>
      <c r="Q2138" s="2"/>
      <c r="R2138" s="2"/>
      <c r="S2138" s="1" t="str">
        <f t="shared" si="266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267"/>
        <v>0</v>
      </c>
      <c r="W2138" s="1" t="str">
        <f t="shared" si="268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customHeight="1" x14ac:dyDescent="0.3">
      <c r="A2139" s="2"/>
      <c r="B2139" s="65" t="str">
        <f t="shared" si="269"/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 t="shared" si="270"/>
        <v/>
      </c>
      <c r="N2139" s="74" t="str">
        <f t="shared" si="271"/>
        <v/>
      </c>
      <c r="O2139" s="73" t="str">
        <f t="shared" si="272"/>
        <v/>
      </c>
      <c r="P2139" s="65" t="str">
        <f t="shared" ca="1" si="273"/>
        <v/>
      </c>
      <c r="Q2139" s="2"/>
      <c r="R2139" s="2"/>
      <c r="S2139" s="1" t="str">
        <f t="shared" si="266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267"/>
        <v>0</v>
      </c>
      <c r="W2139" s="1" t="str">
        <f t="shared" si="268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customHeight="1" x14ac:dyDescent="0.3">
      <c r="A2140" s="2"/>
      <c r="B2140" s="65" t="str">
        <f t="shared" si="269"/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 t="shared" si="270"/>
        <v/>
      </c>
      <c r="N2140" s="74" t="str">
        <f t="shared" si="271"/>
        <v/>
      </c>
      <c r="O2140" s="73" t="str">
        <f t="shared" si="272"/>
        <v/>
      </c>
      <c r="P2140" s="65" t="str">
        <f t="shared" ca="1" si="273"/>
        <v/>
      </c>
      <c r="Q2140" s="2"/>
      <c r="R2140" s="2"/>
      <c r="S2140" s="1" t="str">
        <f t="shared" si="266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267"/>
        <v>0</v>
      </c>
      <c r="W2140" s="1" t="str">
        <f t="shared" si="268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customHeight="1" x14ac:dyDescent="0.3">
      <c r="A2141" s="2"/>
      <c r="B2141" s="65" t="str">
        <f t="shared" si="269"/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 t="shared" si="270"/>
        <v/>
      </c>
      <c r="N2141" s="74" t="str">
        <f t="shared" si="271"/>
        <v/>
      </c>
      <c r="O2141" s="73" t="str">
        <f t="shared" si="272"/>
        <v/>
      </c>
      <c r="P2141" s="65" t="str">
        <f t="shared" ca="1" si="273"/>
        <v/>
      </c>
      <c r="Q2141" s="2"/>
      <c r="R2141" s="2"/>
      <c r="S2141" s="1" t="str">
        <f t="shared" si="266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267"/>
        <v>0</v>
      </c>
      <c r="W2141" s="1" t="str">
        <f t="shared" si="268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customHeight="1" x14ac:dyDescent="0.3">
      <c r="A2142" s="2"/>
      <c r="B2142" s="65" t="str">
        <f t="shared" si="269"/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 t="shared" si="270"/>
        <v/>
      </c>
      <c r="N2142" s="74" t="str">
        <f t="shared" si="271"/>
        <v/>
      </c>
      <c r="O2142" s="73" t="str">
        <f t="shared" si="272"/>
        <v/>
      </c>
      <c r="P2142" s="65" t="str">
        <f t="shared" ca="1" si="273"/>
        <v/>
      </c>
      <c r="Q2142" s="2"/>
      <c r="R2142" s="2"/>
      <c r="S2142" s="1" t="str">
        <f t="shared" si="266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267"/>
        <v>0</v>
      </c>
      <c r="W2142" s="1" t="str">
        <f t="shared" si="268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customHeight="1" x14ac:dyDescent="0.3">
      <c r="A2143" s="2"/>
      <c r="B2143" s="65" t="str">
        <f t="shared" si="269"/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 t="shared" si="270"/>
        <v/>
      </c>
      <c r="N2143" s="74" t="str">
        <f t="shared" si="271"/>
        <v/>
      </c>
      <c r="O2143" s="73" t="str">
        <f t="shared" si="272"/>
        <v/>
      </c>
      <c r="P2143" s="65" t="str">
        <f t="shared" ca="1" si="273"/>
        <v/>
      </c>
      <c r="Q2143" s="2"/>
      <c r="R2143" s="2"/>
      <c r="S2143" s="1" t="str">
        <f t="shared" si="266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267"/>
        <v>0</v>
      </c>
      <c r="W2143" s="1" t="str">
        <f t="shared" si="268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customHeight="1" x14ac:dyDescent="0.3">
      <c r="A2144" s="2"/>
      <c r="B2144" s="65" t="str">
        <f t="shared" si="269"/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 t="shared" si="270"/>
        <v/>
      </c>
      <c r="N2144" s="74" t="str">
        <f t="shared" si="271"/>
        <v/>
      </c>
      <c r="O2144" s="73" t="str">
        <f t="shared" si="272"/>
        <v/>
      </c>
      <c r="P2144" s="65" t="str">
        <f t="shared" ca="1" si="273"/>
        <v/>
      </c>
      <c r="Q2144" s="2"/>
      <c r="R2144" s="2"/>
      <c r="S2144" s="1" t="str">
        <f t="shared" si="266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267"/>
        <v>0</v>
      </c>
      <c r="W2144" s="1" t="str">
        <f t="shared" si="268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customHeight="1" x14ac:dyDescent="0.3">
      <c r="A2145" s="2"/>
      <c r="B2145" s="65" t="str">
        <f t="shared" si="269"/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 t="shared" si="270"/>
        <v/>
      </c>
      <c r="N2145" s="74" t="str">
        <f t="shared" si="271"/>
        <v/>
      </c>
      <c r="O2145" s="73" t="str">
        <f t="shared" si="272"/>
        <v/>
      </c>
      <c r="P2145" s="65" t="str">
        <f t="shared" ca="1" si="273"/>
        <v/>
      </c>
      <c r="Q2145" s="2"/>
      <c r="R2145" s="2"/>
      <c r="S2145" s="1" t="str">
        <f t="shared" si="266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267"/>
        <v>0</v>
      </c>
      <c r="W2145" s="1" t="str">
        <f t="shared" si="268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customHeight="1" x14ac:dyDescent="0.3">
      <c r="A2146" s="2"/>
      <c r="B2146" s="65" t="str">
        <f t="shared" si="269"/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 t="shared" si="270"/>
        <v/>
      </c>
      <c r="N2146" s="74" t="str">
        <f t="shared" si="271"/>
        <v/>
      </c>
      <c r="O2146" s="73" t="str">
        <f t="shared" si="272"/>
        <v/>
      </c>
      <c r="P2146" s="65" t="str">
        <f t="shared" ca="1" si="273"/>
        <v/>
      </c>
      <c r="Q2146" s="2"/>
      <c r="R2146" s="2"/>
      <c r="S2146" s="1" t="str">
        <f t="shared" si="266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267"/>
        <v>0</v>
      </c>
      <c r="W2146" s="1" t="str">
        <f t="shared" si="268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customHeight="1" x14ac:dyDescent="0.3">
      <c r="A2147" s="2"/>
      <c r="B2147" s="65" t="str">
        <f t="shared" si="269"/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 t="shared" si="270"/>
        <v/>
      </c>
      <c r="N2147" s="74" t="str">
        <f t="shared" si="271"/>
        <v/>
      </c>
      <c r="O2147" s="73" t="str">
        <f t="shared" si="272"/>
        <v/>
      </c>
      <c r="P2147" s="65" t="str">
        <f t="shared" ca="1" si="273"/>
        <v/>
      </c>
      <c r="Q2147" s="2"/>
      <c r="R2147" s="2"/>
      <c r="S2147" s="1" t="str">
        <f t="shared" si="266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267"/>
        <v>0</v>
      </c>
      <c r="W2147" s="1" t="str">
        <f t="shared" si="268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customHeight="1" x14ac:dyDescent="0.3">
      <c r="A2148" s="2"/>
      <c r="B2148" s="65" t="str">
        <f t="shared" si="269"/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 t="shared" si="270"/>
        <v/>
      </c>
      <c r="N2148" s="74" t="str">
        <f t="shared" si="271"/>
        <v/>
      </c>
      <c r="O2148" s="73" t="str">
        <f t="shared" si="272"/>
        <v/>
      </c>
      <c r="P2148" s="65" t="str">
        <f t="shared" ca="1" si="273"/>
        <v/>
      </c>
      <c r="Q2148" s="2"/>
      <c r="R2148" s="2"/>
      <c r="S2148" s="1" t="str">
        <f t="shared" si="266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267"/>
        <v>0</v>
      </c>
      <c r="W2148" s="1" t="str">
        <f t="shared" si="268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customHeight="1" x14ac:dyDescent="0.3">
      <c r="A2149" s="2"/>
      <c r="B2149" s="65" t="str">
        <f t="shared" si="269"/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 t="shared" si="270"/>
        <v/>
      </c>
      <c r="N2149" s="74" t="str">
        <f t="shared" si="271"/>
        <v/>
      </c>
      <c r="O2149" s="73" t="str">
        <f t="shared" si="272"/>
        <v/>
      </c>
      <c r="P2149" s="65" t="str">
        <f t="shared" ca="1" si="273"/>
        <v/>
      </c>
      <c r="Q2149" s="2"/>
      <c r="R2149" s="2"/>
      <c r="S2149" s="1" t="str">
        <f t="shared" si="266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267"/>
        <v>0</v>
      </c>
      <c r="W2149" s="1" t="str">
        <f t="shared" si="268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customHeight="1" x14ac:dyDescent="0.3">
      <c r="A2150" s="2"/>
      <c r="B2150" s="65" t="str">
        <f t="shared" si="269"/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 t="shared" si="270"/>
        <v/>
      </c>
      <c r="N2150" s="74" t="str">
        <f t="shared" si="271"/>
        <v/>
      </c>
      <c r="O2150" s="73" t="str">
        <f t="shared" si="272"/>
        <v/>
      </c>
      <c r="P2150" s="65" t="str">
        <f t="shared" ca="1" si="273"/>
        <v/>
      </c>
      <c r="Q2150" s="2"/>
      <c r="R2150" s="2"/>
      <c r="S2150" s="1" t="str">
        <f t="shared" si="266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267"/>
        <v>0</v>
      </c>
      <c r="W2150" s="1" t="str">
        <f t="shared" si="268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customHeight="1" x14ac:dyDescent="0.3">
      <c r="A2151" s="2"/>
      <c r="B2151" s="65" t="str">
        <f t="shared" si="269"/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 t="shared" si="270"/>
        <v/>
      </c>
      <c r="N2151" s="74" t="str">
        <f t="shared" si="271"/>
        <v/>
      </c>
      <c r="O2151" s="73" t="str">
        <f t="shared" si="272"/>
        <v/>
      </c>
      <c r="P2151" s="65" t="str">
        <f t="shared" ca="1" si="273"/>
        <v/>
      </c>
      <c r="Q2151" s="2"/>
      <c r="R2151" s="2"/>
      <c r="S2151" s="1" t="str">
        <f t="shared" si="266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267"/>
        <v>0</v>
      </c>
      <c r="W2151" s="1" t="str">
        <f t="shared" si="268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customHeight="1" x14ac:dyDescent="0.3">
      <c r="A2152" s="2"/>
      <c r="B2152" s="65" t="str">
        <f t="shared" si="269"/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 t="shared" si="270"/>
        <v/>
      </c>
      <c r="N2152" s="74" t="str">
        <f t="shared" si="271"/>
        <v/>
      </c>
      <c r="O2152" s="73" t="str">
        <f t="shared" si="272"/>
        <v/>
      </c>
      <c r="P2152" s="65" t="str">
        <f t="shared" ca="1" si="273"/>
        <v/>
      </c>
      <c r="Q2152" s="2"/>
      <c r="R2152" s="2"/>
      <c r="S2152" s="1" t="str">
        <f t="shared" si="266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267"/>
        <v>0</v>
      </c>
      <c r="W2152" s="1" t="str">
        <f t="shared" si="268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customHeight="1" x14ac:dyDescent="0.3">
      <c r="A2153" s="2"/>
      <c r="B2153" s="65" t="str">
        <f t="shared" si="269"/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 t="shared" si="270"/>
        <v/>
      </c>
      <c r="N2153" s="74" t="str">
        <f t="shared" si="271"/>
        <v/>
      </c>
      <c r="O2153" s="73" t="str">
        <f t="shared" si="272"/>
        <v/>
      </c>
      <c r="P2153" s="65" t="str">
        <f t="shared" ca="1" si="273"/>
        <v/>
      </c>
      <c r="Q2153" s="2"/>
      <c r="R2153" s="2"/>
      <c r="S2153" s="1" t="str">
        <f t="shared" si="266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267"/>
        <v>0</v>
      </c>
      <c r="W2153" s="1" t="str">
        <f t="shared" si="268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customHeight="1" x14ac:dyDescent="0.3">
      <c r="A2154" s="2"/>
      <c r="B2154" s="65" t="str">
        <f t="shared" si="269"/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 t="shared" si="270"/>
        <v/>
      </c>
      <c r="N2154" s="74" t="str">
        <f t="shared" si="271"/>
        <v/>
      </c>
      <c r="O2154" s="73" t="str">
        <f t="shared" si="272"/>
        <v/>
      </c>
      <c r="P2154" s="65" t="str">
        <f t="shared" ca="1" si="273"/>
        <v/>
      </c>
      <c r="Q2154" s="2"/>
      <c r="R2154" s="2"/>
      <c r="S2154" s="1" t="str">
        <f t="shared" si="266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267"/>
        <v>0</v>
      </c>
      <c r="W2154" s="1" t="str">
        <f t="shared" si="268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customHeight="1" x14ac:dyDescent="0.3">
      <c r="A2155" s="2"/>
      <c r="B2155" s="65" t="str">
        <f t="shared" si="269"/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 t="shared" si="270"/>
        <v/>
      </c>
      <c r="N2155" s="74" t="str">
        <f t="shared" si="271"/>
        <v/>
      </c>
      <c r="O2155" s="73" t="str">
        <f t="shared" si="272"/>
        <v/>
      </c>
      <c r="P2155" s="65" t="str">
        <f t="shared" ca="1" si="273"/>
        <v/>
      </c>
      <c r="Q2155" s="2"/>
      <c r="R2155" s="2"/>
      <c r="S2155" s="1" t="str">
        <f t="shared" si="266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267"/>
        <v>0</v>
      </c>
      <c r="W2155" s="1" t="str">
        <f t="shared" si="268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customHeight="1" x14ac:dyDescent="0.3">
      <c r="A2156" s="2"/>
      <c r="B2156" s="65" t="str">
        <f t="shared" si="269"/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 t="shared" si="270"/>
        <v/>
      </c>
      <c r="N2156" s="74" t="str">
        <f t="shared" si="271"/>
        <v/>
      </c>
      <c r="O2156" s="73" t="str">
        <f t="shared" si="272"/>
        <v/>
      </c>
      <c r="P2156" s="65" t="str">
        <f t="shared" ca="1" si="273"/>
        <v/>
      </c>
      <c r="Q2156" s="2"/>
      <c r="R2156" s="2"/>
      <c r="S2156" s="1" t="str">
        <f t="shared" si="266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267"/>
        <v>0</v>
      </c>
      <c r="W2156" s="1" t="str">
        <f t="shared" si="268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customHeight="1" x14ac:dyDescent="0.3">
      <c r="A2157" s="2"/>
      <c r="B2157" s="65" t="str">
        <f t="shared" si="269"/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 t="shared" si="270"/>
        <v/>
      </c>
      <c r="N2157" s="74" t="str">
        <f t="shared" si="271"/>
        <v/>
      </c>
      <c r="O2157" s="73" t="str">
        <f t="shared" si="272"/>
        <v/>
      </c>
      <c r="P2157" s="65" t="str">
        <f t="shared" ca="1" si="273"/>
        <v/>
      </c>
      <c r="Q2157" s="2"/>
      <c r="R2157" s="2"/>
      <c r="S2157" s="1" t="str">
        <f t="shared" si="266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267"/>
        <v>0</v>
      </c>
      <c r="W2157" s="1" t="str">
        <f t="shared" si="268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customHeight="1" x14ac:dyDescent="0.3">
      <c r="A2158" s="2"/>
      <c r="B2158" s="65" t="str">
        <f t="shared" si="269"/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 t="shared" si="270"/>
        <v/>
      </c>
      <c r="N2158" s="74" t="str">
        <f t="shared" si="271"/>
        <v/>
      </c>
      <c r="O2158" s="73" t="str">
        <f t="shared" si="272"/>
        <v/>
      </c>
      <c r="P2158" s="65" t="str">
        <f t="shared" ca="1" si="273"/>
        <v/>
      </c>
      <c r="Q2158" s="2"/>
      <c r="R2158" s="2"/>
      <c r="S2158" s="1" t="str">
        <f t="shared" si="266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267"/>
        <v>0</v>
      </c>
      <c r="W2158" s="1" t="str">
        <f t="shared" si="268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customHeight="1" x14ac:dyDescent="0.3">
      <c r="A2159" s="2"/>
      <c r="B2159" s="65" t="str">
        <f t="shared" si="269"/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 t="shared" si="270"/>
        <v/>
      </c>
      <c r="N2159" s="74" t="str">
        <f t="shared" si="271"/>
        <v/>
      </c>
      <c r="O2159" s="73" t="str">
        <f t="shared" si="272"/>
        <v/>
      </c>
      <c r="P2159" s="65" t="str">
        <f t="shared" ca="1" si="273"/>
        <v/>
      </c>
      <c r="Q2159" s="2"/>
      <c r="R2159" s="2"/>
      <c r="S2159" s="1" t="str">
        <f t="shared" si="266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267"/>
        <v>0</v>
      </c>
      <c r="W2159" s="1" t="str">
        <f t="shared" si="268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customHeight="1" x14ac:dyDescent="0.3">
      <c r="A2160" s="2"/>
      <c r="B2160" s="65" t="str">
        <f t="shared" si="269"/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 t="shared" si="270"/>
        <v/>
      </c>
      <c r="N2160" s="74" t="str">
        <f t="shared" si="271"/>
        <v/>
      </c>
      <c r="O2160" s="73" t="str">
        <f t="shared" si="272"/>
        <v/>
      </c>
      <c r="P2160" s="65" t="str">
        <f t="shared" ca="1" si="273"/>
        <v/>
      </c>
      <c r="Q2160" s="2"/>
      <c r="R2160" s="2"/>
      <c r="S2160" s="1" t="str">
        <f t="shared" si="266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267"/>
        <v>0</v>
      </c>
      <c r="W2160" s="1" t="str">
        <f t="shared" si="268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customHeight="1" x14ac:dyDescent="0.3">
      <c r="A2161" s="2"/>
      <c r="B2161" s="65" t="str">
        <f t="shared" si="269"/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 t="shared" si="270"/>
        <v/>
      </c>
      <c r="N2161" s="74" t="str">
        <f t="shared" si="271"/>
        <v/>
      </c>
      <c r="O2161" s="73" t="str">
        <f t="shared" si="272"/>
        <v/>
      </c>
      <c r="P2161" s="65" t="str">
        <f t="shared" ca="1" si="273"/>
        <v/>
      </c>
      <c r="Q2161" s="2"/>
      <c r="R2161" s="2"/>
      <c r="S2161" s="1" t="str">
        <f t="shared" si="266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267"/>
        <v>0</v>
      </c>
      <c r="W2161" s="1" t="str">
        <f t="shared" si="268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customHeight="1" x14ac:dyDescent="0.3">
      <c r="A2162" s="2"/>
      <c r="B2162" s="65" t="str">
        <f t="shared" si="269"/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 t="shared" si="270"/>
        <v/>
      </c>
      <c r="N2162" s="74" t="str">
        <f t="shared" si="271"/>
        <v/>
      </c>
      <c r="O2162" s="73" t="str">
        <f t="shared" si="272"/>
        <v/>
      </c>
      <c r="P2162" s="65" t="str">
        <f t="shared" ca="1" si="273"/>
        <v/>
      </c>
      <c r="Q2162" s="2"/>
      <c r="R2162" s="2"/>
      <c r="S2162" s="1" t="str">
        <f t="shared" si="266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267"/>
        <v>0</v>
      </c>
      <c r="W2162" s="1" t="str">
        <f t="shared" si="268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customHeight="1" x14ac:dyDescent="0.3">
      <c r="A2163" s="2"/>
      <c r="B2163" s="65" t="str">
        <f t="shared" si="269"/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 t="shared" si="270"/>
        <v/>
      </c>
      <c r="N2163" s="74" t="str">
        <f t="shared" si="271"/>
        <v/>
      </c>
      <c r="O2163" s="73" t="str">
        <f t="shared" si="272"/>
        <v/>
      </c>
      <c r="P2163" s="65" t="str">
        <f t="shared" ca="1" si="273"/>
        <v/>
      </c>
      <c r="Q2163" s="2"/>
      <c r="R2163" s="2"/>
      <c r="S2163" s="1" t="str">
        <f t="shared" si="266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267"/>
        <v>0</v>
      </c>
      <c r="W2163" s="1" t="str">
        <f t="shared" si="268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customHeight="1" x14ac:dyDescent="0.3">
      <c r="A2164" s="2"/>
      <c r="B2164" s="65" t="str">
        <f t="shared" si="269"/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 t="shared" si="270"/>
        <v/>
      </c>
      <c r="N2164" s="74" t="str">
        <f t="shared" si="271"/>
        <v/>
      </c>
      <c r="O2164" s="73" t="str">
        <f t="shared" si="272"/>
        <v/>
      </c>
      <c r="P2164" s="65" t="str">
        <f t="shared" ca="1" si="273"/>
        <v/>
      </c>
      <c r="Q2164" s="2"/>
      <c r="R2164" s="2"/>
      <c r="S2164" s="1" t="str">
        <f t="shared" si="266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267"/>
        <v>0</v>
      </c>
      <c r="W2164" s="1" t="str">
        <f t="shared" si="268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customHeight="1" x14ac:dyDescent="0.3">
      <c r="A2165" s="2"/>
      <c r="B2165" s="65" t="str">
        <f t="shared" si="269"/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 t="shared" si="270"/>
        <v/>
      </c>
      <c r="N2165" s="74" t="str">
        <f t="shared" si="271"/>
        <v/>
      </c>
      <c r="O2165" s="73" t="str">
        <f t="shared" si="272"/>
        <v/>
      </c>
      <c r="P2165" s="65" t="str">
        <f t="shared" ca="1" si="273"/>
        <v/>
      </c>
      <c r="Q2165" s="2"/>
      <c r="R2165" s="2"/>
      <c r="S2165" s="1" t="str">
        <f t="shared" si="266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267"/>
        <v>0</v>
      </c>
      <c r="W2165" s="1" t="str">
        <f t="shared" si="268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customHeight="1" x14ac:dyDescent="0.3">
      <c r="A2166" s="2"/>
      <c r="B2166" s="65" t="str">
        <f t="shared" si="269"/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 t="shared" si="270"/>
        <v/>
      </c>
      <c r="N2166" s="74" t="str">
        <f t="shared" si="271"/>
        <v/>
      </c>
      <c r="O2166" s="73" t="str">
        <f t="shared" si="272"/>
        <v/>
      </c>
      <c r="P2166" s="65" t="str">
        <f t="shared" ca="1" si="273"/>
        <v/>
      </c>
      <c r="Q2166" s="2"/>
      <c r="R2166" s="2"/>
      <c r="S2166" s="1" t="str">
        <f t="shared" si="266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267"/>
        <v>0</v>
      </c>
      <c r="W2166" s="1" t="str">
        <f t="shared" si="268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customHeight="1" x14ac:dyDescent="0.3">
      <c r="A2167" s="2"/>
      <c r="B2167" s="65" t="str">
        <f t="shared" si="269"/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 t="shared" si="270"/>
        <v/>
      </c>
      <c r="N2167" s="74" t="str">
        <f t="shared" si="271"/>
        <v/>
      </c>
      <c r="O2167" s="73" t="str">
        <f t="shared" si="272"/>
        <v/>
      </c>
      <c r="P2167" s="65" t="str">
        <f t="shared" ca="1" si="273"/>
        <v/>
      </c>
      <c r="Q2167" s="2"/>
      <c r="R2167" s="2"/>
      <c r="S2167" s="1" t="str">
        <f t="shared" si="266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267"/>
        <v>0</v>
      </c>
      <c r="W2167" s="1" t="str">
        <f t="shared" si="268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customHeight="1" x14ac:dyDescent="0.3">
      <c r="A2168" s="2"/>
      <c r="B2168" s="65" t="str">
        <f t="shared" si="269"/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 t="shared" si="270"/>
        <v/>
      </c>
      <c r="N2168" s="74" t="str">
        <f t="shared" si="271"/>
        <v/>
      </c>
      <c r="O2168" s="73" t="str">
        <f t="shared" si="272"/>
        <v/>
      </c>
      <c r="P2168" s="65" t="str">
        <f t="shared" ca="1" si="273"/>
        <v/>
      </c>
      <c r="Q2168" s="2"/>
      <c r="R2168" s="2"/>
      <c r="S2168" s="1" t="str">
        <f t="shared" si="266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267"/>
        <v>0</v>
      </c>
      <c r="W2168" s="1" t="str">
        <f t="shared" si="268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customHeight="1" x14ac:dyDescent="0.3">
      <c r="A2169" s="2"/>
      <c r="B2169" s="65" t="str">
        <f t="shared" si="269"/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 t="shared" si="270"/>
        <v/>
      </c>
      <c r="N2169" s="74" t="str">
        <f t="shared" si="271"/>
        <v/>
      </c>
      <c r="O2169" s="73" t="str">
        <f t="shared" si="272"/>
        <v/>
      </c>
      <c r="P2169" s="65" t="str">
        <f t="shared" ca="1" si="273"/>
        <v/>
      </c>
      <c r="Q2169" s="2"/>
      <c r="R2169" s="2"/>
      <c r="S2169" s="1" t="str">
        <f t="shared" si="266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267"/>
        <v>0</v>
      </c>
      <c r="W2169" s="1" t="str">
        <f t="shared" si="268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customHeight="1" x14ac:dyDescent="0.3">
      <c r="A2170" s="2"/>
      <c r="B2170" s="65" t="str">
        <f t="shared" si="269"/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 t="shared" si="270"/>
        <v/>
      </c>
      <c r="N2170" s="74" t="str">
        <f t="shared" si="271"/>
        <v/>
      </c>
      <c r="O2170" s="73" t="str">
        <f t="shared" si="272"/>
        <v/>
      </c>
      <c r="P2170" s="65" t="str">
        <f t="shared" ca="1" si="273"/>
        <v/>
      </c>
      <c r="Q2170" s="2"/>
      <c r="R2170" s="2"/>
      <c r="S2170" s="1" t="str">
        <f t="shared" si="266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267"/>
        <v>0</v>
      </c>
      <c r="W2170" s="1" t="str">
        <f t="shared" si="268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customHeight="1" x14ac:dyDescent="0.3">
      <c r="A2171" s="2"/>
      <c r="B2171" s="65" t="str">
        <f t="shared" si="269"/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 t="shared" si="270"/>
        <v/>
      </c>
      <c r="N2171" s="74" t="str">
        <f t="shared" si="271"/>
        <v/>
      </c>
      <c r="O2171" s="73" t="str">
        <f t="shared" si="272"/>
        <v/>
      </c>
      <c r="P2171" s="65" t="str">
        <f t="shared" ca="1" si="273"/>
        <v/>
      </c>
      <c r="Q2171" s="2"/>
      <c r="R2171" s="2"/>
      <c r="S2171" s="1" t="str">
        <f t="shared" si="266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267"/>
        <v>0</v>
      </c>
      <c r="W2171" s="1" t="str">
        <f t="shared" si="268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customHeight="1" x14ac:dyDescent="0.3">
      <c r="A2172" s="2"/>
      <c r="B2172" s="65" t="str">
        <f t="shared" si="269"/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 t="shared" si="270"/>
        <v/>
      </c>
      <c r="N2172" s="74" t="str">
        <f t="shared" si="271"/>
        <v/>
      </c>
      <c r="O2172" s="73" t="str">
        <f t="shared" si="272"/>
        <v/>
      </c>
      <c r="P2172" s="65" t="str">
        <f t="shared" ca="1" si="273"/>
        <v/>
      </c>
      <c r="Q2172" s="2"/>
      <c r="R2172" s="2"/>
      <c r="S2172" s="1" t="str">
        <f t="shared" si="266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267"/>
        <v>0</v>
      </c>
      <c r="W2172" s="1" t="str">
        <f t="shared" si="268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customHeight="1" x14ac:dyDescent="0.3">
      <c r="A2173" s="2"/>
      <c r="B2173" s="65" t="str">
        <f t="shared" si="269"/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 t="shared" si="270"/>
        <v/>
      </c>
      <c r="N2173" s="74" t="str">
        <f t="shared" si="271"/>
        <v/>
      </c>
      <c r="O2173" s="73" t="str">
        <f t="shared" si="272"/>
        <v/>
      </c>
      <c r="P2173" s="65" t="str">
        <f t="shared" ca="1" si="273"/>
        <v/>
      </c>
      <c r="Q2173" s="2"/>
      <c r="R2173" s="2"/>
      <c r="S2173" s="1" t="str">
        <f t="shared" si="266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267"/>
        <v>0</v>
      </c>
      <c r="W2173" s="1" t="str">
        <f t="shared" si="268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customHeight="1" x14ac:dyDescent="0.3">
      <c r="A2174" s="2"/>
      <c r="B2174" s="65" t="str">
        <f t="shared" si="269"/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 t="shared" si="270"/>
        <v/>
      </c>
      <c r="N2174" s="74" t="str">
        <f t="shared" si="271"/>
        <v/>
      </c>
      <c r="O2174" s="73" t="str">
        <f t="shared" si="272"/>
        <v/>
      </c>
      <c r="P2174" s="65" t="str">
        <f t="shared" ca="1" si="273"/>
        <v/>
      </c>
      <c r="Q2174" s="2"/>
      <c r="R2174" s="2"/>
      <c r="S2174" s="1" t="str">
        <f t="shared" si="266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267"/>
        <v>0</v>
      </c>
      <c r="W2174" s="1" t="str">
        <f t="shared" si="268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customHeight="1" x14ac:dyDescent="0.3">
      <c r="A2175" s="2"/>
      <c r="B2175" s="65" t="str">
        <f t="shared" si="269"/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 t="shared" si="270"/>
        <v/>
      </c>
      <c r="N2175" s="74" t="str">
        <f t="shared" si="271"/>
        <v/>
      </c>
      <c r="O2175" s="73" t="str">
        <f t="shared" si="272"/>
        <v/>
      </c>
      <c r="P2175" s="65" t="str">
        <f t="shared" ca="1" si="273"/>
        <v/>
      </c>
      <c r="Q2175" s="2"/>
      <c r="R2175" s="2"/>
      <c r="S2175" s="1" t="str">
        <f t="shared" si="266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267"/>
        <v>0</v>
      </c>
      <c r="W2175" s="1" t="str">
        <f t="shared" si="268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customHeight="1" x14ac:dyDescent="0.3">
      <c r="A2176" s="2"/>
      <c r="B2176" s="65" t="str">
        <f t="shared" si="269"/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 t="shared" si="270"/>
        <v/>
      </c>
      <c r="N2176" s="74" t="str">
        <f t="shared" si="271"/>
        <v/>
      </c>
      <c r="O2176" s="73" t="str">
        <f t="shared" si="272"/>
        <v/>
      </c>
      <c r="P2176" s="65" t="str">
        <f t="shared" ca="1" si="273"/>
        <v/>
      </c>
      <c r="Q2176" s="2"/>
      <c r="R2176" s="2"/>
      <c r="S2176" s="1" t="str">
        <f t="shared" si="266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267"/>
        <v>0</v>
      </c>
      <c r="W2176" s="1" t="str">
        <f t="shared" si="268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customHeight="1" x14ac:dyDescent="0.3">
      <c r="A2177" s="2"/>
      <c r="B2177" s="65" t="str">
        <f t="shared" si="269"/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 t="shared" si="270"/>
        <v/>
      </c>
      <c r="N2177" s="74" t="str">
        <f t="shared" si="271"/>
        <v/>
      </c>
      <c r="O2177" s="73" t="str">
        <f t="shared" si="272"/>
        <v/>
      </c>
      <c r="P2177" s="65" t="str">
        <f t="shared" ca="1" si="273"/>
        <v/>
      </c>
      <c r="Q2177" s="2"/>
      <c r="R2177" s="2"/>
      <c r="S2177" s="1" t="str">
        <f t="shared" si="266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267"/>
        <v>0</v>
      </c>
      <c r="W2177" s="1" t="str">
        <f t="shared" si="268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customHeight="1" x14ac:dyDescent="0.3">
      <c r="A2178" s="2"/>
      <c r="B2178" s="65" t="str">
        <f t="shared" si="269"/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 t="shared" si="270"/>
        <v/>
      </c>
      <c r="N2178" s="74" t="str">
        <f t="shared" si="271"/>
        <v/>
      </c>
      <c r="O2178" s="73" t="str">
        <f t="shared" si="272"/>
        <v/>
      </c>
      <c r="P2178" s="65" t="str">
        <f t="shared" ca="1" si="273"/>
        <v/>
      </c>
      <c r="Q2178" s="2"/>
      <c r="R2178" s="2"/>
      <c r="S2178" s="1" t="str">
        <f t="shared" si="266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267"/>
        <v>0</v>
      </c>
      <c r="W2178" s="1" t="str">
        <f t="shared" si="268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customHeight="1" x14ac:dyDescent="0.3">
      <c r="A2179" s="2"/>
      <c r="B2179" s="65" t="str">
        <f t="shared" si="269"/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 t="shared" si="270"/>
        <v/>
      </c>
      <c r="N2179" s="74" t="str">
        <f t="shared" si="271"/>
        <v/>
      </c>
      <c r="O2179" s="73" t="str">
        <f t="shared" si="272"/>
        <v/>
      </c>
      <c r="P2179" s="65" t="str">
        <f t="shared" ca="1" si="273"/>
        <v/>
      </c>
      <c r="Q2179" s="2"/>
      <c r="R2179" s="2"/>
      <c r="S2179" s="1" t="str">
        <f t="shared" si="266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267"/>
        <v>0</v>
      </c>
      <c r="W2179" s="1" t="str">
        <f t="shared" si="268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customHeight="1" x14ac:dyDescent="0.3">
      <c r="A2180" s="2"/>
      <c r="B2180" s="65" t="str">
        <f t="shared" si="269"/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 t="shared" si="270"/>
        <v/>
      </c>
      <c r="N2180" s="74" t="str">
        <f t="shared" si="271"/>
        <v/>
      </c>
      <c r="O2180" s="73" t="str">
        <f t="shared" si="272"/>
        <v/>
      </c>
      <c r="P2180" s="65" t="str">
        <f t="shared" ca="1" si="273"/>
        <v/>
      </c>
      <c r="Q2180" s="2"/>
      <c r="R2180" s="2"/>
      <c r="S2180" s="1" t="str">
        <f t="shared" si="266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267"/>
        <v>0</v>
      </c>
      <c r="W2180" s="1" t="str">
        <f t="shared" si="268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customHeight="1" x14ac:dyDescent="0.3">
      <c r="A2181" s="2"/>
      <c r="B2181" s="65" t="str">
        <f t="shared" si="269"/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 t="shared" si="270"/>
        <v/>
      </c>
      <c r="N2181" s="74" t="str">
        <f t="shared" si="271"/>
        <v/>
      </c>
      <c r="O2181" s="73" t="str">
        <f t="shared" si="272"/>
        <v/>
      </c>
      <c r="P2181" s="65" t="str">
        <f t="shared" ca="1" si="273"/>
        <v/>
      </c>
      <c r="Q2181" s="2"/>
      <c r="R2181" s="2"/>
      <c r="S2181" s="1" t="str">
        <f t="shared" ref="S2181:S2244" si="274"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ref="V2181:V2244" si="275">IF($T2181="",0,1)</f>
        <v>0</v>
      </c>
      <c r="W2181" s="1" t="str">
        <f t="shared" ref="W2181:W2244" si="276">IF($C2181="","",$D2181&amp;"|"&amp;$E2181&amp;"|"&amp;TEXT($C2181,"0")&amp;"|"&amp;TEXT($G2181,"0")&amp;"|"&amp;$F2181&amp;"|"&amp;$J2181)</f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customHeight="1" x14ac:dyDescent="0.3">
      <c r="A2182" s="2"/>
      <c r="B2182" s="65" t="str">
        <f t="shared" si="269"/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 t="shared" si="270"/>
        <v/>
      </c>
      <c r="N2182" s="74" t="str">
        <f t="shared" si="271"/>
        <v/>
      </c>
      <c r="O2182" s="73" t="str">
        <f t="shared" si="272"/>
        <v/>
      </c>
      <c r="P2182" s="65" t="str">
        <f t="shared" ca="1" si="273"/>
        <v/>
      </c>
      <c r="Q2182" s="2"/>
      <c r="R2182" s="2"/>
      <c r="S2182" s="1" t="str">
        <f t="shared" si="274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275"/>
        <v>0</v>
      </c>
      <c r="W2182" s="1" t="str">
        <f t="shared" si="276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customHeight="1" x14ac:dyDescent="0.3">
      <c r="A2183" s="2"/>
      <c r="B2183" s="65" t="str">
        <f t="shared" ref="B2183:B2246" si="277"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 t="shared" ref="M2183:M2246" si="278">IF($C2183="","",IF($D2183="Gider",$E2183,IF($L2183&lt;&gt;"",$L2183,$H2183)))</f>
        <v/>
      </c>
      <c r="N2183" s="74" t="str">
        <f t="shared" ref="N2183:N2246" si="279">IF($C2183="","",IF($D2183="Gider",$H2183,$E2183))</f>
        <v/>
      </c>
      <c r="O2183" s="73" t="str">
        <f t="shared" ref="O2183:O2246" si="280">IF($C2183="","",DATE(YEAR($C2183),MONTH($C2183),1))</f>
        <v/>
      </c>
      <c r="P2183" s="65" t="str">
        <f t="shared" ref="P2183:P2246" ca="1" si="281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TARİH",IF(COUNTIF($W$7:$W$3001,$W2183)&gt;1,"MÜKERRER?",IF($AD2183&gt;0,"KAPALI DÖNEM",IF($I2183="Hayır","ÖDENECEK","UYGUN")))),"EKSİK"))))</f>
        <v/>
      </c>
      <c r="Q2183" s="2"/>
      <c r="R2183" s="2"/>
      <c r="S2183" s="1" t="str">
        <f t="shared" si="274"/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si="275"/>
        <v>0</v>
      </c>
      <c r="W2183" s="1" t="str">
        <f t="shared" si="276"/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customHeight="1" x14ac:dyDescent="0.3">
      <c r="A2184" s="2"/>
      <c r="B2184" s="65" t="str">
        <f t="shared" si="277"/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 t="shared" si="278"/>
        <v/>
      </c>
      <c r="N2184" s="74" t="str">
        <f t="shared" si="279"/>
        <v/>
      </c>
      <c r="O2184" s="73" t="str">
        <f t="shared" si="280"/>
        <v/>
      </c>
      <c r="P2184" s="65" t="str">
        <f t="shared" ca="1" si="281"/>
        <v/>
      </c>
      <c r="Q2184" s="2"/>
      <c r="R2184" s="2"/>
      <c r="S2184" s="1" t="str">
        <f t="shared" si="274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275"/>
        <v>0</v>
      </c>
      <c r="W2184" s="1" t="str">
        <f t="shared" si="276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customHeight="1" x14ac:dyDescent="0.3">
      <c r="A2185" s="2"/>
      <c r="B2185" s="65" t="str">
        <f t="shared" si="277"/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 t="shared" si="278"/>
        <v/>
      </c>
      <c r="N2185" s="74" t="str">
        <f t="shared" si="279"/>
        <v/>
      </c>
      <c r="O2185" s="73" t="str">
        <f t="shared" si="280"/>
        <v/>
      </c>
      <c r="P2185" s="65" t="str">
        <f t="shared" ca="1" si="281"/>
        <v/>
      </c>
      <c r="Q2185" s="2"/>
      <c r="R2185" s="2"/>
      <c r="S2185" s="1" t="str">
        <f t="shared" si="274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275"/>
        <v>0</v>
      </c>
      <c r="W2185" s="1" t="str">
        <f t="shared" si="276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customHeight="1" x14ac:dyDescent="0.3">
      <c r="A2186" s="2"/>
      <c r="B2186" s="65" t="str">
        <f t="shared" si="277"/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 t="shared" si="278"/>
        <v/>
      </c>
      <c r="N2186" s="74" t="str">
        <f t="shared" si="279"/>
        <v/>
      </c>
      <c r="O2186" s="73" t="str">
        <f t="shared" si="280"/>
        <v/>
      </c>
      <c r="P2186" s="65" t="str">
        <f t="shared" ca="1" si="281"/>
        <v/>
      </c>
      <c r="Q2186" s="2"/>
      <c r="R2186" s="2"/>
      <c r="S2186" s="1" t="str">
        <f t="shared" si="274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275"/>
        <v>0</v>
      </c>
      <c r="W2186" s="1" t="str">
        <f t="shared" si="276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customHeight="1" x14ac:dyDescent="0.3">
      <c r="A2187" s="2"/>
      <c r="B2187" s="65" t="str">
        <f t="shared" si="277"/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 t="shared" si="278"/>
        <v/>
      </c>
      <c r="N2187" s="74" t="str">
        <f t="shared" si="279"/>
        <v/>
      </c>
      <c r="O2187" s="73" t="str">
        <f t="shared" si="280"/>
        <v/>
      </c>
      <c r="P2187" s="65" t="str">
        <f t="shared" ca="1" si="281"/>
        <v/>
      </c>
      <c r="Q2187" s="2"/>
      <c r="R2187" s="2"/>
      <c r="S2187" s="1" t="str">
        <f t="shared" si="274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275"/>
        <v>0</v>
      </c>
      <c r="W2187" s="1" t="str">
        <f t="shared" si="276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customHeight="1" x14ac:dyDescent="0.3">
      <c r="A2188" s="2"/>
      <c r="B2188" s="65" t="str">
        <f t="shared" si="277"/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 t="shared" si="278"/>
        <v/>
      </c>
      <c r="N2188" s="74" t="str">
        <f t="shared" si="279"/>
        <v/>
      </c>
      <c r="O2188" s="73" t="str">
        <f t="shared" si="280"/>
        <v/>
      </c>
      <c r="P2188" s="65" t="str">
        <f t="shared" ca="1" si="281"/>
        <v/>
      </c>
      <c r="Q2188" s="2"/>
      <c r="R2188" s="2"/>
      <c r="S2188" s="1" t="str">
        <f t="shared" si="274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275"/>
        <v>0</v>
      </c>
      <c r="W2188" s="1" t="str">
        <f t="shared" si="276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customHeight="1" x14ac:dyDescent="0.3">
      <c r="A2189" s="2"/>
      <c r="B2189" s="65" t="str">
        <f t="shared" si="277"/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 t="shared" si="278"/>
        <v/>
      </c>
      <c r="N2189" s="74" t="str">
        <f t="shared" si="279"/>
        <v/>
      </c>
      <c r="O2189" s="73" t="str">
        <f t="shared" si="280"/>
        <v/>
      </c>
      <c r="P2189" s="65" t="str">
        <f t="shared" ca="1" si="281"/>
        <v/>
      </c>
      <c r="Q2189" s="2"/>
      <c r="R2189" s="2"/>
      <c r="S2189" s="1" t="str">
        <f t="shared" si="274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275"/>
        <v>0</v>
      </c>
      <c r="W2189" s="1" t="str">
        <f t="shared" si="276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customHeight="1" x14ac:dyDescent="0.3">
      <c r="A2190" s="2"/>
      <c r="B2190" s="65" t="str">
        <f t="shared" si="277"/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 t="shared" si="278"/>
        <v/>
      </c>
      <c r="N2190" s="74" t="str">
        <f t="shared" si="279"/>
        <v/>
      </c>
      <c r="O2190" s="73" t="str">
        <f t="shared" si="280"/>
        <v/>
      </c>
      <c r="P2190" s="65" t="str">
        <f t="shared" ca="1" si="281"/>
        <v/>
      </c>
      <c r="Q2190" s="2"/>
      <c r="R2190" s="2"/>
      <c r="S2190" s="1" t="str">
        <f t="shared" si="274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275"/>
        <v>0</v>
      </c>
      <c r="W2190" s="1" t="str">
        <f t="shared" si="276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customHeight="1" x14ac:dyDescent="0.3">
      <c r="A2191" s="2"/>
      <c r="B2191" s="65" t="str">
        <f t="shared" si="277"/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 t="shared" si="278"/>
        <v/>
      </c>
      <c r="N2191" s="74" t="str">
        <f t="shared" si="279"/>
        <v/>
      </c>
      <c r="O2191" s="73" t="str">
        <f t="shared" si="280"/>
        <v/>
      </c>
      <c r="P2191" s="65" t="str">
        <f t="shared" ca="1" si="281"/>
        <v/>
      </c>
      <c r="Q2191" s="2"/>
      <c r="R2191" s="2"/>
      <c r="S2191" s="1" t="str">
        <f t="shared" si="274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275"/>
        <v>0</v>
      </c>
      <c r="W2191" s="1" t="str">
        <f t="shared" si="276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customHeight="1" x14ac:dyDescent="0.3">
      <c r="A2192" s="2"/>
      <c r="B2192" s="65" t="str">
        <f t="shared" si="277"/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 t="shared" si="278"/>
        <v/>
      </c>
      <c r="N2192" s="74" t="str">
        <f t="shared" si="279"/>
        <v/>
      </c>
      <c r="O2192" s="73" t="str">
        <f t="shared" si="280"/>
        <v/>
      </c>
      <c r="P2192" s="65" t="str">
        <f t="shared" ca="1" si="281"/>
        <v/>
      </c>
      <c r="Q2192" s="2"/>
      <c r="R2192" s="2"/>
      <c r="S2192" s="1" t="str">
        <f t="shared" si="274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275"/>
        <v>0</v>
      </c>
      <c r="W2192" s="1" t="str">
        <f t="shared" si="276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customHeight="1" x14ac:dyDescent="0.3">
      <c r="A2193" s="2"/>
      <c r="B2193" s="65" t="str">
        <f t="shared" si="277"/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 t="shared" si="278"/>
        <v/>
      </c>
      <c r="N2193" s="74" t="str">
        <f t="shared" si="279"/>
        <v/>
      </c>
      <c r="O2193" s="73" t="str">
        <f t="shared" si="280"/>
        <v/>
      </c>
      <c r="P2193" s="65" t="str">
        <f t="shared" ca="1" si="281"/>
        <v/>
      </c>
      <c r="Q2193" s="2"/>
      <c r="R2193" s="2"/>
      <c r="S2193" s="1" t="str">
        <f t="shared" si="274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275"/>
        <v>0</v>
      </c>
      <c r="W2193" s="1" t="str">
        <f t="shared" si="276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customHeight="1" x14ac:dyDescent="0.3">
      <c r="A2194" s="2"/>
      <c r="B2194" s="65" t="str">
        <f t="shared" si="277"/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 t="shared" si="278"/>
        <v/>
      </c>
      <c r="N2194" s="74" t="str">
        <f t="shared" si="279"/>
        <v/>
      </c>
      <c r="O2194" s="73" t="str">
        <f t="shared" si="280"/>
        <v/>
      </c>
      <c r="P2194" s="65" t="str">
        <f t="shared" ca="1" si="281"/>
        <v/>
      </c>
      <c r="Q2194" s="2"/>
      <c r="R2194" s="2"/>
      <c r="S2194" s="1" t="str">
        <f t="shared" si="274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275"/>
        <v>0</v>
      </c>
      <c r="W2194" s="1" t="str">
        <f t="shared" si="276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customHeight="1" x14ac:dyDescent="0.3">
      <c r="A2195" s="2"/>
      <c r="B2195" s="65" t="str">
        <f t="shared" si="277"/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 t="shared" si="278"/>
        <v/>
      </c>
      <c r="N2195" s="74" t="str">
        <f t="shared" si="279"/>
        <v/>
      </c>
      <c r="O2195" s="73" t="str">
        <f t="shared" si="280"/>
        <v/>
      </c>
      <c r="P2195" s="65" t="str">
        <f t="shared" ca="1" si="281"/>
        <v/>
      </c>
      <c r="Q2195" s="2"/>
      <c r="R2195" s="2"/>
      <c r="S2195" s="1" t="str">
        <f t="shared" si="274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275"/>
        <v>0</v>
      </c>
      <c r="W2195" s="1" t="str">
        <f t="shared" si="276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customHeight="1" x14ac:dyDescent="0.3">
      <c r="A2196" s="2"/>
      <c r="B2196" s="65" t="str">
        <f t="shared" si="277"/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 t="shared" si="278"/>
        <v/>
      </c>
      <c r="N2196" s="74" t="str">
        <f t="shared" si="279"/>
        <v/>
      </c>
      <c r="O2196" s="73" t="str">
        <f t="shared" si="280"/>
        <v/>
      </c>
      <c r="P2196" s="65" t="str">
        <f t="shared" ca="1" si="281"/>
        <v/>
      </c>
      <c r="Q2196" s="2"/>
      <c r="R2196" s="2"/>
      <c r="S2196" s="1" t="str">
        <f t="shared" si="274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275"/>
        <v>0</v>
      </c>
      <c r="W2196" s="1" t="str">
        <f t="shared" si="276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customHeight="1" x14ac:dyDescent="0.3">
      <c r="A2197" s="2"/>
      <c r="B2197" s="65" t="str">
        <f t="shared" si="277"/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 t="shared" si="278"/>
        <v/>
      </c>
      <c r="N2197" s="74" t="str">
        <f t="shared" si="279"/>
        <v/>
      </c>
      <c r="O2197" s="73" t="str">
        <f t="shared" si="280"/>
        <v/>
      </c>
      <c r="P2197" s="65" t="str">
        <f t="shared" ca="1" si="281"/>
        <v/>
      </c>
      <c r="Q2197" s="2"/>
      <c r="R2197" s="2"/>
      <c r="S2197" s="1" t="str">
        <f t="shared" si="274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275"/>
        <v>0</v>
      </c>
      <c r="W2197" s="1" t="str">
        <f t="shared" si="276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customHeight="1" x14ac:dyDescent="0.3">
      <c r="A2198" s="2"/>
      <c r="B2198" s="65" t="str">
        <f t="shared" si="277"/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 t="shared" si="278"/>
        <v/>
      </c>
      <c r="N2198" s="74" t="str">
        <f t="shared" si="279"/>
        <v/>
      </c>
      <c r="O2198" s="73" t="str">
        <f t="shared" si="280"/>
        <v/>
      </c>
      <c r="P2198" s="65" t="str">
        <f t="shared" ca="1" si="281"/>
        <v/>
      </c>
      <c r="Q2198" s="2"/>
      <c r="R2198" s="2"/>
      <c r="S2198" s="1" t="str">
        <f t="shared" si="274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275"/>
        <v>0</v>
      </c>
      <c r="W2198" s="1" t="str">
        <f t="shared" si="276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customHeight="1" x14ac:dyDescent="0.3">
      <c r="A2199" s="2"/>
      <c r="B2199" s="65" t="str">
        <f t="shared" si="277"/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 t="shared" si="278"/>
        <v/>
      </c>
      <c r="N2199" s="74" t="str">
        <f t="shared" si="279"/>
        <v/>
      </c>
      <c r="O2199" s="73" t="str">
        <f t="shared" si="280"/>
        <v/>
      </c>
      <c r="P2199" s="65" t="str">
        <f t="shared" ca="1" si="281"/>
        <v/>
      </c>
      <c r="Q2199" s="2"/>
      <c r="R2199" s="2"/>
      <c r="S2199" s="1" t="str">
        <f t="shared" si="274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275"/>
        <v>0</v>
      </c>
      <c r="W2199" s="1" t="str">
        <f t="shared" si="276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customHeight="1" x14ac:dyDescent="0.3">
      <c r="A2200" s="2"/>
      <c r="B2200" s="65" t="str">
        <f t="shared" si="277"/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 t="shared" si="278"/>
        <v/>
      </c>
      <c r="N2200" s="74" t="str">
        <f t="shared" si="279"/>
        <v/>
      </c>
      <c r="O2200" s="73" t="str">
        <f t="shared" si="280"/>
        <v/>
      </c>
      <c r="P2200" s="65" t="str">
        <f t="shared" ca="1" si="281"/>
        <v/>
      </c>
      <c r="Q2200" s="2"/>
      <c r="R2200" s="2"/>
      <c r="S2200" s="1" t="str">
        <f t="shared" si="274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275"/>
        <v>0</v>
      </c>
      <c r="W2200" s="1" t="str">
        <f t="shared" si="276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customHeight="1" x14ac:dyDescent="0.3">
      <c r="A2201" s="2"/>
      <c r="B2201" s="65" t="str">
        <f t="shared" si="277"/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 t="shared" si="278"/>
        <v/>
      </c>
      <c r="N2201" s="74" t="str">
        <f t="shared" si="279"/>
        <v/>
      </c>
      <c r="O2201" s="73" t="str">
        <f t="shared" si="280"/>
        <v/>
      </c>
      <c r="P2201" s="65" t="str">
        <f t="shared" ca="1" si="281"/>
        <v/>
      </c>
      <c r="Q2201" s="2"/>
      <c r="R2201" s="2"/>
      <c r="S2201" s="1" t="str">
        <f t="shared" si="274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275"/>
        <v>0</v>
      </c>
      <c r="W2201" s="1" t="str">
        <f t="shared" si="276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customHeight="1" x14ac:dyDescent="0.3">
      <c r="A2202" s="2"/>
      <c r="B2202" s="65" t="str">
        <f t="shared" si="277"/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 t="shared" si="278"/>
        <v/>
      </c>
      <c r="N2202" s="74" t="str">
        <f t="shared" si="279"/>
        <v/>
      </c>
      <c r="O2202" s="73" t="str">
        <f t="shared" si="280"/>
        <v/>
      </c>
      <c r="P2202" s="65" t="str">
        <f t="shared" ca="1" si="281"/>
        <v/>
      </c>
      <c r="Q2202" s="2"/>
      <c r="R2202" s="2"/>
      <c r="S2202" s="1" t="str">
        <f t="shared" si="274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275"/>
        <v>0</v>
      </c>
      <c r="W2202" s="1" t="str">
        <f t="shared" si="276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customHeight="1" x14ac:dyDescent="0.3">
      <c r="A2203" s="2"/>
      <c r="B2203" s="65" t="str">
        <f t="shared" si="277"/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 t="shared" si="278"/>
        <v/>
      </c>
      <c r="N2203" s="74" t="str">
        <f t="shared" si="279"/>
        <v/>
      </c>
      <c r="O2203" s="73" t="str">
        <f t="shared" si="280"/>
        <v/>
      </c>
      <c r="P2203" s="65" t="str">
        <f t="shared" ca="1" si="281"/>
        <v/>
      </c>
      <c r="Q2203" s="2"/>
      <c r="R2203" s="2"/>
      <c r="S2203" s="1" t="str">
        <f t="shared" si="274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275"/>
        <v>0</v>
      </c>
      <c r="W2203" s="1" t="str">
        <f t="shared" si="276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customHeight="1" x14ac:dyDescent="0.3">
      <c r="A2204" s="2"/>
      <c r="B2204" s="65" t="str">
        <f t="shared" si="277"/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 t="shared" si="278"/>
        <v/>
      </c>
      <c r="N2204" s="74" t="str">
        <f t="shared" si="279"/>
        <v/>
      </c>
      <c r="O2204" s="73" t="str">
        <f t="shared" si="280"/>
        <v/>
      </c>
      <c r="P2204" s="65" t="str">
        <f t="shared" ca="1" si="281"/>
        <v/>
      </c>
      <c r="Q2204" s="2"/>
      <c r="R2204" s="2"/>
      <c r="S2204" s="1" t="str">
        <f t="shared" si="274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275"/>
        <v>0</v>
      </c>
      <c r="W2204" s="1" t="str">
        <f t="shared" si="276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customHeight="1" x14ac:dyDescent="0.3">
      <c r="A2205" s="2"/>
      <c r="B2205" s="65" t="str">
        <f t="shared" si="277"/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 t="shared" si="278"/>
        <v/>
      </c>
      <c r="N2205" s="74" t="str">
        <f t="shared" si="279"/>
        <v/>
      </c>
      <c r="O2205" s="73" t="str">
        <f t="shared" si="280"/>
        <v/>
      </c>
      <c r="P2205" s="65" t="str">
        <f t="shared" ca="1" si="281"/>
        <v/>
      </c>
      <c r="Q2205" s="2"/>
      <c r="R2205" s="2"/>
      <c r="S2205" s="1" t="str">
        <f t="shared" si="274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275"/>
        <v>0</v>
      </c>
      <c r="W2205" s="1" t="str">
        <f t="shared" si="276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customHeight="1" x14ac:dyDescent="0.3">
      <c r="A2206" s="2"/>
      <c r="B2206" s="65" t="str">
        <f t="shared" si="277"/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 t="shared" si="278"/>
        <v/>
      </c>
      <c r="N2206" s="74" t="str">
        <f t="shared" si="279"/>
        <v/>
      </c>
      <c r="O2206" s="73" t="str">
        <f t="shared" si="280"/>
        <v/>
      </c>
      <c r="P2206" s="65" t="str">
        <f t="shared" ca="1" si="281"/>
        <v/>
      </c>
      <c r="Q2206" s="2"/>
      <c r="R2206" s="2"/>
      <c r="S2206" s="1" t="str">
        <f t="shared" si="274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275"/>
        <v>0</v>
      </c>
      <c r="W2206" s="1" t="str">
        <f t="shared" si="276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customHeight="1" x14ac:dyDescent="0.3">
      <c r="A2207" s="2"/>
      <c r="B2207" s="65" t="str">
        <f t="shared" si="277"/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 t="shared" si="278"/>
        <v/>
      </c>
      <c r="N2207" s="74" t="str">
        <f t="shared" si="279"/>
        <v/>
      </c>
      <c r="O2207" s="73" t="str">
        <f t="shared" si="280"/>
        <v/>
      </c>
      <c r="P2207" s="65" t="str">
        <f t="shared" ca="1" si="281"/>
        <v/>
      </c>
      <c r="Q2207" s="2"/>
      <c r="R2207" s="2"/>
      <c r="S2207" s="1" t="str">
        <f t="shared" si="274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275"/>
        <v>0</v>
      </c>
      <c r="W2207" s="1" t="str">
        <f t="shared" si="276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customHeight="1" x14ac:dyDescent="0.3">
      <c r="A2208" s="2"/>
      <c r="B2208" s="65" t="str">
        <f t="shared" si="277"/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 t="shared" si="278"/>
        <v/>
      </c>
      <c r="N2208" s="74" t="str">
        <f t="shared" si="279"/>
        <v/>
      </c>
      <c r="O2208" s="73" t="str">
        <f t="shared" si="280"/>
        <v/>
      </c>
      <c r="P2208" s="65" t="str">
        <f t="shared" ca="1" si="281"/>
        <v/>
      </c>
      <c r="Q2208" s="2"/>
      <c r="R2208" s="2"/>
      <c r="S2208" s="1" t="str">
        <f t="shared" si="274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275"/>
        <v>0</v>
      </c>
      <c r="W2208" s="1" t="str">
        <f t="shared" si="276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customHeight="1" x14ac:dyDescent="0.3">
      <c r="A2209" s="2"/>
      <c r="B2209" s="65" t="str">
        <f t="shared" si="277"/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 t="shared" si="278"/>
        <v/>
      </c>
      <c r="N2209" s="74" t="str">
        <f t="shared" si="279"/>
        <v/>
      </c>
      <c r="O2209" s="73" t="str">
        <f t="shared" si="280"/>
        <v/>
      </c>
      <c r="P2209" s="65" t="str">
        <f t="shared" ca="1" si="281"/>
        <v/>
      </c>
      <c r="Q2209" s="2"/>
      <c r="R2209" s="2"/>
      <c r="S2209" s="1" t="str">
        <f t="shared" si="274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275"/>
        <v>0</v>
      </c>
      <c r="W2209" s="1" t="str">
        <f t="shared" si="276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customHeight="1" x14ac:dyDescent="0.3">
      <c r="A2210" s="2"/>
      <c r="B2210" s="65" t="str">
        <f t="shared" si="277"/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 t="shared" si="278"/>
        <v/>
      </c>
      <c r="N2210" s="74" t="str">
        <f t="shared" si="279"/>
        <v/>
      </c>
      <c r="O2210" s="73" t="str">
        <f t="shared" si="280"/>
        <v/>
      </c>
      <c r="P2210" s="65" t="str">
        <f t="shared" ca="1" si="281"/>
        <v/>
      </c>
      <c r="Q2210" s="2"/>
      <c r="R2210" s="2"/>
      <c r="S2210" s="1" t="str">
        <f t="shared" si="274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275"/>
        <v>0</v>
      </c>
      <c r="W2210" s="1" t="str">
        <f t="shared" si="276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customHeight="1" x14ac:dyDescent="0.3">
      <c r="A2211" s="2"/>
      <c r="B2211" s="65" t="str">
        <f t="shared" si="277"/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 t="shared" si="278"/>
        <v/>
      </c>
      <c r="N2211" s="74" t="str">
        <f t="shared" si="279"/>
        <v/>
      </c>
      <c r="O2211" s="73" t="str">
        <f t="shared" si="280"/>
        <v/>
      </c>
      <c r="P2211" s="65" t="str">
        <f t="shared" ca="1" si="281"/>
        <v/>
      </c>
      <c r="Q2211" s="2"/>
      <c r="R2211" s="2"/>
      <c r="S2211" s="1" t="str">
        <f t="shared" si="274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275"/>
        <v>0</v>
      </c>
      <c r="W2211" s="1" t="str">
        <f t="shared" si="276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customHeight="1" x14ac:dyDescent="0.3">
      <c r="A2212" s="2"/>
      <c r="B2212" s="65" t="str">
        <f t="shared" si="277"/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 t="shared" si="278"/>
        <v/>
      </c>
      <c r="N2212" s="74" t="str">
        <f t="shared" si="279"/>
        <v/>
      </c>
      <c r="O2212" s="73" t="str">
        <f t="shared" si="280"/>
        <v/>
      </c>
      <c r="P2212" s="65" t="str">
        <f t="shared" ca="1" si="281"/>
        <v/>
      </c>
      <c r="Q2212" s="2"/>
      <c r="R2212" s="2"/>
      <c r="S2212" s="1" t="str">
        <f t="shared" si="274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275"/>
        <v>0</v>
      </c>
      <c r="W2212" s="1" t="str">
        <f t="shared" si="276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customHeight="1" x14ac:dyDescent="0.3">
      <c r="A2213" s="2"/>
      <c r="B2213" s="65" t="str">
        <f t="shared" si="277"/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 t="shared" si="278"/>
        <v/>
      </c>
      <c r="N2213" s="74" t="str">
        <f t="shared" si="279"/>
        <v/>
      </c>
      <c r="O2213" s="73" t="str">
        <f t="shared" si="280"/>
        <v/>
      </c>
      <c r="P2213" s="65" t="str">
        <f t="shared" ca="1" si="281"/>
        <v/>
      </c>
      <c r="Q2213" s="2"/>
      <c r="R2213" s="2"/>
      <c r="S2213" s="1" t="str">
        <f t="shared" si="274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275"/>
        <v>0</v>
      </c>
      <c r="W2213" s="1" t="str">
        <f t="shared" si="276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customHeight="1" x14ac:dyDescent="0.3">
      <c r="A2214" s="2"/>
      <c r="B2214" s="65" t="str">
        <f t="shared" si="277"/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 t="shared" si="278"/>
        <v/>
      </c>
      <c r="N2214" s="74" t="str">
        <f t="shared" si="279"/>
        <v/>
      </c>
      <c r="O2214" s="73" t="str">
        <f t="shared" si="280"/>
        <v/>
      </c>
      <c r="P2214" s="65" t="str">
        <f t="shared" ca="1" si="281"/>
        <v/>
      </c>
      <c r="Q2214" s="2"/>
      <c r="R2214" s="2"/>
      <c r="S2214" s="1" t="str">
        <f t="shared" si="274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275"/>
        <v>0</v>
      </c>
      <c r="W2214" s="1" t="str">
        <f t="shared" si="276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customHeight="1" x14ac:dyDescent="0.3">
      <c r="A2215" s="2"/>
      <c r="B2215" s="65" t="str">
        <f t="shared" si="277"/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 t="shared" si="278"/>
        <v/>
      </c>
      <c r="N2215" s="74" t="str">
        <f t="shared" si="279"/>
        <v/>
      </c>
      <c r="O2215" s="73" t="str">
        <f t="shared" si="280"/>
        <v/>
      </c>
      <c r="P2215" s="65" t="str">
        <f t="shared" ca="1" si="281"/>
        <v/>
      </c>
      <c r="Q2215" s="2"/>
      <c r="R2215" s="2"/>
      <c r="S2215" s="1" t="str">
        <f t="shared" si="274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275"/>
        <v>0</v>
      </c>
      <c r="W2215" s="1" t="str">
        <f t="shared" si="276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customHeight="1" x14ac:dyDescent="0.3">
      <c r="A2216" s="2"/>
      <c r="B2216" s="65" t="str">
        <f t="shared" si="277"/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 t="shared" si="278"/>
        <v/>
      </c>
      <c r="N2216" s="74" t="str">
        <f t="shared" si="279"/>
        <v/>
      </c>
      <c r="O2216" s="73" t="str">
        <f t="shared" si="280"/>
        <v/>
      </c>
      <c r="P2216" s="65" t="str">
        <f t="shared" ca="1" si="281"/>
        <v/>
      </c>
      <c r="Q2216" s="2"/>
      <c r="R2216" s="2"/>
      <c r="S2216" s="1" t="str">
        <f t="shared" si="274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275"/>
        <v>0</v>
      </c>
      <c r="W2216" s="1" t="str">
        <f t="shared" si="276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customHeight="1" x14ac:dyDescent="0.3">
      <c r="A2217" s="2"/>
      <c r="B2217" s="65" t="str">
        <f t="shared" si="277"/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 t="shared" si="278"/>
        <v/>
      </c>
      <c r="N2217" s="74" t="str">
        <f t="shared" si="279"/>
        <v/>
      </c>
      <c r="O2217" s="73" t="str">
        <f t="shared" si="280"/>
        <v/>
      </c>
      <c r="P2217" s="65" t="str">
        <f t="shared" ca="1" si="281"/>
        <v/>
      </c>
      <c r="Q2217" s="2"/>
      <c r="R2217" s="2"/>
      <c r="S2217" s="1" t="str">
        <f t="shared" si="274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275"/>
        <v>0</v>
      </c>
      <c r="W2217" s="1" t="str">
        <f t="shared" si="276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customHeight="1" x14ac:dyDescent="0.3">
      <c r="A2218" s="2"/>
      <c r="B2218" s="65" t="str">
        <f t="shared" si="277"/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 t="shared" si="278"/>
        <v/>
      </c>
      <c r="N2218" s="74" t="str">
        <f t="shared" si="279"/>
        <v/>
      </c>
      <c r="O2218" s="73" t="str">
        <f t="shared" si="280"/>
        <v/>
      </c>
      <c r="P2218" s="65" t="str">
        <f t="shared" ca="1" si="281"/>
        <v/>
      </c>
      <c r="Q2218" s="2"/>
      <c r="R2218" s="2"/>
      <c r="S2218" s="1" t="str">
        <f t="shared" si="274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275"/>
        <v>0</v>
      </c>
      <c r="W2218" s="1" t="str">
        <f t="shared" si="276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customHeight="1" x14ac:dyDescent="0.3">
      <c r="A2219" s="2"/>
      <c r="B2219" s="65" t="str">
        <f t="shared" si="277"/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 t="shared" si="278"/>
        <v/>
      </c>
      <c r="N2219" s="74" t="str">
        <f t="shared" si="279"/>
        <v/>
      </c>
      <c r="O2219" s="73" t="str">
        <f t="shared" si="280"/>
        <v/>
      </c>
      <c r="P2219" s="65" t="str">
        <f t="shared" ca="1" si="281"/>
        <v/>
      </c>
      <c r="Q2219" s="2"/>
      <c r="R2219" s="2"/>
      <c r="S2219" s="1" t="str">
        <f t="shared" si="274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275"/>
        <v>0</v>
      </c>
      <c r="W2219" s="1" t="str">
        <f t="shared" si="276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customHeight="1" x14ac:dyDescent="0.3">
      <c r="A2220" s="2"/>
      <c r="B2220" s="65" t="str">
        <f t="shared" si="277"/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 t="shared" si="278"/>
        <v/>
      </c>
      <c r="N2220" s="74" t="str">
        <f t="shared" si="279"/>
        <v/>
      </c>
      <c r="O2220" s="73" t="str">
        <f t="shared" si="280"/>
        <v/>
      </c>
      <c r="P2220" s="65" t="str">
        <f t="shared" ca="1" si="281"/>
        <v/>
      </c>
      <c r="Q2220" s="2"/>
      <c r="R2220" s="2"/>
      <c r="S2220" s="1" t="str">
        <f t="shared" si="274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275"/>
        <v>0</v>
      </c>
      <c r="W2220" s="1" t="str">
        <f t="shared" si="276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customHeight="1" x14ac:dyDescent="0.3">
      <c r="A2221" s="2"/>
      <c r="B2221" s="65" t="str">
        <f t="shared" si="277"/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 t="shared" si="278"/>
        <v/>
      </c>
      <c r="N2221" s="74" t="str">
        <f t="shared" si="279"/>
        <v/>
      </c>
      <c r="O2221" s="73" t="str">
        <f t="shared" si="280"/>
        <v/>
      </c>
      <c r="P2221" s="65" t="str">
        <f t="shared" ca="1" si="281"/>
        <v/>
      </c>
      <c r="Q2221" s="2"/>
      <c r="R2221" s="2"/>
      <c r="S2221" s="1" t="str">
        <f t="shared" si="274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275"/>
        <v>0</v>
      </c>
      <c r="W2221" s="1" t="str">
        <f t="shared" si="276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customHeight="1" x14ac:dyDescent="0.3">
      <c r="A2222" s="2"/>
      <c r="B2222" s="65" t="str">
        <f t="shared" si="277"/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 t="shared" si="278"/>
        <v/>
      </c>
      <c r="N2222" s="74" t="str">
        <f t="shared" si="279"/>
        <v/>
      </c>
      <c r="O2222" s="73" t="str">
        <f t="shared" si="280"/>
        <v/>
      </c>
      <c r="P2222" s="65" t="str">
        <f t="shared" ca="1" si="281"/>
        <v/>
      </c>
      <c r="Q2222" s="2"/>
      <c r="R2222" s="2"/>
      <c r="S2222" s="1" t="str">
        <f t="shared" si="274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275"/>
        <v>0</v>
      </c>
      <c r="W2222" s="1" t="str">
        <f t="shared" si="276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customHeight="1" x14ac:dyDescent="0.3">
      <c r="A2223" s="2"/>
      <c r="B2223" s="65" t="str">
        <f t="shared" si="277"/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 t="shared" si="278"/>
        <v/>
      </c>
      <c r="N2223" s="74" t="str">
        <f t="shared" si="279"/>
        <v/>
      </c>
      <c r="O2223" s="73" t="str">
        <f t="shared" si="280"/>
        <v/>
      </c>
      <c r="P2223" s="65" t="str">
        <f t="shared" ca="1" si="281"/>
        <v/>
      </c>
      <c r="Q2223" s="2"/>
      <c r="R2223" s="2"/>
      <c r="S2223" s="1" t="str">
        <f t="shared" si="274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275"/>
        <v>0</v>
      </c>
      <c r="W2223" s="1" t="str">
        <f t="shared" si="276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customHeight="1" x14ac:dyDescent="0.3">
      <c r="A2224" s="2"/>
      <c r="B2224" s="65" t="str">
        <f t="shared" si="277"/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 t="shared" si="278"/>
        <v/>
      </c>
      <c r="N2224" s="74" t="str">
        <f t="shared" si="279"/>
        <v/>
      </c>
      <c r="O2224" s="73" t="str">
        <f t="shared" si="280"/>
        <v/>
      </c>
      <c r="P2224" s="65" t="str">
        <f t="shared" ca="1" si="281"/>
        <v/>
      </c>
      <c r="Q2224" s="2"/>
      <c r="R2224" s="2"/>
      <c r="S2224" s="1" t="str">
        <f t="shared" si="274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275"/>
        <v>0</v>
      </c>
      <c r="W2224" s="1" t="str">
        <f t="shared" si="276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customHeight="1" x14ac:dyDescent="0.3">
      <c r="A2225" s="2"/>
      <c r="B2225" s="65" t="str">
        <f t="shared" si="277"/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 t="shared" si="278"/>
        <v/>
      </c>
      <c r="N2225" s="74" t="str">
        <f t="shared" si="279"/>
        <v/>
      </c>
      <c r="O2225" s="73" t="str">
        <f t="shared" si="280"/>
        <v/>
      </c>
      <c r="P2225" s="65" t="str">
        <f t="shared" ca="1" si="281"/>
        <v/>
      </c>
      <c r="Q2225" s="2"/>
      <c r="R2225" s="2"/>
      <c r="S2225" s="1" t="str">
        <f t="shared" si="274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275"/>
        <v>0</v>
      </c>
      <c r="W2225" s="1" t="str">
        <f t="shared" si="276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customHeight="1" x14ac:dyDescent="0.3">
      <c r="A2226" s="2"/>
      <c r="B2226" s="65" t="str">
        <f t="shared" si="277"/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 t="shared" si="278"/>
        <v/>
      </c>
      <c r="N2226" s="74" t="str">
        <f t="shared" si="279"/>
        <v/>
      </c>
      <c r="O2226" s="73" t="str">
        <f t="shared" si="280"/>
        <v/>
      </c>
      <c r="P2226" s="65" t="str">
        <f t="shared" ca="1" si="281"/>
        <v/>
      </c>
      <c r="Q2226" s="2"/>
      <c r="R2226" s="2"/>
      <c r="S2226" s="1" t="str">
        <f t="shared" si="274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275"/>
        <v>0</v>
      </c>
      <c r="W2226" s="1" t="str">
        <f t="shared" si="276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customHeight="1" x14ac:dyDescent="0.3">
      <c r="A2227" s="2"/>
      <c r="B2227" s="65" t="str">
        <f t="shared" si="277"/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 t="shared" si="278"/>
        <v/>
      </c>
      <c r="N2227" s="74" t="str">
        <f t="shared" si="279"/>
        <v/>
      </c>
      <c r="O2227" s="73" t="str">
        <f t="shared" si="280"/>
        <v/>
      </c>
      <c r="P2227" s="65" t="str">
        <f t="shared" ca="1" si="281"/>
        <v/>
      </c>
      <c r="Q2227" s="2"/>
      <c r="R2227" s="2"/>
      <c r="S2227" s="1" t="str">
        <f t="shared" si="274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275"/>
        <v>0</v>
      </c>
      <c r="W2227" s="1" t="str">
        <f t="shared" si="276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customHeight="1" x14ac:dyDescent="0.3">
      <c r="A2228" s="2"/>
      <c r="B2228" s="65" t="str">
        <f t="shared" si="277"/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 t="shared" si="278"/>
        <v/>
      </c>
      <c r="N2228" s="74" t="str">
        <f t="shared" si="279"/>
        <v/>
      </c>
      <c r="O2228" s="73" t="str">
        <f t="shared" si="280"/>
        <v/>
      </c>
      <c r="P2228" s="65" t="str">
        <f t="shared" ca="1" si="281"/>
        <v/>
      </c>
      <c r="Q2228" s="2"/>
      <c r="R2228" s="2"/>
      <c r="S2228" s="1" t="str">
        <f t="shared" si="274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275"/>
        <v>0</v>
      </c>
      <c r="W2228" s="1" t="str">
        <f t="shared" si="276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customHeight="1" x14ac:dyDescent="0.3">
      <c r="A2229" s="2"/>
      <c r="B2229" s="65" t="str">
        <f t="shared" si="277"/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 t="shared" si="278"/>
        <v/>
      </c>
      <c r="N2229" s="74" t="str">
        <f t="shared" si="279"/>
        <v/>
      </c>
      <c r="O2229" s="73" t="str">
        <f t="shared" si="280"/>
        <v/>
      </c>
      <c r="P2229" s="65" t="str">
        <f t="shared" ca="1" si="281"/>
        <v/>
      </c>
      <c r="Q2229" s="2"/>
      <c r="R2229" s="2"/>
      <c r="S2229" s="1" t="str">
        <f t="shared" si="274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275"/>
        <v>0</v>
      </c>
      <c r="W2229" s="1" t="str">
        <f t="shared" si="276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customHeight="1" x14ac:dyDescent="0.3">
      <c r="A2230" s="2"/>
      <c r="B2230" s="65" t="str">
        <f t="shared" si="277"/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 t="shared" si="278"/>
        <v/>
      </c>
      <c r="N2230" s="74" t="str">
        <f t="shared" si="279"/>
        <v/>
      </c>
      <c r="O2230" s="73" t="str">
        <f t="shared" si="280"/>
        <v/>
      </c>
      <c r="P2230" s="65" t="str">
        <f t="shared" ca="1" si="281"/>
        <v/>
      </c>
      <c r="Q2230" s="2"/>
      <c r="R2230" s="2"/>
      <c r="S2230" s="1" t="str">
        <f t="shared" si="274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275"/>
        <v>0</v>
      </c>
      <c r="W2230" s="1" t="str">
        <f t="shared" si="276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customHeight="1" x14ac:dyDescent="0.3">
      <c r="A2231" s="2"/>
      <c r="B2231" s="65" t="str">
        <f t="shared" si="277"/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 t="shared" si="278"/>
        <v/>
      </c>
      <c r="N2231" s="74" t="str">
        <f t="shared" si="279"/>
        <v/>
      </c>
      <c r="O2231" s="73" t="str">
        <f t="shared" si="280"/>
        <v/>
      </c>
      <c r="P2231" s="65" t="str">
        <f t="shared" ca="1" si="281"/>
        <v/>
      </c>
      <c r="Q2231" s="2"/>
      <c r="R2231" s="2"/>
      <c r="S2231" s="1" t="str">
        <f t="shared" si="274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275"/>
        <v>0</v>
      </c>
      <c r="W2231" s="1" t="str">
        <f t="shared" si="276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customHeight="1" x14ac:dyDescent="0.3">
      <c r="A2232" s="2"/>
      <c r="B2232" s="65" t="str">
        <f t="shared" si="277"/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 t="shared" si="278"/>
        <v/>
      </c>
      <c r="N2232" s="74" t="str">
        <f t="shared" si="279"/>
        <v/>
      </c>
      <c r="O2232" s="73" t="str">
        <f t="shared" si="280"/>
        <v/>
      </c>
      <c r="P2232" s="65" t="str">
        <f t="shared" ca="1" si="281"/>
        <v/>
      </c>
      <c r="Q2232" s="2"/>
      <c r="R2232" s="2"/>
      <c r="S2232" s="1" t="str">
        <f t="shared" si="274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275"/>
        <v>0</v>
      </c>
      <c r="W2232" s="1" t="str">
        <f t="shared" si="276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customHeight="1" x14ac:dyDescent="0.3">
      <c r="A2233" s="2"/>
      <c r="B2233" s="65" t="str">
        <f t="shared" si="277"/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 t="shared" si="278"/>
        <v/>
      </c>
      <c r="N2233" s="74" t="str">
        <f t="shared" si="279"/>
        <v/>
      </c>
      <c r="O2233" s="73" t="str">
        <f t="shared" si="280"/>
        <v/>
      </c>
      <c r="P2233" s="65" t="str">
        <f t="shared" ca="1" si="281"/>
        <v/>
      </c>
      <c r="Q2233" s="2"/>
      <c r="R2233" s="2"/>
      <c r="S2233" s="1" t="str">
        <f t="shared" si="274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275"/>
        <v>0</v>
      </c>
      <c r="W2233" s="1" t="str">
        <f t="shared" si="276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customHeight="1" x14ac:dyDescent="0.3">
      <c r="A2234" s="2"/>
      <c r="B2234" s="65" t="str">
        <f t="shared" si="277"/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 t="shared" si="278"/>
        <v/>
      </c>
      <c r="N2234" s="74" t="str">
        <f t="shared" si="279"/>
        <v/>
      </c>
      <c r="O2234" s="73" t="str">
        <f t="shared" si="280"/>
        <v/>
      </c>
      <c r="P2234" s="65" t="str">
        <f t="shared" ca="1" si="281"/>
        <v/>
      </c>
      <c r="Q2234" s="2"/>
      <c r="R2234" s="2"/>
      <c r="S2234" s="1" t="str">
        <f t="shared" si="274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275"/>
        <v>0</v>
      </c>
      <c r="W2234" s="1" t="str">
        <f t="shared" si="276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customHeight="1" x14ac:dyDescent="0.3">
      <c r="A2235" s="2"/>
      <c r="B2235" s="65" t="str">
        <f t="shared" si="277"/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 t="shared" si="278"/>
        <v/>
      </c>
      <c r="N2235" s="74" t="str">
        <f t="shared" si="279"/>
        <v/>
      </c>
      <c r="O2235" s="73" t="str">
        <f t="shared" si="280"/>
        <v/>
      </c>
      <c r="P2235" s="65" t="str">
        <f t="shared" ca="1" si="281"/>
        <v/>
      </c>
      <c r="Q2235" s="2"/>
      <c r="R2235" s="2"/>
      <c r="S2235" s="1" t="str">
        <f t="shared" si="274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275"/>
        <v>0</v>
      </c>
      <c r="W2235" s="1" t="str">
        <f t="shared" si="276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customHeight="1" x14ac:dyDescent="0.3">
      <c r="A2236" s="2"/>
      <c r="B2236" s="65" t="str">
        <f t="shared" si="277"/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 t="shared" si="278"/>
        <v/>
      </c>
      <c r="N2236" s="74" t="str">
        <f t="shared" si="279"/>
        <v/>
      </c>
      <c r="O2236" s="73" t="str">
        <f t="shared" si="280"/>
        <v/>
      </c>
      <c r="P2236" s="65" t="str">
        <f t="shared" ca="1" si="281"/>
        <v/>
      </c>
      <c r="Q2236" s="2"/>
      <c r="R2236" s="2"/>
      <c r="S2236" s="1" t="str">
        <f t="shared" si="274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275"/>
        <v>0</v>
      </c>
      <c r="W2236" s="1" t="str">
        <f t="shared" si="276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customHeight="1" x14ac:dyDescent="0.3">
      <c r="A2237" s="2"/>
      <c r="B2237" s="65" t="str">
        <f t="shared" si="277"/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 t="shared" si="278"/>
        <v/>
      </c>
      <c r="N2237" s="74" t="str">
        <f t="shared" si="279"/>
        <v/>
      </c>
      <c r="O2237" s="73" t="str">
        <f t="shared" si="280"/>
        <v/>
      </c>
      <c r="P2237" s="65" t="str">
        <f t="shared" ca="1" si="281"/>
        <v/>
      </c>
      <c r="Q2237" s="2"/>
      <c r="R2237" s="2"/>
      <c r="S2237" s="1" t="str">
        <f t="shared" si="274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275"/>
        <v>0</v>
      </c>
      <c r="W2237" s="1" t="str">
        <f t="shared" si="276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customHeight="1" x14ac:dyDescent="0.3">
      <c r="A2238" s="2"/>
      <c r="B2238" s="65" t="str">
        <f t="shared" si="277"/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 t="shared" si="278"/>
        <v/>
      </c>
      <c r="N2238" s="74" t="str">
        <f t="shared" si="279"/>
        <v/>
      </c>
      <c r="O2238" s="73" t="str">
        <f t="shared" si="280"/>
        <v/>
      </c>
      <c r="P2238" s="65" t="str">
        <f t="shared" ca="1" si="281"/>
        <v/>
      </c>
      <c r="Q2238" s="2"/>
      <c r="R2238" s="2"/>
      <c r="S2238" s="1" t="str">
        <f t="shared" si="274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275"/>
        <v>0</v>
      </c>
      <c r="W2238" s="1" t="str">
        <f t="shared" si="276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customHeight="1" x14ac:dyDescent="0.3">
      <c r="A2239" s="2"/>
      <c r="B2239" s="65" t="str">
        <f t="shared" si="277"/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 t="shared" si="278"/>
        <v/>
      </c>
      <c r="N2239" s="74" t="str">
        <f t="shared" si="279"/>
        <v/>
      </c>
      <c r="O2239" s="73" t="str">
        <f t="shared" si="280"/>
        <v/>
      </c>
      <c r="P2239" s="65" t="str">
        <f t="shared" ca="1" si="281"/>
        <v/>
      </c>
      <c r="Q2239" s="2"/>
      <c r="R2239" s="2"/>
      <c r="S2239" s="1" t="str">
        <f t="shared" si="274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275"/>
        <v>0</v>
      </c>
      <c r="W2239" s="1" t="str">
        <f t="shared" si="276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customHeight="1" x14ac:dyDescent="0.3">
      <c r="A2240" s="2"/>
      <c r="B2240" s="65" t="str">
        <f t="shared" si="277"/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 t="shared" si="278"/>
        <v/>
      </c>
      <c r="N2240" s="74" t="str">
        <f t="shared" si="279"/>
        <v/>
      </c>
      <c r="O2240" s="73" t="str">
        <f t="shared" si="280"/>
        <v/>
      </c>
      <c r="P2240" s="65" t="str">
        <f t="shared" ca="1" si="281"/>
        <v/>
      </c>
      <c r="Q2240" s="2"/>
      <c r="R2240" s="2"/>
      <c r="S2240" s="1" t="str">
        <f t="shared" si="274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275"/>
        <v>0</v>
      </c>
      <c r="W2240" s="1" t="str">
        <f t="shared" si="276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customHeight="1" x14ac:dyDescent="0.3">
      <c r="A2241" s="2"/>
      <c r="B2241" s="65" t="str">
        <f t="shared" si="277"/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 t="shared" si="278"/>
        <v/>
      </c>
      <c r="N2241" s="74" t="str">
        <f t="shared" si="279"/>
        <v/>
      </c>
      <c r="O2241" s="73" t="str">
        <f t="shared" si="280"/>
        <v/>
      </c>
      <c r="P2241" s="65" t="str">
        <f t="shared" ca="1" si="281"/>
        <v/>
      </c>
      <c r="Q2241" s="2"/>
      <c r="R2241" s="2"/>
      <c r="S2241" s="1" t="str">
        <f t="shared" si="274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275"/>
        <v>0</v>
      </c>
      <c r="W2241" s="1" t="str">
        <f t="shared" si="276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customHeight="1" x14ac:dyDescent="0.3">
      <c r="A2242" s="2"/>
      <c r="B2242" s="65" t="str">
        <f t="shared" si="277"/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 t="shared" si="278"/>
        <v/>
      </c>
      <c r="N2242" s="74" t="str">
        <f t="shared" si="279"/>
        <v/>
      </c>
      <c r="O2242" s="73" t="str">
        <f t="shared" si="280"/>
        <v/>
      </c>
      <c r="P2242" s="65" t="str">
        <f t="shared" ca="1" si="281"/>
        <v/>
      </c>
      <c r="Q2242" s="2"/>
      <c r="R2242" s="2"/>
      <c r="S2242" s="1" t="str">
        <f t="shared" si="274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275"/>
        <v>0</v>
      </c>
      <c r="W2242" s="1" t="str">
        <f t="shared" si="276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customHeight="1" x14ac:dyDescent="0.3">
      <c r="A2243" s="2"/>
      <c r="B2243" s="65" t="str">
        <f t="shared" si="277"/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 t="shared" si="278"/>
        <v/>
      </c>
      <c r="N2243" s="74" t="str">
        <f t="shared" si="279"/>
        <v/>
      </c>
      <c r="O2243" s="73" t="str">
        <f t="shared" si="280"/>
        <v/>
      </c>
      <c r="P2243" s="65" t="str">
        <f t="shared" ca="1" si="281"/>
        <v/>
      </c>
      <c r="Q2243" s="2"/>
      <c r="R2243" s="2"/>
      <c r="S2243" s="1" t="str">
        <f t="shared" si="274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275"/>
        <v>0</v>
      </c>
      <c r="W2243" s="1" t="str">
        <f t="shared" si="276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customHeight="1" x14ac:dyDescent="0.3">
      <c r="A2244" s="2"/>
      <c r="B2244" s="65" t="str">
        <f t="shared" si="277"/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 t="shared" si="278"/>
        <v/>
      </c>
      <c r="N2244" s="74" t="str">
        <f t="shared" si="279"/>
        <v/>
      </c>
      <c r="O2244" s="73" t="str">
        <f t="shared" si="280"/>
        <v/>
      </c>
      <c r="P2244" s="65" t="str">
        <f t="shared" ca="1" si="281"/>
        <v/>
      </c>
      <c r="Q2244" s="2"/>
      <c r="R2244" s="2"/>
      <c r="S2244" s="1" t="str">
        <f t="shared" si="274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275"/>
        <v>0</v>
      </c>
      <c r="W2244" s="1" t="str">
        <f t="shared" si="276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customHeight="1" x14ac:dyDescent="0.3">
      <c r="A2245" s="2"/>
      <c r="B2245" s="65" t="str">
        <f t="shared" si="277"/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 t="shared" si="278"/>
        <v/>
      </c>
      <c r="N2245" s="74" t="str">
        <f t="shared" si="279"/>
        <v/>
      </c>
      <c r="O2245" s="73" t="str">
        <f t="shared" si="280"/>
        <v/>
      </c>
      <c r="P2245" s="65" t="str">
        <f t="shared" ca="1" si="281"/>
        <v/>
      </c>
      <c r="Q2245" s="2"/>
      <c r="R2245" s="2"/>
      <c r="S2245" s="1" t="str">
        <f t="shared" ref="S2245:S2308" si="282"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ref="V2245:V2308" si="283">IF($T2245="",0,1)</f>
        <v>0</v>
      </c>
      <c r="W2245" s="1" t="str">
        <f t="shared" ref="W2245:W2308" si="284">IF($C2245="","",$D2245&amp;"|"&amp;$E2245&amp;"|"&amp;TEXT($C2245,"0")&amp;"|"&amp;TEXT($G2245,"0")&amp;"|"&amp;$F2245&amp;"|"&amp;$J2245)</f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customHeight="1" x14ac:dyDescent="0.3">
      <c r="A2246" s="2"/>
      <c r="B2246" s="65" t="str">
        <f t="shared" si="277"/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 t="shared" si="278"/>
        <v/>
      </c>
      <c r="N2246" s="74" t="str">
        <f t="shared" si="279"/>
        <v/>
      </c>
      <c r="O2246" s="73" t="str">
        <f t="shared" si="280"/>
        <v/>
      </c>
      <c r="P2246" s="65" t="str">
        <f t="shared" ca="1" si="281"/>
        <v/>
      </c>
      <c r="Q2246" s="2"/>
      <c r="R2246" s="2"/>
      <c r="S2246" s="1" t="str">
        <f t="shared" si="282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283"/>
        <v>0</v>
      </c>
      <c r="W2246" s="1" t="str">
        <f t="shared" si="284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customHeight="1" x14ac:dyDescent="0.3">
      <c r="A2247" s="2"/>
      <c r="B2247" s="65" t="str">
        <f t="shared" ref="B2247:B2310" si="285"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 t="shared" ref="M2247:M2310" si="286">IF($C2247="","",IF($D2247="Gider",$E2247,IF($L2247&lt;&gt;"",$L2247,$H2247)))</f>
        <v/>
      </c>
      <c r="N2247" s="74" t="str">
        <f t="shared" ref="N2247:N2310" si="287">IF($C2247="","",IF($D2247="Gider",$H2247,$E2247))</f>
        <v/>
      </c>
      <c r="O2247" s="73" t="str">
        <f t="shared" ref="O2247:O2310" si="288">IF($C2247="","",DATE(YEAR($C2247),MONTH($C2247),1))</f>
        <v/>
      </c>
      <c r="P2247" s="65" t="str">
        <f t="shared" ref="P2247:P2310" ca="1" si="289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TARİH",IF(COUNTIF($W$7:$W$3001,$W2247)&gt;1,"MÜKERRER?",IF($AD2247&gt;0,"KAPALI DÖNEM",IF($I2247="Hayır","ÖDENECEK","UYGUN")))),"EKSİK"))))</f>
        <v/>
      </c>
      <c r="Q2247" s="2"/>
      <c r="R2247" s="2"/>
      <c r="S2247" s="1" t="str">
        <f t="shared" si="282"/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si="283"/>
        <v>0</v>
      </c>
      <c r="W2247" s="1" t="str">
        <f t="shared" si="284"/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customHeight="1" x14ac:dyDescent="0.3">
      <c r="A2248" s="2"/>
      <c r="B2248" s="65" t="str">
        <f t="shared" si="285"/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 t="shared" si="286"/>
        <v/>
      </c>
      <c r="N2248" s="74" t="str">
        <f t="shared" si="287"/>
        <v/>
      </c>
      <c r="O2248" s="73" t="str">
        <f t="shared" si="288"/>
        <v/>
      </c>
      <c r="P2248" s="65" t="str">
        <f t="shared" ca="1" si="289"/>
        <v/>
      </c>
      <c r="Q2248" s="2"/>
      <c r="R2248" s="2"/>
      <c r="S2248" s="1" t="str">
        <f t="shared" si="282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283"/>
        <v>0</v>
      </c>
      <c r="W2248" s="1" t="str">
        <f t="shared" si="284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customHeight="1" x14ac:dyDescent="0.3">
      <c r="A2249" s="2"/>
      <c r="B2249" s="65" t="str">
        <f t="shared" si="285"/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 t="shared" si="286"/>
        <v/>
      </c>
      <c r="N2249" s="74" t="str">
        <f t="shared" si="287"/>
        <v/>
      </c>
      <c r="O2249" s="73" t="str">
        <f t="shared" si="288"/>
        <v/>
      </c>
      <c r="P2249" s="65" t="str">
        <f t="shared" ca="1" si="289"/>
        <v/>
      </c>
      <c r="Q2249" s="2"/>
      <c r="R2249" s="2"/>
      <c r="S2249" s="1" t="str">
        <f t="shared" si="282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283"/>
        <v>0</v>
      </c>
      <c r="W2249" s="1" t="str">
        <f t="shared" si="284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customHeight="1" x14ac:dyDescent="0.3">
      <c r="A2250" s="2"/>
      <c r="B2250" s="65" t="str">
        <f t="shared" si="285"/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 t="shared" si="286"/>
        <v/>
      </c>
      <c r="N2250" s="74" t="str">
        <f t="shared" si="287"/>
        <v/>
      </c>
      <c r="O2250" s="73" t="str">
        <f t="shared" si="288"/>
        <v/>
      </c>
      <c r="P2250" s="65" t="str">
        <f t="shared" ca="1" si="289"/>
        <v/>
      </c>
      <c r="Q2250" s="2"/>
      <c r="R2250" s="2"/>
      <c r="S2250" s="1" t="str">
        <f t="shared" si="282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283"/>
        <v>0</v>
      </c>
      <c r="W2250" s="1" t="str">
        <f t="shared" si="284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customHeight="1" x14ac:dyDescent="0.3">
      <c r="A2251" s="2"/>
      <c r="B2251" s="65" t="str">
        <f t="shared" si="285"/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 t="shared" si="286"/>
        <v/>
      </c>
      <c r="N2251" s="74" t="str">
        <f t="shared" si="287"/>
        <v/>
      </c>
      <c r="O2251" s="73" t="str">
        <f t="shared" si="288"/>
        <v/>
      </c>
      <c r="P2251" s="65" t="str">
        <f t="shared" ca="1" si="289"/>
        <v/>
      </c>
      <c r="Q2251" s="2"/>
      <c r="R2251" s="2"/>
      <c r="S2251" s="1" t="str">
        <f t="shared" si="282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283"/>
        <v>0</v>
      </c>
      <c r="W2251" s="1" t="str">
        <f t="shared" si="284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customHeight="1" x14ac:dyDescent="0.3">
      <c r="A2252" s="2"/>
      <c r="B2252" s="65" t="str">
        <f t="shared" si="285"/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 t="shared" si="286"/>
        <v/>
      </c>
      <c r="N2252" s="74" t="str">
        <f t="shared" si="287"/>
        <v/>
      </c>
      <c r="O2252" s="73" t="str">
        <f t="shared" si="288"/>
        <v/>
      </c>
      <c r="P2252" s="65" t="str">
        <f t="shared" ca="1" si="289"/>
        <v/>
      </c>
      <c r="Q2252" s="2"/>
      <c r="R2252" s="2"/>
      <c r="S2252" s="1" t="str">
        <f t="shared" si="282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283"/>
        <v>0</v>
      </c>
      <c r="W2252" s="1" t="str">
        <f t="shared" si="284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customHeight="1" x14ac:dyDescent="0.3">
      <c r="A2253" s="2"/>
      <c r="B2253" s="65" t="str">
        <f t="shared" si="285"/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 t="shared" si="286"/>
        <v/>
      </c>
      <c r="N2253" s="74" t="str">
        <f t="shared" si="287"/>
        <v/>
      </c>
      <c r="O2253" s="73" t="str">
        <f t="shared" si="288"/>
        <v/>
      </c>
      <c r="P2253" s="65" t="str">
        <f t="shared" ca="1" si="289"/>
        <v/>
      </c>
      <c r="Q2253" s="2"/>
      <c r="R2253" s="2"/>
      <c r="S2253" s="1" t="str">
        <f t="shared" si="282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283"/>
        <v>0</v>
      </c>
      <c r="W2253" s="1" t="str">
        <f t="shared" si="284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customHeight="1" x14ac:dyDescent="0.3">
      <c r="A2254" s="2"/>
      <c r="B2254" s="65" t="str">
        <f t="shared" si="285"/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 t="shared" si="286"/>
        <v/>
      </c>
      <c r="N2254" s="74" t="str">
        <f t="shared" si="287"/>
        <v/>
      </c>
      <c r="O2254" s="73" t="str">
        <f t="shared" si="288"/>
        <v/>
      </c>
      <c r="P2254" s="65" t="str">
        <f t="shared" ca="1" si="289"/>
        <v/>
      </c>
      <c r="Q2254" s="2"/>
      <c r="R2254" s="2"/>
      <c r="S2254" s="1" t="str">
        <f t="shared" si="282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283"/>
        <v>0</v>
      </c>
      <c r="W2254" s="1" t="str">
        <f t="shared" si="284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customHeight="1" x14ac:dyDescent="0.3">
      <c r="A2255" s="2"/>
      <c r="B2255" s="65" t="str">
        <f t="shared" si="285"/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 t="shared" si="286"/>
        <v/>
      </c>
      <c r="N2255" s="74" t="str">
        <f t="shared" si="287"/>
        <v/>
      </c>
      <c r="O2255" s="73" t="str">
        <f t="shared" si="288"/>
        <v/>
      </c>
      <c r="P2255" s="65" t="str">
        <f t="shared" ca="1" si="289"/>
        <v/>
      </c>
      <c r="Q2255" s="2"/>
      <c r="R2255" s="2"/>
      <c r="S2255" s="1" t="str">
        <f t="shared" si="282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283"/>
        <v>0</v>
      </c>
      <c r="W2255" s="1" t="str">
        <f t="shared" si="284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customHeight="1" x14ac:dyDescent="0.3">
      <c r="A2256" s="2"/>
      <c r="B2256" s="65" t="str">
        <f t="shared" si="285"/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 t="shared" si="286"/>
        <v/>
      </c>
      <c r="N2256" s="74" t="str">
        <f t="shared" si="287"/>
        <v/>
      </c>
      <c r="O2256" s="73" t="str">
        <f t="shared" si="288"/>
        <v/>
      </c>
      <c r="P2256" s="65" t="str">
        <f t="shared" ca="1" si="289"/>
        <v/>
      </c>
      <c r="Q2256" s="2"/>
      <c r="R2256" s="2"/>
      <c r="S2256" s="1" t="str">
        <f t="shared" si="282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283"/>
        <v>0</v>
      </c>
      <c r="W2256" s="1" t="str">
        <f t="shared" si="284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customHeight="1" x14ac:dyDescent="0.3">
      <c r="A2257" s="2"/>
      <c r="B2257" s="65" t="str">
        <f t="shared" si="285"/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 t="shared" si="286"/>
        <v/>
      </c>
      <c r="N2257" s="74" t="str">
        <f t="shared" si="287"/>
        <v/>
      </c>
      <c r="O2257" s="73" t="str">
        <f t="shared" si="288"/>
        <v/>
      </c>
      <c r="P2257" s="65" t="str">
        <f t="shared" ca="1" si="289"/>
        <v/>
      </c>
      <c r="Q2257" s="2"/>
      <c r="R2257" s="2"/>
      <c r="S2257" s="1" t="str">
        <f t="shared" si="282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283"/>
        <v>0</v>
      </c>
      <c r="W2257" s="1" t="str">
        <f t="shared" si="284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customHeight="1" x14ac:dyDescent="0.3">
      <c r="A2258" s="2"/>
      <c r="B2258" s="65" t="str">
        <f t="shared" si="285"/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 t="shared" si="286"/>
        <v/>
      </c>
      <c r="N2258" s="74" t="str">
        <f t="shared" si="287"/>
        <v/>
      </c>
      <c r="O2258" s="73" t="str">
        <f t="shared" si="288"/>
        <v/>
      </c>
      <c r="P2258" s="65" t="str">
        <f t="shared" ca="1" si="289"/>
        <v/>
      </c>
      <c r="Q2258" s="2"/>
      <c r="R2258" s="2"/>
      <c r="S2258" s="1" t="str">
        <f t="shared" si="282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283"/>
        <v>0</v>
      </c>
      <c r="W2258" s="1" t="str">
        <f t="shared" si="284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customHeight="1" x14ac:dyDescent="0.3">
      <c r="A2259" s="2"/>
      <c r="B2259" s="65" t="str">
        <f t="shared" si="285"/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 t="shared" si="286"/>
        <v/>
      </c>
      <c r="N2259" s="74" t="str">
        <f t="shared" si="287"/>
        <v/>
      </c>
      <c r="O2259" s="73" t="str">
        <f t="shared" si="288"/>
        <v/>
      </c>
      <c r="P2259" s="65" t="str">
        <f t="shared" ca="1" si="289"/>
        <v/>
      </c>
      <c r="Q2259" s="2"/>
      <c r="R2259" s="2"/>
      <c r="S2259" s="1" t="str">
        <f t="shared" si="282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283"/>
        <v>0</v>
      </c>
      <c r="W2259" s="1" t="str">
        <f t="shared" si="284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customHeight="1" x14ac:dyDescent="0.3">
      <c r="A2260" s="2"/>
      <c r="B2260" s="65" t="str">
        <f t="shared" si="285"/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 t="shared" si="286"/>
        <v/>
      </c>
      <c r="N2260" s="74" t="str">
        <f t="shared" si="287"/>
        <v/>
      </c>
      <c r="O2260" s="73" t="str">
        <f t="shared" si="288"/>
        <v/>
      </c>
      <c r="P2260" s="65" t="str">
        <f t="shared" ca="1" si="289"/>
        <v/>
      </c>
      <c r="Q2260" s="2"/>
      <c r="R2260" s="2"/>
      <c r="S2260" s="1" t="str">
        <f t="shared" si="282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283"/>
        <v>0</v>
      </c>
      <c r="W2260" s="1" t="str">
        <f t="shared" si="284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customHeight="1" x14ac:dyDescent="0.3">
      <c r="A2261" s="2"/>
      <c r="B2261" s="65" t="str">
        <f t="shared" si="285"/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 t="shared" si="286"/>
        <v/>
      </c>
      <c r="N2261" s="74" t="str">
        <f t="shared" si="287"/>
        <v/>
      </c>
      <c r="O2261" s="73" t="str">
        <f t="shared" si="288"/>
        <v/>
      </c>
      <c r="P2261" s="65" t="str">
        <f t="shared" ca="1" si="289"/>
        <v/>
      </c>
      <c r="Q2261" s="2"/>
      <c r="R2261" s="2"/>
      <c r="S2261" s="1" t="str">
        <f t="shared" si="282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283"/>
        <v>0</v>
      </c>
      <c r="W2261" s="1" t="str">
        <f t="shared" si="284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customHeight="1" x14ac:dyDescent="0.3">
      <c r="A2262" s="2"/>
      <c r="B2262" s="65" t="str">
        <f t="shared" si="285"/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 t="shared" si="286"/>
        <v/>
      </c>
      <c r="N2262" s="74" t="str">
        <f t="shared" si="287"/>
        <v/>
      </c>
      <c r="O2262" s="73" t="str">
        <f t="shared" si="288"/>
        <v/>
      </c>
      <c r="P2262" s="65" t="str">
        <f t="shared" ca="1" si="289"/>
        <v/>
      </c>
      <c r="Q2262" s="2"/>
      <c r="R2262" s="2"/>
      <c r="S2262" s="1" t="str">
        <f t="shared" si="282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283"/>
        <v>0</v>
      </c>
      <c r="W2262" s="1" t="str">
        <f t="shared" si="284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customHeight="1" x14ac:dyDescent="0.3">
      <c r="A2263" s="2"/>
      <c r="B2263" s="65" t="str">
        <f t="shared" si="285"/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 t="shared" si="286"/>
        <v/>
      </c>
      <c r="N2263" s="74" t="str">
        <f t="shared" si="287"/>
        <v/>
      </c>
      <c r="O2263" s="73" t="str">
        <f t="shared" si="288"/>
        <v/>
      </c>
      <c r="P2263" s="65" t="str">
        <f t="shared" ca="1" si="289"/>
        <v/>
      </c>
      <c r="Q2263" s="2"/>
      <c r="R2263" s="2"/>
      <c r="S2263" s="1" t="str">
        <f t="shared" si="282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283"/>
        <v>0</v>
      </c>
      <c r="W2263" s="1" t="str">
        <f t="shared" si="284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customHeight="1" x14ac:dyDescent="0.3">
      <c r="A2264" s="2"/>
      <c r="B2264" s="65" t="str">
        <f t="shared" si="285"/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 t="shared" si="286"/>
        <v/>
      </c>
      <c r="N2264" s="74" t="str">
        <f t="shared" si="287"/>
        <v/>
      </c>
      <c r="O2264" s="73" t="str">
        <f t="shared" si="288"/>
        <v/>
      </c>
      <c r="P2264" s="65" t="str">
        <f t="shared" ca="1" si="289"/>
        <v/>
      </c>
      <c r="Q2264" s="2"/>
      <c r="R2264" s="2"/>
      <c r="S2264" s="1" t="str">
        <f t="shared" si="282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283"/>
        <v>0</v>
      </c>
      <c r="W2264" s="1" t="str">
        <f t="shared" si="284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customHeight="1" x14ac:dyDescent="0.3">
      <c r="A2265" s="2"/>
      <c r="B2265" s="65" t="str">
        <f t="shared" si="285"/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 t="shared" si="286"/>
        <v/>
      </c>
      <c r="N2265" s="74" t="str">
        <f t="shared" si="287"/>
        <v/>
      </c>
      <c r="O2265" s="73" t="str">
        <f t="shared" si="288"/>
        <v/>
      </c>
      <c r="P2265" s="65" t="str">
        <f t="shared" ca="1" si="289"/>
        <v/>
      </c>
      <c r="Q2265" s="2"/>
      <c r="R2265" s="2"/>
      <c r="S2265" s="1" t="str">
        <f t="shared" si="282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283"/>
        <v>0</v>
      </c>
      <c r="W2265" s="1" t="str">
        <f t="shared" si="284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customHeight="1" x14ac:dyDescent="0.3">
      <c r="A2266" s="2"/>
      <c r="B2266" s="65" t="str">
        <f t="shared" si="285"/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 t="shared" si="286"/>
        <v/>
      </c>
      <c r="N2266" s="74" t="str">
        <f t="shared" si="287"/>
        <v/>
      </c>
      <c r="O2266" s="73" t="str">
        <f t="shared" si="288"/>
        <v/>
      </c>
      <c r="P2266" s="65" t="str">
        <f t="shared" ca="1" si="289"/>
        <v/>
      </c>
      <c r="Q2266" s="2"/>
      <c r="R2266" s="2"/>
      <c r="S2266" s="1" t="str">
        <f t="shared" si="282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283"/>
        <v>0</v>
      </c>
      <c r="W2266" s="1" t="str">
        <f t="shared" si="284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customHeight="1" x14ac:dyDescent="0.3">
      <c r="A2267" s="2"/>
      <c r="B2267" s="65" t="str">
        <f t="shared" si="285"/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 t="shared" si="286"/>
        <v/>
      </c>
      <c r="N2267" s="74" t="str">
        <f t="shared" si="287"/>
        <v/>
      </c>
      <c r="O2267" s="73" t="str">
        <f t="shared" si="288"/>
        <v/>
      </c>
      <c r="P2267" s="65" t="str">
        <f t="shared" ca="1" si="289"/>
        <v/>
      </c>
      <c r="Q2267" s="2"/>
      <c r="R2267" s="2"/>
      <c r="S2267" s="1" t="str">
        <f t="shared" si="282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283"/>
        <v>0</v>
      </c>
      <c r="W2267" s="1" t="str">
        <f t="shared" si="284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customHeight="1" x14ac:dyDescent="0.3">
      <c r="A2268" s="2"/>
      <c r="B2268" s="65" t="str">
        <f t="shared" si="285"/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 t="shared" si="286"/>
        <v/>
      </c>
      <c r="N2268" s="74" t="str">
        <f t="shared" si="287"/>
        <v/>
      </c>
      <c r="O2268" s="73" t="str">
        <f t="shared" si="288"/>
        <v/>
      </c>
      <c r="P2268" s="65" t="str">
        <f t="shared" ca="1" si="289"/>
        <v/>
      </c>
      <c r="Q2268" s="2"/>
      <c r="R2268" s="2"/>
      <c r="S2268" s="1" t="str">
        <f t="shared" si="282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283"/>
        <v>0</v>
      </c>
      <c r="W2268" s="1" t="str">
        <f t="shared" si="284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customHeight="1" x14ac:dyDescent="0.3">
      <c r="A2269" s="2"/>
      <c r="B2269" s="65" t="str">
        <f t="shared" si="285"/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 t="shared" si="286"/>
        <v/>
      </c>
      <c r="N2269" s="74" t="str">
        <f t="shared" si="287"/>
        <v/>
      </c>
      <c r="O2269" s="73" t="str">
        <f t="shared" si="288"/>
        <v/>
      </c>
      <c r="P2269" s="65" t="str">
        <f t="shared" ca="1" si="289"/>
        <v/>
      </c>
      <c r="Q2269" s="2"/>
      <c r="R2269" s="2"/>
      <c r="S2269" s="1" t="str">
        <f t="shared" si="282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283"/>
        <v>0</v>
      </c>
      <c r="W2269" s="1" t="str">
        <f t="shared" si="284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customHeight="1" x14ac:dyDescent="0.3">
      <c r="A2270" s="2"/>
      <c r="B2270" s="65" t="str">
        <f t="shared" si="285"/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 t="shared" si="286"/>
        <v/>
      </c>
      <c r="N2270" s="74" t="str">
        <f t="shared" si="287"/>
        <v/>
      </c>
      <c r="O2270" s="73" t="str">
        <f t="shared" si="288"/>
        <v/>
      </c>
      <c r="P2270" s="65" t="str">
        <f t="shared" ca="1" si="289"/>
        <v/>
      </c>
      <c r="Q2270" s="2"/>
      <c r="R2270" s="2"/>
      <c r="S2270" s="1" t="str">
        <f t="shared" si="282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283"/>
        <v>0</v>
      </c>
      <c r="W2270" s="1" t="str">
        <f t="shared" si="284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customHeight="1" x14ac:dyDescent="0.3">
      <c r="A2271" s="2"/>
      <c r="B2271" s="65" t="str">
        <f t="shared" si="285"/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 t="shared" si="286"/>
        <v/>
      </c>
      <c r="N2271" s="74" t="str">
        <f t="shared" si="287"/>
        <v/>
      </c>
      <c r="O2271" s="73" t="str">
        <f t="shared" si="288"/>
        <v/>
      </c>
      <c r="P2271" s="65" t="str">
        <f t="shared" ca="1" si="289"/>
        <v/>
      </c>
      <c r="Q2271" s="2"/>
      <c r="R2271" s="2"/>
      <c r="S2271" s="1" t="str">
        <f t="shared" si="282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283"/>
        <v>0</v>
      </c>
      <c r="W2271" s="1" t="str">
        <f t="shared" si="284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customHeight="1" x14ac:dyDescent="0.3">
      <c r="A2272" s="2"/>
      <c r="B2272" s="65" t="str">
        <f t="shared" si="285"/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 t="shared" si="286"/>
        <v/>
      </c>
      <c r="N2272" s="74" t="str">
        <f t="shared" si="287"/>
        <v/>
      </c>
      <c r="O2272" s="73" t="str">
        <f t="shared" si="288"/>
        <v/>
      </c>
      <c r="P2272" s="65" t="str">
        <f t="shared" ca="1" si="289"/>
        <v/>
      </c>
      <c r="Q2272" s="2"/>
      <c r="R2272" s="2"/>
      <c r="S2272" s="1" t="str">
        <f t="shared" si="282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283"/>
        <v>0</v>
      </c>
      <c r="W2272" s="1" t="str">
        <f t="shared" si="284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customHeight="1" x14ac:dyDescent="0.3">
      <c r="A2273" s="2"/>
      <c r="B2273" s="65" t="str">
        <f t="shared" si="285"/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 t="shared" si="286"/>
        <v/>
      </c>
      <c r="N2273" s="74" t="str">
        <f t="shared" si="287"/>
        <v/>
      </c>
      <c r="O2273" s="73" t="str">
        <f t="shared" si="288"/>
        <v/>
      </c>
      <c r="P2273" s="65" t="str">
        <f t="shared" ca="1" si="289"/>
        <v/>
      </c>
      <c r="Q2273" s="2"/>
      <c r="R2273" s="2"/>
      <c r="S2273" s="1" t="str">
        <f t="shared" si="282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283"/>
        <v>0</v>
      </c>
      <c r="W2273" s="1" t="str">
        <f t="shared" si="284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customHeight="1" x14ac:dyDescent="0.3">
      <c r="A2274" s="2"/>
      <c r="B2274" s="65" t="str">
        <f t="shared" si="285"/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 t="shared" si="286"/>
        <v/>
      </c>
      <c r="N2274" s="74" t="str">
        <f t="shared" si="287"/>
        <v/>
      </c>
      <c r="O2274" s="73" t="str">
        <f t="shared" si="288"/>
        <v/>
      </c>
      <c r="P2274" s="65" t="str">
        <f t="shared" ca="1" si="289"/>
        <v/>
      </c>
      <c r="Q2274" s="2"/>
      <c r="R2274" s="2"/>
      <c r="S2274" s="1" t="str">
        <f t="shared" si="282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283"/>
        <v>0</v>
      </c>
      <c r="W2274" s="1" t="str">
        <f t="shared" si="284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customHeight="1" x14ac:dyDescent="0.3">
      <c r="A2275" s="2"/>
      <c r="B2275" s="65" t="str">
        <f t="shared" si="285"/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 t="shared" si="286"/>
        <v/>
      </c>
      <c r="N2275" s="74" t="str">
        <f t="shared" si="287"/>
        <v/>
      </c>
      <c r="O2275" s="73" t="str">
        <f t="shared" si="288"/>
        <v/>
      </c>
      <c r="P2275" s="65" t="str">
        <f t="shared" ca="1" si="289"/>
        <v/>
      </c>
      <c r="Q2275" s="2"/>
      <c r="R2275" s="2"/>
      <c r="S2275" s="1" t="str">
        <f t="shared" si="282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283"/>
        <v>0</v>
      </c>
      <c r="W2275" s="1" t="str">
        <f t="shared" si="284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customHeight="1" x14ac:dyDescent="0.3">
      <c r="A2276" s="2"/>
      <c r="B2276" s="65" t="str">
        <f t="shared" si="285"/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 t="shared" si="286"/>
        <v/>
      </c>
      <c r="N2276" s="74" t="str">
        <f t="shared" si="287"/>
        <v/>
      </c>
      <c r="O2276" s="73" t="str">
        <f t="shared" si="288"/>
        <v/>
      </c>
      <c r="P2276" s="65" t="str">
        <f t="shared" ca="1" si="289"/>
        <v/>
      </c>
      <c r="Q2276" s="2"/>
      <c r="R2276" s="2"/>
      <c r="S2276" s="1" t="str">
        <f t="shared" si="282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283"/>
        <v>0</v>
      </c>
      <c r="W2276" s="1" t="str">
        <f t="shared" si="284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customHeight="1" x14ac:dyDescent="0.3">
      <c r="A2277" s="2"/>
      <c r="B2277" s="65" t="str">
        <f t="shared" si="285"/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 t="shared" si="286"/>
        <v/>
      </c>
      <c r="N2277" s="74" t="str">
        <f t="shared" si="287"/>
        <v/>
      </c>
      <c r="O2277" s="73" t="str">
        <f t="shared" si="288"/>
        <v/>
      </c>
      <c r="P2277" s="65" t="str">
        <f t="shared" ca="1" si="289"/>
        <v/>
      </c>
      <c r="Q2277" s="2"/>
      <c r="R2277" s="2"/>
      <c r="S2277" s="1" t="str">
        <f t="shared" si="282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283"/>
        <v>0</v>
      </c>
      <c r="W2277" s="1" t="str">
        <f t="shared" si="284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customHeight="1" x14ac:dyDescent="0.3">
      <c r="A2278" s="2"/>
      <c r="B2278" s="65" t="str">
        <f t="shared" si="285"/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 t="shared" si="286"/>
        <v/>
      </c>
      <c r="N2278" s="74" t="str">
        <f t="shared" si="287"/>
        <v/>
      </c>
      <c r="O2278" s="73" t="str">
        <f t="shared" si="288"/>
        <v/>
      </c>
      <c r="P2278" s="65" t="str">
        <f t="shared" ca="1" si="289"/>
        <v/>
      </c>
      <c r="Q2278" s="2"/>
      <c r="R2278" s="2"/>
      <c r="S2278" s="1" t="str">
        <f t="shared" si="282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283"/>
        <v>0</v>
      </c>
      <c r="W2278" s="1" t="str">
        <f t="shared" si="284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customHeight="1" x14ac:dyDescent="0.3">
      <c r="A2279" s="2"/>
      <c r="B2279" s="65" t="str">
        <f t="shared" si="285"/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 t="shared" si="286"/>
        <v/>
      </c>
      <c r="N2279" s="74" t="str">
        <f t="shared" si="287"/>
        <v/>
      </c>
      <c r="O2279" s="73" t="str">
        <f t="shared" si="288"/>
        <v/>
      </c>
      <c r="P2279" s="65" t="str">
        <f t="shared" ca="1" si="289"/>
        <v/>
      </c>
      <c r="Q2279" s="2"/>
      <c r="R2279" s="2"/>
      <c r="S2279" s="1" t="str">
        <f t="shared" si="282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283"/>
        <v>0</v>
      </c>
      <c r="W2279" s="1" t="str">
        <f t="shared" si="284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customHeight="1" x14ac:dyDescent="0.3">
      <c r="A2280" s="2"/>
      <c r="B2280" s="65" t="str">
        <f t="shared" si="285"/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 t="shared" si="286"/>
        <v/>
      </c>
      <c r="N2280" s="74" t="str">
        <f t="shared" si="287"/>
        <v/>
      </c>
      <c r="O2280" s="73" t="str">
        <f t="shared" si="288"/>
        <v/>
      </c>
      <c r="P2280" s="65" t="str">
        <f t="shared" ca="1" si="289"/>
        <v/>
      </c>
      <c r="Q2280" s="2"/>
      <c r="R2280" s="2"/>
      <c r="S2280" s="1" t="str">
        <f t="shared" si="282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283"/>
        <v>0</v>
      </c>
      <c r="W2280" s="1" t="str">
        <f t="shared" si="284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customHeight="1" x14ac:dyDescent="0.3">
      <c r="A2281" s="2"/>
      <c r="B2281" s="65" t="str">
        <f t="shared" si="285"/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 t="shared" si="286"/>
        <v/>
      </c>
      <c r="N2281" s="74" t="str">
        <f t="shared" si="287"/>
        <v/>
      </c>
      <c r="O2281" s="73" t="str">
        <f t="shared" si="288"/>
        <v/>
      </c>
      <c r="P2281" s="65" t="str">
        <f t="shared" ca="1" si="289"/>
        <v/>
      </c>
      <c r="Q2281" s="2"/>
      <c r="R2281" s="2"/>
      <c r="S2281" s="1" t="str">
        <f t="shared" si="282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283"/>
        <v>0</v>
      </c>
      <c r="W2281" s="1" t="str">
        <f t="shared" si="284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customHeight="1" x14ac:dyDescent="0.3">
      <c r="A2282" s="2"/>
      <c r="B2282" s="65" t="str">
        <f t="shared" si="285"/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 t="shared" si="286"/>
        <v/>
      </c>
      <c r="N2282" s="74" t="str">
        <f t="shared" si="287"/>
        <v/>
      </c>
      <c r="O2282" s="73" t="str">
        <f t="shared" si="288"/>
        <v/>
      </c>
      <c r="P2282" s="65" t="str">
        <f t="shared" ca="1" si="289"/>
        <v/>
      </c>
      <c r="Q2282" s="2"/>
      <c r="R2282" s="2"/>
      <c r="S2282" s="1" t="str">
        <f t="shared" si="282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283"/>
        <v>0</v>
      </c>
      <c r="W2282" s="1" t="str">
        <f t="shared" si="284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customHeight="1" x14ac:dyDescent="0.3">
      <c r="A2283" s="2"/>
      <c r="B2283" s="65" t="str">
        <f t="shared" si="285"/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 t="shared" si="286"/>
        <v/>
      </c>
      <c r="N2283" s="74" t="str">
        <f t="shared" si="287"/>
        <v/>
      </c>
      <c r="O2283" s="73" t="str">
        <f t="shared" si="288"/>
        <v/>
      </c>
      <c r="P2283" s="65" t="str">
        <f t="shared" ca="1" si="289"/>
        <v/>
      </c>
      <c r="Q2283" s="2"/>
      <c r="R2283" s="2"/>
      <c r="S2283" s="1" t="str">
        <f t="shared" si="282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283"/>
        <v>0</v>
      </c>
      <c r="W2283" s="1" t="str">
        <f t="shared" si="284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customHeight="1" x14ac:dyDescent="0.3">
      <c r="A2284" s="2"/>
      <c r="B2284" s="65" t="str">
        <f t="shared" si="285"/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 t="shared" si="286"/>
        <v/>
      </c>
      <c r="N2284" s="74" t="str">
        <f t="shared" si="287"/>
        <v/>
      </c>
      <c r="O2284" s="73" t="str">
        <f t="shared" si="288"/>
        <v/>
      </c>
      <c r="P2284" s="65" t="str">
        <f t="shared" ca="1" si="289"/>
        <v/>
      </c>
      <c r="Q2284" s="2"/>
      <c r="R2284" s="2"/>
      <c r="S2284" s="1" t="str">
        <f t="shared" si="282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283"/>
        <v>0</v>
      </c>
      <c r="W2284" s="1" t="str">
        <f t="shared" si="284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customHeight="1" x14ac:dyDescent="0.3">
      <c r="A2285" s="2"/>
      <c r="B2285" s="65" t="str">
        <f t="shared" si="285"/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 t="shared" si="286"/>
        <v/>
      </c>
      <c r="N2285" s="74" t="str">
        <f t="shared" si="287"/>
        <v/>
      </c>
      <c r="O2285" s="73" t="str">
        <f t="shared" si="288"/>
        <v/>
      </c>
      <c r="P2285" s="65" t="str">
        <f t="shared" ca="1" si="289"/>
        <v/>
      </c>
      <c r="Q2285" s="2"/>
      <c r="R2285" s="2"/>
      <c r="S2285" s="1" t="str">
        <f t="shared" si="282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283"/>
        <v>0</v>
      </c>
      <c r="W2285" s="1" t="str">
        <f t="shared" si="284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customHeight="1" x14ac:dyDescent="0.3">
      <c r="A2286" s="2"/>
      <c r="B2286" s="65" t="str">
        <f t="shared" si="285"/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 t="shared" si="286"/>
        <v/>
      </c>
      <c r="N2286" s="74" t="str">
        <f t="shared" si="287"/>
        <v/>
      </c>
      <c r="O2286" s="73" t="str">
        <f t="shared" si="288"/>
        <v/>
      </c>
      <c r="P2286" s="65" t="str">
        <f t="shared" ca="1" si="289"/>
        <v/>
      </c>
      <c r="Q2286" s="2"/>
      <c r="R2286" s="2"/>
      <c r="S2286" s="1" t="str">
        <f t="shared" si="282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283"/>
        <v>0</v>
      </c>
      <c r="W2286" s="1" t="str">
        <f t="shared" si="284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customHeight="1" x14ac:dyDescent="0.3">
      <c r="A2287" s="2"/>
      <c r="B2287" s="65" t="str">
        <f t="shared" si="285"/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 t="shared" si="286"/>
        <v/>
      </c>
      <c r="N2287" s="74" t="str">
        <f t="shared" si="287"/>
        <v/>
      </c>
      <c r="O2287" s="73" t="str">
        <f t="shared" si="288"/>
        <v/>
      </c>
      <c r="P2287" s="65" t="str">
        <f t="shared" ca="1" si="289"/>
        <v/>
      </c>
      <c r="Q2287" s="2"/>
      <c r="R2287" s="2"/>
      <c r="S2287" s="1" t="str">
        <f t="shared" si="282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283"/>
        <v>0</v>
      </c>
      <c r="W2287" s="1" t="str">
        <f t="shared" si="284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customHeight="1" x14ac:dyDescent="0.3">
      <c r="A2288" s="2"/>
      <c r="B2288" s="65" t="str">
        <f t="shared" si="285"/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 t="shared" si="286"/>
        <v/>
      </c>
      <c r="N2288" s="74" t="str">
        <f t="shared" si="287"/>
        <v/>
      </c>
      <c r="O2288" s="73" t="str">
        <f t="shared" si="288"/>
        <v/>
      </c>
      <c r="P2288" s="65" t="str">
        <f t="shared" ca="1" si="289"/>
        <v/>
      </c>
      <c r="Q2288" s="2"/>
      <c r="R2288" s="2"/>
      <c r="S2288" s="1" t="str">
        <f t="shared" si="282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283"/>
        <v>0</v>
      </c>
      <c r="W2288" s="1" t="str">
        <f t="shared" si="284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customHeight="1" x14ac:dyDescent="0.3">
      <c r="A2289" s="2"/>
      <c r="B2289" s="65" t="str">
        <f t="shared" si="285"/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 t="shared" si="286"/>
        <v/>
      </c>
      <c r="N2289" s="74" t="str">
        <f t="shared" si="287"/>
        <v/>
      </c>
      <c r="O2289" s="73" t="str">
        <f t="shared" si="288"/>
        <v/>
      </c>
      <c r="P2289" s="65" t="str">
        <f t="shared" ca="1" si="289"/>
        <v/>
      </c>
      <c r="Q2289" s="2"/>
      <c r="R2289" s="2"/>
      <c r="S2289" s="1" t="str">
        <f t="shared" si="282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283"/>
        <v>0</v>
      </c>
      <c r="W2289" s="1" t="str">
        <f t="shared" si="284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customHeight="1" x14ac:dyDescent="0.3">
      <c r="A2290" s="2"/>
      <c r="B2290" s="65" t="str">
        <f t="shared" si="285"/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 t="shared" si="286"/>
        <v/>
      </c>
      <c r="N2290" s="74" t="str">
        <f t="shared" si="287"/>
        <v/>
      </c>
      <c r="O2290" s="73" t="str">
        <f t="shared" si="288"/>
        <v/>
      </c>
      <c r="P2290" s="65" t="str">
        <f t="shared" ca="1" si="289"/>
        <v/>
      </c>
      <c r="Q2290" s="2"/>
      <c r="R2290" s="2"/>
      <c r="S2290" s="1" t="str">
        <f t="shared" si="282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283"/>
        <v>0</v>
      </c>
      <c r="W2290" s="1" t="str">
        <f t="shared" si="284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customHeight="1" x14ac:dyDescent="0.3">
      <c r="A2291" s="2"/>
      <c r="B2291" s="65" t="str">
        <f t="shared" si="285"/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 t="shared" si="286"/>
        <v/>
      </c>
      <c r="N2291" s="74" t="str">
        <f t="shared" si="287"/>
        <v/>
      </c>
      <c r="O2291" s="73" t="str">
        <f t="shared" si="288"/>
        <v/>
      </c>
      <c r="P2291" s="65" t="str">
        <f t="shared" ca="1" si="289"/>
        <v/>
      </c>
      <c r="Q2291" s="2"/>
      <c r="R2291" s="2"/>
      <c r="S2291" s="1" t="str">
        <f t="shared" si="282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283"/>
        <v>0</v>
      </c>
      <c r="W2291" s="1" t="str">
        <f t="shared" si="284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customHeight="1" x14ac:dyDescent="0.3">
      <c r="A2292" s="2"/>
      <c r="B2292" s="65" t="str">
        <f t="shared" si="285"/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 t="shared" si="286"/>
        <v/>
      </c>
      <c r="N2292" s="74" t="str">
        <f t="shared" si="287"/>
        <v/>
      </c>
      <c r="O2292" s="73" t="str">
        <f t="shared" si="288"/>
        <v/>
      </c>
      <c r="P2292" s="65" t="str">
        <f t="shared" ca="1" si="289"/>
        <v/>
      </c>
      <c r="Q2292" s="2"/>
      <c r="R2292" s="2"/>
      <c r="S2292" s="1" t="str">
        <f t="shared" si="282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283"/>
        <v>0</v>
      </c>
      <c r="W2292" s="1" t="str">
        <f t="shared" si="284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customHeight="1" x14ac:dyDescent="0.3">
      <c r="A2293" s="2"/>
      <c r="B2293" s="65" t="str">
        <f t="shared" si="285"/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 t="shared" si="286"/>
        <v/>
      </c>
      <c r="N2293" s="74" t="str">
        <f t="shared" si="287"/>
        <v/>
      </c>
      <c r="O2293" s="73" t="str">
        <f t="shared" si="288"/>
        <v/>
      </c>
      <c r="P2293" s="65" t="str">
        <f t="shared" ca="1" si="289"/>
        <v/>
      </c>
      <c r="Q2293" s="2"/>
      <c r="R2293" s="2"/>
      <c r="S2293" s="1" t="str">
        <f t="shared" si="282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283"/>
        <v>0</v>
      </c>
      <c r="W2293" s="1" t="str">
        <f t="shared" si="284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customHeight="1" x14ac:dyDescent="0.3">
      <c r="A2294" s="2"/>
      <c r="B2294" s="65" t="str">
        <f t="shared" si="285"/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 t="shared" si="286"/>
        <v/>
      </c>
      <c r="N2294" s="74" t="str">
        <f t="shared" si="287"/>
        <v/>
      </c>
      <c r="O2294" s="73" t="str">
        <f t="shared" si="288"/>
        <v/>
      </c>
      <c r="P2294" s="65" t="str">
        <f t="shared" ca="1" si="289"/>
        <v/>
      </c>
      <c r="Q2294" s="2"/>
      <c r="R2294" s="2"/>
      <c r="S2294" s="1" t="str">
        <f t="shared" si="282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283"/>
        <v>0</v>
      </c>
      <c r="W2294" s="1" t="str">
        <f t="shared" si="284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customHeight="1" x14ac:dyDescent="0.3">
      <c r="A2295" s="2"/>
      <c r="B2295" s="65" t="str">
        <f t="shared" si="285"/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 t="shared" si="286"/>
        <v/>
      </c>
      <c r="N2295" s="74" t="str">
        <f t="shared" si="287"/>
        <v/>
      </c>
      <c r="O2295" s="73" t="str">
        <f t="shared" si="288"/>
        <v/>
      </c>
      <c r="P2295" s="65" t="str">
        <f t="shared" ca="1" si="289"/>
        <v/>
      </c>
      <c r="Q2295" s="2"/>
      <c r="R2295" s="2"/>
      <c r="S2295" s="1" t="str">
        <f t="shared" si="282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283"/>
        <v>0</v>
      </c>
      <c r="W2295" s="1" t="str">
        <f t="shared" si="284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customHeight="1" x14ac:dyDescent="0.3">
      <c r="A2296" s="2"/>
      <c r="B2296" s="65" t="str">
        <f t="shared" si="285"/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 t="shared" si="286"/>
        <v/>
      </c>
      <c r="N2296" s="74" t="str">
        <f t="shared" si="287"/>
        <v/>
      </c>
      <c r="O2296" s="73" t="str">
        <f t="shared" si="288"/>
        <v/>
      </c>
      <c r="P2296" s="65" t="str">
        <f t="shared" ca="1" si="289"/>
        <v/>
      </c>
      <c r="Q2296" s="2"/>
      <c r="R2296" s="2"/>
      <c r="S2296" s="1" t="str">
        <f t="shared" si="282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283"/>
        <v>0</v>
      </c>
      <c r="W2296" s="1" t="str">
        <f t="shared" si="284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customHeight="1" x14ac:dyDescent="0.3">
      <c r="A2297" s="2"/>
      <c r="B2297" s="65" t="str">
        <f t="shared" si="285"/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 t="shared" si="286"/>
        <v/>
      </c>
      <c r="N2297" s="74" t="str">
        <f t="shared" si="287"/>
        <v/>
      </c>
      <c r="O2297" s="73" t="str">
        <f t="shared" si="288"/>
        <v/>
      </c>
      <c r="P2297" s="65" t="str">
        <f t="shared" ca="1" si="289"/>
        <v/>
      </c>
      <c r="Q2297" s="2"/>
      <c r="R2297" s="2"/>
      <c r="S2297" s="1" t="str">
        <f t="shared" si="282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283"/>
        <v>0</v>
      </c>
      <c r="W2297" s="1" t="str">
        <f t="shared" si="284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customHeight="1" x14ac:dyDescent="0.3">
      <c r="A2298" s="2"/>
      <c r="B2298" s="65" t="str">
        <f t="shared" si="285"/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 t="shared" si="286"/>
        <v/>
      </c>
      <c r="N2298" s="74" t="str">
        <f t="shared" si="287"/>
        <v/>
      </c>
      <c r="O2298" s="73" t="str">
        <f t="shared" si="288"/>
        <v/>
      </c>
      <c r="P2298" s="65" t="str">
        <f t="shared" ca="1" si="289"/>
        <v/>
      </c>
      <c r="Q2298" s="2"/>
      <c r="R2298" s="2"/>
      <c r="S2298" s="1" t="str">
        <f t="shared" si="282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283"/>
        <v>0</v>
      </c>
      <c r="W2298" s="1" t="str">
        <f t="shared" si="284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customHeight="1" x14ac:dyDescent="0.3">
      <c r="A2299" s="2"/>
      <c r="B2299" s="65" t="str">
        <f t="shared" si="285"/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 t="shared" si="286"/>
        <v/>
      </c>
      <c r="N2299" s="74" t="str">
        <f t="shared" si="287"/>
        <v/>
      </c>
      <c r="O2299" s="73" t="str">
        <f t="shared" si="288"/>
        <v/>
      </c>
      <c r="P2299" s="65" t="str">
        <f t="shared" ca="1" si="289"/>
        <v/>
      </c>
      <c r="Q2299" s="2"/>
      <c r="R2299" s="2"/>
      <c r="S2299" s="1" t="str">
        <f t="shared" si="282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283"/>
        <v>0</v>
      </c>
      <c r="W2299" s="1" t="str">
        <f t="shared" si="284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customHeight="1" x14ac:dyDescent="0.3">
      <c r="A2300" s="2"/>
      <c r="B2300" s="65" t="str">
        <f t="shared" si="285"/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 t="shared" si="286"/>
        <v/>
      </c>
      <c r="N2300" s="74" t="str">
        <f t="shared" si="287"/>
        <v/>
      </c>
      <c r="O2300" s="73" t="str">
        <f t="shared" si="288"/>
        <v/>
      </c>
      <c r="P2300" s="65" t="str">
        <f t="shared" ca="1" si="289"/>
        <v/>
      </c>
      <c r="Q2300" s="2"/>
      <c r="R2300" s="2"/>
      <c r="S2300" s="1" t="str">
        <f t="shared" si="282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283"/>
        <v>0</v>
      </c>
      <c r="W2300" s="1" t="str">
        <f t="shared" si="284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customHeight="1" x14ac:dyDescent="0.3">
      <c r="A2301" s="2"/>
      <c r="B2301" s="65" t="str">
        <f t="shared" si="285"/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 t="shared" si="286"/>
        <v/>
      </c>
      <c r="N2301" s="74" t="str">
        <f t="shared" si="287"/>
        <v/>
      </c>
      <c r="O2301" s="73" t="str">
        <f t="shared" si="288"/>
        <v/>
      </c>
      <c r="P2301" s="65" t="str">
        <f t="shared" ca="1" si="289"/>
        <v/>
      </c>
      <c r="Q2301" s="2"/>
      <c r="R2301" s="2"/>
      <c r="S2301" s="1" t="str">
        <f t="shared" si="282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283"/>
        <v>0</v>
      </c>
      <c r="W2301" s="1" t="str">
        <f t="shared" si="284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customHeight="1" x14ac:dyDescent="0.3">
      <c r="A2302" s="2"/>
      <c r="B2302" s="65" t="str">
        <f t="shared" si="285"/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 t="shared" si="286"/>
        <v/>
      </c>
      <c r="N2302" s="74" t="str">
        <f t="shared" si="287"/>
        <v/>
      </c>
      <c r="O2302" s="73" t="str">
        <f t="shared" si="288"/>
        <v/>
      </c>
      <c r="P2302" s="65" t="str">
        <f t="shared" ca="1" si="289"/>
        <v/>
      </c>
      <c r="Q2302" s="2"/>
      <c r="R2302" s="2"/>
      <c r="S2302" s="1" t="str">
        <f t="shared" si="282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283"/>
        <v>0</v>
      </c>
      <c r="W2302" s="1" t="str">
        <f t="shared" si="284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customHeight="1" x14ac:dyDescent="0.3">
      <c r="A2303" s="2"/>
      <c r="B2303" s="65" t="str">
        <f t="shared" si="285"/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 t="shared" si="286"/>
        <v/>
      </c>
      <c r="N2303" s="74" t="str">
        <f t="shared" si="287"/>
        <v/>
      </c>
      <c r="O2303" s="73" t="str">
        <f t="shared" si="288"/>
        <v/>
      </c>
      <c r="P2303" s="65" t="str">
        <f t="shared" ca="1" si="289"/>
        <v/>
      </c>
      <c r="Q2303" s="2"/>
      <c r="R2303" s="2"/>
      <c r="S2303" s="1" t="str">
        <f t="shared" si="282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283"/>
        <v>0</v>
      </c>
      <c r="W2303" s="1" t="str">
        <f t="shared" si="284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customHeight="1" x14ac:dyDescent="0.3">
      <c r="A2304" s="2"/>
      <c r="B2304" s="65" t="str">
        <f t="shared" si="285"/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 t="shared" si="286"/>
        <v/>
      </c>
      <c r="N2304" s="74" t="str">
        <f t="shared" si="287"/>
        <v/>
      </c>
      <c r="O2304" s="73" t="str">
        <f t="shared" si="288"/>
        <v/>
      </c>
      <c r="P2304" s="65" t="str">
        <f t="shared" ca="1" si="289"/>
        <v/>
      </c>
      <c r="Q2304" s="2"/>
      <c r="R2304" s="2"/>
      <c r="S2304" s="1" t="str">
        <f t="shared" si="282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283"/>
        <v>0</v>
      </c>
      <c r="W2304" s="1" t="str">
        <f t="shared" si="284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customHeight="1" x14ac:dyDescent="0.3">
      <c r="A2305" s="2"/>
      <c r="B2305" s="65" t="str">
        <f t="shared" si="285"/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 t="shared" si="286"/>
        <v/>
      </c>
      <c r="N2305" s="74" t="str">
        <f t="shared" si="287"/>
        <v/>
      </c>
      <c r="O2305" s="73" t="str">
        <f t="shared" si="288"/>
        <v/>
      </c>
      <c r="P2305" s="65" t="str">
        <f t="shared" ca="1" si="289"/>
        <v/>
      </c>
      <c r="Q2305" s="2"/>
      <c r="R2305" s="2"/>
      <c r="S2305" s="1" t="str">
        <f t="shared" si="282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283"/>
        <v>0</v>
      </c>
      <c r="W2305" s="1" t="str">
        <f t="shared" si="284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customHeight="1" x14ac:dyDescent="0.3">
      <c r="A2306" s="2"/>
      <c r="B2306" s="65" t="str">
        <f t="shared" si="285"/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 t="shared" si="286"/>
        <v/>
      </c>
      <c r="N2306" s="74" t="str">
        <f t="shared" si="287"/>
        <v/>
      </c>
      <c r="O2306" s="73" t="str">
        <f t="shared" si="288"/>
        <v/>
      </c>
      <c r="P2306" s="65" t="str">
        <f t="shared" ca="1" si="289"/>
        <v/>
      </c>
      <c r="Q2306" s="2"/>
      <c r="R2306" s="2"/>
      <c r="S2306" s="1" t="str">
        <f t="shared" si="282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283"/>
        <v>0</v>
      </c>
      <c r="W2306" s="1" t="str">
        <f t="shared" si="284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customHeight="1" x14ac:dyDescent="0.3">
      <c r="A2307" s="2"/>
      <c r="B2307" s="65" t="str">
        <f t="shared" si="285"/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 t="shared" si="286"/>
        <v/>
      </c>
      <c r="N2307" s="74" t="str">
        <f t="shared" si="287"/>
        <v/>
      </c>
      <c r="O2307" s="73" t="str">
        <f t="shared" si="288"/>
        <v/>
      </c>
      <c r="P2307" s="65" t="str">
        <f t="shared" ca="1" si="289"/>
        <v/>
      </c>
      <c r="Q2307" s="2"/>
      <c r="R2307" s="2"/>
      <c r="S2307" s="1" t="str">
        <f t="shared" si="282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283"/>
        <v>0</v>
      </c>
      <c r="W2307" s="1" t="str">
        <f t="shared" si="284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customHeight="1" x14ac:dyDescent="0.3">
      <c r="A2308" s="2"/>
      <c r="B2308" s="65" t="str">
        <f t="shared" si="285"/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 t="shared" si="286"/>
        <v/>
      </c>
      <c r="N2308" s="74" t="str">
        <f t="shared" si="287"/>
        <v/>
      </c>
      <c r="O2308" s="73" t="str">
        <f t="shared" si="288"/>
        <v/>
      </c>
      <c r="P2308" s="65" t="str">
        <f t="shared" ca="1" si="289"/>
        <v/>
      </c>
      <c r="Q2308" s="2"/>
      <c r="R2308" s="2"/>
      <c r="S2308" s="1" t="str">
        <f t="shared" si="282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283"/>
        <v>0</v>
      </c>
      <c r="W2308" s="1" t="str">
        <f t="shared" si="284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customHeight="1" x14ac:dyDescent="0.3">
      <c r="A2309" s="2"/>
      <c r="B2309" s="65" t="str">
        <f t="shared" si="285"/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 t="shared" si="286"/>
        <v/>
      </c>
      <c r="N2309" s="74" t="str">
        <f t="shared" si="287"/>
        <v/>
      </c>
      <c r="O2309" s="73" t="str">
        <f t="shared" si="288"/>
        <v/>
      </c>
      <c r="P2309" s="65" t="str">
        <f t="shared" ca="1" si="289"/>
        <v/>
      </c>
      <c r="Q2309" s="2"/>
      <c r="R2309" s="2"/>
      <c r="S2309" s="1" t="str">
        <f t="shared" ref="S2309:S2372" si="290"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ref="V2309:V2372" si="291">IF($T2309="",0,1)</f>
        <v>0</v>
      </c>
      <c r="W2309" s="1" t="str">
        <f t="shared" ref="W2309:W2372" si="292">IF($C2309="","",$D2309&amp;"|"&amp;$E2309&amp;"|"&amp;TEXT($C2309,"0")&amp;"|"&amp;TEXT($G2309,"0")&amp;"|"&amp;$F2309&amp;"|"&amp;$J2309)</f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customHeight="1" x14ac:dyDescent="0.3">
      <c r="A2310" s="2"/>
      <c r="B2310" s="65" t="str">
        <f t="shared" si="285"/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 t="shared" si="286"/>
        <v/>
      </c>
      <c r="N2310" s="74" t="str">
        <f t="shared" si="287"/>
        <v/>
      </c>
      <c r="O2310" s="73" t="str">
        <f t="shared" si="288"/>
        <v/>
      </c>
      <c r="P2310" s="65" t="str">
        <f t="shared" ca="1" si="289"/>
        <v/>
      </c>
      <c r="Q2310" s="2"/>
      <c r="R2310" s="2"/>
      <c r="S2310" s="1" t="str">
        <f t="shared" si="290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291"/>
        <v>0</v>
      </c>
      <c r="W2310" s="1" t="str">
        <f t="shared" si="292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customHeight="1" x14ac:dyDescent="0.3">
      <c r="A2311" s="2"/>
      <c r="B2311" s="65" t="str">
        <f t="shared" ref="B2311:B2374" si="293"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 t="shared" ref="M2311:M2374" si="294">IF($C2311="","",IF($D2311="Gider",$E2311,IF($L2311&lt;&gt;"",$L2311,$H2311)))</f>
        <v/>
      </c>
      <c r="N2311" s="74" t="str">
        <f t="shared" ref="N2311:N2374" si="295">IF($C2311="","",IF($D2311="Gider",$H2311,$E2311))</f>
        <v/>
      </c>
      <c r="O2311" s="73" t="str">
        <f t="shared" ref="O2311:O2374" si="296">IF($C2311="","",DATE(YEAR($C2311),MONTH($C2311),1))</f>
        <v/>
      </c>
      <c r="P2311" s="65" t="str">
        <f t="shared" ref="P2311:P2374" ca="1" si="297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TARİH",IF(COUNTIF($W$7:$W$3001,$W2311)&gt;1,"MÜKERRER?",IF($AD2311&gt;0,"KAPALI DÖNEM",IF($I2311="Hayır","ÖDENECEK","UYGUN")))),"EKSİK"))))</f>
        <v/>
      </c>
      <c r="Q2311" s="2"/>
      <c r="R2311" s="2"/>
      <c r="S2311" s="1" t="str">
        <f t="shared" si="290"/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si="291"/>
        <v>0</v>
      </c>
      <c r="W2311" s="1" t="str">
        <f t="shared" si="292"/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customHeight="1" x14ac:dyDescent="0.3">
      <c r="A2312" s="2"/>
      <c r="B2312" s="65" t="str">
        <f t="shared" si="293"/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 t="shared" si="294"/>
        <v/>
      </c>
      <c r="N2312" s="74" t="str">
        <f t="shared" si="295"/>
        <v/>
      </c>
      <c r="O2312" s="73" t="str">
        <f t="shared" si="296"/>
        <v/>
      </c>
      <c r="P2312" s="65" t="str">
        <f t="shared" ca="1" si="297"/>
        <v/>
      </c>
      <c r="Q2312" s="2"/>
      <c r="R2312" s="2"/>
      <c r="S2312" s="1" t="str">
        <f t="shared" si="290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291"/>
        <v>0</v>
      </c>
      <c r="W2312" s="1" t="str">
        <f t="shared" si="292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customHeight="1" x14ac:dyDescent="0.3">
      <c r="A2313" s="2"/>
      <c r="B2313" s="65" t="str">
        <f t="shared" si="293"/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 t="shared" si="294"/>
        <v/>
      </c>
      <c r="N2313" s="74" t="str">
        <f t="shared" si="295"/>
        <v/>
      </c>
      <c r="O2313" s="73" t="str">
        <f t="shared" si="296"/>
        <v/>
      </c>
      <c r="P2313" s="65" t="str">
        <f t="shared" ca="1" si="297"/>
        <v/>
      </c>
      <c r="Q2313" s="2"/>
      <c r="R2313" s="2"/>
      <c r="S2313" s="1" t="str">
        <f t="shared" si="290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291"/>
        <v>0</v>
      </c>
      <c r="W2313" s="1" t="str">
        <f t="shared" si="292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customHeight="1" x14ac:dyDescent="0.3">
      <c r="A2314" s="2"/>
      <c r="B2314" s="65" t="str">
        <f t="shared" si="293"/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 t="shared" si="294"/>
        <v/>
      </c>
      <c r="N2314" s="74" t="str">
        <f t="shared" si="295"/>
        <v/>
      </c>
      <c r="O2314" s="73" t="str">
        <f t="shared" si="296"/>
        <v/>
      </c>
      <c r="P2314" s="65" t="str">
        <f t="shared" ca="1" si="297"/>
        <v/>
      </c>
      <c r="Q2314" s="2"/>
      <c r="R2314" s="2"/>
      <c r="S2314" s="1" t="str">
        <f t="shared" si="290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291"/>
        <v>0</v>
      </c>
      <c r="W2314" s="1" t="str">
        <f t="shared" si="292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customHeight="1" x14ac:dyDescent="0.3">
      <c r="A2315" s="2"/>
      <c r="B2315" s="65" t="str">
        <f t="shared" si="293"/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 t="shared" si="294"/>
        <v/>
      </c>
      <c r="N2315" s="74" t="str">
        <f t="shared" si="295"/>
        <v/>
      </c>
      <c r="O2315" s="73" t="str">
        <f t="shared" si="296"/>
        <v/>
      </c>
      <c r="P2315" s="65" t="str">
        <f t="shared" ca="1" si="297"/>
        <v/>
      </c>
      <c r="Q2315" s="2"/>
      <c r="R2315" s="2"/>
      <c r="S2315" s="1" t="str">
        <f t="shared" si="290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291"/>
        <v>0</v>
      </c>
      <c r="W2315" s="1" t="str">
        <f t="shared" si="292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customHeight="1" x14ac:dyDescent="0.3">
      <c r="A2316" s="2"/>
      <c r="B2316" s="65" t="str">
        <f t="shared" si="293"/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 t="shared" si="294"/>
        <v/>
      </c>
      <c r="N2316" s="74" t="str">
        <f t="shared" si="295"/>
        <v/>
      </c>
      <c r="O2316" s="73" t="str">
        <f t="shared" si="296"/>
        <v/>
      </c>
      <c r="P2316" s="65" t="str">
        <f t="shared" ca="1" si="297"/>
        <v/>
      </c>
      <c r="Q2316" s="2"/>
      <c r="R2316" s="2"/>
      <c r="S2316" s="1" t="str">
        <f t="shared" si="290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291"/>
        <v>0</v>
      </c>
      <c r="W2316" s="1" t="str">
        <f t="shared" si="292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customHeight="1" x14ac:dyDescent="0.3">
      <c r="A2317" s="2"/>
      <c r="B2317" s="65" t="str">
        <f t="shared" si="293"/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 t="shared" si="294"/>
        <v/>
      </c>
      <c r="N2317" s="74" t="str">
        <f t="shared" si="295"/>
        <v/>
      </c>
      <c r="O2317" s="73" t="str">
        <f t="shared" si="296"/>
        <v/>
      </c>
      <c r="P2317" s="65" t="str">
        <f t="shared" ca="1" si="297"/>
        <v/>
      </c>
      <c r="Q2317" s="2"/>
      <c r="R2317" s="2"/>
      <c r="S2317" s="1" t="str">
        <f t="shared" si="290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291"/>
        <v>0</v>
      </c>
      <c r="W2317" s="1" t="str">
        <f t="shared" si="292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customHeight="1" x14ac:dyDescent="0.3">
      <c r="A2318" s="2"/>
      <c r="B2318" s="65" t="str">
        <f t="shared" si="293"/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 t="shared" si="294"/>
        <v/>
      </c>
      <c r="N2318" s="74" t="str">
        <f t="shared" si="295"/>
        <v/>
      </c>
      <c r="O2318" s="73" t="str">
        <f t="shared" si="296"/>
        <v/>
      </c>
      <c r="P2318" s="65" t="str">
        <f t="shared" ca="1" si="297"/>
        <v/>
      </c>
      <c r="Q2318" s="2"/>
      <c r="R2318" s="2"/>
      <c r="S2318" s="1" t="str">
        <f t="shared" si="290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291"/>
        <v>0</v>
      </c>
      <c r="W2318" s="1" t="str">
        <f t="shared" si="292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customHeight="1" x14ac:dyDescent="0.3">
      <c r="A2319" s="2"/>
      <c r="B2319" s="65" t="str">
        <f t="shared" si="293"/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 t="shared" si="294"/>
        <v/>
      </c>
      <c r="N2319" s="74" t="str">
        <f t="shared" si="295"/>
        <v/>
      </c>
      <c r="O2319" s="73" t="str">
        <f t="shared" si="296"/>
        <v/>
      </c>
      <c r="P2319" s="65" t="str">
        <f t="shared" ca="1" si="297"/>
        <v/>
      </c>
      <c r="Q2319" s="2"/>
      <c r="R2319" s="2"/>
      <c r="S2319" s="1" t="str">
        <f t="shared" si="290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291"/>
        <v>0</v>
      </c>
      <c r="W2319" s="1" t="str">
        <f t="shared" si="292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customHeight="1" x14ac:dyDescent="0.3">
      <c r="A2320" s="2"/>
      <c r="B2320" s="65" t="str">
        <f t="shared" si="293"/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 t="shared" si="294"/>
        <v/>
      </c>
      <c r="N2320" s="74" t="str">
        <f t="shared" si="295"/>
        <v/>
      </c>
      <c r="O2320" s="73" t="str">
        <f t="shared" si="296"/>
        <v/>
      </c>
      <c r="P2320" s="65" t="str">
        <f t="shared" ca="1" si="297"/>
        <v/>
      </c>
      <c r="Q2320" s="2"/>
      <c r="R2320" s="2"/>
      <c r="S2320" s="1" t="str">
        <f t="shared" si="290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291"/>
        <v>0</v>
      </c>
      <c r="W2320" s="1" t="str">
        <f t="shared" si="292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customHeight="1" x14ac:dyDescent="0.3">
      <c r="A2321" s="2"/>
      <c r="B2321" s="65" t="str">
        <f t="shared" si="293"/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 t="shared" si="294"/>
        <v/>
      </c>
      <c r="N2321" s="74" t="str">
        <f t="shared" si="295"/>
        <v/>
      </c>
      <c r="O2321" s="73" t="str">
        <f t="shared" si="296"/>
        <v/>
      </c>
      <c r="P2321" s="65" t="str">
        <f t="shared" ca="1" si="297"/>
        <v/>
      </c>
      <c r="Q2321" s="2"/>
      <c r="R2321" s="2"/>
      <c r="S2321" s="1" t="str">
        <f t="shared" si="290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291"/>
        <v>0</v>
      </c>
      <c r="W2321" s="1" t="str">
        <f t="shared" si="292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customHeight="1" x14ac:dyDescent="0.3">
      <c r="A2322" s="2"/>
      <c r="B2322" s="65" t="str">
        <f t="shared" si="293"/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 t="shared" si="294"/>
        <v/>
      </c>
      <c r="N2322" s="74" t="str">
        <f t="shared" si="295"/>
        <v/>
      </c>
      <c r="O2322" s="73" t="str">
        <f t="shared" si="296"/>
        <v/>
      </c>
      <c r="P2322" s="65" t="str">
        <f t="shared" ca="1" si="297"/>
        <v/>
      </c>
      <c r="Q2322" s="2"/>
      <c r="R2322" s="2"/>
      <c r="S2322" s="1" t="str">
        <f t="shared" si="290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291"/>
        <v>0</v>
      </c>
      <c r="W2322" s="1" t="str">
        <f t="shared" si="292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customHeight="1" x14ac:dyDescent="0.3">
      <c r="A2323" s="2"/>
      <c r="B2323" s="65" t="str">
        <f t="shared" si="293"/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 t="shared" si="294"/>
        <v/>
      </c>
      <c r="N2323" s="74" t="str">
        <f t="shared" si="295"/>
        <v/>
      </c>
      <c r="O2323" s="73" t="str">
        <f t="shared" si="296"/>
        <v/>
      </c>
      <c r="P2323" s="65" t="str">
        <f t="shared" ca="1" si="297"/>
        <v/>
      </c>
      <c r="Q2323" s="2"/>
      <c r="R2323" s="2"/>
      <c r="S2323" s="1" t="str">
        <f t="shared" si="290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291"/>
        <v>0</v>
      </c>
      <c r="W2323" s="1" t="str">
        <f t="shared" si="292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customHeight="1" x14ac:dyDescent="0.3">
      <c r="A2324" s="2"/>
      <c r="B2324" s="65" t="str">
        <f t="shared" si="293"/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 t="shared" si="294"/>
        <v/>
      </c>
      <c r="N2324" s="74" t="str">
        <f t="shared" si="295"/>
        <v/>
      </c>
      <c r="O2324" s="73" t="str">
        <f t="shared" si="296"/>
        <v/>
      </c>
      <c r="P2324" s="65" t="str">
        <f t="shared" ca="1" si="297"/>
        <v/>
      </c>
      <c r="Q2324" s="2"/>
      <c r="R2324" s="2"/>
      <c r="S2324" s="1" t="str">
        <f t="shared" si="290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291"/>
        <v>0</v>
      </c>
      <c r="W2324" s="1" t="str">
        <f t="shared" si="292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customHeight="1" x14ac:dyDescent="0.3">
      <c r="A2325" s="2"/>
      <c r="B2325" s="65" t="str">
        <f t="shared" si="293"/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 t="shared" si="294"/>
        <v/>
      </c>
      <c r="N2325" s="74" t="str">
        <f t="shared" si="295"/>
        <v/>
      </c>
      <c r="O2325" s="73" t="str">
        <f t="shared" si="296"/>
        <v/>
      </c>
      <c r="P2325" s="65" t="str">
        <f t="shared" ca="1" si="297"/>
        <v/>
      </c>
      <c r="Q2325" s="2"/>
      <c r="R2325" s="2"/>
      <c r="S2325" s="1" t="str">
        <f t="shared" si="290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291"/>
        <v>0</v>
      </c>
      <c r="W2325" s="1" t="str">
        <f t="shared" si="292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customHeight="1" x14ac:dyDescent="0.3">
      <c r="A2326" s="2"/>
      <c r="B2326" s="65" t="str">
        <f t="shared" si="293"/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 t="shared" si="294"/>
        <v/>
      </c>
      <c r="N2326" s="74" t="str">
        <f t="shared" si="295"/>
        <v/>
      </c>
      <c r="O2326" s="73" t="str">
        <f t="shared" si="296"/>
        <v/>
      </c>
      <c r="P2326" s="65" t="str">
        <f t="shared" ca="1" si="297"/>
        <v/>
      </c>
      <c r="Q2326" s="2"/>
      <c r="R2326" s="2"/>
      <c r="S2326" s="1" t="str">
        <f t="shared" si="290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291"/>
        <v>0</v>
      </c>
      <c r="W2326" s="1" t="str">
        <f t="shared" si="292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customHeight="1" x14ac:dyDescent="0.3">
      <c r="A2327" s="2"/>
      <c r="B2327" s="65" t="str">
        <f t="shared" si="293"/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 t="shared" si="294"/>
        <v/>
      </c>
      <c r="N2327" s="74" t="str">
        <f t="shared" si="295"/>
        <v/>
      </c>
      <c r="O2327" s="73" t="str">
        <f t="shared" si="296"/>
        <v/>
      </c>
      <c r="P2327" s="65" t="str">
        <f t="shared" ca="1" si="297"/>
        <v/>
      </c>
      <c r="Q2327" s="2"/>
      <c r="R2327" s="2"/>
      <c r="S2327" s="1" t="str">
        <f t="shared" si="290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291"/>
        <v>0</v>
      </c>
      <c r="W2327" s="1" t="str">
        <f t="shared" si="292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customHeight="1" x14ac:dyDescent="0.3">
      <c r="A2328" s="2"/>
      <c r="B2328" s="65" t="str">
        <f t="shared" si="293"/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 t="shared" si="294"/>
        <v/>
      </c>
      <c r="N2328" s="74" t="str">
        <f t="shared" si="295"/>
        <v/>
      </c>
      <c r="O2328" s="73" t="str">
        <f t="shared" si="296"/>
        <v/>
      </c>
      <c r="P2328" s="65" t="str">
        <f t="shared" ca="1" si="297"/>
        <v/>
      </c>
      <c r="Q2328" s="2"/>
      <c r="R2328" s="2"/>
      <c r="S2328" s="1" t="str">
        <f t="shared" si="290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291"/>
        <v>0</v>
      </c>
      <c r="W2328" s="1" t="str">
        <f t="shared" si="292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customHeight="1" x14ac:dyDescent="0.3">
      <c r="A2329" s="2"/>
      <c r="B2329" s="65" t="str">
        <f t="shared" si="293"/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 t="shared" si="294"/>
        <v/>
      </c>
      <c r="N2329" s="74" t="str">
        <f t="shared" si="295"/>
        <v/>
      </c>
      <c r="O2329" s="73" t="str">
        <f t="shared" si="296"/>
        <v/>
      </c>
      <c r="P2329" s="65" t="str">
        <f t="shared" ca="1" si="297"/>
        <v/>
      </c>
      <c r="Q2329" s="2"/>
      <c r="R2329" s="2"/>
      <c r="S2329" s="1" t="str">
        <f t="shared" si="290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291"/>
        <v>0</v>
      </c>
      <c r="W2329" s="1" t="str">
        <f t="shared" si="292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customHeight="1" x14ac:dyDescent="0.3">
      <c r="A2330" s="2"/>
      <c r="B2330" s="65" t="str">
        <f t="shared" si="293"/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 t="shared" si="294"/>
        <v/>
      </c>
      <c r="N2330" s="74" t="str">
        <f t="shared" si="295"/>
        <v/>
      </c>
      <c r="O2330" s="73" t="str">
        <f t="shared" si="296"/>
        <v/>
      </c>
      <c r="P2330" s="65" t="str">
        <f t="shared" ca="1" si="297"/>
        <v/>
      </c>
      <c r="Q2330" s="2"/>
      <c r="R2330" s="2"/>
      <c r="S2330" s="1" t="str">
        <f t="shared" si="290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291"/>
        <v>0</v>
      </c>
      <c r="W2330" s="1" t="str">
        <f t="shared" si="292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customHeight="1" x14ac:dyDescent="0.3">
      <c r="A2331" s="2"/>
      <c r="B2331" s="65" t="str">
        <f t="shared" si="293"/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 t="shared" si="294"/>
        <v/>
      </c>
      <c r="N2331" s="74" t="str">
        <f t="shared" si="295"/>
        <v/>
      </c>
      <c r="O2331" s="73" t="str">
        <f t="shared" si="296"/>
        <v/>
      </c>
      <c r="P2331" s="65" t="str">
        <f t="shared" ca="1" si="297"/>
        <v/>
      </c>
      <c r="Q2331" s="2"/>
      <c r="R2331" s="2"/>
      <c r="S2331" s="1" t="str">
        <f t="shared" si="290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291"/>
        <v>0</v>
      </c>
      <c r="W2331" s="1" t="str">
        <f t="shared" si="292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customHeight="1" x14ac:dyDescent="0.3">
      <c r="A2332" s="2"/>
      <c r="B2332" s="65" t="str">
        <f t="shared" si="293"/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 t="shared" si="294"/>
        <v/>
      </c>
      <c r="N2332" s="74" t="str">
        <f t="shared" si="295"/>
        <v/>
      </c>
      <c r="O2332" s="73" t="str">
        <f t="shared" si="296"/>
        <v/>
      </c>
      <c r="P2332" s="65" t="str">
        <f t="shared" ca="1" si="297"/>
        <v/>
      </c>
      <c r="Q2332" s="2"/>
      <c r="R2332" s="2"/>
      <c r="S2332" s="1" t="str">
        <f t="shared" si="290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291"/>
        <v>0</v>
      </c>
      <c r="W2332" s="1" t="str">
        <f t="shared" si="292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customHeight="1" x14ac:dyDescent="0.3">
      <c r="A2333" s="2"/>
      <c r="B2333" s="65" t="str">
        <f t="shared" si="293"/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 t="shared" si="294"/>
        <v/>
      </c>
      <c r="N2333" s="74" t="str">
        <f t="shared" si="295"/>
        <v/>
      </c>
      <c r="O2333" s="73" t="str">
        <f t="shared" si="296"/>
        <v/>
      </c>
      <c r="P2333" s="65" t="str">
        <f t="shared" ca="1" si="297"/>
        <v/>
      </c>
      <c r="Q2333" s="2"/>
      <c r="R2333" s="2"/>
      <c r="S2333" s="1" t="str">
        <f t="shared" si="290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291"/>
        <v>0</v>
      </c>
      <c r="W2333" s="1" t="str">
        <f t="shared" si="292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customHeight="1" x14ac:dyDescent="0.3">
      <c r="A2334" s="2"/>
      <c r="B2334" s="65" t="str">
        <f t="shared" si="293"/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 t="shared" si="294"/>
        <v/>
      </c>
      <c r="N2334" s="74" t="str">
        <f t="shared" si="295"/>
        <v/>
      </c>
      <c r="O2334" s="73" t="str">
        <f t="shared" si="296"/>
        <v/>
      </c>
      <c r="P2334" s="65" t="str">
        <f t="shared" ca="1" si="297"/>
        <v/>
      </c>
      <c r="Q2334" s="2"/>
      <c r="R2334" s="2"/>
      <c r="S2334" s="1" t="str">
        <f t="shared" si="290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291"/>
        <v>0</v>
      </c>
      <c r="W2334" s="1" t="str">
        <f t="shared" si="292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customHeight="1" x14ac:dyDescent="0.3">
      <c r="A2335" s="2"/>
      <c r="B2335" s="65" t="str">
        <f t="shared" si="293"/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 t="shared" si="294"/>
        <v/>
      </c>
      <c r="N2335" s="74" t="str">
        <f t="shared" si="295"/>
        <v/>
      </c>
      <c r="O2335" s="73" t="str">
        <f t="shared" si="296"/>
        <v/>
      </c>
      <c r="P2335" s="65" t="str">
        <f t="shared" ca="1" si="297"/>
        <v/>
      </c>
      <c r="Q2335" s="2"/>
      <c r="R2335" s="2"/>
      <c r="S2335" s="1" t="str">
        <f t="shared" si="290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291"/>
        <v>0</v>
      </c>
      <c r="W2335" s="1" t="str">
        <f t="shared" si="292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customHeight="1" x14ac:dyDescent="0.3">
      <c r="A2336" s="2"/>
      <c r="B2336" s="65" t="str">
        <f t="shared" si="293"/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 t="shared" si="294"/>
        <v/>
      </c>
      <c r="N2336" s="74" t="str">
        <f t="shared" si="295"/>
        <v/>
      </c>
      <c r="O2336" s="73" t="str">
        <f t="shared" si="296"/>
        <v/>
      </c>
      <c r="P2336" s="65" t="str">
        <f t="shared" ca="1" si="297"/>
        <v/>
      </c>
      <c r="Q2336" s="2"/>
      <c r="R2336" s="2"/>
      <c r="S2336" s="1" t="str">
        <f t="shared" si="290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291"/>
        <v>0</v>
      </c>
      <c r="W2336" s="1" t="str">
        <f t="shared" si="292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customHeight="1" x14ac:dyDescent="0.3">
      <c r="A2337" s="2"/>
      <c r="B2337" s="65" t="str">
        <f t="shared" si="293"/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 t="shared" si="294"/>
        <v/>
      </c>
      <c r="N2337" s="74" t="str">
        <f t="shared" si="295"/>
        <v/>
      </c>
      <c r="O2337" s="73" t="str">
        <f t="shared" si="296"/>
        <v/>
      </c>
      <c r="P2337" s="65" t="str">
        <f t="shared" ca="1" si="297"/>
        <v/>
      </c>
      <c r="Q2337" s="2"/>
      <c r="R2337" s="2"/>
      <c r="S2337" s="1" t="str">
        <f t="shared" si="290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291"/>
        <v>0</v>
      </c>
      <c r="W2337" s="1" t="str">
        <f t="shared" si="292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customHeight="1" x14ac:dyDescent="0.3">
      <c r="A2338" s="2"/>
      <c r="B2338" s="65" t="str">
        <f t="shared" si="293"/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 t="shared" si="294"/>
        <v/>
      </c>
      <c r="N2338" s="74" t="str">
        <f t="shared" si="295"/>
        <v/>
      </c>
      <c r="O2338" s="73" t="str">
        <f t="shared" si="296"/>
        <v/>
      </c>
      <c r="P2338" s="65" t="str">
        <f t="shared" ca="1" si="297"/>
        <v/>
      </c>
      <c r="Q2338" s="2"/>
      <c r="R2338" s="2"/>
      <c r="S2338" s="1" t="str">
        <f t="shared" si="290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291"/>
        <v>0</v>
      </c>
      <c r="W2338" s="1" t="str">
        <f t="shared" si="292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customHeight="1" x14ac:dyDescent="0.3">
      <c r="A2339" s="2"/>
      <c r="B2339" s="65" t="str">
        <f t="shared" si="293"/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 t="shared" si="294"/>
        <v/>
      </c>
      <c r="N2339" s="74" t="str">
        <f t="shared" si="295"/>
        <v/>
      </c>
      <c r="O2339" s="73" t="str">
        <f t="shared" si="296"/>
        <v/>
      </c>
      <c r="P2339" s="65" t="str">
        <f t="shared" ca="1" si="297"/>
        <v/>
      </c>
      <c r="Q2339" s="2"/>
      <c r="R2339" s="2"/>
      <c r="S2339" s="1" t="str">
        <f t="shared" si="290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291"/>
        <v>0</v>
      </c>
      <c r="W2339" s="1" t="str">
        <f t="shared" si="292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customHeight="1" x14ac:dyDescent="0.3">
      <c r="A2340" s="2"/>
      <c r="B2340" s="65" t="str">
        <f t="shared" si="293"/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 t="shared" si="294"/>
        <v/>
      </c>
      <c r="N2340" s="74" t="str">
        <f t="shared" si="295"/>
        <v/>
      </c>
      <c r="O2340" s="73" t="str">
        <f t="shared" si="296"/>
        <v/>
      </c>
      <c r="P2340" s="65" t="str">
        <f t="shared" ca="1" si="297"/>
        <v/>
      </c>
      <c r="Q2340" s="2"/>
      <c r="R2340" s="2"/>
      <c r="S2340" s="1" t="str">
        <f t="shared" si="290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291"/>
        <v>0</v>
      </c>
      <c r="W2340" s="1" t="str">
        <f t="shared" si="292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customHeight="1" x14ac:dyDescent="0.3">
      <c r="A2341" s="2"/>
      <c r="B2341" s="65" t="str">
        <f t="shared" si="293"/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 t="shared" si="294"/>
        <v/>
      </c>
      <c r="N2341" s="74" t="str">
        <f t="shared" si="295"/>
        <v/>
      </c>
      <c r="O2341" s="73" t="str">
        <f t="shared" si="296"/>
        <v/>
      </c>
      <c r="P2341" s="65" t="str">
        <f t="shared" ca="1" si="297"/>
        <v/>
      </c>
      <c r="Q2341" s="2"/>
      <c r="R2341" s="2"/>
      <c r="S2341" s="1" t="str">
        <f t="shared" si="290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291"/>
        <v>0</v>
      </c>
      <c r="W2341" s="1" t="str">
        <f t="shared" si="292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customHeight="1" x14ac:dyDescent="0.3">
      <c r="A2342" s="2"/>
      <c r="B2342" s="65" t="str">
        <f t="shared" si="293"/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 t="shared" si="294"/>
        <v/>
      </c>
      <c r="N2342" s="74" t="str">
        <f t="shared" si="295"/>
        <v/>
      </c>
      <c r="O2342" s="73" t="str">
        <f t="shared" si="296"/>
        <v/>
      </c>
      <c r="P2342" s="65" t="str">
        <f t="shared" ca="1" si="297"/>
        <v/>
      </c>
      <c r="Q2342" s="2"/>
      <c r="R2342" s="2"/>
      <c r="S2342" s="1" t="str">
        <f t="shared" si="290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291"/>
        <v>0</v>
      </c>
      <c r="W2342" s="1" t="str">
        <f t="shared" si="292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customHeight="1" x14ac:dyDescent="0.3">
      <c r="A2343" s="2"/>
      <c r="B2343" s="65" t="str">
        <f t="shared" si="293"/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 t="shared" si="294"/>
        <v/>
      </c>
      <c r="N2343" s="74" t="str">
        <f t="shared" si="295"/>
        <v/>
      </c>
      <c r="O2343" s="73" t="str">
        <f t="shared" si="296"/>
        <v/>
      </c>
      <c r="P2343" s="65" t="str">
        <f t="shared" ca="1" si="297"/>
        <v/>
      </c>
      <c r="Q2343" s="2"/>
      <c r="R2343" s="2"/>
      <c r="S2343" s="1" t="str">
        <f t="shared" si="290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291"/>
        <v>0</v>
      </c>
      <c r="W2343" s="1" t="str">
        <f t="shared" si="292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customHeight="1" x14ac:dyDescent="0.3">
      <c r="A2344" s="2"/>
      <c r="B2344" s="65" t="str">
        <f t="shared" si="293"/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 t="shared" si="294"/>
        <v/>
      </c>
      <c r="N2344" s="74" t="str">
        <f t="shared" si="295"/>
        <v/>
      </c>
      <c r="O2344" s="73" t="str">
        <f t="shared" si="296"/>
        <v/>
      </c>
      <c r="P2344" s="65" t="str">
        <f t="shared" ca="1" si="297"/>
        <v/>
      </c>
      <c r="Q2344" s="2"/>
      <c r="R2344" s="2"/>
      <c r="S2344" s="1" t="str">
        <f t="shared" si="290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291"/>
        <v>0</v>
      </c>
      <c r="W2344" s="1" t="str">
        <f t="shared" si="292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customHeight="1" x14ac:dyDescent="0.3">
      <c r="A2345" s="2"/>
      <c r="B2345" s="65" t="str">
        <f t="shared" si="293"/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 t="shared" si="294"/>
        <v/>
      </c>
      <c r="N2345" s="74" t="str">
        <f t="shared" si="295"/>
        <v/>
      </c>
      <c r="O2345" s="73" t="str">
        <f t="shared" si="296"/>
        <v/>
      </c>
      <c r="P2345" s="65" t="str">
        <f t="shared" ca="1" si="297"/>
        <v/>
      </c>
      <c r="Q2345" s="2"/>
      <c r="R2345" s="2"/>
      <c r="S2345" s="1" t="str">
        <f t="shared" si="290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291"/>
        <v>0</v>
      </c>
      <c r="W2345" s="1" t="str">
        <f t="shared" si="292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customHeight="1" x14ac:dyDescent="0.3">
      <c r="A2346" s="2"/>
      <c r="B2346" s="65" t="str">
        <f t="shared" si="293"/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 t="shared" si="294"/>
        <v/>
      </c>
      <c r="N2346" s="74" t="str">
        <f t="shared" si="295"/>
        <v/>
      </c>
      <c r="O2346" s="73" t="str">
        <f t="shared" si="296"/>
        <v/>
      </c>
      <c r="P2346" s="65" t="str">
        <f t="shared" ca="1" si="297"/>
        <v/>
      </c>
      <c r="Q2346" s="2"/>
      <c r="R2346" s="2"/>
      <c r="S2346" s="1" t="str">
        <f t="shared" si="290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291"/>
        <v>0</v>
      </c>
      <c r="W2346" s="1" t="str">
        <f t="shared" si="292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customHeight="1" x14ac:dyDescent="0.3">
      <c r="A2347" s="2"/>
      <c r="B2347" s="65" t="str">
        <f t="shared" si="293"/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 t="shared" si="294"/>
        <v/>
      </c>
      <c r="N2347" s="74" t="str">
        <f t="shared" si="295"/>
        <v/>
      </c>
      <c r="O2347" s="73" t="str">
        <f t="shared" si="296"/>
        <v/>
      </c>
      <c r="P2347" s="65" t="str">
        <f t="shared" ca="1" si="297"/>
        <v/>
      </c>
      <c r="Q2347" s="2"/>
      <c r="R2347" s="2"/>
      <c r="S2347" s="1" t="str">
        <f t="shared" si="290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291"/>
        <v>0</v>
      </c>
      <c r="W2347" s="1" t="str">
        <f t="shared" si="292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customHeight="1" x14ac:dyDescent="0.3">
      <c r="A2348" s="2"/>
      <c r="B2348" s="65" t="str">
        <f t="shared" si="293"/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 t="shared" si="294"/>
        <v/>
      </c>
      <c r="N2348" s="74" t="str">
        <f t="shared" si="295"/>
        <v/>
      </c>
      <c r="O2348" s="73" t="str">
        <f t="shared" si="296"/>
        <v/>
      </c>
      <c r="P2348" s="65" t="str">
        <f t="shared" ca="1" si="297"/>
        <v/>
      </c>
      <c r="Q2348" s="2"/>
      <c r="R2348" s="2"/>
      <c r="S2348" s="1" t="str">
        <f t="shared" si="290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291"/>
        <v>0</v>
      </c>
      <c r="W2348" s="1" t="str">
        <f t="shared" si="292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customHeight="1" x14ac:dyDescent="0.3">
      <c r="A2349" s="2"/>
      <c r="B2349" s="65" t="str">
        <f t="shared" si="293"/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 t="shared" si="294"/>
        <v/>
      </c>
      <c r="N2349" s="74" t="str">
        <f t="shared" si="295"/>
        <v/>
      </c>
      <c r="O2349" s="73" t="str">
        <f t="shared" si="296"/>
        <v/>
      </c>
      <c r="P2349" s="65" t="str">
        <f t="shared" ca="1" si="297"/>
        <v/>
      </c>
      <c r="Q2349" s="2"/>
      <c r="R2349" s="2"/>
      <c r="S2349" s="1" t="str">
        <f t="shared" si="290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291"/>
        <v>0</v>
      </c>
      <c r="W2349" s="1" t="str">
        <f t="shared" si="292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customHeight="1" x14ac:dyDescent="0.3">
      <c r="A2350" s="2"/>
      <c r="B2350" s="65" t="str">
        <f t="shared" si="293"/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 t="shared" si="294"/>
        <v/>
      </c>
      <c r="N2350" s="74" t="str">
        <f t="shared" si="295"/>
        <v/>
      </c>
      <c r="O2350" s="73" t="str">
        <f t="shared" si="296"/>
        <v/>
      </c>
      <c r="P2350" s="65" t="str">
        <f t="shared" ca="1" si="297"/>
        <v/>
      </c>
      <c r="Q2350" s="2"/>
      <c r="R2350" s="2"/>
      <c r="S2350" s="1" t="str">
        <f t="shared" si="290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291"/>
        <v>0</v>
      </c>
      <c r="W2350" s="1" t="str">
        <f t="shared" si="292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customHeight="1" x14ac:dyDescent="0.3">
      <c r="A2351" s="2"/>
      <c r="B2351" s="65" t="str">
        <f t="shared" si="293"/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 t="shared" si="294"/>
        <v/>
      </c>
      <c r="N2351" s="74" t="str">
        <f t="shared" si="295"/>
        <v/>
      </c>
      <c r="O2351" s="73" t="str">
        <f t="shared" si="296"/>
        <v/>
      </c>
      <c r="P2351" s="65" t="str">
        <f t="shared" ca="1" si="297"/>
        <v/>
      </c>
      <c r="Q2351" s="2"/>
      <c r="R2351" s="2"/>
      <c r="S2351" s="1" t="str">
        <f t="shared" si="290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291"/>
        <v>0</v>
      </c>
      <c r="W2351" s="1" t="str">
        <f t="shared" si="292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customHeight="1" x14ac:dyDescent="0.3">
      <c r="A2352" s="2"/>
      <c r="B2352" s="65" t="str">
        <f t="shared" si="293"/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 t="shared" si="294"/>
        <v/>
      </c>
      <c r="N2352" s="74" t="str">
        <f t="shared" si="295"/>
        <v/>
      </c>
      <c r="O2352" s="73" t="str">
        <f t="shared" si="296"/>
        <v/>
      </c>
      <c r="P2352" s="65" t="str">
        <f t="shared" ca="1" si="297"/>
        <v/>
      </c>
      <c r="Q2352" s="2"/>
      <c r="R2352" s="2"/>
      <c r="S2352" s="1" t="str">
        <f t="shared" si="290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291"/>
        <v>0</v>
      </c>
      <c r="W2352" s="1" t="str">
        <f t="shared" si="292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customHeight="1" x14ac:dyDescent="0.3">
      <c r="A2353" s="2"/>
      <c r="B2353" s="65" t="str">
        <f t="shared" si="293"/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 t="shared" si="294"/>
        <v/>
      </c>
      <c r="N2353" s="74" t="str">
        <f t="shared" si="295"/>
        <v/>
      </c>
      <c r="O2353" s="73" t="str">
        <f t="shared" si="296"/>
        <v/>
      </c>
      <c r="P2353" s="65" t="str">
        <f t="shared" ca="1" si="297"/>
        <v/>
      </c>
      <c r="Q2353" s="2"/>
      <c r="R2353" s="2"/>
      <c r="S2353" s="1" t="str">
        <f t="shared" si="290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291"/>
        <v>0</v>
      </c>
      <c r="W2353" s="1" t="str">
        <f t="shared" si="292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customHeight="1" x14ac:dyDescent="0.3">
      <c r="A2354" s="2"/>
      <c r="B2354" s="65" t="str">
        <f t="shared" si="293"/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 t="shared" si="294"/>
        <v/>
      </c>
      <c r="N2354" s="74" t="str">
        <f t="shared" si="295"/>
        <v/>
      </c>
      <c r="O2354" s="73" t="str">
        <f t="shared" si="296"/>
        <v/>
      </c>
      <c r="P2354" s="65" t="str">
        <f t="shared" ca="1" si="297"/>
        <v/>
      </c>
      <c r="Q2354" s="2"/>
      <c r="R2354" s="2"/>
      <c r="S2354" s="1" t="str">
        <f t="shared" si="290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291"/>
        <v>0</v>
      </c>
      <c r="W2354" s="1" t="str">
        <f t="shared" si="292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customHeight="1" x14ac:dyDescent="0.3">
      <c r="A2355" s="2"/>
      <c r="B2355" s="65" t="str">
        <f t="shared" si="293"/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 t="shared" si="294"/>
        <v/>
      </c>
      <c r="N2355" s="74" t="str">
        <f t="shared" si="295"/>
        <v/>
      </c>
      <c r="O2355" s="73" t="str">
        <f t="shared" si="296"/>
        <v/>
      </c>
      <c r="P2355" s="65" t="str">
        <f t="shared" ca="1" si="297"/>
        <v/>
      </c>
      <c r="Q2355" s="2"/>
      <c r="R2355" s="2"/>
      <c r="S2355" s="1" t="str">
        <f t="shared" si="290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291"/>
        <v>0</v>
      </c>
      <c r="W2355" s="1" t="str">
        <f t="shared" si="292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customHeight="1" x14ac:dyDescent="0.3">
      <c r="A2356" s="2"/>
      <c r="B2356" s="65" t="str">
        <f t="shared" si="293"/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 t="shared" si="294"/>
        <v/>
      </c>
      <c r="N2356" s="74" t="str">
        <f t="shared" si="295"/>
        <v/>
      </c>
      <c r="O2356" s="73" t="str">
        <f t="shared" si="296"/>
        <v/>
      </c>
      <c r="P2356" s="65" t="str">
        <f t="shared" ca="1" si="297"/>
        <v/>
      </c>
      <c r="Q2356" s="2"/>
      <c r="R2356" s="2"/>
      <c r="S2356" s="1" t="str">
        <f t="shared" si="290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291"/>
        <v>0</v>
      </c>
      <c r="W2356" s="1" t="str">
        <f t="shared" si="292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customHeight="1" x14ac:dyDescent="0.3">
      <c r="A2357" s="2"/>
      <c r="B2357" s="65" t="str">
        <f t="shared" si="293"/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 t="shared" si="294"/>
        <v/>
      </c>
      <c r="N2357" s="74" t="str">
        <f t="shared" si="295"/>
        <v/>
      </c>
      <c r="O2357" s="73" t="str">
        <f t="shared" si="296"/>
        <v/>
      </c>
      <c r="P2357" s="65" t="str">
        <f t="shared" ca="1" si="297"/>
        <v/>
      </c>
      <c r="Q2357" s="2"/>
      <c r="R2357" s="2"/>
      <c r="S2357" s="1" t="str">
        <f t="shared" si="290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291"/>
        <v>0</v>
      </c>
      <c r="W2357" s="1" t="str">
        <f t="shared" si="292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customHeight="1" x14ac:dyDescent="0.3">
      <c r="A2358" s="2"/>
      <c r="B2358" s="65" t="str">
        <f t="shared" si="293"/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 t="shared" si="294"/>
        <v/>
      </c>
      <c r="N2358" s="74" t="str">
        <f t="shared" si="295"/>
        <v/>
      </c>
      <c r="O2358" s="73" t="str">
        <f t="shared" si="296"/>
        <v/>
      </c>
      <c r="P2358" s="65" t="str">
        <f t="shared" ca="1" si="297"/>
        <v/>
      </c>
      <c r="Q2358" s="2"/>
      <c r="R2358" s="2"/>
      <c r="S2358" s="1" t="str">
        <f t="shared" si="290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291"/>
        <v>0</v>
      </c>
      <c r="W2358" s="1" t="str">
        <f t="shared" si="292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customHeight="1" x14ac:dyDescent="0.3">
      <c r="A2359" s="2"/>
      <c r="B2359" s="65" t="str">
        <f t="shared" si="293"/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 t="shared" si="294"/>
        <v/>
      </c>
      <c r="N2359" s="74" t="str">
        <f t="shared" si="295"/>
        <v/>
      </c>
      <c r="O2359" s="73" t="str">
        <f t="shared" si="296"/>
        <v/>
      </c>
      <c r="P2359" s="65" t="str">
        <f t="shared" ca="1" si="297"/>
        <v/>
      </c>
      <c r="Q2359" s="2"/>
      <c r="R2359" s="2"/>
      <c r="S2359" s="1" t="str">
        <f t="shared" si="290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291"/>
        <v>0</v>
      </c>
      <c r="W2359" s="1" t="str">
        <f t="shared" si="292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customHeight="1" x14ac:dyDescent="0.3">
      <c r="A2360" s="2"/>
      <c r="B2360" s="65" t="str">
        <f t="shared" si="293"/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 t="shared" si="294"/>
        <v/>
      </c>
      <c r="N2360" s="74" t="str">
        <f t="shared" si="295"/>
        <v/>
      </c>
      <c r="O2360" s="73" t="str">
        <f t="shared" si="296"/>
        <v/>
      </c>
      <c r="P2360" s="65" t="str">
        <f t="shared" ca="1" si="297"/>
        <v/>
      </c>
      <c r="Q2360" s="2"/>
      <c r="R2360" s="2"/>
      <c r="S2360" s="1" t="str">
        <f t="shared" si="290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291"/>
        <v>0</v>
      </c>
      <c r="W2360" s="1" t="str">
        <f t="shared" si="292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customHeight="1" x14ac:dyDescent="0.3">
      <c r="A2361" s="2"/>
      <c r="B2361" s="65" t="str">
        <f t="shared" si="293"/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 t="shared" si="294"/>
        <v/>
      </c>
      <c r="N2361" s="74" t="str">
        <f t="shared" si="295"/>
        <v/>
      </c>
      <c r="O2361" s="73" t="str">
        <f t="shared" si="296"/>
        <v/>
      </c>
      <c r="P2361" s="65" t="str">
        <f t="shared" ca="1" si="297"/>
        <v/>
      </c>
      <c r="Q2361" s="2"/>
      <c r="R2361" s="2"/>
      <c r="S2361" s="1" t="str">
        <f t="shared" si="290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291"/>
        <v>0</v>
      </c>
      <c r="W2361" s="1" t="str">
        <f t="shared" si="292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customHeight="1" x14ac:dyDescent="0.3">
      <c r="A2362" s="2"/>
      <c r="B2362" s="65" t="str">
        <f t="shared" si="293"/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 t="shared" si="294"/>
        <v/>
      </c>
      <c r="N2362" s="74" t="str">
        <f t="shared" si="295"/>
        <v/>
      </c>
      <c r="O2362" s="73" t="str">
        <f t="shared" si="296"/>
        <v/>
      </c>
      <c r="P2362" s="65" t="str">
        <f t="shared" ca="1" si="297"/>
        <v/>
      </c>
      <c r="Q2362" s="2"/>
      <c r="R2362" s="2"/>
      <c r="S2362" s="1" t="str">
        <f t="shared" si="290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291"/>
        <v>0</v>
      </c>
      <c r="W2362" s="1" t="str">
        <f t="shared" si="292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customHeight="1" x14ac:dyDescent="0.3">
      <c r="A2363" s="2"/>
      <c r="B2363" s="65" t="str">
        <f t="shared" si="293"/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 t="shared" si="294"/>
        <v/>
      </c>
      <c r="N2363" s="74" t="str">
        <f t="shared" si="295"/>
        <v/>
      </c>
      <c r="O2363" s="73" t="str">
        <f t="shared" si="296"/>
        <v/>
      </c>
      <c r="P2363" s="65" t="str">
        <f t="shared" ca="1" si="297"/>
        <v/>
      </c>
      <c r="Q2363" s="2"/>
      <c r="R2363" s="2"/>
      <c r="S2363" s="1" t="str">
        <f t="shared" si="290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291"/>
        <v>0</v>
      </c>
      <c r="W2363" s="1" t="str">
        <f t="shared" si="292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customHeight="1" x14ac:dyDescent="0.3">
      <c r="A2364" s="2"/>
      <c r="B2364" s="65" t="str">
        <f t="shared" si="293"/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 t="shared" si="294"/>
        <v/>
      </c>
      <c r="N2364" s="74" t="str">
        <f t="shared" si="295"/>
        <v/>
      </c>
      <c r="O2364" s="73" t="str">
        <f t="shared" si="296"/>
        <v/>
      </c>
      <c r="P2364" s="65" t="str">
        <f t="shared" ca="1" si="297"/>
        <v/>
      </c>
      <c r="Q2364" s="2"/>
      <c r="R2364" s="2"/>
      <c r="S2364" s="1" t="str">
        <f t="shared" si="290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291"/>
        <v>0</v>
      </c>
      <c r="W2364" s="1" t="str">
        <f t="shared" si="292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customHeight="1" x14ac:dyDescent="0.3">
      <c r="A2365" s="2"/>
      <c r="B2365" s="65" t="str">
        <f t="shared" si="293"/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 t="shared" si="294"/>
        <v/>
      </c>
      <c r="N2365" s="74" t="str">
        <f t="shared" si="295"/>
        <v/>
      </c>
      <c r="O2365" s="73" t="str">
        <f t="shared" si="296"/>
        <v/>
      </c>
      <c r="P2365" s="65" t="str">
        <f t="shared" ca="1" si="297"/>
        <v/>
      </c>
      <c r="Q2365" s="2"/>
      <c r="R2365" s="2"/>
      <c r="S2365" s="1" t="str">
        <f t="shared" si="290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291"/>
        <v>0</v>
      </c>
      <c r="W2365" s="1" t="str">
        <f t="shared" si="292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customHeight="1" x14ac:dyDescent="0.3">
      <c r="A2366" s="2"/>
      <c r="B2366" s="65" t="str">
        <f t="shared" si="293"/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 t="shared" si="294"/>
        <v/>
      </c>
      <c r="N2366" s="74" t="str">
        <f t="shared" si="295"/>
        <v/>
      </c>
      <c r="O2366" s="73" t="str">
        <f t="shared" si="296"/>
        <v/>
      </c>
      <c r="P2366" s="65" t="str">
        <f t="shared" ca="1" si="297"/>
        <v/>
      </c>
      <c r="Q2366" s="2"/>
      <c r="R2366" s="2"/>
      <c r="S2366" s="1" t="str">
        <f t="shared" si="290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291"/>
        <v>0</v>
      </c>
      <c r="W2366" s="1" t="str">
        <f t="shared" si="292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customHeight="1" x14ac:dyDescent="0.3">
      <c r="A2367" s="2"/>
      <c r="B2367" s="65" t="str">
        <f t="shared" si="293"/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 t="shared" si="294"/>
        <v/>
      </c>
      <c r="N2367" s="74" t="str">
        <f t="shared" si="295"/>
        <v/>
      </c>
      <c r="O2367" s="73" t="str">
        <f t="shared" si="296"/>
        <v/>
      </c>
      <c r="P2367" s="65" t="str">
        <f t="shared" ca="1" si="297"/>
        <v/>
      </c>
      <c r="Q2367" s="2"/>
      <c r="R2367" s="2"/>
      <c r="S2367" s="1" t="str">
        <f t="shared" si="290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291"/>
        <v>0</v>
      </c>
      <c r="W2367" s="1" t="str">
        <f t="shared" si="292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customHeight="1" x14ac:dyDescent="0.3">
      <c r="A2368" s="2"/>
      <c r="B2368" s="65" t="str">
        <f t="shared" si="293"/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 t="shared" si="294"/>
        <v/>
      </c>
      <c r="N2368" s="74" t="str">
        <f t="shared" si="295"/>
        <v/>
      </c>
      <c r="O2368" s="73" t="str">
        <f t="shared" si="296"/>
        <v/>
      </c>
      <c r="P2368" s="65" t="str">
        <f t="shared" ca="1" si="297"/>
        <v/>
      </c>
      <c r="Q2368" s="2"/>
      <c r="R2368" s="2"/>
      <c r="S2368" s="1" t="str">
        <f t="shared" si="290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291"/>
        <v>0</v>
      </c>
      <c r="W2368" s="1" t="str">
        <f t="shared" si="292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customHeight="1" x14ac:dyDescent="0.3">
      <c r="A2369" s="2"/>
      <c r="B2369" s="65" t="str">
        <f t="shared" si="293"/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 t="shared" si="294"/>
        <v/>
      </c>
      <c r="N2369" s="74" t="str">
        <f t="shared" si="295"/>
        <v/>
      </c>
      <c r="O2369" s="73" t="str">
        <f t="shared" si="296"/>
        <v/>
      </c>
      <c r="P2369" s="65" t="str">
        <f t="shared" ca="1" si="297"/>
        <v/>
      </c>
      <c r="Q2369" s="2"/>
      <c r="R2369" s="2"/>
      <c r="S2369" s="1" t="str">
        <f t="shared" si="290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291"/>
        <v>0</v>
      </c>
      <c r="W2369" s="1" t="str">
        <f t="shared" si="292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customHeight="1" x14ac:dyDescent="0.3">
      <c r="A2370" s="2"/>
      <c r="B2370" s="65" t="str">
        <f t="shared" si="293"/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 t="shared" si="294"/>
        <v/>
      </c>
      <c r="N2370" s="74" t="str">
        <f t="shared" si="295"/>
        <v/>
      </c>
      <c r="O2370" s="73" t="str">
        <f t="shared" si="296"/>
        <v/>
      </c>
      <c r="P2370" s="65" t="str">
        <f t="shared" ca="1" si="297"/>
        <v/>
      </c>
      <c r="Q2370" s="2"/>
      <c r="R2370" s="2"/>
      <c r="S2370" s="1" t="str">
        <f t="shared" si="290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291"/>
        <v>0</v>
      </c>
      <c r="W2370" s="1" t="str">
        <f t="shared" si="292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customHeight="1" x14ac:dyDescent="0.3">
      <c r="A2371" s="2"/>
      <c r="B2371" s="65" t="str">
        <f t="shared" si="293"/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 t="shared" si="294"/>
        <v/>
      </c>
      <c r="N2371" s="74" t="str">
        <f t="shared" si="295"/>
        <v/>
      </c>
      <c r="O2371" s="73" t="str">
        <f t="shared" si="296"/>
        <v/>
      </c>
      <c r="P2371" s="65" t="str">
        <f t="shared" ca="1" si="297"/>
        <v/>
      </c>
      <c r="Q2371" s="2"/>
      <c r="R2371" s="2"/>
      <c r="S2371" s="1" t="str">
        <f t="shared" si="290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291"/>
        <v>0</v>
      </c>
      <c r="W2371" s="1" t="str">
        <f t="shared" si="292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customHeight="1" x14ac:dyDescent="0.3">
      <c r="A2372" s="2"/>
      <c r="B2372" s="65" t="str">
        <f t="shared" si="293"/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 t="shared" si="294"/>
        <v/>
      </c>
      <c r="N2372" s="74" t="str">
        <f t="shared" si="295"/>
        <v/>
      </c>
      <c r="O2372" s="73" t="str">
        <f t="shared" si="296"/>
        <v/>
      </c>
      <c r="P2372" s="65" t="str">
        <f t="shared" ca="1" si="297"/>
        <v/>
      </c>
      <c r="Q2372" s="2"/>
      <c r="R2372" s="2"/>
      <c r="S2372" s="1" t="str">
        <f t="shared" si="290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291"/>
        <v>0</v>
      </c>
      <c r="W2372" s="1" t="str">
        <f t="shared" si="292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customHeight="1" x14ac:dyDescent="0.3">
      <c r="A2373" s="2"/>
      <c r="B2373" s="65" t="str">
        <f t="shared" si="293"/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 t="shared" si="294"/>
        <v/>
      </c>
      <c r="N2373" s="74" t="str">
        <f t="shared" si="295"/>
        <v/>
      </c>
      <c r="O2373" s="73" t="str">
        <f t="shared" si="296"/>
        <v/>
      </c>
      <c r="P2373" s="65" t="str">
        <f t="shared" ca="1" si="297"/>
        <v/>
      </c>
      <c r="Q2373" s="2"/>
      <c r="R2373" s="2"/>
      <c r="S2373" s="1" t="str">
        <f t="shared" ref="S2373:S2436" si="298"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ref="V2373:V2436" si="299">IF($T2373="",0,1)</f>
        <v>0</v>
      </c>
      <c r="W2373" s="1" t="str">
        <f t="shared" ref="W2373:W2436" si="300">IF($C2373="","",$D2373&amp;"|"&amp;$E2373&amp;"|"&amp;TEXT($C2373,"0")&amp;"|"&amp;TEXT($G2373,"0")&amp;"|"&amp;$F2373&amp;"|"&amp;$J2373)</f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customHeight="1" x14ac:dyDescent="0.3">
      <c r="A2374" s="2"/>
      <c r="B2374" s="65" t="str">
        <f t="shared" si="293"/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 t="shared" si="294"/>
        <v/>
      </c>
      <c r="N2374" s="74" t="str">
        <f t="shared" si="295"/>
        <v/>
      </c>
      <c r="O2374" s="73" t="str">
        <f t="shared" si="296"/>
        <v/>
      </c>
      <c r="P2374" s="65" t="str">
        <f t="shared" ca="1" si="297"/>
        <v/>
      </c>
      <c r="Q2374" s="2"/>
      <c r="R2374" s="2"/>
      <c r="S2374" s="1" t="str">
        <f t="shared" si="298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299"/>
        <v>0</v>
      </c>
      <c r="W2374" s="1" t="str">
        <f t="shared" si="300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customHeight="1" x14ac:dyDescent="0.3">
      <c r="A2375" s="2"/>
      <c r="B2375" s="65" t="str">
        <f t="shared" ref="B2375:B2438" si="301"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 t="shared" ref="M2375:M2438" si="302">IF($C2375="","",IF($D2375="Gider",$E2375,IF($L2375&lt;&gt;"",$L2375,$H2375)))</f>
        <v/>
      </c>
      <c r="N2375" s="74" t="str">
        <f t="shared" ref="N2375:N2438" si="303">IF($C2375="","",IF($D2375="Gider",$H2375,$E2375))</f>
        <v/>
      </c>
      <c r="O2375" s="73" t="str">
        <f t="shared" ref="O2375:O2438" si="304">IF($C2375="","",DATE(YEAR($C2375),MONTH($C2375),1))</f>
        <v/>
      </c>
      <c r="P2375" s="65" t="str">
        <f t="shared" ref="P2375:P2438" ca="1" si="305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TARİH",IF(COUNTIF($W$7:$W$3001,$W2375)&gt;1,"MÜKERRER?",IF($AD2375&gt;0,"KAPALI DÖNEM",IF($I2375="Hayır","ÖDENECEK","UYGUN")))),"EKSİK"))))</f>
        <v/>
      </c>
      <c r="Q2375" s="2"/>
      <c r="R2375" s="2"/>
      <c r="S2375" s="1" t="str">
        <f t="shared" si="298"/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si="299"/>
        <v>0</v>
      </c>
      <c r="W2375" s="1" t="str">
        <f t="shared" si="300"/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customHeight="1" x14ac:dyDescent="0.3">
      <c r="A2376" s="2"/>
      <c r="B2376" s="65" t="str">
        <f t="shared" si="301"/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 t="shared" si="302"/>
        <v/>
      </c>
      <c r="N2376" s="74" t="str">
        <f t="shared" si="303"/>
        <v/>
      </c>
      <c r="O2376" s="73" t="str">
        <f t="shared" si="304"/>
        <v/>
      </c>
      <c r="P2376" s="65" t="str">
        <f t="shared" ca="1" si="305"/>
        <v/>
      </c>
      <c r="Q2376" s="2"/>
      <c r="R2376" s="2"/>
      <c r="S2376" s="1" t="str">
        <f t="shared" si="298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299"/>
        <v>0</v>
      </c>
      <c r="W2376" s="1" t="str">
        <f t="shared" si="300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customHeight="1" x14ac:dyDescent="0.3">
      <c r="A2377" s="2"/>
      <c r="B2377" s="65" t="str">
        <f t="shared" si="301"/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 t="shared" si="302"/>
        <v/>
      </c>
      <c r="N2377" s="74" t="str">
        <f t="shared" si="303"/>
        <v/>
      </c>
      <c r="O2377" s="73" t="str">
        <f t="shared" si="304"/>
        <v/>
      </c>
      <c r="P2377" s="65" t="str">
        <f t="shared" ca="1" si="305"/>
        <v/>
      </c>
      <c r="Q2377" s="2"/>
      <c r="R2377" s="2"/>
      <c r="S2377" s="1" t="str">
        <f t="shared" si="298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299"/>
        <v>0</v>
      </c>
      <c r="W2377" s="1" t="str">
        <f t="shared" si="300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customHeight="1" x14ac:dyDescent="0.3">
      <c r="A2378" s="2"/>
      <c r="B2378" s="65" t="str">
        <f t="shared" si="301"/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 t="shared" si="302"/>
        <v/>
      </c>
      <c r="N2378" s="74" t="str">
        <f t="shared" si="303"/>
        <v/>
      </c>
      <c r="O2378" s="73" t="str">
        <f t="shared" si="304"/>
        <v/>
      </c>
      <c r="P2378" s="65" t="str">
        <f t="shared" ca="1" si="305"/>
        <v/>
      </c>
      <c r="Q2378" s="2"/>
      <c r="R2378" s="2"/>
      <c r="S2378" s="1" t="str">
        <f t="shared" si="298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299"/>
        <v>0</v>
      </c>
      <c r="W2378" s="1" t="str">
        <f t="shared" si="300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customHeight="1" x14ac:dyDescent="0.3">
      <c r="A2379" s="2"/>
      <c r="B2379" s="65" t="str">
        <f t="shared" si="301"/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 t="shared" si="302"/>
        <v/>
      </c>
      <c r="N2379" s="74" t="str">
        <f t="shared" si="303"/>
        <v/>
      </c>
      <c r="O2379" s="73" t="str">
        <f t="shared" si="304"/>
        <v/>
      </c>
      <c r="P2379" s="65" t="str">
        <f t="shared" ca="1" si="305"/>
        <v/>
      </c>
      <c r="Q2379" s="2"/>
      <c r="R2379" s="2"/>
      <c r="S2379" s="1" t="str">
        <f t="shared" si="298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299"/>
        <v>0</v>
      </c>
      <c r="W2379" s="1" t="str">
        <f t="shared" si="300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customHeight="1" x14ac:dyDescent="0.3">
      <c r="A2380" s="2"/>
      <c r="B2380" s="65" t="str">
        <f t="shared" si="301"/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 t="shared" si="302"/>
        <v/>
      </c>
      <c r="N2380" s="74" t="str">
        <f t="shared" si="303"/>
        <v/>
      </c>
      <c r="O2380" s="73" t="str">
        <f t="shared" si="304"/>
        <v/>
      </c>
      <c r="P2380" s="65" t="str">
        <f t="shared" ca="1" si="305"/>
        <v/>
      </c>
      <c r="Q2380" s="2"/>
      <c r="R2380" s="2"/>
      <c r="S2380" s="1" t="str">
        <f t="shared" si="298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299"/>
        <v>0</v>
      </c>
      <c r="W2380" s="1" t="str">
        <f t="shared" si="300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customHeight="1" x14ac:dyDescent="0.3">
      <c r="A2381" s="2"/>
      <c r="B2381" s="65" t="str">
        <f t="shared" si="301"/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 t="shared" si="302"/>
        <v/>
      </c>
      <c r="N2381" s="74" t="str">
        <f t="shared" si="303"/>
        <v/>
      </c>
      <c r="O2381" s="73" t="str">
        <f t="shared" si="304"/>
        <v/>
      </c>
      <c r="P2381" s="65" t="str">
        <f t="shared" ca="1" si="305"/>
        <v/>
      </c>
      <c r="Q2381" s="2"/>
      <c r="R2381" s="2"/>
      <c r="S2381" s="1" t="str">
        <f t="shared" si="298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299"/>
        <v>0</v>
      </c>
      <c r="W2381" s="1" t="str">
        <f t="shared" si="300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customHeight="1" x14ac:dyDescent="0.3">
      <c r="A2382" s="2"/>
      <c r="B2382" s="65" t="str">
        <f t="shared" si="301"/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 t="shared" si="302"/>
        <v/>
      </c>
      <c r="N2382" s="74" t="str">
        <f t="shared" si="303"/>
        <v/>
      </c>
      <c r="O2382" s="73" t="str">
        <f t="shared" si="304"/>
        <v/>
      </c>
      <c r="P2382" s="65" t="str">
        <f t="shared" ca="1" si="305"/>
        <v/>
      </c>
      <c r="Q2382" s="2"/>
      <c r="R2382" s="2"/>
      <c r="S2382" s="1" t="str">
        <f t="shared" si="298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299"/>
        <v>0</v>
      </c>
      <c r="W2382" s="1" t="str">
        <f t="shared" si="300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customHeight="1" x14ac:dyDescent="0.3">
      <c r="A2383" s="2"/>
      <c r="B2383" s="65" t="str">
        <f t="shared" si="301"/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 t="shared" si="302"/>
        <v/>
      </c>
      <c r="N2383" s="74" t="str">
        <f t="shared" si="303"/>
        <v/>
      </c>
      <c r="O2383" s="73" t="str">
        <f t="shared" si="304"/>
        <v/>
      </c>
      <c r="P2383" s="65" t="str">
        <f t="shared" ca="1" si="305"/>
        <v/>
      </c>
      <c r="Q2383" s="2"/>
      <c r="R2383" s="2"/>
      <c r="S2383" s="1" t="str">
        <f t="shared" si="298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299"/>
        <v>0</v>
      </c>
      <c r="W2383" s="1" t="str">
        <f t="shared" si="300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customHeight="1" x14ac:dyDescent="0.3">
      <c r="A2384" s="2"/>
      <c r="B2384" s="65" t="str">
        <f t="shared" si="301"/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 t="shared" si="302"/>
        <v/>
      </c>
      <c r="N2384" s="74" t="str">
        <f t="shared" si="303"/>
        <v/>
      </c>
      <c r="O2384" s="73" t="str">
        <f t="shared" si="304"/>
        <v/>
      </c>
      <c r="P2384" s="65" t="str">
        <f t="shared" ca="1" si="305"/>
        <v/>
      </c>
      <c r="Q2384" s="2"/>
      <c r="R2384" s="2"/>
      <c r="S2384" s="1" t="str">
        <f t="shared" si="298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299"/>
        <v>0</v>
      </c>
      <c r="W2384" s="1" t="str">
        <f t="shared" si="300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customHeight="1" x14ac:dyDescent="0.3">
      <c r="A2385" s="2"/>
      <c r="B2385" s="65" t="str">
        <f t="shared" si="301"/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 t="shared" si="302"/>
        <v/>
      </c>
      <c r="N2385" s="74" t="str">
        <f t="shared" si="303"/>
        <v/>
      </c>
      <c r="O2385" s="73" t="str">
        <f t="shared" si="304"/>
        <v/>
      </c>
      <c r="P2385" s="65" t="str">
        <f t="shared" ca="1" si="305"/>
        <v/>
      </c>
      <c r="Q2385" s="2"/>
      <c r="R2385" s="2"/>
      <c r="S2385" s="1" t="str">
        <f t="shared" si="298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299"/>
        <v>0</v>
      </c>
      <c r="W2385" s="1" t="str">
        <f t="shared" si="300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customHeight="1" x14ac:dyDescent="0.3">
      <c r="A2386" s="2"/>
      <c r="B2386" s="65" t="str">
        <f t="shared" si="301"/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 t="shared" si="302"/>
        <v/>
      </c>
      <c r="N2386" s="74" t="str">
        <f t="shared" si="303"/>
        <v/>
      </c>
      <c r="O2386" s="73" t="str">
        <f t="shared" si="304"/>
        <v/>
      </c>
      <c r="P2386" s="65" t="str">
        <f t="shared" ca="1" si="305"/>
        <v/>
      </c>
      <c r="Q2386" s="2"/>
      <c r="R2386" s="2"/>
      <c r="S2386" s="1" t="str">
        <f t="shared" si="298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299"/>
        <v>0</v>
      </c>
      <c r="W2386" s="1" t="str">
        <f t="shared" si="300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customHeight="1" x14ac:dyDescent="0.3">
      <c r="A2387" s="2"/>
      <c r="B2387" s="65" t="str">
        <f t="shared" si="301"/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 t="shared" si="302"/>
        <v/>
      </c>
      <c r="N2387" s="74" t="str">
        <f t="shared" si="303"/>
        <v/>
      </c>
      <c r="O2387" s="73" t="str">
        <f t="shared" si="304"/>
        <v/>
      </c>
      <c r="P2387" s="65" t="str">
        <f t="shared" ca="1" si="305"/>
        <v/>
      </c>
      <c r="Q2387" s="2"/>
      <c r="R2387" s="2"/>
      <c r="S2387" s="1" t="str">
        <f t="shared" si="298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299"/>
        <v>0</v>
      </c>
      <c r="W2387" s="1" t="str">
        <f t="shared" si="300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customHeight="1" x14ac:dyDescent="0.3">
      <c r="A2388" s="2"/>
      <c r="B2388" s="65" t="str">
        <f t="shared" si="301"/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 t="shared" si="302"/>
        <v/>
      </c>
      <c r="N2388" s="74" t="str">
        <f t="shared" si="303"/>
        <v/>
      </c>
      <c r="O2388" s="73" t="str">
        <f t="shared" si="304"/>
        <v/>
      </c>
      <c r="P2388" s="65" t="str">
        <f t="shared" ca="1" si="305"/>
        <v/>
      </c>
      <c r="Q2388" s="2"/>
      <c r="R2388" s="2"/>
      <c r="S2388" s="1" t="str">
        <f t="shared" si="298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299"/>
        <v>0</v>
      </c>
      <c r="W2388" s="1" t="str">
        <f t="shared" si="300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customHeight="1" x14ac:dyDescent="0.3">
      <c r="A2389" s="2"/>
      <c r="B2389" s="65" t="str">
        <f t="shared" si="301"/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 t="shared" si="302"/>
        <v/>
      </c>
      <c r="N2389" s="74" t="str">
        <f t="shared" si="303"/>
        <v/>
      </c>
      <c r="O2389" s="73" t="str">
        <f t="shared" si="304"/>
        <v/>
      </c>
      <c r="P2389" s="65" t="str">
        <f t="shared" ca="1" si="305"/>
        <v/>
      </c>
      <c r="Q2389" s="2"/>
      <c r="R2389" s="2"/>
      <c r="S2389" s="1" t="str">
        <f t="shared" si="298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299"/>
        <v>0</v>
      </c>
      <c r="W2389" s="1" t="str">
        <f t="shared" si="300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customHeight="1" x14ac:dyDescent="0.3">
      <c r="A2390" s="2"/>
      <c r="B2390" s="65" t="str">
        <f t="shared" si="301"/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 t="shared" si="302"/>
        <v/>
      </c>
      <c r="N2390" s="74" t="str">
        <f t="shared" si="303"/>
        <v/>
      </c>
      <c r="O2390" s="73" t="str">
        <f t="shared" si="304"/>
        <v/>
      </c>
      <c r="P2390" s="65" t="str">
        <f t="shared" ca="1" si="305"/>
        <v/>
      </c>
      <c r="Q2390" s="2"/>
      <c r="R2390" s="2"/>
      <c r="S2390" s="1" t="str">
        <f t="shared" si="298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299"/>
        <v>0</v>
      </c>
      <c r="W2390" s="1" t="str">
        <f t="shared" si="300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customHeight="1" x14ac:dyDescent="0.3">
      <c r="A2391" s="2"/>
      <c r="B2391" s="65" t="str">
        <f t="shared" si="301"/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 t="shared" si="302"/>
        <v/>
      </c>
      <c r="N2391" s="74" t="str">
        <f t="shared" si="303"/>
        <v/>
      </c>
      <c r="O2391" s="73" t="str">
        <f t="shared" si="304"/>
        <v/>
      </c>
      <c r="P2391" s="65" t="str">
        <f t="shared" ca="1" si="305"/>
        <v/>
      </c>
      <c r="Q2391" s="2"/>
      <c r="R2391" s="2"/>
      <c r="S2391" s="1" t="str">
        <f t="shared" si="298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299"/>
        <v>0</v>
      </c>
      <c r="W2391" s="1" t="str">
        <f t="shared" si="300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customHeight="1" x14ac:dyDescent="0.3">
      <c r="A2392" s="2"/>
      <c r="B2392" s="65" t="str">
        <f t="shared" si="301"/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 t="shared" si="302"/>
        <v/>
      </c>
      <c r="N2392" s="74" t="str">
        <f t="shared" si="303"/>
        <v/>
      </c>
      <c r="O2392" s="73" t="str">
        <f t="shared" si="304"/>
        <v/>
      </c>
      <c r="P2392" s="65" t="str">
        <f t="shared" ca="1" si="305"/>
        <v/>
      </c>
      <c r="Q2392" s="2"/>
      <c r="R2392" s="2"/>
      <c r="S2392" s="1" t="str">
        <f t="shared" si="298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299"/>
        <v>0</v>
      </c>
      <c r="W2392" s="1" t="str">
        <f t="shared" si="300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customHeight="1" x14ac:dyDescent="0.3">
      <c r="A2393" s="2"/>
      <c r="B2393" s="65" t="str">
        <f t="shared" si="301"/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 t="shared" si="302"/>
        <v/>
      </c>
      <c r="N2393" s="74" t="str">
        <f t="shared" si="303"/>
        <v/>
      </c>
      <c r="O2393" s="73" t="str">
        <f t="shared" si="304"/>
        <v/>
      </c>
      <c r="P2393" s="65" t="str">
        <f t="shared" ca="1" si="305"/>
        <v/>
      </c>
      <c r="Q2393" s="2"/>
      <c r="R2393" s="2"/>
      <c r="S2393" s="1" t="str">
        <f t="shared" si="298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299"/>
        <v>0</v>
      </c>
      <c r="W2393" s="1" t="str">
        <f t="shared" si="300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customHeight="1" x14ac:dyDescent="0.3">
      <c r="A2394" s="2"/>
      <c r="B2394" s="65" t="str">
        <f t="shared" si="301"/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 t="shared" si="302"/>
        <v/>
      </c>
      <c r="N2394" s="74" t="str">
        <f t="shared" si="303"/>
        <v/>
      </c>
      <c r="O2394" s="73" t="str">
        <f t="shared" si="304"/>
        <v/>
      </c>
      <c r="P2394" s="65" t="str">
        <f t="shared" ca="1" si="305"/>
        <v/>
      </c>
      <c r="Q2394" s="2"/>
      <c r="R2394" s="2"/>
      <c r="S2394" s="1" t="str">
        <f t="shared" si="298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299"/>
        <v>0</v>
      </c>
      <c r="W2394" s="1" t="str">
        <f t="shared" si="300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customHeight="1" x14ac:dyDescent="0.3">
      <c r="A2395" s="2"/>
      <c r="B2395" s="65" t="str">
        <f t="shared" si="301"/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 t="shared" si="302"/>
        <v/>
      </c>
      <c r="N2395" s="74" t="str">
        <f t="shared" si="303"/>
        <v/>
      </c>
      <c r="O2395" s="73" t="str">
        <f t="shared" si="304"/>
        <v/>
      </c>
      <c r="P2395" s="65" t="str">
        <f t="shared" ca="1" si="305"/>
        <v/>
      </c>
      <c r="Q2395" s="2"/>
      <c r="R2395" s="2"/>
      <c r="S2395" s="1" t="str">
        <f t="shared" si="298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299"/>
        <v>0</v>
      </c>
      <c r="W2395" s="1" t="str">
        <f t="shared" si="300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customHeight="1" x14ac:dyDescent="0.3">
      <c r="A2396" s="2"/>
      <c r="B2396" s="65" t="str">
        <f t="shared" si="301"/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 t="shared" si="302"/>
        <v/>
      </c>
      <c r="N2396" s="74" t="str">
        <f t="shared" si="303"/>
        <v/>
      </c>
      <c r="O2396" s="73" t="str">
        <f t="shared" si="304"/>
        <v/>
      </c>
      <c r="P2396" s="65" t="str">
        <f t="shared" ca="1" si="305"/>
        <v/>
      </c>
      <c r="Q2396" s="2"/>
      <c r="R2396" s="2"/>
      <c r="S2396" s="1" t="str">
        <f t="shared" si="298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299"/>
        <v>0</v>
      </c>
      <c r="W2396" s="1" t="str">
        <f t="shared" si="300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customHeight="1" x14ac:dyDescent="0.3">
      <c r="A2397" s="2"/>
      <c r="B2397" s="65" t="str">
        <f t="shared" si="301"/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 t="shared" si="302"/>
        <v/>
      </c>
      <c r="N2397" s="74" t="str">
        <f t="shared" si="303"/>
        <v/>
      </c>
      <c r="O2397" s="73" t="str">
        <f t="shared" si="304"/>
        <v/>
      </c>
      <c r="P2397" s="65" t="str">
        <f t="shared" ca="1" si="305"/>
        <v/>
      </c>
      <c r="Q2397" s="2"/>
      <c r="R2397" s="2"/>
      <c r="S2397" s="1" t="str">
        <f t="shared" si="298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299"/>
        <v>0</v>
      </c>
      <c r="W2397" s="1" t="str">
        <f t="shared" si="300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customHeight="1" x14ac:dyDescent="0.3">
      <c r="A2398" s="2"/>
      <c r="B2398" s="65" t="str">
        <f t="shared" si="301"/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 t="shared" si="302"/>
        <v/>
      </c>
      <c r="N2398" s="74" t="str">
        <f t="shared" si="303"/>
        <v/>
      </c>
      <c r="O2398" s="73" t="str">
        <f t="shared" si="304"/>
        <v/>
      </c>
      <c r="P2398" s="65" t="str">
        <f t="shared" ca="1" si="305"/>
        <v/>
      </c>
      <c r="Q2398" s="2"/>
      <c r="R2398" s="2"/>
      <c r="S2398" s="1" t="str">
        <f t="shared" si="298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299"/>
        <v>0</v>
      </c>
      <c r="W2398" s="1" t="str">
        <f t="shared" si="300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customHeight="1" x14ac:dyDescent="0.3">
      <c r="A2399" s="2"/>
      <c r="B2399" s="65" t="str">
        <f t="shared" si="301"/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 t="shared" si="302"/>
        <v/>
      </c>
      <c r="N2399" s="74" t="str">
        <f t="shared" si="303"/>
        <v/>
      </c>
      <c r="O2399" s="73" t="str">
        <f t="shared" si="304"/>
        <v/>
      </c>
      <c r="P2399" s="65" t="str">
        <f t="shared" ca="1" si="305"/>
        <v/>
      </c>
      <c r="Q2399" s="2"/>
      <c r="R2399" s="2"/>
      <c r="S2399" s="1" t="str">
        <f t="shared" si="298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299"/>
        <v>0</v>
      </c>
      <c r="W2399" s="1" t="str">
        <f t="shared" si="300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customHeight="1" x14ac:dyDescent="0.3">
      <c r="A2400" s="2"/>
      <c r="B2400" s="65" t="str">
        <f t="shared" si="301"/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 t="shared" si="302"/>
        <v/>
      </c>
      <c r="N2400" s="74" t="str">
        <f t="shared" si="303"/>
        <v/>
      </c>
      <c r="O2400" s="73" t="str">
        <f t="shared" si="304"/>
        <v/>
      </c>
      <c r="P2400" s="65" t="str">
        <f t="shared" ca="1" si="305"/>
        <v/>
      </c>
      <c r="Q2400" s="2"/>
      <c r="R2400" s="2"/>
      <c r="S2400" s="1" t="str">
        <f t="shared" si="298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299"/>
        <v>0</v>
      </c>
      <c r="W2400" s="1" t="str">
        <f t="shared" si="300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customHeight="1" x14ac:dyDescent="0.3">
      <c r="A2401" s="2"/>
      <c r="B2401" s="65" t="str">
        <f t="shared" si="301"/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 t="shared" si="302"/>
        <v/>
      </c>
      <c r="N2401" s="74" t="str">
        <f t="shared" si="303"/>
        <v/>
      </c>
      <c r="O2401" s="73" t="str">
        <f t="shared" si="304"/>
        <v/>
      </c>
      <c r="P2401" s="65" t="str">
        <f t="shared" ca="1" si="305"/>
        <v/>
      </c>
      <c r="Q2401" s="2"/>
      <c r="R2401" s="2"/>
      <c r="S2401" s="1" t="str">
        <f t="shared" si="298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299"/>
        <v>0</v>
      </c>
      <c r="W2401" s="1" t="str">
        <f t="shared" si="300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customHeight="1" x14ac:dyDescent="0.3">
      <c r="A2402" s="2"/>
      <c r="B2402" s="65" t="str">
        <f t="shared" si="301"/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 t="shared" si="302"/>
        <v/>
      </c>
      <c r="N2402" s="74" t="str">
        <f t="shared" si="303"/>
        <v/>
      </c>
      <c r="O2402" s="73" t="str">
        <f t="shared" si="304"/>
        <v/>
      </c>
      <c r="P2402" s="65" t="str">
        <f t="shared" ca="1" si="305"/>
        <v/>
      </c>
      <c r="Q2402" s="2"/>
      <c r="R2402" s="2"/>
      <c r="S2402" s="1" t="str">
        <f t="shared" si="298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299"/>
        <v>0</v>
      </c>
      <c r="W2402" s="1" t="str">
        <f t="shared" si="300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customHeight="1" x14ac:dyDescent="0.3">
      <c r="A2403" s="2"/>
      <c r="B2403" s="65" t="str">
        <f t="shared" si="301"/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 t="shared" si="302"/>
        <v/>
      </c>
      <c r="N2403" s="74" t="str">
        <f t="shared" si="303"/>
        <v/>
      </c>
      <c r="O2403" s="73" t="str">
        <f t="shared" si="304"/>
        <v/>
      </c>
      <c r="P2403" s="65" t="str">
        <f t="shared" ca="1" si="305"/>
        <v/>
      </c>
      <c r="Q2403" s="2"/>
      <c r="R2403" s="2"/>
      <c r="S2403" s="1" t="str">
        <f t="shared" si="298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299"/>
        <v>0</v>
      </c>
      <c r="W2403" s="1" t="str">
        <f t="shared" si="300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customHeight="1" x14ac:dyDescent="0.3">
      <c r="A2404" s="2"/>
      <c r="B2404" s="65" t="str">
        <f t="shared" si="301"/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 t="shared" si="302"/>
        <v/>
      </c>
      <c r="N2404" s="74" t="str">
        <f t="shared" si="303"/>
        <v/>
      </c>
      <c r="O2404" s="73" t="str">
        <f t="shared" si="304"/>
        <v/>
      </c>
      <c r="P2404" s="65" t="str">
        <f t="shared" ca="1" si="305"/>
        <v/>
      </c>
      <c r="Q2404" s="2"/>
      <c r="R2404" s="2"/>
      <c r="S2404" s="1" t="str">
        <f t="shared" si="298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299"/>
        <v>0</v>
      </c>
      <c r="W2404" s="1" t="str">
        <f t="shared" si="300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customHeight="1" x14ac:dyDescent="0.3">
      <c r="A2405" s="2"/>
      <c r="B2405" s="65" t="str">
        <f t="shared" si="301"/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 t="shared" si="302"/>
        <v/>
      </c>
      <c r="N2405" s="74" t="str">
        <f t="shared" si="303"/>
        <v/>
      </c>
      <c r="O2405" s="73" t="str">
        <f t="shared" si="304"/>
        <v/>
      </c>
      <c r="P2405" s="65" t="str">
        <f t="shared" ca="1" si="305"/>
        <v/>
      </c>
      <c r="Q2405" s="2"/>
      <c r="R2405" s="2"/>
      <c r="S2405" s="1" t="str">
        <f t="shared" si="298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299"/>
        <v>0</v>
      </c>
      <c r="W2405" s="1" t="str">
        <f t="shared" si="300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customHeight="1" x14ac:dyDescent="0.3">
      <c r="A2406" s="2"/>
      <c r="B2406" s="65" t="str">
        <f t="shared" si="301"/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 t="shared" si="302"/>
        <v/>
      </c>
      <c r="N2406" s="74" t="str">
        <f t="shared" si="303"/>
        <v/>
      </c>
      <c r="O2406" s="73" t="str">
        <f t="shared" si="304"/>
        <v/>
      </c>
      <c r="P2406" s="65" t="str">
        <f t="shared" ca="1" si="305"/>
        <v/>
      </c>
      <c r="Q2406" s="2"/>
      <c r="R2406" s="2"/>
      <c r="S2406" s="1" t="str">
        <f t="shared" si="298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299"/>
        <v>0</v>
      </c>
      <c r="W2406" s="1" t="str">
        <f t="shared" si="300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customHeight="1" x14ac:dyDescent="0.3">
      <c r="A2407" s="2"/>
      <c r="B2407" s="65" t="str">
        <f t="shared" si="301"/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 t="shared" si="302"/>
        <v/>
      </c>
      <c r="N2407" s="74" t="str">
        <f t="shared" si="303"/>
        <v/>
      </c>
      <c r="O2407" s="73" t="str">
        <f t="shared" si="304"/>
        <v/>
      </c>
      <c r="P2407" s="65" t="str">
        <f t="shared" ca="1" si="305"/>
        <v/>
      </c>
      <c r="Q2407" s="2"/>
      <c r="R2407" s="2"/>
      <c r="S2407" s="1" t="str">
        <f t="shared" si="298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299"/>
        <v>0</v>
      </c>
      <c r="W2407" s="1" t="str">
        <f t="shared" si="300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customHeight="1" x14ac:dyDescent="0.3">
      <c r="A2408" s="2"/>
      <c r="B2408" s="65" t="str">
        <f t="shared" si="301"/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 t="shared" si="302"/>
        <v/>
      </c>
      <c r="N2408" s="74" t="str">
        <f t="shared" si="303"/>
        <v/>
      </c>
      <c r="O2408" s="73" t="str">
        <f t="shared" si="304"/>
        <v/>
      </c>
      <c r="P2408" s="65" t="str">
        <f t="shared" ca="1" si="305"/>
        <v/>
      </c>
      <c r="Q2408" s="2"/>
      <c r="R2408" s="2"/>
      <c r="S2408" s="1" t="str">
        <f t="shared" si="298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299"/>
        <v>0</v>
      </c>
      <c r="W2408" s="1" t="str">
        <f t="shared" si="300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customHeight="1" x14ac:dyDescent="0.3">
      <c r="A2409" s="2"/>
      <c r="B2409" s="65" t="str">
        <f t="shared" si="301"/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 t="shared" si="302"/>
        <v/>
      </c>
      <c r="N2409" s="74" t="str">
        <f t="shared" si="303"/>
        <v/>
      </c>
      <c r="O2409" s="73" t="str">
        <f t="shared" si="304"/>
        <v/>
      </c>
      <c r="P2409" s="65" t="str">
        <f t="shared" ca="1" si="305"/>
        <v/>
      </c>
      <c r="Q2409" s="2"/>
      <c r="R2409" s="2"/>
      <c r="S2409" s="1" t="str">
        <f t="shared" si="298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299"/>
        <v>0</v>
      </c>
      <c r="W2409" s="1" t="str">
        <f t="shared" si="300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customHeight="1" x14ac:dyDescent="0.3">
      <c r="A2410" s="2"/>
      <c r="B2410" s="65" t="str">
        <f t="shared" si="301"/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 t="shared" si="302"/>
        <v/>
      </c>
      <c r="N2410" s="74" t="str">
        <f t="shared" si="303"/>
        <v/>
      </c>
      <c r="O2410" s="73" t="str">
        <f t="shared" si="304"/>
        <v/>
      </c>
      <c r="P2410" s="65" t="str">
        <f t="shared" ca="1" si="305"/>
        <v/>
      </c>
      <c r="Q2410" s="2"/>
      <c r="R2410" s="2"/>
      <c r="S2410" s="1" t="str">
        <f t="shared" si="298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299"/>
        <v>0</v>
      </c>
      <c r="W2410" s="1" t="str">
        <f t="shared" si="300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customHeight="1" x14ac:dyDescent="0.3">
      <c r="A2411" s="2"/>
      <c r="B2411" s="65" t="str">
        <f t="shared" si="301"/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 t="shared" si="302"/>
        <v/>
      </c>
      <c r="N2411" s="74" t="str">
        <f t="shared" si="303"/>
        <v/>
      </c>
      <c r="O2411" s="73" t="str">
        <f t="shared" si="304"/>
        <v/>
      </c>
      <c r="P2411" s="65" t="str">
        <f t="shared" ca="1" si="305"/>
        <v/>
      </c>
      <c r="Q2411" s="2"/>
      <c r="R2411" s="2"/>
      <c r="S2411" s="1" t="str">
        <f t="shared" si="298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299"/>
        <v>0</v>
      </c>
      <c r="W2411" s="1" t="str">
        <f t="shared" si="300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customHeight="1" x14ac:dyDescent="0.3">
      <c r="A2412" s="2"/>
      <c r="B2412" s="65" t="str">
        <f t="shared" si="301"/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 t="shared" si="302"/>
        <v/>
      </c>
      <c r="N2412" s="74" t="str">
        <f t="shared" si="303"/>
        <v/>
      </c>
      <c r="O2412" s="73" t="str">
        <f t="shared" si="304"/>
        <v/>
      </c>
      <c r="P2412" s="65" t="str">
        <f t="shared" ca="1" si="305"/>
        <v/>
      </c>
      <c r="Q2412" s="2"/>
      <c r="R2412" s="2"/>
      <c r="S2412" s="1" t="str">
        <f t="shared" si="298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299"/>
        <v>0</v>
      </c>
      <c r="W2412" s="1" t="str">
        <f t="shared" si="300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customHeight="1" x14ac:dyDescent="0.3">
      <c r="A2413" s="2"/>
      <c r="B2413" s="65" t="str">
        <f t="shared" si="301"/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 t="shared" si="302"/>
        <v/>
      </c>
      <c r="N2413" s="74" t="str">
        <f t="shared" si="303"/>
        <v/>
      </c>
      <c r="O2413" s="73" t="str">
        <f t="shared" si="304"/>
        <v/>
      </c>
      <c r="P2413" s="65" t="str">
        <f t="shared" ca="1" si="305"/>
        <v/>
      </c>
      <c r="Q2413" s="2"/>
      <c r="R2413" s="2"/>
      <c r="S2413" s="1" t="str">
        <f t="shared" si="298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299"/>
        <v>0</v>
      </c>
      <c r="W2413" s="1" t="str">
        <f t="shared" si="300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customHeight="1" x14ac:dyDescent="0.3">
      <c r="A2414" s="2"/>
      <c r="B2414" s="65" t="str">
        <f t="shared" si="301"/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 t="shared" si="302"/>
        <v/>
      </c>
      <c r="N2414" s="74" t="str">
        <f t="shared" si="303"/>
        <v/>
      </c>
      <c r="O2414" s="73" t="str">
        <f t="shared" si="304"/>
        <v/>
      </c>
      <c r="P2414" s="65" t="str">
        <f t="shared" ca="1" si="305"/>
        <v/>
      </c>
      <c r="Q2414" s="2"/>
      <c r="R2414" s="2"/>
      <c r="S2414" s="1" t="str">
        <f t="shared" si="298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299"/>
        <v>0</v>
      </c>
      <c r="W2414" s="1" t="str">
        <f t="shared" si="300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customHeight="1" x14ac:dyDescent="0.3">
      <c r="A2415" s="2"/>
      <c r="B2415" s="65" t="str">
        <f t="shared" si="301"/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 t="shared" si="302"/>
        <v/>
      </c>
      <c r="N2415" s="74" t="str">
        <f t="shared" si="303"/>
        <v/>
      </c>
      <c r="O2415" s="73" t="str">
        <f t="shared" si="304"/>
        <v/>
      </c>
      <c r="P2415" s="65" t="str">
        <f t="shared" ca="1" si="305"/>
        <v/>
      </c>
      <c r="Q2415" s="2"/>
      <c r="R2415" s="2"/>
      <c r="S2415" s="1" t="str">
        <f t="shared" si="298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299"/>
        <v>0</v>
      </c>
      <c r="W2415" s="1" t="str">
        <f t="shared" si="300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customHeight="1" x14ac:dyDescent="0.3">
      <c r="A2416" s="2"/>
      <c r="B2416" s="65" t="str">
        <f t="shared" si="301"/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 t="shared" si="302"/>
        <v/>
      </c>
      <c r="N2416" s="74" t="str">
        <f t="shared" si="303"/>
        <v/>
      </c>
      <c r="O2416" s="73" t="str">
        <f t="shared" si="304"/>
        <v/>
      </c>
      <c r="P2416" s="65" t="str">
        <f t="shared" ca="1" si="305"/>
        <v/>
      </c>
      <c r="Q2416" s="2"/>
      <c r="R2416" s="2"/>
      <c r="S2416" s="1" t="str">
        <f t="shared" si="298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299"/>
        <v>0</v>
      </c>
      <c r="W2416" s="1" t="str">
        <f t="shared" si="300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customHeight="1" x14ac:dyDescent="0.3">
      <c r="A2417" s="2"/>
      <c r="B2417" s="65" t="str">
        <f t="shared" si="301"/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 t="shared" si="302"/>
        <v/>
      </c>
      <c r="N2417" s="74" t="str">
        <f t="shared" si="303"/>
        <v/>
      </c>
      <c r="O2417" s="73" t="str">
        <f t="shared" si="304"/>
        <v/>
      </c>
      <c r="P2417" s="65" t="str">
        <f t="shared" ca="1" si="305"/>
        <v/>
      </c>
      <c r="Q2417" s="2"/>
      <c r="R2417" s="2"/>
      <c r="S2417" s="1" t="str">
        <f t="shared" si="298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299"/>
        <v>0</v>
      </c>
      <c r="W2417" s="1" t="str">
        <f t="shared" si="300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customHeight="1" x14ac:dyDescent="0.3">
      <c r="A2418" s="2"/>
      <c r="B2418" s="65" t="str">
        <f t="shared" si="301"/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 t="shared" si="302"/>
        <v/>
      </c>
      <c r="N2418" s="74" t="str">
        <f t="shared" si="303"/>
        <v/>
      </c>
      <c r="O2418" s="73" t="str">
        <f t="shared" si="304"/>
        <v/>
      </c>
      <c r="P2418" s="65" t="str">
        <f t="shared" ca="1" si="305"/>
        <v/>
      </c>
      <c r="Q2418" s="2"/>
      <c r="R2418" s="2"/>
      <c r="S2418" s="1" t="str">
        <f t="shared" si="298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299"/>
        <v>0</v>
      </c>
      <c r="W2418" s="1" t="str">
        <f t="shared" si="300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customHeight="1" x14ac:dyDescent="0.3">
      <c r="A2419" s="2"/>
      <c r="B2419" s="65" t="str">
        <f t="shared" si="301"/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 t="shared" si="302"/>
        <v/>
      </c>
      <c r="N2419" s="74" t="str">
        <f t="shared" si="303"/>
        <v/>
      </c>
      <c r="O2419" s="73" t="str">
        <f t="shared" si="304"/>
        <v/>
      </c>
      <c r="P2419" s="65" t="str">
        <f t="shared" ca="1" si="305"/>
        <v/>
      </c>
      <c r="Q2419" s="2"/>
      <c r="R2419" s="2"/>
      <c r="S2419" s="1" t="str">
        <f t="shared" si="298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299"/>
        <v>0</v>
      </c>
      <c r="W2419" s="1" t="str">
        <f t="shared" si="300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customHeight="1" x14ac:dyDescent="0.3">
      <c r="A2420" s="2"/>
      <c r="B2420" s="65" t="str">
        <f t="shared" si="301"/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 t="shared" si="302"/>
        <v/>
      </c>
      <c r="N2420" s="74" t="str">
        <f t="shared" si="303"/>
        <v/>
      </c>
      <c r="O2420" s="73" t="str">
        <f t="shared" si="304"/>
        <v/>
      </c>
      <c r="P2420" s="65" t="str">
        <f t="shared" ca="1" si="305"/>
        <v/>
      </c>
      <c r="Q2420" s="2"/>
      <c r="R2420" s="2"/>
      <c r="S2420" s="1" t="str">
        <f t="shared" si="298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299"/>
        <v>0</v>
      </c>
      <c r="W2420" s="1" t="str">
        <f t="shared" si="300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customHeight="1" x14ac:dyDescent="0.3">
      <c r="A2421" s="2"/>
      <c r="B2421" s="65" t="str">
        <f t="shared" si="301"/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 t="shared" si="302"/>
        <v/>
      </c>
      <c r="N2421" s="74" t="str">
        <f t="shared" si="303"/>
        <v/>
      </c>
      <c r="O2421" s="73" t="str">
        <f t="shared" si="304"/>
        <v/>
      </c>
      <c r="P2421" s="65" t="str">
        <f t="shared" ca="1" si="305"/>
        <v/>
      </c>
      <c r="Q2421" s="2"/>
      <c r="R2421" s="2"/>
      <c r="S2421" s="1" t="str">
        <f t="shared" si="298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299"/>
        <v>0</v>
      </c>
      <c r="W2421" s="1" t="str">
        <f t="shared" si="300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customHeight="1" x14ac:dyDescent="0.3">
      <c r="A2422" s="2"/>
      <c r="B2422" s="65" t="str">
        <f t="shared" si="301"/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 t="shared" si="302"/>
        <v/>
      </c>
      <c r="N2422" s="74" t="str">
        <f t="shared" si="303"/>
        <v/>
      </c>
      <c r="O2422" s="73" t="str">
        <f t="shared" si="304"/>
        <v/>
      </c>
      <c r="P2422" s="65" t="str">
        <f t="shared" ca="1" si="305"/>
        <v/>
      </c>
      <c r="Q2422" s="2"/>
      <c r="R2422" s="2"/>
      <c r="S2422" s="1" t="str">
        <f t="shared" si="298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299"/>
        <v>0</v>
      </c>
      <c r="W2422" s="1" t="str">
        <f t="shared" si="300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customHeight="1" x14ac:dyDescent="0.3">
      <c r="A2423" s="2"/>
      <c r="B2423" s="65" t="str">
        <f t="shared" si="301"/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 t="shared" si="302"/>
        <v/>
      </c>
      <c r="N2423" s="74" t="str">
        <f t="shared" si="303"/>
        <v/>
      </c>
      <c r="O2423" s="73" t="str">
        <f t="shared" si="304"/>
        <v/>
      </c>
      <c r="P2423" s="65" t="str">
        <f t="shared" ca="1" si="305"/>
        <v/>
      </c>
      <c r="Q2423" s="2"/>
      <c r="R2423" s="2"/>
      <c r="S2423" s="1" t="str">
        <f t="shared" si="298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299"/>
        <v>0</v>
      </c>
      <c r="W2423" s="1" t="str">
        <f t="shared" si="300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customHeight="1" x14ac:dyDescent="0.3">
      <c r="A2424" s="2"/>
      <c r="B2424" s="65" t="str">
        <f t="shared" si="301"/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 t="shared" si="302"/>
        <v/>
      </c>
      <c r="N2424" s="74" t="str">
        <f t="shared" si="303"/>
        <v/>
      </c>
      <c r="O2424" s="73" t="str">
        <f t="shared" si="304"/>
        <v/>
      </c>
      <c r="P2424" s="65" t="str">
        <f t="shared" ca="1" si="305"/>
        <v/>
      </c>
      <c r="Q2424" s="2"/>
      <c r="R2424" s="2"/>
      <c r="S2424" s="1" t="str">
        <f t="shared" si="298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299"/>
        <v>0</v>
      </c>
      <c r="W2424" s="1" t="str">
        <f t="shared" si="300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customHeight="1" x14ac:dyDescent="0.3">
      <c r="A2425" s="2"/>
      <c r="B2425" s="65" t="str">
        <f t="shared" si="301"/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 t="shared" si="302"/>
        <v/>
      </c>
      <c r="N2425" s="74" t="str">
        <f t="shared" si="303"/>
        <v/>
      </c>
      <c r="O2425" s="73" t="str">
        <f t="shared" si="304"/>
        <v/>
      </c>
      <c r="P2425" s="65" t="str">
        <f t="shared" ca="1" si="305"/>
        <v/>
      </c>
      <c r="Q2425" s="2"/>
      <c r="R2425" s="2"/>
      <c r="S2425" s="1" t="str">
        <f t="shared" si="298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299"/>
        <v>0</v>
      </c>
      <c r="W2425" s="1" t="str">
        <f t="shared" si="300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customHeight="1" x14ac:dyDescent="0.3">
      <c r="A2426" s="2"/>
      <c r="B2426" s="65" t="str">
        <f t="shared" si="301"/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 t="shared" si="302"/>
        <v/>
      </c>
      <c r="N2426" s="74" t="str">
        <f t="shared" si="303"/>
        <v/>
      </c>
      <c r="O2426" s="73" t="str">
        <f t="shared" si="304"/>
        <v/>
      </c>
      <c r="P2426" s="65" t="str">
        <f t="shared" ca="1" si="305"/>
        <v/>
      </c>
      <c r="Q2426" s="2"/>
      <c r="R2426" s="2"/>
      <c r="S2426" s="1" t="str">
        <f t="shared" si="298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299"/>
        <v>0</v>
      </c>
      <c r="W2426" s="1" t="str">
        <f t="shared" si="300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customHeight="1" x14ac:dyDescent="0.3">
      <c r="A2427" s="2"/>
      <c r="B2427" s="65" t="str">
        <f t="shared" si="301"/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 t="shared" si="302"/>
        <v/>
      </c>
      <c r="N2427" s="74" t="str">
        <f t="shared" si="303"/>
        <v/>
      </c>
      <c r="O2427" s="73" t="str">
        <f t="shared" si="304"/>
        <v/>
      </c>
      <c r="P2427" s="65" t="str">
        <f t="shared" ca="1" si="305"/>
        <v/>
      </c>
      <c r="Q2427" s="2"/>
      <c r="R2427" s="2"/>
      <c r="S2427" s="1" t="str">
        <f t="shared" si="298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299"/>
        <v>0</v>
      </c>
      <c r="W2427" s="1" t="str">
        <f t="shared" si="300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customHeight="1" x14ac:dyDescent="0.3">
      <c r="A2428" s="2"/>
      <c r="B2428" s="65" t="str">
        <f t="shared" si="301"/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 t="shared" si="302"/>
        <v/>
      </c>
      <c r="N2428" s="74" t="str">
        <f t="shared" si="303"/>
        <v/>
      </c>
      <c r="O2428" s="73" t="str">
        <f t="shared" si="304"/>
        <v/>
      </c>
      <c r="P2428" s="65" t="str">
        <f t="shared" ca="1" si="305"/>
        <v/>
      </c>
      <c r="Q2428" s="2"/>
      <c r="R2428" s="2"/>
      <c r="S2428" s="1" t="str">
        <f t="shared" si="298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299"/>
        <v>0</v>
      </c>
      <c r="W2428" s="1" t="str">
        <f t="shared" si="300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customHeight="1" x14ac:dyDescent="0.3">
      <c r="A2429" s="2"/>
      <c r="B2429" s="65" t="str">
        <f t="shared" si="301"/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 t="shared" si="302"/>
        <v/>
      </c>
      <c r="N2429" s="74" t="str">
        <f t="shared" si="303"/>
        <v/>
      </c>
      <c r="O2429" s="73" t="str">
        <f t="shared" si="304"/>
        <v/>
      </c>
      <c r="P2429" s="65" t="str">
        <f t="shared" ca="1" si="305"/>
        <v/>
      </c>
      <c r="Q2429" s="2"/>
      <c r="R2429" s="2"/>
      <c r="S2429" s="1" t="str">
        <f t="shared" si="298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299"/>
        <v>0</v>
      </c>
      <c r="W2429" s="1" t="str">
        <f t="shared" si="300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customHeight="1" x14ac:dyDescent="0.3">
      <c r="A2430" s="2"/>
      <c r="B2430" s="65" t="str">
        <f t="shared" si="301"/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 t="shared" si="302"/>
        <v/>
      </c>
      <c r="N2430" s="74" t="str">
        <f t="shared" si="303"/>
        <v/>
      </c>
      <c r="O2430" s="73" t="str">
        <f t="shared" si="304"/>
        <v/>
      </c>
      <c r="P2430" s="65" t="str">
        <f t="shared" ca="1" si="305"/>
        <v/>
      </c>
      <c r="Q2430" s="2"/>
      <c r="R2430" s="2"/>
      <c r="S2430" s="1" t="str">
        <f t="shared" si="298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299"/>
        <v>0</v>
      </c>
      <c r="W2430" s="1" t="str">
        <f t="shared" si="300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customHeight="1" x14ac:dyDescent="0.3">
      <c r="A2431" s="2"/>
      <c r="B2431" s="65" t="str">
        <f t="shared" si="301"/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 t="shared" si="302"/>
        <v/>
      </c>
      <c r="N2431" s="74" t="str">
        <f t="shared" si="303"/>
        <v/>
      </c>
      <c r="O2431" s="73" t="str">
        <f t="shared" si="304"/>
        <v/>
      </c>
      <c r="P2431" s="65" t="str">
        <f t="shared" ca="1" si="305"/>
        <v/>
      </c>
      <c r="Q2431" s="2"/>
      <c r="R2431" s="2"/>
      <c r="S2431" s="1" t="str">
        <f t="shared" si="298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299"/>
        <v>0</v>
      </c>
      <c r="W2431" s="1" t="str">
        <f t="shared" si="300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customHeight="1" x14ac:dyDescent="0.3">
      <c r="A2432" s="2"/>
      <c r="B2432" s="65" t="str">
        <f t="shared" si="301"/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 t="shared" si="302"/>
        <v/>
      </c>
      <c r="N2432" s="74" t="str">
        <f t="shared" si="303"/>
        <v/>
      </c>
      <c r="O2432" s="73" t="str">
        <f t="shared" si="304"/>
        <v/>
      </c>
      <c r="P2432" s="65" t="str">
        <f t="shared" ca="1" si="305"/>
        <v/>
      </c>
      <c r="Q2432" s="2"/>
      <c r="R2432" s="2"/>
      <c r="S2432" s="1" t="str">
        <f t="shared" si="298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299"/>
        <v>0</v>
      </c>
      <c r="W2432" s="1" t="str">
        <f t="shared" si="300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customHeight="1" x14ac:dyDescent="0.3">
      <c r="A2433" s="2"/>
      <c r="B2433" s="65" t="str">
        <f t="shared" si="301"/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 t="shared" si="302"/>
        <v/>
      </c>
      <c r="N2433" s="74" t="str">
        <f t="shared" si="303"/>
        <v/>
      </c>
      <c r="O2433" s="73" t="str">
        <f t="shared" si="304"/>
        <v/>
      </c>
      <c r="P2433" s="65" t="str">
        <f t="shared" ca="1" si="305"/>
        <v/>
      </c>
      <c r="Q2433" s="2"/>
      <c r="R2433" s="2"/>
      <c r="S2433" s="1" t="str">
        <f t="shared" si="298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299"/>
        <v>0</v>
      </c>
      <c r="W2433" s="1" t="str">
        <f t="shared" si="300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customHeight="1" x14ac:dyDescent="0.3">
      <c r="A2434" s="2"/>
      <c r="B2434" s="65" t="str">
        <f t="shared" si="301"/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 t="shared" si="302"/>
        <v/>
      </c>
      <c r="N2434" s="74" t="str">
        <f t="shared" si="303"/>
        <v/>
      </c>
      <c r="O2434" s="73" t="str">
        <f t="shared" si="304"/>
        <v/>
      </c>
      <c r="P2434" s="65" t="str">
        <f t="shared" ca="1" si="305"/>
        <v/>
      </c>
      <c r="Q2434" s="2"/>
      <c r="R2434" s="2"/>
      <c r="S2434" s="1" t="str">
        <f t="shared" si="298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299"/>
        <v>0</v>
      </c>
      <c r="W2434" s="1" t="str">
        <f t="shared" si="300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customHeight="1" x14ac:dyDescent="0.3">
      <c r="A2435" s="2"/>
      <c r="B2435" s="65" t="str">
        <f t="shared" si="301"/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 t="shared" si="302"/>
        <v/>
      </c>
      <c r="N2435" s="74" t="str">
        <f t="shared" si="303"/>
        <v/>
      </c>
      <c r="O2435" s="73" t="str">
        <f t="shared" si="304"/>
        <v/>
      </c>
      <c r="P2435" s="65" t="str">
        <f t="shared" ca="1" si="305"/>
        <v/>
      </c>
      <c r="Q2435" s="2"/>
      <c r="R2435" s="2"/>
      <c r="S2435" s="1" t="str">
        <f t="shared" si="298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299"/>
        <v>0</v>
      </c>
      <c r="W2435" s="1" t="str">
        <f t="shared" si="300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customHeight="1" x14ac:dyDescent="0.3">
      <c r="A2436" s="2"/>
      <c r="B2436" s="65" t="str">
        <f t="shared" si="301"/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 t="shared" si="302"/>
        <v/>
      </c>
      <c r="N2436" s="74" t="str">
        <f t="shared" si="303"/>
        <v/>
      </c>
      <c r="O2436" s="73" t="str">
        <f t="shared" si="304"/>
        <v/>
      </c>
      <c r="P2436" s="65" t="str">
        <f t="shared" ca="1" si="305"/>
        <v/>
      </c>
      <c r="Q2436" s="2"/>
      <c r="R2436" s="2"/>
      <c r="S2436" s="1" t="str">
        <f t="shared" si="298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299"/>
        <v>0</v>
      </c>
      <c r="W2436" s="1" t="str">
        <f t="shared" si="300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customHeight="1" x14ac:dyDescent="0.3">
      <c r="A2437" s="2"/>
      <c r="B2437" s="65" t="str">
        <f t="shared" si="301"/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 t="shared" si="302"/>
        <v/>
      </c>
      <c r="N2437" s="74" t="str">
        <f t="shared" si="303"/>
        <v/>
      </c>
      <c r="O2437" s="73" t="str">
        <f t="shared" si="304"/>
        <v/>
      </c>
      <c r="P2437" s="65" t="str">
        <f t="shared" ca="1" si="305"/>
        <v/>
      </c>
      <c r="Q2437" s="2"/>
      <c r="R2437" s="2"/>
      <c r="S2437" s="1" t="str">
        <f t="shared" ref="S2437:S2500" si="306"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ref="V2437:V2500" si="307">IF($T2437="",0,1)</f>
        <v>0</v>
      </c>
      <c r="W2437" s="1" t="str">
        <f t="shared" ref="W2437:W2500" si="308">IF($C2437="","",$D2437&amp;"|"&amp;$E2437&amp;"|"&amp;TEXT($C2437,"0")&amp;"|"&amp;TEXT($G2437,"0")&amp;"|"&amp;$F2437&amp;"|"&amp;$J2437)</f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customHeight="1" x14ac:dyDescent="0.3">
      <c r="A2438" s="2"/>
      <c r="B2438" s="65" t="str">
        <f t="shared" si="301"/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 t="shared" si="302"/>
        <v/>
      </c>
      <c r="N2438" s="74" t="str">
        <f t="shared" si="303"/>
        <v/>
      </c>
      <c r="O2438" s="73" t="str">
        <f t="shared" si="304"/>
        <v/>
      </c>
      <c r="P2438" s="65" t="str">
        <f t="shared" ca="1" si="305"/>
        <v/>
      </c>
      <c r="Q2438" s="2"/>
      <c r="R2438" s="2"/>
      <c r="S2438" s="1" t="str">
        <f t="shared" si="306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307"/>
        <v>0</v>
      </c>
      <c r="W2438" s="1" t="str">
        <f t="shared" si="308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customHeight="1" x14ac:dyDescent="0.3">
      <c r="A2439" s="2"/>
      <c r="B2439" s="65" t="str">
        <f t="shared" ref="B2439:B2502" si="309"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 t="shared" ref="M2439:M2502" si="310">IF($C2439="","",IF($D2439="Gider",$E2439,IF($L2439&lt;&gt;"",$L2439,$H2439)))</f>
        <v/>
      </c>
      <c r="N2439" s="74" t="str">
        <f t="shared" ref="N2439:N2502" si="311">IF($C2439="","",IF($D2439="Gider",$H2439,$E2439))</f>
        <v/>
      </c>
      <c r="O2439" s="73" t="str">
        <f t="shared" ref="O2439:O2502" si="312">IF($C2439="","",DATE(YEAR($C2439),MONTH($C2439),1))</f>
        <v/>
      </c>
      <c r="P2439" s="65" t="str">
        <f t="shared" ref="P2439:P2502" ca="1" si="313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TARİH",IF(COUNTIF($W$7:$W$3001,$W2439)&gt;1,"MÜKERRER?",IF($AD2439&gt;0,"KAPALI DÖNEM",IF($I2439="Hayır","ÖDENECEK","UYGUN")))),"EKSİK"))))</f>
        <v/>
      </c>
      <c r="Q2439" s="2"/>
      <c r="R2439" s="2"/>
      <c r="S2439" s="1" t="str">
        <f t="shared" si="306"/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si="307"/>
        <v>0</v>
      </c>
      <c r="W2439" s="1" t="str">
        <f t="shared" si="308"/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customHeight="1" x14ac:dyDescent="0.3">
      <c r="A2440" s="2"/>
      <c r="B2440" s="65" t="str">
        <f t="shared" si="309"/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 t="shared" si="310"/>
        <v/>
      </c>
      <c r="N2440" s="74" t="str">
        <f t="shared" si="311"/>
        <v/>
      </c>
      <c r="O2440" s="73" t="str">
        <f t="shared" si="312"/>
        <v/>
      </c>
      <c r="P2440" s="65" t="str">
        <f t="shared" ca="1" si="313"/>
        <v/>
      </c>
      <c r="Q2440" s="2"/>
      <c r="R2440" s="2"/>
      <c r="S2440" s="1" t="str">
        <f t="shared" si="306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307"/>
        <v>0</v>
      </c>
      <c r="W2440" s="1" t="str">
        <f t="shared" si="308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customHeight="1" x14ac:dyDescent="0.3">
      <c r="A2441" s="2"/>
      <c r="B2441" s="65" t="str">
        <f t="shared" si="309"/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 t="shared" si="310"/>
        <v/>
      </c>
      <c r="N2441" s="74" t="str">
        <f t="shared" si="311"/>
        <v/>
      </c>
      <c r="O2441" s="73" t="str">
        <f t="shared" si="312"/>
        <v/>
      </c>
      <c r="P2441" s="65" t="str">
        <f t="shared" ca="1" si="313"/>
        <v/>
      </c>
      <c r="Q2441" s="2"/>
      <c r="R2441" s="2"/>
      <c r="S2441" s="1" t="str">
        <f t="shared" si="306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307"/>
        <v>0</v>
      </c>
      <c r="W2441" s="1" t="str">
        <f t="shared" si="308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customHeight="1" x14ac:dyDescent="0.3">
      <c r="A2442" s="2"/>
      <c r="B2442" s="65" t="str">
        <f t="shared" si="309"/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 t="shared" si="310"/>
        <v/>
      </c>
      <c r="N2442" s="74" t="str">
        <f t="shared" si="311"/>
        <v/>
      </c>
      <c r="O2442" s="73" t="str">
        <f t="shared" si="312"/>
        <v/>
      </c>
      <c r="P2442" s="65" t="str">
        <f t="shared" ca="1" si="313"/>
        <v/>
      </c>
      <c r="Q2442" s="2"/>
      <c r="R2442" s="2"/>
      <c r="S2442" s="1" t="str">
        <f t="shared" si="306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307"/>
        <v>0</v>
      </c>
      <c r="W2442" s="1" t="str">
        <f t="shared" si="308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customHeight="1" x14ac:dyDescent="0.3">
      <c r="A2443" s="2"/>
      <c r="B2443" s="65" t="str">
        <f t="shared" si="309"/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 t="shared" si="310"/>
        <v/>
      </c>
      <c r="N2443" s="74" t="str">
        <f t="shared" si="311"/>
        <v/>
      </c>
      <c r="O2443" s="73" t="str">
        <f t="shared" si="312"/>
        <v/>
      </c>
      <c r="P2443" s="65" t="str">
        <f t="shared" ca="1" si="313"/>
        <v/>
      </c>
      <c r="Q2443" s="2"/>
      <c r="R2443" s="2"/>
      <c r="S2443" s="1" t="str">
        <f t="shared" si="306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307"/>
        <v>0</v>
      </c>
      <c r="W2443" s="1" t="str">
        <f t="shared" si="308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customHeight="1" x14ac:dyDescent="0.3">
      <c r="A2444" s="2"/>
      <c r="B2444" s="65" t="str">
        <f t="shared" si="309"/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 t="shared" si="310"/>
        <v/>
      </c>
      <c r="N2444" s="74" t="str">
        <f t="shared" si="311"/>
        <v/>
      </c>
      <c r="O2444" s="73" t="str">
        <f t="shared" si="312"/>
        <v/>
      </c>
      <c r="P2444" s="65" t="str">
        <f t="shared" ca="1" si="313"/>
        <v/>
      </c>
      <c r="Q2444" s="2"/>
      <c r="R2444" s="2"/>
      <c r="S2444" s="1" t="str">
        <f t="shared" si="306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307"/>
        <v>0</v>
      </c>
      <c r="W2444" s="1" t="str">
        <f t="shared" si="308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customHeight="1" x14ac:dyDescent="0.3">
      <c r="A2445" s="2"/>
      <c r="B2445" s="65" t="str">
        <f t="shared" si="309"/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 t="shared" si="310"/>
        <v/>
      </c>
      <c r="N2445" s="74" t="str">
        <f t="shared" si="311"/>
        <v/>
      </c>
      <c r="O2445" s="73" t="str">
        <f t="shared" si="312"/>
        <v/>
      </c>
      <c r="P2445" s="65" t="str">
        <f t="shared" ca="1" si="313"/>
        <v/>
      </c>
      <c r="Q2445" s="2"/>
      <c r="R2445" s="2"/>
      <c r="S2445" s="1" t="str">
        <f t="shared" si="306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307"/>
        <v>0</v>
      </c>
      <c r="W2445" s="1" t="str">
        <f t="shared" si="308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customHeight="1" x14ac:dyDescent="0.3">
      <c r="A2446" s="2"/>
      <c r="B2446" s="65" t="str">
        <f t="shared" si="309"/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 t="shared" si="310"/>
        <v/>
      </c>
      <c r="N2446" s="74" t="str">
        <f t="shared" si="311"/>
        <v/>
      </c>
      <c r="O2446" s="73" t="str">
        <f t="shared" si="312"/>
        <v/>
      </c>
      <c r="P2446" s="65" t="str">
        <f t="shared" ca="1" si="313"/>
        <v/>
      </c>
      <c r="Q2446" s="2"/>
      <c r="R2446" s="2"/>
      <c r="S2446" s="1" t="str">
        <f t="shared" si="306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307"/>
        <v>0</v>
      </c>
      <c r="W2446" s="1" t="str">
        <f t="shared" si="308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customHeight="1" x14ac:dyDescent="0.3">
      <c r="A2447" s="2"/>
      <c r="B2447" s="65" t="str">
        <f t="shared" si="309"/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 t="shared" si="310"/>
        <v/>
      </c>
      <c r="N2447" s="74" t="str">
        <f t="shared" si="311"/>
        <v/>
      </c>
      <c r="O2447" s="73" t="str">
        <f t="shared" si="312"/>
        <v/>
      </c>
      <c r="P2447" s="65" t="str">
        <f t="shared" ca="1" si="313"/>
        <v/>
      </c>
      <c r="Q2447" s="2"/>
      <c r="R2447" s="2"/>
      <c r="S2447" s="1" t="str">
        <f t="shared" si="306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307"/>
        <v>0</v>
      </c>
      <c r="W2447" s="1" t="str">
        <f t="shared" si="308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customHeight="1" x14ac:dyDescent="0.3">
      <c r="A2448" s="2"/>
      <c r="B2448" s="65" t="str">
        <f t="shared" si="309"/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 t="shared" si="310"/>
        <v/>
      </c>
      <c r="N2448" s="74" t="str">
        <f t="shared" si="311"/>
        <v/>
      </c>
      <c r="O2448" s="73" t="str">
        <f t="shared" si="312"/>
        <v/>
      </c>
      <c r="P2448" s="65" t="str">
        <f t="shared" ca="1" si="313"/>
        <v/>
      </c>
      <c r="Q2448" s="2"/>
      <c r="R2448" s="2"/>
      <c r="S2448" s="1" t="str">
        <f t="shared" si="306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307"/>
        <v>0</v>
      </c>
      <c r="W2448" s="1" t="str">
        <f t="shared" si="308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customHeight="1" x14ac:dyDescent="0.3">
      <c r="A2449" s="2"/>
      <c r="B2449" s="65" t="str">
        <f t="shared" si="309"/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 t="shared" si="310"/>
        <v/>
      </c>
      <c r="N2449" s="74" t="str">
        <f t="shared" si="311"/>
        <v/>
      </c>
      <c r="O2449" s="73" t="str">
        <f t="shared" si="312"/>
        <v/>
      </c>
      <c r="P2449" s="65" t="str">
        <f t="shared" ca="1" si="313"/>
        <v/>
      </c>
      <c r="Q2449" s="2"/>
      <c r="R2449" s="2"/>
      <c r="S2449" s="1" t="str">
        <f t="shared" si="306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307"/>
        <v>0</v>
      </c>
      <c r="W2449" s="1" t="str">
        <f t="shared" si="308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customHeight="1" x14ac:dyDescent="0.3">
      <c r="A2450" s="2"/>
      <c r="B2450" s="65" t="str">
        <f t="shared" si="309"/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 t="shared" si="310"/>
        <v/>
      </c>
      <c r="N2450" s="74" t="str">
        <f t="shared" si="311"/>
        <v/>
      </c>
      <c r="O2450" s="73" t="str">
        <f t="shared" si="312"/>
        <v/>
      </c>
      <c r="P2450" s="65" t="str">
        <f t="shared" ca="1" si="313"/>
        <v/>
      </c>
      <c r="Q2450" s="2"/>
      <c r="R2450" s="2"/>
      <c r="S2450" s="1" t="str">
        <f t="shared" si="306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307"/>
        <v>0</v>
      </c>
      <c r="W2450" s="1" t="str">
        <f t="shared" si="308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customHeight="1" x14ac:dyDescent="0.3">
      <c r="A2451" s="2"/>
      <c r="B2451" s="65" t="str">
        <f t="shared" si="309"/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 t="shared" si="310"/>
        <v/>
      </c>
      <c r="N2451" s="74" t="str">
        <f t="shared" si="311"/>
        <v/>
      </c>
      <c r="O2451" s="73" t="str">
        <f t="shared" si="312"/>
        <v/>
      </c>
      <c r="P2451" s="65" t="str">
        <f t="shared" ca="1" si="313"/>
        <v/>
      </c>
      <c r="Q2451" s="2"/>
      <c r="R2451" s="2"/>
      <c r="S2451" s="1" t="str">
        <f t="shared" si="306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307"/>
        <v>0</v>
      </c>
      <c r="W2451" s="1" t="str">
        <f t="shared" si="308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customHeight="1" x14ac:dyDescent="0.3">
      <c r="A2452" s="2"/>
      <c r="B2452" s="65" t="str">
        <f t="shared" si="309"/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 t="shared" si="310"/>
        <v/>
      </c>
      <c r="N2452" s="74" t="str">
        <f t="shared" si="311"/>
        <v/>
      </c>
      <c r="O2452" s="73" t="str">
        <f t="shared" si="312"/>
        <v/>
      </c>
      <c r="P2452" s="65" t="str">
        <f t="shared" ca="1" si="313"/>
        <v/>
      </c>
      <c r="Q2452" s="2"/>
      <c r="R2452" s="2"/>
      <c r="S2452" s="1" t="str">
        <f t="shared" si="306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307"/>
        <v>0</v>
      </c>
      <c r="W2452" s="1" t="str">
        <f t="shared" si="308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customHeight="1" x14ac:dyDescent="0.3">
      <c r="A2453" s="2"/>
      <c r="B2453" s="65" t="str">
        <f t="shared" si="309"/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 t="shared" si="310"/>
        <v/>
      </c>
      <c r="N2453" s="74" t="str">
        <f t="shared" si="311"/>
        <v/>
      </c>
      <c r="O2453" s="73" t="str">
        <f t="shared" si="312"/>
        <v/>
      </c>
      <c r="P2453" s="65" t="str">
        <f t="shared" ca="1" si="313"/>
        <v/>
      </c>
      <c r="Q2453" s="2"/>
      <c r="R2453" s="2"/>
      <c r="S2453" s="1" t="str">
        <f t="shared" si="306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307"/>
        <v>0</v>
      </c>
      <c r="W2453" s="1" t="str">
        <f t="shared" si="308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customHeight="1" x14ac:dyDescent="0.3">
      <c r="A2454" s="2"/>
      <c r="B2454" s="65" t="str">
        <f t="shared" si="309"/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 t="shared" si="310"/>
        <v/>
      </c>
      <c r="N2454" s="74" t="str">
        <f t="shared" si="311"/>
        <v/>
      </c>
      <c r="O2454" s="73" t="str">
        <f t="shared" si="312"/>
        <v/>
      </c>
      <c r="P2454" s="65" t="str">
        <f t="shared" ca="1" si="313"/>
        <v/>
      </c>
      <c r="Q2454" s="2"/>
      <c r="R2454" s="2"/>
      <c r="S2454" s="1" t="str">
        <f t="shared" si="306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307"/>
        <v>0</v>
      </c>
      <c r="W2454" s="1" t="str">
        <f t="shared" si="308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customHeight="1" x14ac:dyDescent="0.3">
      <c r="A2455" s="2"/>
      <c r="B2455" s="65" t="str">
        <f t="shared" si="309"/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 t="shared" si="310"/>
        <v/>
      </c>
      <c r="N2455" s="74" t="str">
        <f t="shared" si="311"/>
        <v/>
      </c>
      <c r="O2455" s="73" t="str">
        <f t="shared" si="312"/>
        <v/>
      </c>
      <c r="P2455" s="65" t="str">
        <f t="shared" ca="1" si="313"/>
        <v/>
      </c>
      <c r="Q2455" s="2"/>
      <c r="R2455" s="2"/>
      <c r="S2455" s="1" t="str">
        <f t="shared" si="306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307"/>
        <v>0</v>
      </c>
      <c r="W2455" s="1" t="str">
        <f t="shared" si="308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customHeight="1" x14ac:dyDescent="0.3">
      <c r="A2456" s="2"/>
      <c r="B2456" s="65" t="str">
        <f t="shared" si="309"/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 t="shared" si="310"/>
        <v/>
      </c>
      <c r="N2456" s="74" t="str">
        <f t="shared" si="311"/>
        <v/>
      </c>
      <c r="O2456" s="73" t="str">
        <f t="shared" si="312"/>
        <v/>
      </c>
      <c r="P2456" s="65" t="str">
        <f t="shared" ca="1" si="313"/>
        <v/>
      </c>
      <c r="Q2456" s="2"/>
      <c r="R2456" s="2"/>
      <c r="S2456" s="1" t="str">
        <f t="shared" si="306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307"/>
        <v>0</v>
      </c>
      <c r="W2456" s="1" t="str">
        <f t="shared" si="308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customHeight="1" x14ac:dyDescent="0.3">
      <c r="A2457" s="2"/>
      <c r="B2457" s="65" t="str">
        <f t="shared" si="309"/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 t="shared" si="310"/>
        <v/>
      </c>
      <c r="N2457" s="74" t="str">
        <f t="shared" si="311"/>
        <v/>
      </c>
      <c r="O2457" s="73" t="str">
        <f t="shared" si="312"/>
        <v/>
      </c>
      <c r="P2457" s="65" t="str">
        <f t="shared" ca="1" si="313"/>
        <v/>
      </c>
      <c r="Q2457" s="2"/>
      <c r="R2457" s="2"/>
      <c r="S2457" s="1" t="str">
        <f t="shared" si="306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307"/>
        <v>0</v>
      </c>
      <c r="W2457" s="1" t="str">
        <f t="shared" si="308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customHeight="1" x14ac:dyDescent="0.3">
      <c r="A2458" s="2"/>
      <c r="B2458" s="65" t="str">
        <f t="shared" si="309"/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 t="shared" si="310"/>
        <v/>
      </c>
      <c r="N2458" s="74" t="str">
        <f t="shared" si="311"/>
        <v/>
      </c>
      <c r="O2458" s="73" t="str">
        <f t="shared" si="312"/>
        <v/>
      </c>
      <c r="P2458" s="65" t="str">
        <f t="shared" ca="1" si="313"/>
        <v/>
      </c>
      <c r="Q2458" s="2"/>
      <c r="R2458" s="2"/>
      <c r="S2458" s="1" t="str">
        <f t="shared" si="306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307"/>
        <v>0</v>
      </c>
      <c r="W2458" s="1" t="str">
        <f t="shared" si="308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customHeight="1" x14ac:dyDescent="0.3">
      <c r="A2459" s="2"/>
      <c r="B2459" s="65" t="str">
        <f t="shared" si="309"/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 t="shared" si="310"/>
        <v/>
      </c>
      <c r="N2459" s="74" t="str">
        <f t="shared" si="311"/>
        <v/>
      </c>
      <c r="O2459" s="73" t="str">
        <f t="shared" si="312"/>
        <v/>
      </c>
      <c r="P2459" s="65" t="str">
        <f t="shared" ca="1" si="313"/>
        <v/>
      </c>
      <c r="Q2459" s="2"/>
      <c r="R2459" s="2"/>
      <c r="S2459" s="1" t="str">
        <f t="shared" si="306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307"/>
        <v>0</v>
      </c>
      <c r="W2459" s="1" t="str">
        <f t="shared" si="308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customHeight="1" x14ac:dyDescent="0.3">
      <c r="A2460" s="2"/>
      <c r="B2460" s="65" t="str">
        <f t="shared" si="309"/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 t="shared" si="310"/>
        <v/>
      </c>
      <c r="N2460" s="74" t="str">
        <f t="shared" si="311"/>
        <v/>
      </c>
      <c r="O2460" s="73" t="str">
        <f t="shared" si="312"/>
        <v/>
      </c>
      <c r="P2460" s="65" t="str">
        <f t="shared" ca="1" si="313"/>
        <v/>
      </c>
      <c r="Q2460" s="2"/>
      <c r="R2460" s="2"/>
      <c r="S2460" s="1" t="str">
        <f t="shared" si="306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307"/>
        <v>0</v>
      </c>
      <c r="W2460" s="1" t="str">
        <f t="shared" si="308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customHeight="1" x14ac:dyDescent="0.3">
      <c r="A2461" s="2"/>
      <c r="B2461" s="65" t="str">
        <f t="shared" si="309"/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 t="shared" si="310"/>
        <v/>
      </c>
      <c r="N2461" s="74" t="str">
        <f t="shared" si="311"/>
        <v/>
      </c>
      <c r="O2461" s="73" t="str">
        <f t="shared" si="312"/>
        <v/>
      </c>
      <c r="P2461" s="65" t="str">
        <f t="shared" ca="1" si="313"/>
        <v/>
      </c>
      <c r="Q2461" s="2"/>
      <c r="R2461" s="2"/>
      <c r="S2461" s="1" t="str">
        <f t="shared" si="306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307"/>
        <v>0</v>
      </c>
      <c r="W2461" s="1" t="str">
        <f t="shared" si="308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customHeight="1" x14ac:dyDescent="0.3">
      <c r="A2462" s="2"/>
      <c r="B2462" s="65" t="str">
        <f t="shared" si="309"/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 t="shared" si="310"/>
        <v/>
      </c>
      <c r="N2462" s="74" t="str">
        <f t="shared" si="311"/>
        <v/>
      </c>
      <c r="O2462" s="73" t="str">
        <f t="shared" si="312"/>
        <v/>
      </c>
      <c r="P2462" s="65" t="str">
        <f t="shared" ca="1" si="313"/>
        <v/>
      </c>
      <c r="Q2462" s="2"/>
      <c r="R2462" s="2"/>
      <c r="S2462" s="1" t="str">
        <f t="shared" si="306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307"/>
        <v>0</v>
      </c>
      <c r="W2462" s="1" t="str">
        <f t="shared" si="308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customHeight="1" x14ac:dyDescent="0.3">
      <c r="A2463" s="2"/>
      <c r="B2463" s="65" t="str">
        <f t="shared" si="309"/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 t="shared" si="310"/>
        <v/>
      </c>
      <c r="N2463" s="74" t="str">
        <f t="shared" si="311"/>
        <v/>
      </c>
      <c r="O2463" s="73" t="str">
        <f t="shared" si="312"/>
        <v/>
      </c>
      <c r="P2463" s="65" t="str">
        <f t="shared" ca="1" si="313"/>
        <v/>
      </c>
      <c r="Q2463" s="2"/>
      <c r="R2463" s="2"/>
      <c r="S2463" s="1" t="str">
        <f t="shared" si="306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307"/>
        <v>0</v>
      </c>
      <c r="W2463" s="1" t="str">
        <f t="shared" si="308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customHeight="1" x14ac:dyDescent="0.3">
      <c r="A2464" s="2"/>
      <c r="B2464" s="65" t="str">
        <f t="shared" si="309"/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 t="shared" si="310"/>
        <v/>
      </c>
      <c r="N2464" s="74" t="str">
        <f t="shared" si="311"/>
        <v/>
      </c>
      <c r="O2464" s="73" t="str">
        <f t="shared" si="312"/>
        <v/>
      </c>
      <c r="P2464" s="65" t="str">
        <f t="shared" ca="1" si="313"/>
        <v/>
      </c>
      <c r="Q2464" s="2"/>
      <c r="R2464" s="2"/>
      <c r="S2464" s="1" t="str">
        <f t="shared" si="306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307"/>
        <v>0</v>
      </c>
      <c r="W2464" s="1" t="str">
        <f t="shared" si="308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customHeight="1" x14ac:dyDescent="0.3">
      <c r="A2465" s="2"/>
      <c r="B2465" s="65" t="str">
        <f t="shared" si="309"/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 t="shared" si="310"/>
        <v/>
      </c>
      <c r="N2465" s="74" t="str">
        <f t="shared" si="311"/>
        <v/>
      </c>
      <c r="O2465" s="73" t="str">
        <f t="shared" si="312"/>
        <v/>
      </c>
      <c r="P2465" s="65" t="str">
        <f t="shared" ca="1" si="313"/>
        <v/>
      </c>
      <c r="Q2465" s="2"/>
      <c r="R2465" s="2"/>
      <c r="S2465" s="1" t="str">
        <f t="shared" si="306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307"/>
        <v>0</v>
      </c>
      <c r="W2465" s="1" t="str">
        <f t="shared" si="308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customHeight="1" x14ac:dyDescent="0.3">
      <c r="A2466" s="2"/>
      <c r="B2466" s="65" t="str">
        <f t="shared" si="309"/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 t="shared" si="310"/>
        <v/>
      </c>
      <c r="N2466" s="74" t="str">
        <f t="shared" si="311"/>
        <v/>
      </c>
      <c r="O2466" s="73" t="str">
        <f t="shared" si="312"/>
        <v/>
      </c>
      <c r="P2466" s="65" t="str">
        <f t="shared" ca="1" si="313"/>
        <v/>
      </c>
      <c r="Q2466" s="2"/>
      <c r="R2466" s="2"/>
      <c r="S2466" s="1" t="str">
        <f t="shared" si="306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307"/>
        <v>0</v>
      </c>
      <c r="W2466" s="1" t="str">
        <f t="shared" si="308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customHeight="1" x14ac:dyDescent="0.3">
      <c r="A2467" s="2"/>
      <c r="B2467" s="65" t="str">
        <f t="shared" si="309"/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 t="shared" si="310"/>
        <v/>
      </c>
      <c r="N2467" s="74" t="str">
        <f t="shared" si="311"/>
        <v/>
      </c>
      <c r="O2467" s="73" t="str">
        <f t="shared" si="312"/>
        <v/>
      </c>
      <c r="P2467" s="65" t="str">
        <f t="shared" ca="1" si="313"/>
        <v/>
      </c>
      <c r="Q2467" s="2"/>
      <c r="R2467" s="2"/>
      <c r="S2467" s="1" t="str">
        <f t="shared" si="306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307"/>
        <v>0</v>
      </c>
      <c r="W2467" s="1" t="str">
        <f t="shared" si="308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customHeight="1" x14ac:dyDescent="0.3">
      <c r="A2468" s="2"/>
      <c r="B2468" s="65" t="str">
        <f t="shared" si="309"/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 t="shared" si="310"/>
        <v/>
      </c>
      <c r="N2468" s="74" t="str">
        <f t="shared" si="311"/>
        <v/>
      </c>
      <c r="O2468" s="73" t="str">
        <f t="shared" si="312"/>
        <v/>
      </c>
      <c r="P2468" s="65" t="str">
        <f t="shared" ca="1" si="313"/>
        <v/>
      </c>
      <c r="Q2468" s="2"/>
      <c r="R2468" s="2"/>
      <c r="S2468" s="1" t="str">
        <f t="shared" si="306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307"/>
        <v>0</v>
      </c>
      <c r="W2468" s="1" t="str">
        <f t="shared" si="308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customHeight="1" x14ac:dyDescent="0.3">
      <c r="A2469" s="2"/>
      <c r="B2469" s="65" t="str">
        <f t="shared" si="309"/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 t="shared" si="310"/>
        <v/>
      </c>
      <c r="N2469" s="74" t="str">
        <f t="shared" si="311"/>
        <v/>
      </c>
      <c r="O2469" s="73" t="str">
        <f t="shared" si="312"/>
        <v/>
      </c>
      <c r="P2469" s="65" t="str">
        <f t="shared" ca="1" si="313"/>
        <v/>
      </c>
      <c r="Q2469" s="2"/>
      <c r="R2469" s="2"/>
      <c r="S2469" s="1" t="str">
        <f t="shared" si="306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307"/>
        <v>0</v>
      </c>
      <c r="W2469" s="1" t="str">
        <f t="shared" si="308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customHeight="1" x14ac:dyDescent="0.3">
      <c r="A2470" s="2"/>
      <c r="B2470" s="65" t="str">
        <f t="shared" si="309"/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 t="shared" si="310"/>
        <v/>
      </c>
      <c r="N2470" s="74" t="str">
        <f t="shared" si="311"/>
        <v/>
      </c>
      <c r="O2470" s="73" t="str">
        <f t="shared" si="312"/>
        <v/>
      </c>
      <c r="P2470" s="65" t="str">
        <f t="shared" ca="1" si="313"/>
        <v/>
      </c>
      <c r="Q2470" s="2"/>
      <c r="R2470" s="2"/>
      <c r="S2470" s="1" t="str">
        <f t="shared" si="306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307"/>
        <v>0</v>
      </c>
      <c r="W2470" s="1" t="str">
        <f t="shared" si="308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customHeight="1" x14ac:dyDescent="0.3">
      <c r="A2471" s="2"/>
      <c r="B2471" s="65" t="str">
        <f t="shared" si="309"/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 t="shared" si="310"/>
        <v/>
      </c>
      <c r="N2471" s="74" t="str">
        <f t="shared" si="311"/>
        <v/>
      </c>
      <c r="O2471" s="73" t="str">
        <f t="shared" si="312"/>
        <v/>
      </c>
      <c r="P2471" s="65" t="str">
        <f t="shared" ca="1" si="313"/>
        <v/>
      </c>
      <c r="Q2471" s="2"/>
      <c r="R2471" s="2"/>
      <c r="S2471" s="1" t="str">
        <f t="shared" si="306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307"/>
        <v>0</v>
      </c>
      <c r="W2471" s="1" t="str">
        <f t="shared" si="308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customHeight="1" x14ac:dyDescent="0.3">
      <c r="A2472" s="2"/>
      <c r="B2472" s="65" t="str">
        <f t="shared" si="309"/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 t="shared" si="310"/>
        <v/>
      </c>
      <c r="N2472" s="74" t="str">
        <f t="shared" si="311"/>
        <v/>
      </c>
      <c r="O2472" s="73" t="str">
        <f t="shared" si="312"/>
        <v/>
      </c>
      <c r="P2472" s="65" t="str">
        <f t="shared" ca="1" si="313"/>
        <v/>
      </c>
      <c r="Q2472" s="2"/>
      <c r="R2472" s="2"/>
      <c r="S2472" s="1" t="str">
        <f t="shared" si="306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307"/>
        <v>0</v>
      </c>
      <c r="W2472" s="1" t="str">
        <f t="shared" si="308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customHeight="1" x14ac:dyDescent="0.3">
      <c r="A2473" s="2"/>
      <c r="B2473" s="65" t="str">
        <f t="shared" si="309"/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 t="shared" si="310"/>
        <v/>
      </c>
      <c r="N2473" s="74" t="str">
        <f t="shared" si="311"/>
        <v/>
      </c>
      <c r="O2473" s="73" t="str">
        <f t="shared" si="312"/>
        <v/>
      </c>
      <c r="P2473" s="65" t="str">
        <f t="shared" ca="1" si="313"/>
        <v/>
      </c>
      <c r="Q2473" s="2"/>
      <c r="R2473" s="2"/>
      <c r="S2473" s="1" t="str">
        <f t="shared" si="306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307"/>
        <v>0</v>
      </c>
      <c r="W2473" s="1" t="str">
        <f t="shared" si="308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customHeight="1" x14ac:dyDescent="0.3">
      <c r="A2474" s="2"/>
      <c r="B2474" s="65" t="str">
        <f t="shared" si="309"/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 t="shared" si="310"/>
        <v/>
      </c>
      <c r="N2474" s="74" t="str">
        <f t="shared" si="311"/>
        <v/>
      </c>
      <c r="O2474" s="73" t="str">
        <f t="shared" si="312"/>
        <v/>
      </c>
      <c r="P2474" s="65" t="str">
        <f t="shared" ca="1" si="313"/>
        <v/>
      </c>
      <c r="Q2474" s="2"/>
      <c r="R2474" s="2"/>
      <c r="S2474" s="1" t="str">
        <f t="shared" si="306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307"/>
        <v>0</v>
      </c>
      <c r="W2474" s="1" t="str">
        <f t="shared" si="308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customHeight="1" x14ac:dyDescent="0.3">
      <c r="A2475" s="2"/>
      <c r="B2475" s="65" t="str">
        <f t="shared" si="309"/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 t="shared" si="310"/>
        <v/>
      </c>
      <c r="N2475" s="74" t="str">
        <f t="shared" si="311"/>
        <v/>
      </c>
      <c r="O2475" s="73" t="str">
        <f t="shared" si="312"/>
        <v/>
      </c>
      <c r="P2475" s="65" t="str">
        <f t="shared" ca="1" si="313"/>
        <v/>
      </c>
      <c r="Q2475" s="2"/>
      <c r="R2475" s="2"/>
      <c r="S2475" s="1" t="str">
        <f t="shared" si="306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307"/>
        <v>0</v>
      </c>
      <c r="W2475" s="1" t="str">
        <f t="shared" si="308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customHeight="1" x14ac:dyDescent="0.3">
      <c r="A2476" s="2"/>
      <c r="B2476" s="65" t="str">
        <f t="shared" si="309"/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 t="shared" si="310"/>
        <v/>
      </c>
      <c r="N2476" s="74" t="str">
        <f t="shared" si="311"/>
        <v/>
      </c>
      <c r="O2476" s="73" t="str">
        <f t="shared" si="312"/>
        <v/>
      </c>
      <c r="P2476" s="65" t="str">
        <f t="shared" ca="1" si="313"/>
        <v/>
      </c>
      <c r="Q2476" s="2"/>
      <c r="R2476" s="2"/>
      <c r="S2476" s="1" t="str">
        <f t="shared" si="306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307"/>
        <v>0</v>
      </c>
      <c r="W2476" s="1" t="str">
        <f t="shared" si="308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customHeight="1" x14ac:dyDescent="0.3">
      <c r="A2477" s="2"/>
      <c r="B2477" s="65" t="str">
        <f t="shared" si="309"/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 t="shared" si="310"/>
        <v/>
      </c>
      <c r="N2477" s="74" t="str">
        <f t="shared" si="311"/>
        <v/>
      </c>
      <c r="O2477" s="73" t="str">
        <f t="shared" si="312"/>
        <v/>
      </c>
      <c r="P2477" s="65" t="str">
        <f t="shared" ca="1" si="313"/>
        <v/>
      </c>
      <c r="Q2477" s="2"/>
      <c r="R2477" s="2"/>
      <c r="S2477" s="1" t="str">
        <f t="shared" si="306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307"/>
        <v>0</v>
      </c>
      <c r="W2477" s="1" t="str">
        <f t="shared" si="308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customHeight="1" x14ac:dyDescent="0.3">
      <c r="A2478" s="2"/>
      <c r="B2478" s="65" t="str">
        <f t="shared" si="309"/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 t="shared" si="310"/>
        <v/>
      </c>
      <c r="N2478" s="74" t="str">
        <f t="shared" si="311"/>
        <v/>
      </c>
      <c r="O2478" s="73" t="str">
        <f t="shared" si="312"/>
        <v/>
      </c>
      <c r="P2478" s="65" t="str">
        <f t="shared" ca="1" si="313"/>
        <v/>
      </c>
      <c r="Q2478" s="2"/>
      <c r="R2478" s="2"/>
      <c r="S2478" s="1" t="str">
        <f t="shared" si="306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307"/>
        <v>0</v>
      </c>
      <c r="W2478" s="1" t="str">
        <f t="shared" si="308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customHeight="1" x14ac:dyDescent="0.3">
      <c r="A2479" s="2"/>
      <c r="B2479" s="65" t="str">
        <f t="shared" si="309"/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 t="shared" si="310"/>
        <v/>
      </c>
      <c r="N2479" s="74" t="str">
        <f t="shared" si="311"/>
        <v/>
      </c>
      <c r="O2479" s="73" t="str">
        <f t="shared" si="312"/>
        <v/>
      </c>
      <c r="P2479" s="65" t="str">
        <f t="shared" ca="1" si="313"/>
        <v/>
      </c>
      <c r="Q2479" s="2"/>
      <c r="R2479" s="2"/>
      <c r="S2479" s="1" t="str">
        <f t="shared" si="306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307"/>
        <v>0</v>
      </c>
      <c r="W2479" s="1" t="str">
        <f t="shared" si="308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customHeight="1" x14ac:dyDescent="0.3">
      <c r="A2480" s="2"/>
      <c r="B2480" s="65" t="str">
        <f t="shared" si="309"/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 t="shared" si="310"/>
        <v/>
      </c>
      <c r="N2480" s="74" t="str">
        <f t="shared" si="311"/>
        <v/>
      </c>
      <c r="O2480" s="73" t="str">
        <f t="shared" si="312"/>
        <v/>
      </c>
      <c r="P2480" s="65" t="str">
        <f t="shared" ca="1" si="313"/>
        <v/>
      </c>
      <c r="Q2480" s="2"/>
      <c r="R2480" s="2"/>
      <c r="S2480" s="1" t="str">
        <f t="shared" si="306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307"/>
        <v>0</v>
      </c>
      <c r="W2480" s="1" t="str">
        <f t="shared" si="308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customHeight="1" x14ac:dyDescent="0.3">
      <c r="A2481" s="2"/>
      <c r="B2481" s="65" t="str">
        <f t="shared" si="309"/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 t="shared" si="310"/>
        <v/>
      </c>
      <c r="N2481" s="74" t="str">
        <f t="shared" si="311"/>
        <v/>
      </c>
      <c r="O2481" s="73" t="str">
        <f t="shared" si="312"/>
        <v/>
      </c>
      <c r="P2481" s="65" t="str">
        <f t="shared" ca="1" si="313"/>
        <v/>
      </c>
      <c r="Q2481" s="2"/>
      <c r="R2481" s="2"/>
      <c r="S2481" s="1" t="str">
        <f t="shared" si="306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307"/>
        <v>0</v>
      </c>
      <c r="W2481" s="1" t="str">
        <f t="shared" si="308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customHeight="1" x14ac:dyDescent="0.3">
      <c r="A2482" s="2"/>
      <c r="B2482" s="65" t="str">
        <f t="shared" si="309"/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 t="shared" si="310"/>
        <v/>
      </c>
      <c r="N2482" s="74" t="str">
        <f t="shared" si="311"/>
        <v/>
      </c>
      <c r="O2482" s="73" t="str">
        <f t="shared" si="312"/>
        <v/>
      </c>
      <c r="P2482" s="65" t="str">
        <f t="shared" ca="1" si="313"/>
        <v/>
      </c>
      <c r="Q2482" s="2"/>
      <c r="R2482" s="2"/>
      <c r="S2482" s="1" t="str">
        <f t="shared" si="306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307"/>
        <v>0</v>
      </c>
      <c r="W2482" s="1" t="str">
        <f t="shared" si="308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customHeight="1" x14ac:dyDescent="0.3">
      <c r="A2483" s="2"/>
      <c r="B2483" s="65" t="str">
        <f t="shared" si="309"/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 t="shared" si="310"/>
        <v/>
      </c>
      <c r="N2483" s="74" t="str">
        <f t="shared" si="311"/>
        <v/>
      </c>
      <c r="O2483" s="73" t="str">
        <f t="shared" si="312"/>
        <v/>
      </c>
      <c r="P2483" s="65" t="str">
        <f t="shared" ca="1" si="313"/>
        <v/>
      </c>
      <c r="Q2483" s="2"/>
      <c r="R2483" s="2"/>
      <c r="S2483" s="1" t="str">
        <f t="shared" si="306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307"/>
        <v>0</v>
      </c>
      <c r="W2483" s="1" t="str">
        <f t="shared" si="308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customHeight="1" x14ac:dyDescent="0.3">
      <c r="A2484" s="2"/>
      <c r="B2484" s="65" t="str">
        <f t="shared" si="309"/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 t="shared" si="310"/>
        <v/>
      </c>
      <c r="N2484" s="74" t="str">
        <f t="shared" si="311"/>
        <v/>
      </c>
      <c r="O2484" s="73" t="str">
        <f t="shared" si="312"/>
        <v/>
      </c>
      <c r="P2484" s="65" t="str">
        <f t="shared" ca="1" si="313"/>
        <v/>
      </c>
      <c r="Q2484" s="2"/>
      <c r="R2484" s="2"/>
      <c r="S2484" s="1" t="str">
        <f t="shared" si="306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307"/>
        <v>0</v>
      </c>
      <c r="W2484" s="1" t="str">
        <f t="shared" si="308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customHeight="1" x14ac:dyDescent="0.3">
      <c r="A2485" s="2"/>
      <c r="B2485" s="65" t="str">
        <f t="shared" si="309"/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 t="shared" si="310"/>
        <v/>
      </c>
      <c r="N2485" s="74" t="str">
        <f t="shared" si="311"/>
        <v/>
      </c>
      <c r="O2485" s="73" t="str">
        <f t="shared" si="312"/>
        <v/>
      </c>
      <c r="P2485" s="65" t="str">
        <f t="shared" ca="1" si="313"/>
        <v/>
      </c>
      <c r="Q2485" s="2"/>
      <c r="R2485" s="2"/>
      <c r="S2485" s="1" t="str">
        <f t="shared" si="306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307"/>
        <v>0</v>
      </c>
      <c r="W2485" s="1" t="str">
        <f t="shared" si="308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customHeight="1" x14ac:dyDescent="0.3">
      <c r="A2486" s="2"/>
      <c r="B2486" s="65" t="str">
        <f t="shared" si="309"/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 t="shared" si="310"/>
        <v/>
      </c>
      <c r="N2486" s="74" t="str">
        <f t="shared" si="311"/>
        <v/>
      </c>
      <c r="O2486" s="73" t="str">
        <f t="shared" si="312"/>
        <v/>
      </c>
      <c r="P2486" s="65" t="str">
        <f t="shared" ca="1" si="313"/>
        <v/>
      </c>
      <c r="Q2486" s="2"/>
      <c r="R2486" s="2"/>
      <c r="S2486" s="1" t="str">
        <f t="shared" si="306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307"/>
        <v>0</v>
      </c>
      <c r="W2486" s="1" t="str">
        <f t="shared" si="308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customHeight="1" x14ac:dyDescent="0.3">
      <c r="A2487" s="2"/>
      <c r="B2487" s="65" t="str">
        <f t="shared" si="309"/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 t="shared" si="310"/>
        <v/>
      </c>
      <c r="N2487" s="74" t="str">
        <f t="shared" si="311"/>
        <v/>
      </c>
      <c r="O2487" s="73" t="str">
        <f t="shared" si="312"/>
        <v/>
      </c>
      <c r="P2487" s="65" t="str">
        <f t="shared" ca="1" si="313"/>
        <v/>
      </c>
      <c r="Q2487" s="2"/>
      <c r="R2487" s="2"/>
      <c r="S2487" s="1" t="str">
        <f t="shared" si="306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307"/>
        <v>0</v>
      </c>
      <c r="W2487" s="1" t="str">
        <f t="shared" si="308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customHeight="1" x14ac:dyDescent="0.3">
      <c r="A2488" s="2"/>
      <c r="B2488" s="65" t="str">
        <f t="shared" si="309"/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 t="shared" si="310"/>
        <v/>
      </c>
      <c r="N2488" s="74" t="str">
        <f t="shared" si="311"/>
        <v/>
      </c>
      <c r="O2488" s="73" t="str">
        <f t="shared" si="312"/>
        <v/>
      </c>
      <c r="P2488" s="65" t="str">
        <f t="shared" ca="1" si="313"/>
        <v/>
      </c>
      <c r="Q2488" s="2"/>
      <c r="R2488" s="2"/>
      <c r="S2488" s="1" t="str">
        <f t="shared" si="306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307"/>
        <v>0</v>
      </c>
      <c r="W2488" s="1" t="str">
        <f t="shared" si="308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customHeight="1" x14ac:dyDescent="0.3">
      <c r="A2489" s="2"/>
      <c r="B2489" s="65" t="str">
        <f t="shared" si="309"/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 t="shared" si="310"/>
        <v/>
      </c>
      <c r="N2489" s="74" t="str">
        <f t="shared" si="311"/>
        <v/>
      </c>
      <c r="O2489" s="73" t="str">
        <f t="shared" si="312"/>
        <v/>
      </c>
      <c r="P2489" s="65" t="str">
        <f t="shared" ca="1" si="313"/>
        <v/>
      </c>
      <c r="Q2489" s="2"/>
      <c r="R2489" s="2"/>
      <c r="S2489" s="1" t="str">
        <f t="shared" si="306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307"/>
        <v>0</v>
      </c>
      <c r="W2489" s="1" t="str">
        <f t="shared" si="308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customHeight="1" x14ac:dyDescent="0.3">
      <c r="A2490" s="2"/>
      <c r="B2490" s="65" t="str">
        <f t="shared" si="309"/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 t="shared" si="310"/>
        <v/>
      </c>
      <c r="N2490" s="74" t="str">
        <f t="shared" si="311"/>
        <v/>
      </c>
      <c r="O2490" s="73" t="str">
        <f t="shared" si="312"/>
        <v/>
      </c>
      <c r="P2490" s="65" t="str">
        <f t="shared" ca="1" si="313"/>
        <v/>
      </c>
      <c r="Q2490" s="2"/>
      <c r="R2490" s="2"/>
      <c r="S2490" s="1" t="str">
        <f t="shared" si="306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307"/>
        <v>0</v>
      </c>
      <c r="W2490" s="1" t="str">
        <f t="shared" si="308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customHeight="1" x14ac:dyDescent="0.3">
      <c r="A2491" s="2"/>
      <c r="B2491" s="65" t="str">
        <f t="shared" si="309"/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 t="shared" si="310"/>
        <v/>
      </c>
      <c r="N2491" s="74" t="str">
        <f t="shared" si="311"/>
        <v/>
      </c>
      <c r="O2491" s="73" t="str">
        <f t="shared" si="312"/>
        <v/>
      </c>
      <c r="P2491" s="65" t="str">
        <f t="shared" ca="1" si="313"/>
        <v/>
      </c>
      <c r="Q2491" s="2"/>
      <c r="R2491" s="2"/>
      <c r="S2491" s="1" t="str">
        <f t="shared" si="306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307"/>
        <v>0</v>
      </c>
      <c r="W2491" s="1" t="str">
        <f t="shared" si="308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customHeight="1" x14ac:dyDescent="0.3">
      <c r="A2492" s="2"/>
      <c r="B2492" s="65" t="str">
        <f t="shared" si="309"/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 t="shared" si="310"/>
        <v/>
      </c>
      <c r="N2492" s="74" t="str">
        <f t="shared" si="311"/>
        <v/>
      </c>
      <c r="O2492" s="73" t="str">
        <f t="shared" si="312"/>
        <v/>
      </c>
      <c r="P2492" s="65" t="str">
        <f t="shared" ca="1" si="313"/>
        <v/>
      </c>
      <c r="Q2492" s="2"/>
      <c r="R2492" s="2"/>
      <c r="S2492" s="1" t="str">
        <f t="shared" si="306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307"/>
        <v>0</v>
      </c>
      <c r="W2492" s="1" t="str">
        <f t="shared" si="308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customHeight="1" x14ac:dyDescent="0.3">
      <c r="A2493" s="2"/>
      <c r="B2493" s="65" t="str">
        <f t="shared" si="309"/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 t="shared" si="310"/>
        <v/>
      </c>
      <c r="N2493" s="74" t="str">
        <f t="shared" si="311"/>
        <v/>
      </c>
      <c r="O2493" s="73" t="str">
        <f t="shared" si="312"/>
        <v/>
      </c>
      <c r="P2493" s="65" t="str">
        <f t="shared" ca="1" si="313"/>
        <v/>
      </c>
      <c r="Q2493" s="2"/>
      <c r="R2493" s="2"/>
      <c r="S2493" s="1" t="str">
        <f t="shared" si="306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307"/>
        <v>0</v>
      </c>
      <c r="W2493" s="1" t="str">
        <f t="shared" si="308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customHeight="1" x14ac:dyDescent="0.3">
      <c r="A2494" s="2"/>
      <c r="B2494" s="65" t="str">
        <f t="shared" si="309"/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 t="shared" si="310"/>
        <v/>
      </c>
      <c r="N2494" s="74" t="str">
        <f t="shared" si="311"/>
        <v/>
      </c>
      <c r="O2494" s="73" t="str">
        <f t="shared" si="312"/>
        <v/>
      </c>
      <c r="P2494" s="65" t="str">
        <f t="shared" ca="1" si="313"/>
        <v/>
      </c>
      <c r="Q2494" s="2"/>
      <c r="R2494" s="2"/>
      <c r="S2494" s="1" t="str">
        <f t="shared" si="306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307"/>
        <v>0</v>
      </c>
      <c r="W2494" s="1" t="str">
        <f t="shared" si="308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customHeight="1" x14ac:dyDescent="0.3">
      <c r="A2495" s="2"/>
      <c r="B2495" s="65" t="str">
        <f t="shared" si="309"/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 t="shared" si="310"/>
        <v/>
      </c>
      <c r="N2495" s="74" t="str">
        <f t="shared" si="311"/>
        <v/>
      </c>
      <c r="O2495" s="73" t="str">
        <f t="shared" si="312"/>
        <v/>
      </c>
      <c r="P2495" s="65" t="str">
        <f t="shared" ca="1" si="313"/>
        <v/>
      </c>
      <c r="Q2495" s="2"/>
      <c r="R2495" s="2"/>
      <c r="S2495" s="1" t="str">
        <f t="shared" si="306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307"/>
        <v>0</v>
      </c>
      <c r="W2495" s="1" t="str">
        <f t="shared" si="308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customHeight="1" x14ac:dyDescent="0.3">
      <c r="A2496" s="2"/>
      <c r="B2496" s="65" t="str">
        <f t="shared" si="309"/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 t="shared" si="310"/>
        <v/>
      </c>
      <c r="N2496" s="74" t="str">
        <f t="shared" si="311"/>
        <v/>
      </c>
      <c r="O2496" s="73" t="str">
        <f t="shared" si="312"/>
        <v/>
      </c>
      <c r="P2496" s="65" t="str">
        <f t="shared" ca="1" si="313"/>
        <v/>
      </c>
      <c r="Q2496" s="2"/>
      <c r="R2496" s="2"/>
      <c r="S2496" s="1" t="str">
        <f t="shared" si="306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307"/>
        <v>0</v>
      </c>
      <c r="W2496" s="1" t="str">
        <f t="shared" si="308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customHeight="1" x14ac:dyDescent="0.3">
      <c r="A2497" s="2"/>
      <c r="B2497" s="65" t="str">
        <f t="shared" si="309"/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 t="shared" si="310"/>
        <v/>
      </c>
      <c r="N2497" s="74" t="str">
        <f t="shared" si="311"/>
        <v/>
      </c>
      <c r="O2497" s="73" t="str">
        <f t="shared" si="312"/>
        <v/>
      </c>
      <c r="P2497" s="65" t="str">
        <f t="shared" ca="1" si="313"/>
        <v/>
      </c>
      <c r="Q2497" s="2"/>
      <c r="R2497" s="2"/>
      <c r="S2497" s="1" t="str">
        <f t="shared" si="306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307"/>
        <v>0</v>
      </c>
      <c r="W2497" s="1" t="str">
        <f t="shared" si="308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customHeight="1" x14ac:dyDescent="0.3">
      <c r="A2498" s="2"/>
      <c r="B2498" s="65" t="str">
        <f t="shared" si="309"/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 t="shared" si="310"/>
        <v/>
      </c>
      <c r="N2498" s="74" t="str">
        <f t="shared" si="311"/>
        <v/>
      </c>
      <c r="O2498" s="73" t="str">
        <f t="shared" si="312"/>
        <v/>
      </c>
      <c r="P2498" s="65" t="str">
        <f t="shared" ca="1" si="313"/>
        <v/>
      </c>
      <c r="Q2498" s="2"/>
      <c r="R2498" s="2"/>
      <c r="S2498" s="1" t="str">
        <f t="shared" si="306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307"/>
        <v>0</v>
      </c>
      <c r="W2498" s="1" t="str">
        <f t="shared" si="308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customHeight="1" x14ac:dyDescent="0.3">
      <c r="A2499" s="2"/>
      <c r="B2499" s="65" t="str">
        <f t="shared" si="309"/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 t="shared" si="310"/>
        <v/>
      </c>
      <c r="N2499" s="74" t="str">
        <f t="shared" si="311"/>
        <v/>
      </c>
      <c r="O2499" s="73" t="str">
        <f t="shared" si="312"/>
        <v/>
      </c>
      <c r="P2499" s="65" t="str">
        <f t="shared" ca="1" si="313"/>
        <v/>
      </c>
      <c r="Q2499" s="2"/>
      <c r="R2499" s="2"/>
      <c r="S2499" s="1" t="str">
        <f t="shared" si="306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307"/>
        <v>0</v>
      </c>
      <c r="W2499" s="1" t="str">
        <f t="shared" si="308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customHeight="1" x14ac:dyDescent="0.3">
      <c r="A2500" s="2"/>
      <c r="B2500" s="65" t="str">
        <f t="shared" si="309"/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 t="shared" si="310"/>
        <v/>
      </c>
      <c r="N2500" s="74" t="str">
        <f t="shared" si="311"/>
        <v/>
      </c>
      <c r="O2500" s="73" t="str">
        <f t="shared" si="312"/>
        <v/>
      </c>
      <c r="P2500" s="65" t="str">
        <f t="shared" ca="1" si="313"/>
        <v/>
      </c>
      <c r="Q2500" s="2"/>
      <c r="R2500" s="2"/>
      <c r="S2500" s="1" t="str">
        <f t="shared" si="306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307"/>
        <v>0</v>
      </c>
      <c r="W2500" s="1" t="str">
        <f t="shared" si="308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customHeight="1" x14ac:dyDescent="0.3">
      <c r="A2501" s="2"/>
      <c r="B2501" s="65" t="str">
        <f t="shared" si="309"/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 t="shared" si="310"/>
        <v/>
      </c>
      <c r="N2501" s="74" t="str">
        <f t="shared" si="311"/>
        <v/>
      </c>
      <c r="O2501" s="73" t="str">
        <f t="shared" si="312"/>
        <v/>
      </c>
      <c r="P2501" s="65" t="str">
        <f t="shared" ca="1" si="313"/>
        <v/>
      </c>
      <c r="Q2501" s="2"/>
      <c r="R2501" s="2"/>
      <c r="S2501" s="1" t="str">
        <f t="shared" ref="S2501:S2564" si="314"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ref="V2501:V2564" si="315">IF($T2501="",0,1)</f>
        <v>0</v>
      </c>
      <c r="W2501" s="1" t="str">
        <f t="shared" ref="W2501:W2564" si="316">IF($C2501="","",$D2501&amp;"|"&amp;$E2501&amp;"|"&amp;TEXT($C2501,"0")&amp;"|"&amp;TEXT($G2501,"0")&amp;"|"&amp;$F2501&amp;"|"&amp;$J2501)</f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customHeight="1" x14ac:dyDescent="0.3">
      <c r="A2502" s="2"/>
      <c r="B2502" s="65" t="str">
        <f t="shared" si="309"/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 t="shared" si="310"/>
        <v/>
      </c>
      <c r="N2502" s="74" t="str">
        <f t="shared" si="311"/>
        <v/>
      </c>
      <c r="O2502" s="73" t="str">
        <f t="shared" si="312"/>
        <v/>
      </c>
      <c r="P2502" s="65" t="str">
        <f t="shared" ca="1" si="313"/>
        <v/>
      </c>
      <c r="Q2502" s="2"/>
      <c r="R2502" s="2"/>
      <c r="S2502" s="1" t="str">
        <f t="shared" si="314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315"/>
        <v>0</v>
      </c>
      <c r="W2502" s="1" t="str">
        <f t="shared" si="316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customHeight="1" x14ac:dyDescent="0.3">
      <c r="A2503" s="2"/>
      <c r="B2503" s="65" t="str">
        <f t="shared" ref="B2503:B2566" si="317"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 t="shared" ref="M2503:M2566" si="318">IF($C2503="","",IF($D2503="Gider",$E2503,IF($L2503&lt;&gt;"",$L2503,$H2503)))</f>
        <v/>
      </c>
      <c r="N2503" s="74" t="str">
        <f t="shared" ref="N2503:N2566" si="319">IF($C2503="","",IF($D2503="Gider",$H2503,$E2503))</f>
        <v/>
      </c>
      <c r="O2503" s="73" t="str">
        <f t="shared" ref="O2503:O2566" si="320">IF($C2503="","",DATE(YEAR($C2503),MONTH($C2503),1))</f>
        <v/>
      </c>
      <c r="P2503" s="65" t="str">
        <f t="shared" ref="P2503:P2566" ca="1" si="321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TARİH",IF(COUNTIF($W$7:$W$3001,$W2503)&gt;1,"MÜKERRER?",IF($AD2503&gt;0,"KAPALI DÖNEM",IF($I2503="Hayır","ÖDENECEK","UYGUN")))),"EKSİK"))))</f>
        <v/>
      </c>
      <c r="Q2503" s="2"/>
      <c r="R2503" s="2"/>
      <c r="S2503" s="1" t="str">
        <f t="shared" si="314"/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si="315"/>
        <v>0</v>
      </c>
      <c r="W2503" s="1" t="str">
        <f t="shared" si="316"/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customHeight="1" x14ac:dyDescent="0.3">
      <c r="A2504" s="2"/>
      <c r="B2504" s="65" t="str">
        <f t="shared" si="317"/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 t="shared" si="318"/>
        <v/>
      </c>
      <c r="N2504" s="74" t="str">
        <f t="shared" si="319"/>
        <v/>
      </c>
      <c r="O2504" s="73" t="str">
        <f t="shared" si="320"/>
        <v/>
      </c>
      <c r="P2504" s="65" t="str">
        <f t="shared" ca="1" si="321"/>
        <v/>
      </c>
      <c r="Q2504" s="2"/>
      <c r="R2504" s="2"/>
      <c r="S2504" s="1" t="str">
        <f t="shared" si="314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315"/>
        <v>0</v>
      </c>
      <c r="W2504" s="1" t="str">
        <f t="shared" si="316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customHeight="1" x14ac:dyDescent="0.3">
      <c r="A2505" s="2"/>
      <c r="B2505" s="65" t="str">
        <f t="shared" si="317"/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 t="shared" si="318"/>
        <v/>
      </c>
      <c r="N2505" s="74" t="str">
        <f t="shared" si="319"/>
        <v/>
      </c>
      <c r="O2505" s="73" t="str">
        <f t="shared" si="320"/>
        <v/>
      </c>
      <c r="P2505" s="65" t="str">
        <f t="shared" ca="1" si="321"/>
        <v/>
      </c>
      <c r="Q2505" s="2"/>
      <c r="R2505" s="2"/>
      <c r="S2505" s="1" t="str">
        <f t="shared" si="314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315"/>
        <v>0</v>
      </c>
      <c r="W2505" s="1" t="str">
        <f t="shared" si="316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customHeight="1" x14ac:dyDescent="0.3">
      <c r="A2506" s="2"/>
      <c r="B2506" s="65" t="str">
        <f t="shared" si="317"/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 t="shared" si="318"/>
        <v/>
      </c>
      <c r="N2506" s="74" t="str">
        <f t="shared" si="319"/>
        <v/>
      </c>
      <c r="O2506" s="73" t="str">
        <f t="shared" si="320"/>
        <v/>
      </c>
      <c r="P2506" s="65" t="str">
        <f t="shared" ca="1" si="321"/>
        <v/>
      </c>
      <c r="Q2506" s="2"/>
      <c r="R2506" s="2"/>
      <c r="S2506" s="1" t="str">
        <f t="shared" si="314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315"/>
        <v>0</v>
      </c>
      <c r="W2506" s="1" t="str">
        <f t="shared" si="316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customHeight="1" x14ac:dyDescent="0.3">
      <c r="A2507" s="2"/>
      <c r="B2507" s="65" t="str">
        <f t="shared" si="317"/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 t="shared" si="318"/>
        <v/>
      </c>
      <c r="N2507" s="74" t="str">
        <f t="shared" si="319"/>
        <v/>
      </c>
      <c r="O2507" s="73" t="str">
        <f t="shared" si="320"/>
        <v/>
      </c>
      <c r="P2507" s="65" t="str">
        <f t="shared" ca="1" si="321"/>
        <v/>
      </c>
      <c r="Q2507" s="2"/>
      <c r="R2507" s="2"/>
      <c r="S2507" s="1" t="str">
        <f t="shared" si="314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315"/>
        <v>0</v>
      </c>
      <c r="W2507" s="1" t="str">
        <f t="shared" si="316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customHeight="1" x14ac:dyDescent="0.3">
      <c r="A2508" s="2"/>
      <c r="B2508" s="65" t="str">
        <f t="shared" si="317"/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 t="shared" si="318"/>
        <v/>
      </c>
      <c r="N2508" s="74" t="str">
        <f t="shared" si="319"/>
        <v/>
      </c>
      <c r="O2508" s="73" t="str">
        <f t="shared" si="320"/>
        <v/>
      </c>
      <c r="P2508" s="65" t="str">
        <f t="shared" ca="1" si="321"/>
        <v/>
      </c>
      <c r="Q2508" s="2"/>
      <c r="R2508" s="2"/>
      <c r="S2508" s="1" t="str">
        <f t="shared" si="314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315"/>
        <v>0</v>
      </c>
      <c r="W2508" s="1" t="str">
        <f t="shared" si="316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customHeight="1" x14ac:dyDescent="0.3">
      <c r="A2509" s="2"/>
      <c r="B2509" s="65" t="str">
        <f t="shared" si="317"/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 t="shared" si="318"/>
        <v/>
      </c>
      <c r="N2509" s="74" t="str">
        <f t="shared" si="319"/>
        <v/>
      </c>
      <c r="O2509" s="73" t="str">
        <f t="shared" si="320"/>
        <v/>
      </c>
      <c r="P2509" s="65" t="str">
        <f t="shared" ca="1" si="321"/>
        <v/>
      </c>
      <c r="Q2509" s="2"/>
      <c r="R2509" s="2"/>
      <c r="S2509" s="1" t="str">
        <f t="shared" si="314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315"/>
        <v>0</v>
      </c>
      <c r="W2509" s="1" t="str">
        <f t="shared" si="316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customHeight="1" x14ac:dyDescent="0.3">
      <c r="A2510" s="2"/>
      <c r="B2510" s="65" t="str">
        <f t="shared" si="317"/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 t="shared" si="318"/>
        <v/>
      </c>
      <c r="N2510" s="74" t="str">
        <f t="shared" si="319"/>
        <v/>
      </c>
      <c r="O2510" s="73" t="str">
        <f t="shared" si="320"/>
        <v/>
      </c>
      <c r="P2510" s="65" t="str">
        <f t="shared" ca="1" si="321"/>
        <v/>
      </c>
      <c r="Q2510" s="2"/>
      <c r="R2510" s="2"/>
      <c r="S2510" s="1" t="str">
        <f t="shared" si="314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315"/>
        <v>0</v>
      </c>
      <c r="W2510" s="1" t="str">
        <f t="shared" si="316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customHeight="1" x14ac:dyDescent="0.3">
      <c r="A2511" s="2"/>
      <c r="B2511" s="65" t="str">
        <f t="shared" si="317"/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 t="shared" si="318"/>
        <v/>
      </c>
      <c r="N2511" s="74" t="str">
        <f t="shared" si="319"/>
        <v/>
      </c>
      <c r="O2511" s="73" t="str">
        <f t="shared" si="320"/>
        <v/>
      </c>
      <c r="P2511" s="65" t="str">
        <f t="shared" ca="1" si="321"/>
        <v/>
      </c>
      <c r="Q2511" s="2"/>
      <c r="R2511" s="2"/>
      <c r="S2511" s="1" t="str">
        <f t="shared" si="314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315"/>
        <v>0</v>
      </c>
      <c r="W2511" s="1" t="str">
        <f t="shared" si="316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customHeight="1" x14ac:dyDescent="0.3">
      <c r="A2512" s="2"/>
      <c r="B2512" s="65" t="str">
        <f t="shared" si="317"/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 t="shared" si="318"/>
        <v/>
      </c>
      <c r="N2512" s="74" t="str">
        <f t="shared" si="319"/>
        <v/>
      </c>
      <c r="O2512" s="73" t="str">
        <f t="shared" si="320"/>
        <v/>
      </c>
      <c r="P2512" s="65" t="str">
        <f t="shared" ca="1" si="321"/>
        <v/>
      </c>
      <c r="Q2512" s="2"/>
      <c r="R2512" s="2"/>
      <c r="S2512" s="1" t="str">
        <f t="shared" si="314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315"/>
        <v>0</v>
      </c>
      <c r="W2512" s="1" t="str">
        <f t="shared" si="316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customHeight="1" x14ac:dyDescent="0.3">
      <c r="A2513" s="2"/>
      <c r="B2513" s="65" t="str">
        <f t="shared" si="317"/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 t="shared" si="318"/>
        <v/>
      </c>
      <c r="N2513" s="74" t="str">
        <f t="shared" si="319"/>
        <v/>
      </c>
      <c r="O2513" s="73" t="str">
        <f t="shared" si="320"/>
        <v/>
      </c>
      <c r="P2513" s="65" t="str">
        <f t="shared" ca="1" si="321"/>
        <v/>
      </c>
      <c r="Q2513" s="2"/>
      <c r="R2513" s="2"/>
      <c r="S2513" s="1" t="str">
        <f t="shared" si="314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315"/>
        <v>0</v>
      </c>
      <c r="W2513" s="1" t="str">
        <f t="shared" si="316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customHeight="1" x14ac:dyDescent="0.3">
      <c r="A2514" s="2"/>
      <c r="B2514" s="65" t="str">
        <f t="shared" si="317"/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 t="shared" si="318"/>
        <v/>
      </c>
      <c r="N2514" s="74" t="str">
        <f t="shared" si="319"/>
        <v/>
      </c>
      <c r="O2514" s="73" t="str">
        <f t="shared" si="320"/>
        <v/>
      </c>
      <c r="P2514" s="65" t="str">
        <f t="shared" ca="1" si="321"/>
        <v/>
      </c>
      <c r="Q2514" s="2"/>
      <c r="R2514" s="2"/>
      <c r="S2514" s="1" t="str">
        <f t="shared" si="314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315"/>
        <v>0</v>
      </c>
      <c r="W2514" s="1" t="str">
        <f t="shared" si="316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customHeight="1" x14ac:dyDescent="0.3">
      <c r="A2515" s="2"/>
      <c r="B2515" s="65" t="str">
        <f t="shared" si="317"/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 t="shared" si="318"/>
        <v/>
      </c>
      <c r="N2515" s="74" t="str">
        <f t="shared" si="319"/>
        <v/>
      </c>
      <c r="O2515" s="73" t="str">
        <f t="shared" si="320"/>
        <v/>
      </c>
      <c r="P2515" s="65" t="str">
        <f t="shared" ca="1" si="321"/>
        <v/>
      </c>
      <c r="Q2515" s="2"/>
      <c r="R2515" s="2"/>
      <c r="S2515" s="1" t="str">
        <f t="shared" si="314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315"/>
        <v>0</v>
      </c>
      <c r="W2515" s="1" t="str">
        <f t="shared" si="316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customHeight="1" x14ac:dyDescent="0.3">
      <c r="A2516" s="2"/>
      <c r="B2516" s="65" t="str">
        <f t="shared" si="317"/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 t="shared" si="318"/>
        <v/>
      </c>
      <c r="N2516" s="74" t="str">
        <f t="shared" si="319"/>
        <v/>
      </c>
      <c r="O2516" s="73" t="str">
        <f t="shared" si="320"/>
        <v/>
      </c>
      <c r="P2516" s="65" t="str">
        <f t="shared" ca="1" si="321"/>
        <v/>
      </c>
      <c r="Q2516" s="2"/>
      <c r="R2516" s="2"/>
      <c r="S2516" s="1" t="str">
        <f t="shared" si="314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315"/>
        <v>0</v>
      </c>
      <c r="W2516" s="1" t="str">
        <f t="shared" si="316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customHeight="1" x14ac:dyDescent="0.3">
      <c r="A2517" s="2"/>
      <c r="B2517" s="65" t="str">
        <f t="shared" si="317"/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 t="shared" si="318"/>
        <v/>
      </c>
      <c r="N2517" s="74" t="str">
        <f t="shared" si="319"/>
        <v/>
      </c>
      <c r="O2517" s="73" t="str">
        <f t="shared" si="320"/>
        <v/>
      </c>
      <c r="P2517" s="65" t="str">
        <f t="shared" ca="1" si="321"/>
        <v/>
      </c>
      <c r="Q2517" s="2"/>
      <c r="R2517" s="2"/>
      <c r="S2517" s="1" t="str">
        <f t="shared" si="314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315"/>
        <v>0</v>
      </c>
      <c r="W2517" s="1" t="str">
        <f t="shared" si="316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customHeight="1" x14ac:dyDescent="0.3">
      <c r="A2518" s="2"/>
      <c r="B2518" s="65" t="str">
        <f t="shared" si="317"/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 t="shared" si="318"/>
        <v/>
      </c>
      <c r="N2518" s="74" t="str">
        <f t="shared" si="319"/>
        <v/>
      </c>
      <c r="O2518" s="73" t="str">
        <f t="shared" si="320"/>
        <v/>
      </c>
      <c r="P2518" s="65" t="str">
        <f t="shared" ca="1" si="321"/>
        <v/>
      </c>
      <c r="Q2518" s="2"/>
      <c r="R2518" s="2"/>
      <c r="S2518" s="1" t="str">
        <f t="shared" si="314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315"/>
        <v>0</v>
      </c>
      <c r="W2518" s="1" t="str">
        <f t="shared" si="316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customHeight="1" x14ac:dyDescent="0.3">
      <c r="A2519" s="2"/>
      <c r="B2519" s="65" t="str">
        <f t="shared" si="317"/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 t="shared" si="318"/>
        <v/>
      </c>
      <c r="N2519" s="74" t="str">
        <f t="shared" si="319"/>
        <v/>
      </c>
      <c r="O2519" s="73" t="str">
        <f t="shared" si="320"/>
        <v/>
      </c>
      <c r="P2519" s="65" t="str">
        <f t="shared" ca="1" si="321"/>
        <v/>
      </c>
      <c r="Q2519" s="2"/>
      <c r="R2519" s="2"/>
      <c r="S2519" s="1" t="str">
        <f t="shared" si="314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315"/>
        <v>0</v>
      </c>
      <c r="W2519" s="1" t="str">
        <f t="shared" si="316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customHeight="1" x14ac:dyDescent="0.3">
      <c r="A2520" s="2"/>
      <c r="B2520" s="65" t="str">
        <f t="shared" si="317"/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 t="shared" si="318"/>
        <v/>
      </c>
      <c r="N2520" s="74" t="str">
        <f t="shared" si="319"/>
        <v/>
      </c>
      <c r="O2520" s="73" t="str">
        <f t="shared" si="320"/>
        <v/>
      </c>
      <c r="P2520" s="65" t="str">
        <f t="shared" ca="1" si="321"/>
        <v/>
      </c>
      <c r="Q2520" s="2"/>
      <c r="R2520" s="2"/>
      <c r="S2520" s="1" t="str">
        <f t="shared" si="314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315"/>
        <v>0</v>
      </c>
      <c r="W2520" s="1" t="str">
        <f t="shared" si="316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customHeight="1" x14ac:dyDescent="0.3">
      <c r="A2521" s="2"/>
      <c r="B2521" s="65" t="str">
        <f t="shared" si="317"/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 t="shared" si="318"/>
        <v/>
      </c>
      <c r="N2521" s="74" t="str">
        <f t="shared" si="319"/>
        <v/>
      </c>
      <c r="O2521" s="73" t="str">
        <f t="shared" si="320"/>
        <v/>
      </c>
      <c r="P2521" s="65" t="str">
        <f t="shared" ca="1" si="321"/>
        <v/>
      </c>
      <c r="Q2521" s="2"/>
      <c r="R2521" s="2"/>
      <c r="S2521" s="1" t="str">
        <f t="shared" si="314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315"/>
        <v>0</v>
      </c>
      <c r="W2521" s="1" t="str">
        <f t="shared" si="316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customHeight="1" x14ac:dyDescent="0.3">
      <c r="A2522" s="2"/>
      <c r="B2522" s="65" t="str">
        <f t="shared" si="317"/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 t="shared" si="318"/>
        <v/>
      </c>
      <c r="N2522" s="74" t="str">
        <f t="shared" si="319"/>
        <v/>
      </c>
      <c r="O2522" s="73" t="str">
        <f t="shared" si="320"/>
        <v/>
      </c>
      <c r="P2522" s="65" t="str">
        <f t="shared" ca="1" si="321"/>
        <v/>
      </c>
      <c r="Q2522" s="2"/>
      <c r="R2522" s="2"/>
      <c r="S2522" s="1" t="str">
        <f t="shared" si="314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315"/>
        <v>0</v>
      </c>
      <c r="W2522" s="1" t="str">
        <f t="shared" si="316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customHeight="1" x14ac:dyDescent="0.3">
      <c r="A2523" s="2"/>
      <c r="B2523" s="65" t="str">
        <f t="shared" si="317"/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 t="shared" si="318"/>
        <v/>
      </c>
      <c r="N2523" s="74" t="str">
        <f t="shared" si="319"/>
        <v/>
      </c>
      <c r="O2523" s="73" t="str">
        <f t="shared" si="320"/>
        <v/>
      </c>
      <c r="P2523" s="65" t="str">
        <f t="shared" ca="1" si="321"/>
        <v/>
      </c>
      <c r="Q2523" s="2"/>
      <c r="R2523" s="2"/>
      <c r="S2523" s="1" t="str">
        <f t="shared" si="314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315"/>
        <v>0</v>
      </c>
      <c r="W2523" s="1" t="str">
        <f t="shared" si="316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customHeight="1" x14ac:dyDescent="0.3">
      <c r="A2524" s="2"/>
      <c r="B2524" s="65" t="str">
        <f t="shared" si="317"/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 t="shared" si="318"/>
        <v/>
      </c>
      <c r="N2524" s="74" t="str">
        <f t="shared" si="319"/>
        <v/>
      </c>
      <c r="O2524" s="73" t="str">
        <f t="shared" si="320"/>
        <v/>
      </c>
      <c r="P2524" s="65" t="str">
        <f t="shared" ca="1" si="321"/>
        <v/>
      </c>
      <c r="Q2524" s="2"/>
      <c r="R2524" s="2"/>
      <c r="S2524" s="1" t="str">
        <f t="shared" si="314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315"/>
        <v>0</v>
      </c>
      <c r="W2524" s="1" t="str">
        <f t="shared" si="316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customHeight="1" x14ac:dyDescent="0.3">
      <c r="A2525" s="2"/>
      <c r="B2525" s="65" t="str">
        <f t="shared" si="317"/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 t="shared" si="318"/>
        <v/>
      </c>
      <c r="N2525" s="74" t="str">
        <f t="shared" si="319"/>
        <v/>
      </c>
      <c r="O2525" s="73" t="str">
        <f t="shared" si="320"/>
        <v/>
      </c>
      <c r="P2525" s="65" t="str">
        <f t="shared" ca="1" si="321"/>
        <v/>
      </c>
      <c r="Q2525" s="2"/>
      <c r="R2525" s="2"/>
      <c r="S2525" s="1" t="str">
        <f t="shared" si="314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315"/>
        <v>0</v>
      </c>
      <c r="W2525" s="1" t="str">
        <f t="shared" si="316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customHeight="1" x14ac:dyDescent="0.3">
      <c r="A2526" s="2"/>
      <c r="B2526" s="65" t="str">
        <f t="shared" si="317"/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 t="shared" si="318"/>
        <v/>
      </c>
      <c r="N2526" s="74" t="str">
        <f t="shared" si="319"/>
        <v/>
      </c>
      <c r="O2526" s="73" t="str">
        <f t="shared" si="320"/>
        <v/>
      </c>
      <c r="P2526" s="65" t="str">
        <f t="shared" ca="1" si="321"/>
        <v/>
      </c>
      <c r="Q2526" s="2"/>
      <c r="R2526" s="2"/>
      <c r="S2526" s="1" t="str">
        <f t="shared" si="314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315"/>
        <v>0</v>
      </c>
      <c r="W2526" s="1" t="str">
        <f t="shared" si="316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customHeight="1" x14ac:dyDescent="0.3">
      <c r="A2527" s="2"/>
      <c r="B2527" s="65" t="str">
        <f t="shared" si="317"/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 t="shared" si="318"/>
        <v/>
      </c>
      <c r="N2527" s="74" t="str">
        <f t="shared" si="319"/>
        <v/>
      </c>
      <c r="O2527" s="73" t="str">
        <f t="shared" si="320"/>
        <v/>
      </c>
      <c r="P2527" s="65" t="str">
        <f t="shared" ca="1" si="321"/>
        <v/>
      </c>
      <c r="Q2527" s="2"/>
      <c r="R2527" s="2"/>
      <c r="S2527" s="1" t="str">
        <f t="shared" si="314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315"/>
        <v>0</v>
      </c>
      <c r="W2527" s="1" t="str">
        <f t="shared" si="316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customHeight="1" x14ac:dyDescent="0.3">
      <c r="A2528" s="2"/>
      <c r="B2528" s="65" t="str">
        <f t="shared" si="317"/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 t="shared" si="318"/>
        <v/>
      </c>
      <c r="N2528" s="74" t="str">
        <f t="shared" si="319"/>
        <v/>
      </c>
      <c r="O2528" s="73" t="str">
        <f t="shared" si="320"/>
        <v/>
      </c>
      <c r="P2528" s="65" t="str">
        <f t="shared" ca="1" si="321"/>
        <v/>
      </c>
      <c r="Q2528" s="2"/>
      <c r="R2528" s="2"/>
      <c r="S2528" s="1" t="str">
        <f t="shared" si="314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315"/>
        <v>0</v>
      </c>
      <c r="W2528" s="1" t="str">
        <f t="shared" si="316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customHeight="1" x14ac:dyDescent="0.3">
      <c r="A2529" s="2"/>
      <c r="B2529" s="65" t="str">
        <f t="shared" si="317"/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 t="shared" si="318"/>
        <v/>
      </c>
      <c r="N2529" s="74" t="str">
        <f t="shared" si="319"/>
        <v/>
      </c>
      <c r="O2529" s="73" t="str">
        <f t="shared" si="320"/>
        <v/>
      </c>
      <c r="P2529" s="65" t="str">
        <f t="shared" ca="1" si="321"/>
        <v/>
      </c>
      <c r="Q2529" s="2"/>
      <c r="R2529" s="2"/>
      <c r="S2529" s="1" t="str">
        <f t="shared" si="314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315"/>
        <v>0</v>
      </c>
      <c r="W2529" s="1" t="str">
        <f t="shared" si="316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customHeight="1" x14ac:dyDescent="0.3">
      <c r="A2530" s="2"/>
      <c r="B2530" s="65" t="str">
        <f t="shared" si="317"/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 t="shared" si="318"/>
        <v/>
      </c>
      <c r="N2530" s="74" t="str">
        <f t="shared" si="319"/>
        <v/>
      </c>
      <c r="O2530" s="73" t="str">
        <f t="shared" si="320"/>
        <v/>
      </c>
      <c r="P2530" s="65" t="str">
        <f t="shared" ca="1" si="321"/>
        <v/>
      </c>
      <c r="Q2530" s="2"/>
      <c r="R2530" s="2"/>
      <c r="S2530" s="1" t="str">
        <f t="shared" si="314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315"/>
        <v>0</v>
      </c>
      <c r="W2530" s="1" t="str">
        <f t="shared" si="316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customHeight="1" x14ac:dyDescent="0.3">
      <c r="A2531" s="2"/>
      <c r="B2531" s="65" t="str">
        <f t="shared" si="317"/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 t="shared" si="318"/>
        <v/>
      </c>
      <c r="N2531" s="74" t="str">
        <f t="shared" si="319"/>
        <v/>
      </c>
      <c r="O2531" s="73" t="str">
        <f t="shared" si="320"/>
        <v/>
      </c>
      <c r="P2531" s="65" t="str">
        <f t="shared" ca="1" si="321"/>
        <v/>
      </c>
      <c r="Q2531" s="2"/>
      <c r="R2531" s="2"/>
      <c r="S2531" s="1" t="str">
        <f t="shared" si="314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315"/>
        <v>0</v>
      </c>
      <c r="W2531" s="1" t="str">
        <f t="shared" si="316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customHeight="1" x14ac:dyDescent="0.3">
      <c r="A2532" s="2"/>
      <c r="B2532" s="65" t="str">
        <f t="shared" si="317"/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 t="shared" si="318"/>
        <v/>
      </c>
      <c r="N2532" s="74" t="str">
        <f t="shared" si="319"/>
        <v/>
      </c>
      <c r="O2532" s="73" t="str">
        <f t="shared" si="320"/>
        <v/>
      </c>
      <c r="P2532" s="65" t="str">
        <f t="shared" ca="1" si="321"/>
        <v/>
      </c>
      <c r="Q2532" s="2"/>
      <c r="R2532" s="2"/>
      <c r="S2532" s="1" t="str">
        <f t="shared" si="314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315"/>
        <v>0</v>
      </c>
      <c r="W2532" s="1" t="str">
        <f t="shared" si="316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customHeight="1" x14ac:dyDescent="0.3">
      <c r="A2533" s="2"/>
      <c r="B2533" s="65" t="str">
        <f t="shared" si="317"/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 t="shared" si="318"/>
        <v/>
      </c>
      <c r="N2533" s="74" t="str">
        <f t="shared" si="319"/>
        <v/>
      </c>
      <c r="O2533" s="73" t="str">
        <f t="shared" si="320"/>
        <v/>
      </c>
      <c r="P2533" s="65" t="str">
        <f t="shared" ca="1" si="321"/>
        <v/>
      </c>
      <c r="Q2533" s="2"/>
      <c r="R2533" s="2"/>
      <c r="S2533" s="1" t="str">
        <f t="shared" si="314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315"/>
        <v>0</v>
      </c>
      <c r="W2533" s="1" t="str">
        <f t="shared" si="316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customHeight="1" x14ac:dyDescent="0.3">
      <c r="A2534" s="2"/>
      <c r="B2534" s="65" t="str">
        <f t="shared" si="317"/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 t="shared" si="318"/>
        <v/>
      </c>
      <c r="N2534" s="74" t="str">
        <f t="shared" si="319"/>
        <v/>
      </c>
      <c r="O2534" s="73" t="str">
        <f t="shared" si="320"/>
        <v/>
      </c>
      <c r="P2534" s="65" t="str">
        <f t="shared" ca="1" si="321"/>
        <v/>
      </c>
      <c r="Q2534" s="2"/>
      <c r="R2534" s="2"/>
      <c r="S2534" s="1" t="str">
        <f t="shared" si="314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315"/>
        <v>0</v>
      </c>
      <c r="W2534" s="1" t="str">
        <f t="shared" si="316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customHeight="1" x14ac:dyDescent="0.3">
      <c r="A2535" s="2"/>
      <c r="B2535" s="65" t="str">
        <f t="shared" si="317"/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 t="shared" si="318"/>
        <v/>
      </c>
      <c r="N2535" s="74" t="str">
        <f t="shared" si="319"/>
        <v/>
      </c>
      <c r="O2535" s="73" t="str">
        <f t="shared" si="320"/>
        <v/>
      </c>
      <c r="P2535" s="65" t="str">
        <f t="shared" ca="1" si="321"/>
        <v/>
      </c>
      <c r="Q2535" s="2"/>
      <c r="R2535" s="2"/>
      <c r="S2535" s="1" t="str">
        <f t="shared" si="314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315"/>
        <v>0</v>
      </c>
      <c r="W2535" s="1" t="str">
        <f t="shared" si="316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customHeight="1" x14ac:dyDescent="0.3">
      <c r="A2536" s="2"/>
      <c r="B2536" s="65" t="str">
        <f t="shared" si="317"/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 t="shared" si="318"/>
        <v/>
      </c>
      <c r="N2536" s="74" t="str">
        <f t="shared" si="319"/>
        <v/>
      </c>
      <c r="O2536" s="73" t="str">
        <f t="shared" si="320"/>
        <v/>
      </c>
      <c r="P2536" s="65" t="str">
        <f t="shared" ca="1" si="321"/>
        <v/>
      </c>
      <c r="Q2536" s="2"/>
      <c r="R2536" s="2"/>
      <c r="S2536" s="1" t="str">
        <f t="shared" si="314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315"/>
        <v>0</v>
      </c>
      <c r="W2536" s="1" t="str">
        <f t="shared" si="316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customHeight="1" x14ac:dyDescent="0.3">
      <c r="A2537" s="2"/>
      <c r="B2537" s="65" t="str">
        <f t="shared" si="317"/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 t="shared" si="318"/>
        <v/>
      </c>
      <c r="N2537" s="74" t="str">
        <f t="shared" si="319"/>
        <v/>
      </c>
      <c r="O2537" s="73" t="str">
        <f t="shared" si="320"/>
        <v/>
      </c>
      <c r="P2537" s="65" t="str">
        <f t="shared" ca="1" si="321"/>
        <v/>
      </c>
      <c r="Q2537" s="2"/>
      <c r="R2537" s="2"/>
      <c r="S2537" s="1" t="str">
        <f t="shared" si="314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315"/>
        <v>0</v>
      </c>
      <c r="W2537" s="1" t="str">
        <f t="shared" si="316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customHeight="1" x14ac:dyDescent="0.3">
      <c r="A2538" s="2"/>
      <c r="B2538" s="65" t="str">
        <f t="shared" si="317"/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 t="shared" si="318"/>
        <v/>
      </c>
      <c r="N2538" s="74" t="str">
        <f t="shared" si="319"/>
        <v/>
      </c>
      <c r="O2538" s="73" t="str">
        <f t="shared" si="320"/>
        <v/>
      </c>
      <c r="P2538" s="65" t="str">
        <f t="shared" ca="1" si="321"/>
        <v/>
      </c>
      <c r="Q2538" s="2"/>
      <c r="R2538" s="2"/>
      <c r="S2538" s="1" t="str">
        <f t="shared" si="314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315"/>
        <v>0</v>
      </c>
      <c r="W2538" s="1" t="str">
        <f t="shared" si="316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customHeight="1" x14ac:dyDescent="0.3">
      <c r="A2539" s="2"/>
      <c r="B2539" s="65" t="str">
        <f t="shared" si="317"/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 t="shared" si="318"/>
        <v/>
      </c>
      <c r="N2539" s="74" t="str">
        <f t="shared" si="319"/>
        <v/>
      </c>
      <c r="O2539" s="73" t="str">
        <f t="shared" si="320"/>
        <v/>
      </c>
      <c r="P2539" s="65" t="str">
        <f t="shared" ca="1" si="321"/>
        <v/>
      </c>
      <c r="Q2539" s="2"/>
      <c r="R2539" s="2"/>
      <c r="S2539" s="1" t="str">
        <f t="shared" si="314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315"/>
        <v>0</v>
      </c>
      <c r="W2539" s="1" t="str">
        <f t="shared" si="316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customHeight="1" x14ac:dyDescent="0.3">
      <c r="A2540" s="2"/>
      <c r="B2540" s="65" t="str">
        <f t="shared" si="317"/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 t="shared" si="318"/>
        <v/>
      </c>
      <c r="N2540" s="74" t="str">
        <f t="shared" si="319"/>
        <v/>
      </c>
      <c r="O2540" s="73" t="str">
        <f t="shared" si="320"/>
        <v/>
      </c>
      <c r="P2540" s="65" t="str">
        <f t="shared" ca="1" si="321"/>
        <v/>
      </c>
      <c r="Q2540" s="2"/>
      <c r="R2540" s="2"/>
      <c r="S2540" s="1" t="str">
        <f t="shared" si="314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315"/>
        <v>0</v>
      </c>
      <c r="W2540" s="1" t="str">
        <f t="shared" si="316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customHeight="1" x14ac:dyDescent="0.3">
      <c r="A2541" s="2"/>
      <c r="B2541" s="65" t="str">
        <f t="shared" si="317"/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 t="shared" si="318"/>
        <v/>
      </c>
      <c r="N2541" s="74" t="str">
        <f t="shared" si="319"/>
        <v/>
      </c>
      <c r="O2541" s="73" t="str">
        <f t="shared" si="320"/>
        <v/>
      </c>
      <c r="P2541" s="65" t="str">
        <f t="shared" ca="1" si="321"/>
        <v/>
      </c>
      <c r="Q2541" s="2"/>
      <c r="R2541" s="2"/>
      <c r="S2541" s="1" t="str">
        <f t="shared" si="314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315"/>
        <v>0</v>
      </c>
      <c r="W2541" s="1" t="str">
        <f t="shared" si="316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customHeight="1" x14ac:dyDescent="0.3">
      <c r="A2542" s="2"/>
      <c r="B2542" s="65" t="str">
        <f t="shared" si="317"/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 t="shared" si="318"/>
        <v/>
      </c>
      <c r="N2542" s="74" t="str">
        <f t="shared" si="319"/>
        <v/>
      </c>
      <c r="O2542" s="73" t="str">
        <f t="shared" si="320"/>
        <v/>
      </c>
      <c r="P2542" s="65" t="str">
        <f t="shared" ca="1" si="321"/>
        <v/>
      </c>
      <c r="Q2542" s="2"/>
      <c r="R2542" s="2"/>
      <c r="S2542" s="1" t="str">
        <f t="shared" si="314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315"/>
        <v>0</v>
      </c>
      <c r="W2542" s="1" t="str">
        <f t="shared" si="316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customHeight="1" x14ac:dyDescent="0.3">
      <c r="A2543" s="2"/>
      <c r="B2543" s="65" t="str">
        <f t="shared" si="317"/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 t="shared" si="318"/>
        <v/>
      </c>
      <c r="N2543" s="74" t="str">
        <f t="shared" si="319"/>
        <v/>
      </c>
      <c r="O2543" s="73" t="str">
        <f t="shared" si="320"/>
        <v/>
      </c>
      <c r="P2543" s="65" t="str">
        <f t="shared" ca="1" si="321"/>
        <v/>
      </c>
      <c r="Q2543" s="2"/>
      <c r="R2543" s="2"/>
      <c r="S2543" s="1" t="str">
        <f t="shared" si="314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315"/>
        <v>0</v>
      </c>
      <c r="W2543" s="1" t="str">
        <f t="shared" si="316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customHeight="1" x14ac:dyDescent="0.3">
      <c r="A2544" s="2"/>
      <c r="B2544" s="65" t="str">
        <f t="shared" si="317"/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 t="shared" si="318"/>
        <v/>
      </c>
      <c r="N2544" s="74" t="str">
        <f t="shared" si="319"/>
        <v/>
      </c>
      <c r="O2544" s="73" t="str">
        <f t="shared" si="320"/>
        <v/>
      </c>
      <c r="P2544" s="65" t="str">
        <f t="shared" ca="1" si="321"/>
        <v/>
      </c>
      <c r="Q2544" s="2"/>
      <c r="R2544" s="2"/>
      <c r="S2544" s="1" t="str">
        <f t="shared" si="314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315"/>
        <v>0</v>
      </c>
      <c r="W2544" s="1" t="str">
        <f t="shared" si="316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customHeight="1" x14ac:dyDescent="0.3">
      <c r="A2545" s="2"/>
      <c r="B2545" s="65" t="str">
        <f t="shared" si="317"/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 t="shared" si="318"/>
        <v/>
      </c>
      <c r="N2545" s="74" t="str">
        <f t="shared" si="319"/>
        <v/>
      </c>
      <c r="O2545" s="73" t="str">
        <f t="shared" si="320"/>
        <v/>
      </c>
      <c r="P2545" s="65" t="str">
        <f t="shared" ca="1" si="321"/>
        <v/>
      </c>
      <c r="Q2545" s="2"/>
      <c r="R2545" s="2"/>
      <c r="S2545" s="1" t="str">
        <f t="shared" si="314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315"/>
        <v>0</v>
      </c>
      <c r="W2545" s="1" t="str">
        <f t="shared" si="316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customHeight="1" x14ac:dyDescent="0.3">
      <c r="A2546" s="2"/>
      <c r="B2546" s="65" t="str">
        <f t="shared" si="317"/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 t="shared" si="318"/>
        <v/>
      </c>
      <c r="N2546" s="74" t="str">
        <f t="shared" si="319"/>
        <v/>
      </c>
      <c r="O2546" s="73" t="str">
        <f t="shared" si="320"/>
        <v/>
      </c>
      <c r="P2546" s="65" t="str">
        <f t="shared" ca="1" si="321"/>
        <v/>
      </c>
      <c r="Q2546" s="2"/>
      <c r="R2546" s="2"/>
      <c r="S2546" s="1" t="str">
        <f t="shared" si="314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315"/>
        <v>0</v>
      </c>
      <c r="W2546" s="1" t="str">
        <f t="shared" si="316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customHeight="1" x14ac:dyDescent="0.3">
      <c r="A2547" s="2"/>
      <c r="B2547" s="65" t="str">
        <f t="shared" si="317"/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 t="shared" si="318"/>
        <v/>
      </c>
      <c r="N2547" s="74" t="str">
        <f t="shared" si="319"/>
        <v/>
      </c>
      <c r="O2547" s="73" t="str">
        <f t="shared" si="320"/>
        <v/>
      </c>
      <c r="P2547" s="65" t="str">
        <f t="shared" ca="1" si="321"/>
        <v/>
      </c>
      <c r="Q2547" s="2"/>
      <c r="R2547" s="2"/>
      <c r="S2547" s="1" t="str">
        <f t="shared" si="314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315"/>
        <v>0</v>
      </c>
      <c r="W2547" s="1" t="str">
        <f t="shared" si="316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customHeight="1" x14ac:dyDescent="0.3">
      <c r="A2548" s="2"/>
      <c r="B2548" s="65" t="str">
        <f t="shared" si="317"/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 t="shared" si="318"/>
        <v/>
      </c>
      <c r="N2548" s="74" t="str">
        <f t="shared" si="319"/>
        <v/>
      </c>
      <c r="O2548" s="73" t="str">
        <f t="shared" si="320"/>
        <v/>
      </c>
      <c r="P2548" s="65" t="str">
        <f t="shared" ca="1" si="321"/>
        <v/>
      </c>
      <c r="Q2548" s="2"/>
      <c r="R2548" s="2"/>
      <c r="S2548" s="1" t="str">
        <f t="shared" si="314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315"/>
        <v>0</v>
      </c>
      <c r="W2548" s="1" t="str">
        <f t="shared" si="316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customHeight="1" x14ac:dyDescent="0.3">
      <c r="A2549" s="2"/>
      <c r="B2549" s="65" t="str">
        <f t="shared" si="317"/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 t="shared" si="318"/>
        <v/>
      </c>
      <c r="N2549" s="74" t="str">
        <f t="shared" si="319"/>
        <v/>
      </c>
      <c r="O2549" s="73" t="str">
        <f t="shared" si="320"/>
        <v/>
      </c>
      <c r="P2549" s="65" t="str">
        <f t="shared" ca="1" si="321"/>
        <v/>
      </c>
      <c r="Q2549" s="2"/>
      <c r="R2549" s="2"/>
      <c r="S2549" s="1" t="str">
        <f t="shared" si="314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315"/>
        <v>0</v>
      </c>
      <c r="W2549" s="1" t="str">
        <f t="shared" si="316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customHeight="1" x14ac:dyDescent="0.3">
      <c r="A2550" s="2"/>
      <c r="B2550" s="65" t="str">
        <f t="shared" si="317"/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 t="shared" si="318"/>
        <v/>
      </c>
      <c r="N2550" s="74" t="str">
        <f t="shared" si="319"/>
        <v/>
      </c>
      <c r="O2550" s="73" t="str">
        <f t="shared" si="320"/>
        <v/>
      </c>
      <c r="P2550" s="65" t="str">
        <f t="shared" ca="1" si="321"/>
        <v/>
      </c>
      <c r="Q2550" s="2"/>
      <c r="R2550" s="2"/>
      <c r="S2550" s="1" t="str">
        <f t="shared" si="314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315"/>
        <v>0</v>
      </c>
      <c r="W2550" s="1" t="str">
        <f t="shared" si="316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customHeight="1" x14ac:dyDescent="0.3">
      <c r="A2551" s="2"/>
      <c r="B2551" s="65" t="str">
        <f t="shared" si="317"/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 t="shared" si="318"/>
        <v/>
      </c>
      <c r="N2551" s="74" t="str">
        <f t="shared" si="319"/>
        <v/>
      </c>
      <c r="O2551" s="73" t="str">
        <f t="shared" si="320"/>
        <v/>
      </c>
      <c r="P2551" s="65" t="str">
        <f t="shared" ca="1" si="321"/>
        <v/>
      </c>
      <c r="Q2551" s="2"/>
      <c r="R2551" s="2"/>
      <c r="S2551" s="1" t="str">
        <f t="shared" si="314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315"/>
        <v>0</v>
      </c>
      <c r="W2551" s="1" t="str">
        <f t="shared" si="316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customHeight="1" x14ac:dyDescent="0.3">
      <c r="A2552" s="2"/>
      <c r="B2552" s="65" t="str">
        <f t="shared" si="317"/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 t="shared" si="318"/>
        <v/>
      </c>
      <c r="N2552" s="74" t="str">
        <f t="shared" si="319"/>
        <v/>
      </c>
      <c r="O2552" s="73" t="str">
        <f t="shared" si="320"/>
        <v/>
      </c>
      <c r="P2552" s="65" t="str">
        <f t="shared" ca="1" si="321"/>
        <v/>
      </c>
      <c r="Q2552" s="2"/>
      <c r="R2552" s="2"/>
      <c r="S2552" s="1" t="str">
        <f t="shared" si="314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315"/>
        <v>0</v>
      </c>
      <c r="W2552" s="1" t="str">
        <f t="shared" si="316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customHeight="1" x14ac:dyDescent="0.3">
      <c r="A2553" s="2"/>
      <c r="B2553" s="65" t="str">
        <f t="shared" si="317"/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 t="shared" si="318"/>
        <v/>
      </c>
      <c r="N2553" s="74" t="str">
        <f t="shared" si="319"/>
        <v/>
      </c>
      <c r="O2553" s="73" t="str">
        <f t="shared" si="320"/>
        <v/>
      </c>
      <c r="P2553" s="65" t="str">
        <f t="shared" ca="1" si="321"/>
        <v/>
      </c>
      <c r="Q2553" s="2"/>
      <c r="R2553" s="2"/>
      <c r="S2553" s="1" t="str">
        <f t="shared" si="314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315"/>
        <v>0</v>
      </c>
      <c r="W2553" s="1" t="str">
        <f t="shared" si="316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customHeight="1" x14ac:dyDescent="0.3">
      <c r="A2554" s="2"/>
      <c r="B2554" s="65" t="str">
        <f t="shared" si="317"/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 t="shared" si="318"/>
        <v/>
      </c>
      <c r="N2554" s="74" t="str">
        <f t="shared" si="319"/>
        <v/>
      </c>
      <c r="O2554" s="73" t="str">
        <f t="shared" si="320"/>
        <v/>
      </c>
      <c r="P2554" s="65" t="str">
        <f t="shared" ca="1" si="321"/>
        <v/>
      </c>
      <c r="Q2554" s="2"/>
      <c r="R2554" s="2"/>
      <c r="S2554" s="1" t="str">
        <f t="shared" si="314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315"/>
        <v>0</v>
      </c>
      <c r="W2554" s="1" t="str">
        <f t="shared" si="316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customHeight="1" x14ac:dyDescent="0.3">
      <c r="A2555" s="2"/>
      <c r="B2555" s="65" t="str">
        <f t="shared" si="317"/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 t="shared" si="318"/>
        <v/>
      </c>
      <c r="N2555" s="74" t="str">
        <f t="shared" si="319"/>
        <v/>
      </c>
      <c r="O2555" s="73" t="str">
        <f t="shared" si="320"/>
        <v/>
      </c>
      <c r="P2555" s="65" t="str">
        <f t="shared" ca="1" si="321"/>
        <v/>
      </c>
      <c r="Q2555" s="2"/>
      <c r="R2555" s="2"/>
      <c r="S2555" s="1" t="str">
        <f t="shared" si="314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315"/>
        <v>0</v>
      </c>
      <c r="W2555" s="1" t="str">
        <f t="shared" si="316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customHeight="1" x14ac:dyDescent="0.3">
      <c r="A2556" s="2"/>
      <c r="B2556" s="65" t="str">
        <f t="shared" si="317"/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 t="shared" si="318"/>
        <v/>
      </c>
      <c r="N2556" s="74" t="str">
        <f t="shared" si="319"/>
        <v/>
      </c>
      <c r="O2556" s="73" t="str">
        <f t="shared" si="320"/>
        <v/>
      </c>
      <c r="P2556" s="65" t="str">
        <f t="shared" ca="1" si="321"/>
        <v/>
      </c>
      <c r="Q2556" s="2"/>
      <c r="R2556" s="2"/>
      <c r="S2556" s="1" t="str">
        <f t="shared" si="314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315"/>
        <v>0</v>
      </c>
      <c r="W2556" s="1" t="str">
        <f t="shared" si="316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customHeight="1" x14ac:dyDescent="0.3">
      <c r="A2557" s="2"/>
      <c r="B2557" s="65" t="str">
        <f t="shared" si="317"/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 t="shared" si="318"/>
        <v/>
      </c>
      <c r="N2557" s="74" t="str">
        <f t="shared" si="319"/>
        <v/>
      </c>
      <c r="O2557" s="73" t="str">
        <f t="shared" si="320"/>
        <v/>
      </c>
      <c r="P2557" s="65" t="str">
        <f t="shared" ca="1" si="321"/>
        <v/>
      </c>
      <c r="Q2557" s="2"/>
      <c r="R2557" s="2"/>
      <c r="S2557" s="1" t="str">
        <f t="shared" si="314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315"/>
        <v>0</v>
      </c>
      <c r="W2557" s="1" t="str">
        <f t="shared" si="316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customHeight="1" x14ac:dyDescent="0.3">
      <c r="A2558" s="2"/>
      <c r="B2558" s="65" t="str">
        <f t="shared" si="317"/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 t="shared" si="318"/>
        <v/>
      </c>
      <c r="N2558" s="74" t="str">
        <f t="shared" si="319"/>
        <v/>
      </c>
      <c r="O2558" s="73" t="str">
        <f t="shared" si="320"/>
        <v/>
      </c>
      <c r="P2558" s="65" t="str">
        <f t="shared" ca="1" si="321"/>
        <v/>
      </c>
      <c r="Q2558" s="2"/>
      <c r="R2558" s="2"/>
      <c r="S2558" s="1" t="str">
        <f t="shared" si="314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315"/>
        <v>0</v>
      </c>
      <c r="W2558" s="1" t="str">
        <f t="shared" si="316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customHeight="1" x14ac:dyDescent="0.3">
      <c r="A2559" s="2"/>
      <c r="B2559" s="65" t="str">
        <f t="shared" si="317"/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 t="shared" si="318"/>
        <v/>
      </c>
      <c r="N2559" s="74" t="str">
        <f t="shared" si="319"/>
        <v/>
      </c>
      <c r="O2559" s="73" t="str">
        <f t="shared" si="320"/>
        <v/>
      </c>
      <c r="P2559" s="65" t="str">
        <f t="shared" ca="1" si="321"/>
        <v/>
      </c>
      <c r="Q2559" s="2"/>
      <c r="R2559" s="2"/>
      <c r="S2559" s="1" t="str">
        <f t="shared" si="314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315"/>
        <v>0</v>
      </c>
      <c r="W2559" s="1" t="str">
        <f t="shared" si="316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customHeight="1" x14ac:dyDescent="0.3">
      <c r="A2560" s="2"/>
      <c r="B2560" s="65" t="str">
        <f t="shared" si="317"/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 t="shared" si="318"/>
        <v/>
      </c>
      <c r="N2560" s="74" t="str">
        <f t="shared" si="319"/>
        <v/>
      </c>
      <c r="O2560" s="73" t="str">
        <f t="shared" si="320"/>
        <v/>
      </c>
      <c r="P2560" s="65" t="str">
        <f t="shared" ca="1" si="321"/>
        <v/>
      </c>
      <c r="Q2560" s="2"/>
      <c r="R2560" s="2"/>
      <c r="S2560" s="1" t="str">
        <f t="shared" si="314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315"/>
        <v>0</v>
      </c>
      <c r="W2560" s="1" t="str">
        <f t="shared" si="316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customHeight="1" x14ac:dyDescent="0.3">
      <c r="A2561" s="2"/>
      <c r="B2561" s="65" t="str">
        <f t="shared" si="317"/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 t="shared" si="318"/>
        <v/>
      </c>
      <c r="N2561" s="74" t="str">
        <f t="shared" si="319"/>
        <v/>
      </c>
      <c r="O2561" s="73" t="str">
        <f t="shared" si="320"/>
        <v/>
      </c>
      <c r="P2561" s="65" t="str">
        <f t="shared" ca="1" si="321"/>
        <v/>
      </c>
      <c r="Q2561" s="2"/>
      <c r="R2561" s="2"/>
      <c r="S2561" s="1" t="str">
        <f t="shared" si="314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315"/>
        <v>0</v>
      </c>
      <c r="W2561" s="1" t="str">
        <f t="shared" si="316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customHeight="1" x14ac:dyDescent="0.3">
      <c r="A2562" s="2"/>
      <c r="B2562" s="65" t="str">
        <f t="shared" si="317"/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 t="shared" si="318"/>
        <v/>
      </c>
      <c r="N2562" s="74" t="str">
        <f t="shared" si="319"/>
        <v/>
      </c>
      <c r="O2562" s="73" t="str">
        <f t="shared" si="320"/>
        <v/>
      </c>
      <c r="P2562" s="65" t="str">
        <f t="shared" ca="1" si="321"/>
        <v/>
      </c>
      <c r="Q2562" s="2"/>
      <c r="R2562" s="2"/>
      <c r="S2562" s="1" t="str">
        <f t="shared" si="314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315"/>
        <v>0</v>
      </c>
      <c r="W2562" s="1" t="str">
        <f t="shared" si="316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customHeight="1" x14ac:dyDescent="0.3">
      <c r="A2563" s="2"/>
      <c r="B2563" s="65" t="str">
        <f t="shared" si="317"/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 t="shared" si="318"/>
        <v/>
      </c>
      <c r="N2563" s="74" t="str">
        <f t="shared" si="319"/>
        <v/>
      </c>
      <c r="O2563" s="73" t="str">
        <f t="shared" si="320"/>
        <v/>
      </c>
      <c r="P2563" s="65" t="str">
        <f t="shared" ca="1" si="321"/>
        <v/>
      </c>
      <c r="Q2563" s="2"/>
      <c r="R2563" s="2"/>
      <c r="S2563" s="1" t="str">
        <f t="shared" si="314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315"/>
        <v>0</v>
      </c>
      <c r="W2563" s="1" t="str">
        <f t="shared" si="316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customHeight="1" x14ac:dyDescent="0.3">
      <c r="A2564" s="2"/>
      <c r="B2564" s="65" t="str">
        <f t="shared" si="317"/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 t="shared" si="318"/>
        <v/>
      </c>
      <c r="N2564" s="74" t="str">
        <f t="shared" si="319"/>
        <v/>
      </c>
      <c r="O2564" s="73" t="str">
        <f t="shared" si="320"/>
        <v/>
      </c>
      <c r="P2564" s="65" t="str">
        <f t="shared" ca="1" si="321"/>
        <v/>
      </c>
      <c r="Q2564" s="2"/>
      <c r="R2564" s="2"/>
      <c r="S2564" s="1" t="str">
        <f t="shared" si="314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315"/>
        <v>0</v>
      </c>
      <c r="W2564" s="1" t="str">
        <f t="shared" si="316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customHeight="1" x14ac:dyDescent="0.3">
      <c r="A2565" s="2"/>
      <c r="B2565" s="65" t="str">
        <f t="shared" si="317"/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 t="shared" si="318"/>
        <v/>
      </c>
      <c r="N2565" s="74" t="str">
        <f t="shared" si="319"/>
        <v/>
      </c>
      <c r="O2565" s="73" t="str">
        <f t="shared" si="320"/>
        <v/>
      </c>
      <c r="P2565" s="65" t="str">
        <f t="shared" ca="1" si="321"/>
        <v/>
      </c>
      <c r="Q2565" s="2"/>
      <c r="R2565" s="2"/>
      <c r="S2565" s="1" t="str">
        <f t="shared" ref="S2565:S2628" si="322"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ref="V2565:V2628" si="323">IF($T2565="",0,1)</f>
        <v>0</v>
      </c>
      <c r="W2565" s="1" t="str">
        <f t="shared" ref="W2565:W2628" si="324">IF($C2565="","",$D2565&amp;"|"&amp;$E2565&amp;"|"&amp;TEXT($C2565,"0")&amp;"|"&amp;TEXT($G2565,"0")&amp;"|"&amp;$F2565&amp;"|"&amp;$J2565)</f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customHeight="1" x14ac:dyDescent="0.3">
      <c r="A2566" s="2"/>
      <c r="B2566" s="65" t="str">
        <f t="shared" si="317"/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 t="shared" si="318"/>
        <v/>
      </c>
      <c r="N2566" s="74" t="str">
        <f t="shared" si="319"/>
        <v/>
      </c>
      <c r="O2566" s="73" t="str">
        <f t="shared" si="320"/>
        <v/>
      </c>
      <c r="P2566" s="65" t="str">
        <f t="shared" ca="1" si="321"/>
        <v/>
      </c>
      <c r="Q2566" s="2"/>
      <c r="R2566" s="2"/>
      <c r="S2566" s="1" t="str">
        <f t="shared" si="322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323"/>
        <v>0</v>
      </c>
      <c r="W2566" s="1" t="str">
        <f t="shared" si="324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customHeight="1" x14ac:dyDescent="0.3">
      <c r="A2567" s="2"/>
      <c r="B2567" s="65" t="str">
        <f t="shared" ref="B2567:B2630" si="325"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 t="shared" ref="M2567:M2630" si="326">IF($C2567="","",IF($D2567="Gider",$E2567,IF($L2567&lt;&gt;"",$L2567,$H2567)))</f>
        <v/>
      </c>
      <c r="N2567" s="74" t="str">
        <f t="shared" ref="N2567:N2630" si="327">IF($C2567="","",IF($D2567="Gider",$H2567,$E2567))</f>
        <v/>
      </c>
      <c r="O2567" s="73" t="str">
        <f t="shared" ref="O2567:O2630" si="328">IF($C2567="","",DATE(YEAR($C2567),MONTH($C2567),1))</f>
        <v/>
      </c>
      <c r="P2567" s="65" t="str">
        <f t="shared" ref="P2567:P2630" ca="1" si="329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TARİH",IF(COUNTIF($W$7:$W$3001,$W2567)&gt;1,"MÜKERRER?",IF($AD2567&gt;0,"KAPALI DÖNEM",IF($I2567="Hayır","ÖDENECEK","UYGUN")))),"EKSİK"))))</f>
        <v/>
      </c>
      <c r="Q2567" s="2"/>
      <c r="R2567" s="2"/>
      <c r="S2567" s="1" t="str">
        <f t="shared" si="322"/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si="323"/>
        <v>0</v>
      </c>
      <c r="W2567" s="1" t="str">
        <f t="shared" si="324"/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customHeight="1" x14ac:dyDescent="0.3">
      <c r="A2568" s="2"/>
      <c r="B2568" s="65" t="str">
        <f t="shared" si="325"/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 t="shared" si="326"/>
        <v/>
      </c>
      <c r="N2568" s="74" t="str">
        <f t="shared" si="327"/>
        <v/>
      </c>
      <c r="O2568" s="73" t="str">
        <f t="shared" si="328"/>
        <v/>
      </c>
      <c r="P2568" s="65" t="str">
        <f t="shared" ca="1" si="329"/>
        <v/>
      </c>
      <c r="Q2568" s="2"/>
      <c r="R2568" s="2"/>
      <c r="S2568" s="1" t="str">
        <f t="shared" si="322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323"/>
        <v>0</v>
      </c>
      <c r="W2568" s="1" t="str">
        <f t="shared" si="324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customHeight="1" x14ac:dyDescent="0.3">
      <c r="A2569" s="2"/>
      <c r="B2569" s="65" t="str">
        <f t="shared" si="325"/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 t="shared" si="326"/>
        <v/>
      </c>
      <c r="N2569" s="74" t="str">
        <f t="shared" si="327"/>
        <v/>
      </c>
      <c r="O2569" s="73" t="str">
        <f t="shared" si="328"/>
        <v/>
      </c>
      <c r="P2569" s="65" t="str">
        <f t="shared" ca="1" si="329"/>
        <v/>
      </c>
      <c r="Q2569" s="2"/>
      <c r="R2569" s="2"/>
      <c r="S2569" s="1" t="str">
        <f t="shared" si="322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323"/>
        <v>0</v>
      </c>
      <c r="W2569" s="1" t="str">
        <f t="shared" si="324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customHeight="1" x14ac:dyDescent="0.3">
      <c r="A2570" s="2"/>
      <c r="B2570" s="65" t="str">
        <f t="shared" si="325"/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 t="shared" si="326"/>
        <v/>
      </c>
      <c r="N2570" s="74" t="str">
        <f t="shared" si="327"/>
        <v/>
      </c>
      <c r="O2570" s="73" t="str">
        <f t="shared" si="328"/>
        <v/>
      </c>
      <c r="P2570" s="65" t="str">
        <f t="shared" ca="1" si="329"/>
        <v/>
      </c>
      <c r="Q2570" s="2"/>
      <c r="R2570" s="2"/>
      <c r="S2570" s="1" t="str">
        <f t="shared" si="322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323"/>
        <v>0</v>
      </c>
      <c r="W2570" s="1" t="str">
        <f t="shared" si="324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customHeight="1" x14ac:dyDescent="0.3">
      <c r="A2571" s="2"/>
      <c r="B2571" s="65" t="str">
        <f t="shared" si="325"/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 t="shared" si="326"/>
        <v/>
      </c>
      <c r="N2571" s="74" t="str">
        <f t="shared" si="327"/>
        <v/>
      </c>
      <c r="O2571" s="73" t="str">
        <f t="shared" si="328"/>
        <v/>
      </c>
      <c r="P2571" s="65" t="str">
        <f t="shared" ca="1" si="329"/>
        <v/>
      </c>
      <c r="Q2571" s="2"/>
      <c r="R2571" s="2"/>
      <c r="S2571" s="1" t="str">
        <f t="shared" si="322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323"/>
        <v>0</v>
      </c>
      <c r="W2571" s="1" t="str">
        <f t="shared" si="324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customHeight="1" x14ac:dyDescent="0.3">
      <c r="A2572" s="2"/>
      <c r="B2572" s="65" t="str">
        <f t="shared" si="325"/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 t="shared" si="326"/>
        <v/>
      </c>
      <c r="N2572" s="74" t="str">
        <f t="shared" si="327"/>
        <v/>
      </c>
      <c r="O2572" s="73" t="str">
        <f t="shared" si="328"/>
        <v/>
      </c>
      <c r="P2572" s="65" t="str">
        <f t="shared" ca="1" si="329"/>
        <v/>
      </c>
      <c r="Q2572" s="2"/>
      <c r="R2572" s="2"/>
      <c r="S2572" s="1" t="str">
        <f t="shared" si="322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323"/>
        <v>0</v>
      </c>
      <c r="W2572" s="1" t="str">
        <f t="shared" si="324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customHeight="1" x14ac:dyDescent="0.3">
      <c r="A2573" s="2"/>
      <c r="B2573" s="65" t="str">
        <f t="shared" si="325"/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 t="shared" si="326"/>
        <v/>
      </c>
      <c r="N2573" s="74" t="str">
        <f t="shared" si="327"/>
        <v/>
      </c>
      <c r="O2573" s="73" t="str">
        <f t="shared" si="328"/>
        <v/>
      </c>
      <c r="P2573" s="65" t="str">
        <f t="shared" ca="1" si="329"/>
        <v/>
      </c>
      <c r="Q2573" s="2"/>
      <c r="R2573" s="2"/>
      <c r="S2573" s="1" t="str">
        <f t="shared" si="322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323"/>
        <v>0</v>
      </c>
      <c r="W2573" s="1" t="str">
        <f t="shared" si="324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customHeight="1" x14ac:dyDescent="0.3">
      <c r="A2574" s="2"/>
      <c r="B2574" s="65" t="str">
        <f t="shared" si="325"/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 t="shared" si="326"/>
        <v/>
      </c>
      <c r="N2574" s="74" t="str">
        <f t="shared" si="327"/>
        <v/>
      </c>
      <c r="O2574" s="73" t="str">
        <f t="shared" si="328"/>
        <v/>
      </c>
      <c r="P2574" s="65" t="str">
        <f t="shared" ca="1" si="329"/>
        <v/>
      </c>
      <c r="Q2574" s="2"/>
      <c r="R2574" s="2"/>
      <c r="S2574" s="1" t="str">
        <f t="shared" si="322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323"/>
        <v>0</v>
      </c>
      <c r="W2574" s="1" t="str">
        <f t="shared" si="324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customHeight="1" x14ac:dyDescent="0.3">
      <c r="A2575" s="2"/>
      <c r="B2575" s="65" t="str">
        <f t="shared" si="325"/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 t="shared" si="326"/>
        <v/>
      </c>
      <c r="N2575" s="74" t="str">
        <f t="shared" si="327"/>
        <v/>
      </c>
      <c r="O2575" s="73" t="str">
        <f t="shared" si="328"/>
        <v/>
      </c>
      <c r="P2575" s="65" t="str">
        <f t="shared" ca="1" si="329"/>
        <v/>
      </c>
      <c r="Q2575" s="2"/>
      <c r="R2575" s="2"/>
      <c r="S2575" s="1" t="str">
        <f t="shared" si="322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323"/>
        <v>0</v>
      </c>
      <c r="W2575" s="1" t="str">
        <f t="shared" si="324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customHeight="1" x14ac:dyDescent="0.3">
      <c r="A2576" s="2"/>
      <c r="B2576" s="65" t="str">
        <f t="shared" si="325"/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 t="shared" si="326"/>
        <v/>
      </c>
      <c r="N2576" s="74" t="str">
        <f t="shared" si="327"/>
        <v/>
      </c>
      <c r="O2576" s="73" t="str">
        <f t="shared" si="328"/>
        <v/>
      </c>
      <c r="P2576" s="65" t="str">
        <f t="shared" ca="1" si="329"/>
        <v/>
      </c>
      <c r="Q2576" s="2"/>
      <c r="R2576" s="2"/>
      <c r="S2576" s="1" t="str">
        <f t="shared" si="322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323"/>
        <v>0</v>
      </c>
      <c r="W2576" s="1" t="str">
        <f t="shared" si="324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customHeight="1" x14ac:dyDescent="0.3">
      <c r="A2577" s="2"/>
      <c r="B2577" s="65" t="str">
        <f t="shared" si="325"/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 t="shared" si="326"/>
        <v/>
      </c>
      <c r="N2577" s="74" t="str">
        <f t="shared" si="327"/>
        <v/>
      </c>
      <c r="O2577" s="73" t="str">
        <f t="shared" si="328"/>
        <v/>
      </c>
      <c r="P2577" s="65" t="str">
        <f t="shared" ca="1" si="329"/>
        <v/>
      </c>
      <c r="Q2577" s="2"/>
      <c r="R2577" s="2"/>
      <c r="S2577" s="1" t="str">
        <f t="shared" si="322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323"/>
        <v>0</v>
      </c>
      <c r="W2577" s="1" t="str">
        <f t="shared" si="324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customHeight="1" x14ac:dyDescent="0.3">
      <c r="A2578" s="2"/>
      <c r="B2578" s="65" t="str">
        <f t="shared" si="325"/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 t="shared" si="326"/>
        <v/>
      </c>
      <c r="N2578" s="74" t="str">
        <f t="shared" si="327"/>
        <v/>
      </c>
      <c r="O2578" s="73" t="str">
        <f t="shared" si="328"/>
        <v/>
      </c>
      <c r="P2578" s="65" t="str">
        <f t="shared" ca="1" si="329"/>
        <v/>
      </c>
      <c r="Q2578" s="2"/>
      <c r="R2578" s="2"/>
      <c r="S2578" s="1" t="str">
        <f t="shared" si="322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323"/>
        <v>0</v>
      </c>
      <c r="W2578" s="1" t="str">
        <f t="shared" si="324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customHeight="1" x14ac:dyDescent="0.3">
      <c r="A2579" s="2"/>
      <c r="B2579" s="65" t="str">
        <f t="shared" si="325"/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 t="shared" si="326"/>
        <v/>
      </c>
      <c r="N2579" s="74" t="str">
        <f t="shared" si="327"/>
        <v/>
      </c>
      <c r="O2579" s="73" t="str">
        <f t="shared" si="328"/>
        <v/>
      </c>
      <c r="P2579" s="65" t="str">
        <f t="shared" ca="1" si="329"/>
        <v/>
      </c>
      <c r="Q2579" s="2"/>
      <c r="R2579" s="2"/>
      <c r="S2579" s="1" t="str">
        <f t="shared" si="322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323"/>
        <v>0</v>
      </c>
      <c r="W2579" s="1" t="str">
        <f t="shared" si="324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customHeight="1" x14ac:dyDescent="0.3">
      <c r="A2580" s="2"/>
      <c r="B2580" s="65" t="str">
        <f t="shared" si="325"/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 t="shared" si="326"/>
        <v/>
      </c>
      <c r="N2580" s="74" t="str">
        <f t="shared" si="327"/>
        <v/>
      </c>
      <c r="O2580" s="73" t="str">
        <f t="shared" si="328"/>
        <v/>
      </c>
      <c r="P2580" s="65" t="str">
        <f t="shared" ca="1" si="329"/>
        <v/>
      </c>
      <c r="Q2580" s="2"/>
      <c r="R2580" s="2"/>
      <c r="S2580" s="1" t="str">
        <f t="shared" si="322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323"/>
        <v>0</v>
      </c>
      <c r="W2580" s="1" t="str">
        <f t="shared" si="324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customHeight="1" x14ac:dyDescent="0.3">
      <c r="A2581" s="2"/>
      <c r="B2581" s="65" t="str">
        <f t="shared" si="325"/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 t="shared" si="326"/>
        <v/>
      </c>
      <c r="N2581" s="74" t="str">
        <f t="shared" si="327"/>
        <v/>
      </c>
      <c r="O2581" s="73" t="str">
        <f t="shared" si="328"/>
        <v/>
      </c>
      <c r="P2581" s="65" t="str">
        <f t="shared" ca="1" si="329"/>
        <v/>
      </c>
      <c r="Q2581" s="2"/>
      <c r="R2581" s="2"/>
      <c r="S2581" s="1" t="str">
        <f t="shared" si="322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323"/>
        <v>0</v>
      </c>
      <c r="W2581" s="1" t="str">
        <f t="shared" si="324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customHeight="1" x14ac:dyDescent="0.3">
      <c r="A2582" s="2"/>
      <c r="B2582" s="65" t="str">
        <f t="shared" si="325"/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 t="shared" si="326"/>
        <v/>
      </c>
      <c r="N2582" s="74" t="str">
        <f t="shared" si="327"/>
        <v/>
      </c>
      <c r="O2582" s="73" t="str">
        <f t="shared" si="328"/>
        <v/>
      </c>
      <c r="P2582" s="65" t="str">
        <f t="shared" ca="1" si="329"/>
        <v/>
      </c>
      <c r="Q2582" s="2"/>
      <c r="R2582" s="2"/>
      <c r="S2582" s="1" t="str">
        <f t="shared" si="322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323"/>
        <v>0</v>
      </c>
      <c r="W2582" s="1" t="str">
        <f t="shared" si="324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customHeight="1" x14ac:dyDescent="0.3">
      <c r="A2583" s="2"/>
      <c r="B2583" s="65" t="str">
        <f t="shared" si="325"/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 t="shared" si="326"/>
        <v/>
      </c>
      <c r="N2583" s="74" t="str">
        <f t="shared" si="327"/>
        <v/>
      </c>
      <c r="O2583" s="73" t="str">
        <f t="shared" si="328"/>
        <v/>
      </c>
      <c r="P2583" s="65" t="str">
        <f t="shared" ca="1" si="329"/>
        <v/>
      </c>
      <c r="Q2583" s="2"/>
      <c r="R2583" s="2"/>
      <c r="S2583" s="1" t="str">
        <f t="shared" si="322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323"/>
        <v>0</v>
      </c>
      <c r="W2583" s="1" t="str">
        <f t="shared" si="324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customHeight="1" x14ac:dyDescent="0.3">
      <c r="A2584" s="2"/>
      <c r="B2584" s="65" t="str">
        <f t="shared" si="325"/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 t="shared" si="326"/>
        <v/>
      </c>
      <c r="N2584" s="74" t="str">
        <f t="shared" si="327"/>
        <v/>
      </c>
      <c r="O2584" s="73" t="str">
        <f t="shared" si="328"/>
        <v/>
      </c>
      <c r="P2584" s="65" t="str">
        <f t="shared" ca="1" si="329"/>
        <v/>
      </c>
      <c r="Q2584" s="2"/>
      <c r="R2584" s="2"/>
      <c r="S2584" s="1" t="str">
        <f t="shared" si="322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323"/>
        <v>0</v>
      </c>
      <c r="W2584" s="1" t="str">
        <f t="shared" si="324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customHeight="1" x14ac:dyDescent="0.3">
      <c r="A2585" s="2"/>
      <c r="B2585" s="65" t="str">
        <f t="shared" si="325"/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 t="shared" si="326"/>
        <v/>
      </c>
      <c r="N2585" s="74" t="str">
        <f t="shared" si="327"/>
        <v/>
      </c>
      <c r="O2585" s="73" t="str">
        <f t="shared" si="328"/>
        <v/>
      </c>
      <c r="P2585" s="65" t="str">
        <f t="shared" ca="1" si="329"/>
        <v/>
      </c>
      <c r="Q2585" s="2"/>
      <c r="R2585" s="2"/>
      <c r="S2585" s="1" t="str">
        <f t="shared" si="322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323"/>
        <v>0</v>
      </c>
      <c r="W2585" s="1" t="str">
        <f t="shared" si="324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customHeight="1" x14ac:dyDescent="0.3">
      <c r="A2586" s="2"/>
      <c r="B2586" s="65" t="str">
        <f t="shared" si="325"/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 t="shared" si="326"/>
        <v/>
      </c>
      <c r="N2586" s="74" t="str">
        <f t="shared" si="327"/>
        <v/>
      </c>
      <c r="O2586" s="73" t="str">
        <f t="shared" si="328"/>
        <v/>
      </c>
      <c r="P2586" s="65" t="str">
        <f t="shared" ca="1" si="329"/>
        <v/>
      </c>
      <c r="Q2586" s="2"/>
      <c r="R2586" s="2"/>
      <c r="S2586" s="1" t="str">
        <f t="shared" si="322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323"/>
        <v>0</v>
      </c>
      <c r="W2586" s="1" t="str">
        <f t="shared" si="324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customHeight="1" x14ac:dyDescent="0.3">
      <c r="A2587" s="2"/>
      <c r="B2587" s="65" t="str">
        <f t="shared" si="325"/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 t="shared" si="326"/>
        <v/>
      </c>
      <c r="N2587" s="74" t="str">
        <f t="shared" si="327"/>
        <v/>
      </c>
      <c r="O2587" s="73" t="str">
        <f t="shared" si="328"/>
        <v/>
      </c>
      <c r="P2587" s="65" t="str">
        <f t="shared" ca="1" si="329"/>
        <v/>
      </c>
      <c r="Q2587" s="2"/>
      <c r="R2587" s="2"/>
      <c r="S2587" s="1" t="str">
        <f t="shared" si="322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323"/>
        <v>0</v>
      </c>
      <c r="W2587" s="1" t="str">
        <f t="shared" si="324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customHeight="1" x14ac:dyDescent="0.3">
      <c r="A2588" s="2"/>
      <c r="B2588" s="65" t="str">
        <f t="shared" si="325"/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 t="shared" si="326"/>
        <v/>
      </c>
      <c r="N2588" s="74" t="str">
        <f t="shared" si="327"/>
        <v/>
      </c>
      <c r="O2588" s="73" t="str">
        <f t="shared" si="328"/>
        <v/>
      </c>
      <c r="P2588" s="65" t="str">
        <f t="shared" ca="1" si="329"/>
        <v/>
      </c>
      <c r="Q2588" s="2"/>
      <c r="R2588" s="2"/>
      <c r="S2588" s="1" t="str">
        <f t="shared" si="322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323"/>
        <v>0</v>
      </c>
      <c r="W2588" s="1" t="str">
        <f t="shared" si="324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customHeight="1" x14ac:dyDescent="0.3">
      <c r="A2589" s="2"/>
      <c r="B2589" s="65" t="str">
        <f t="shared" si="325"/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 t="shared" si="326"/>
        <v/>
      </c>
      <c r="N2589" s="74" t="str">
        <f t="shared" si="327"/>
        <v/>
      </c>
      <c r="O2589" s="73" t="str">
        <f t="shared" si="328"/>
        <v/>
      </c>
      <c r="P2589" s="65" t="str">
        <f t="shared" ca="1" si="329"/>
        <v/>
      </c>
      <c r="Q2589" s="2"/>
      <c r="R2589" s="2"/>
      <c r="S2589" s="1" t="str">
        <f t="shared" si="322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323"/>
        <v>0</v>
      </c>
      <c r="W2589" s="1" t="str">
        <f t="shared" si="324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customHeight="1" x14ac:dyDescent="0.3">
      <c r="A2590" s="2"/>
      <c r="B2590" s="65" t="str">
        <f t="shared" si="325"/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 t="shared" si="326"/>
        <v/>
      </c>
      <c r="N2590" s="74" t="str">
        <f t="shared" si="327"/>
        <v/>
      </c>
      <c r="O2590" s="73" t="str">
        <f t="shared" si="328"/>
        <v/>
      </c>
      <c r="P2590" s="65" t="str">
        <f t="shared" ca="1" si="329"/>
        <v/>
      </c>
      <c r="Q2590" s="2"/>
      <c r="R2590" s="2"/>
      <c r="S2590" s="1" t="str">
        <f t="shared" si="322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323"/>
        <v>0</v>
      </c>
      <c r="W2590" s="1" t="str">
        <f t="shared" si="324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customHeight="1" x14ac:dyDescent="0.3">
      <c r="A2591" s="2"/>
      <c r="B2591" s="65" t="str">
        <f t="shared" si="325"/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 t="shared" si="326"/>
        <v/>
      </c>
      <c r="N2591" s="74" t="str">
        <f t="shared" si="327"/>
        <v/>
      </c>
      <c r="O2591" s="73" t="str">
        <f t="shared" si="328"/>
        <v/>
      </c>
      <c r="P2591" s="65" t="str">
        <f t="shared" ca="1" si="329"/>
        <v/>
      </c>
      <c r="Q2591" s="2"/>
      <c r="R2591" s="2"/>
      <c r="S2591" s="1" t="str">
        <f t="shared" si="322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323"/>
        <v>0</v>
      </c>
      <c r="W2591" s="1" t="str">
        <f t="shared" si="324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customHeight="1" x14ac:dyDescent="0.3">
      <c r="A2592" s="2"/>
      <c r="B2592" s="65" t="str">
        <f t="shared" si="325"/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 t="shared" si="326"/>
        <v/>
      </c>
      <c r="N2592" s="74" t="str">
        <f t="shared" si="327"/>
        <v/>
      </c>
      <c r="O2592" s="73" t="str">
        <f t="shared" si="328"/>
        <v/>
      </c>
      <c r="P2592" s="65" t="str">
        <f t="shared" ca="1" si="329"/>
        <v/>
      </c>
      <c r="Q2592" s="2"/>
      <c r="R2592" s="2"/>
      <c r="S2592" s="1" t="str">
        <f t="shared" si="322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323"/>
        <v>0</v>
      </c>
      <c r="W2592" s="1" t="str">
        <f t="shared" si="324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customHeight="1" x14ac:dyDescent="0.3">
      <c r="A2593" s="2"/>
      <c r="B2593" s="65" t="str">
        <f t="shared" si="325"/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 t="shared" si="326"/>
        <v/>
      </c>
      <c r="N2593" s="74" t="str">
        <f t="shared" si="327"/>
        <v/>
      </c>
      <c r="O2593" s="73" t="str">
        <f t="shared" si="328"/>
        <v/>
      </c>
      <c r="P2593" s="65" t="str">
        <f t="shared" ca="1" si="329"/>
        <v/>
      </c>
      <c r="Q2593" s="2"/>
      <c r="R2593" s="2"/>
      <c r="S2593" s="1" t="str">
        <f t="shared" si="322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323"/>
        <v>0</v>
      </c>
      <c r="W2593" s="1" t="str">
        <f t="shared" si="324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customHeight="1" x14ac:dyDescent="0.3">
      <c r="A2594" s="2"/>
      <c r="B2594" s="65" t="str">
        <f t="shared" si="325"/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 t="shared" si="326"/>
        <v/>
      </c>
      <c r="N2594" s="74" t="str">
        <f t="shared" si="327"/>
        <v/>
      </c>
      <c r="O2594" s="73" t="str">
        <f t="shared" si="328"/>
        <v/>
      </c>
      <c r="P2594" s="65" t="str">
        <f t="shared" ca="1" si="329"/>
        <v/>
      </c>
      <c r="Q2594" s="2"/>
      <c r="R2594" s="2"/>
      <c r="S2594" s="1" t="str">
        <f t="shared" si="322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323"/>
        <v>0</v>
      </c>
      <c r="W2594" s="1" t="str">
        <f t="shared" si="324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customHeight="1" x14ac:dyDescent="0.3">
      <c r="A2595" s="2"/>
      <c r="B2595" s="65" t="str">
        <f t="shared" si="325"/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 t="shared" si="326"/>
        <v/>
      </c>
      <c r="N2595" s="74" t="str">
        <f t="shared" si="327"/>
        <v/>
      </c>
      <c r="O2595" s="73" t="str">
        <f t="shared" si="328"/>
        <v/>
      </c>
      <c r="P2595" s="65" t="str">
        <f t="shared" ca="1" si="329"/>
        <v/>
      </c>
      <c r="Q2595" s="2"/>
      <c r="R2595" s="2"/>
      <c r="S2595" s="1" t="str">
        <f t="shared" si="322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323"/>
        <v>0</v>
      </c>
      <c r="W2595" s="1" t="str">
        <f t="shared" si="324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customHeight="1" x14ac:dyDescent="0.3">
      <c r="A2596" s="2"/>
      <c r="B2596" s="65" t="str">
        <f t="shared" si="325"/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 t="shared" si="326"/>
        <v/>
      </c>
      <c r="N2596" s="74" t="str">
        <f t="shared" si="327"/>
        <v/>
      </c>
      <c r="O2596" s="73" t="str">
        <f t="shared" si="328"/>
        <v/>
      </c>
      <c r="P2596" s="65" t="str">
        <f t="shared" ca="1" si="329"/>
        <v/>
      </c>
      <c r="Q2596" s="2"/>
      <c r="R2596" s="2"/>
      <c r="S2596" s="1" t="str">
        <f t="shared" si="322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323"/>
        <v>0</v>
      </c>
      <c r="W2596" s="1" t="str">
        <f t="shared" si="324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customHeight="1" x14ac:dyDescent="0.3">
      <c r="A2597" s="2"/>
      <c r="B2597" s="65" t="str">
        <f t="shared" si="325"/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 t="shared" si="326"/>
        <v/>
      </c>
      <c r="N2597" s="74" t="str">
        <f t="shared" si="327"/>
        <v/>
      </c>
      <c r="O2597" s="73" t="str">
        <f t="shared" si="328"/>
        <v/>
      </c>
      <c r="P2597" s="65" t="str">
        <f t="shared" ca="1" si="329"/>
        <v/>
      </c>
      <c r="Q2597" s="2"/>
      <c r="R2597" s="2"/>
      <c r="S2597" s="1" t="str">
        <f t="shared" si="322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323"/>
        <v>0</v>
      </c>
      <c r="W2597" s="1" t="str">
        <f t="shared" si="324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customHeight="1" x14ac:dyDescent="0.3">
      <c r="A2598" s="2"/>
      <c r="B2598" s="65" t="str">
        <f t="shared" si="325"/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 t="shared" si="326"/>
        <v/>
      </c>
      <c r="N2598" s="74" t="str">
        <f t="shared" si="327"/>
        <v/>
      </c>
      <c r="O2598" s="73" t="str">
        <f t="shared" si="328"/>
        <v/>
      </c>
      <c r="P2598" s="65" t="str">
        <f t="shared" ca="1" si="329"/>
        <v/>
      </c>
      <c r="Q2598" s="2"/>
      <c r="R2598" s="2"/>
      <c r="S2598" s="1" t="str">
        <f t="shared" si="322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323"/>
        <v>0</v>
      </c>
      <c r="W2598" s="1" t="str">
        <f t="shared" si="324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customHeight="1" x14ac:dyDescent="0.3">
      <c r="A2599" s="2"/>
      <c r="B2599" s="65" t="str">
        <f t="shared" si="325"/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 t="shared" si="326"/>
        <v/>
      </c>
      <c r="N2599" s="74" t="str">
        <f t="shared" si="327"/>
        <v/>
      </c>
      <c r="O2599" s="73" t="str">
        <f t="shared" si="328"/>
        <v/>
      </c>
      <c r="P2599" s="65" t="str">
        <f t="shared" ca="1" si="329"/>
        <v/>
      </c>
      <c r="Q2599" s="2"/>
      <c r="R2599" s="2"/>
      <c r="S2599" s="1" t="str">
        <f t="shared" si="322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323"/>
        <v>0</v>
      </c>
      <c r="W2599" s="1" t="str">
        <f t="shared" si="324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customHeight="1" x14ac:dyDescent="0.3">
      <c r="A2600" s="2"/>
      <c r="B2600" s="65" t="str">
        <f t="shared" si="325"/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 t="shared" si="326"/>
        <v/>
      </c>
      <c r="N2600" s="74" t="str">
        <f t="shared" si="327"/>
        <v/>
      </c>
      <c r="O2600" s="73" t="str">
        <f t="shared" si="328"/>
        <v/>
      </c>
      <c r="P2600" s="65" t="str">
        <f t="shared" ca="1" si="329"/>
        <v/>
      </c>
      <c r="Q2600" s="2"/>
      <c r="R2600" s="2"/>
      <c r="S2600" s="1" t="str">
        <f t="shared" si="322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323"/>
        <v>0</v>
      </c>
      <c r="W2600" s="1" t="str">
        <f t="shared" si="324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customHeight="1" x14ac:dyDescent="0.3">
      <c r="A2601" s="2"/>
      <c r="B2601" s="65" t="str">
        <f t="shared" si="325"/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 t="shared" si="326"/>
        <v/>
      </c>
      <c r="N2601" s="74" t="str">
        <f t="shared" si="327"/>
        <v/>
      </c>
      <c r="O2601" s="73" t="str">
        <f t="shared" si="328"/>
        <v/>
      </c>
      <c r="P2601" s="65" t="str">
        <f t="shared" ca="1" si="329"/>
        <v/>
      </c>
      <c r="Q2601" s="2"/>
      <c r="R2601" s="2"/>
      <c r="S2601" s="1" t="str">
        <f t="shared" si="322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323"/>
        <v>0</v>
      </c>
      <c r="W2601" s="1" t="str">
        <f t="shared" si="324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customHeight="1" x14ac:dyDescent="0.3">
      <c r="A2602" s="2"/>
      <c r="B2602" s="65" t="str">
        <f t="shared" si="325"/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 t="shared" si="326"/>
        <v/>
      </c>
      <c r="N2602" s="74" t="str">
        <f t="shared" si="327"/>
        <v/>
      </c>
      <c r="O2602" s="73" t="str">
        <f t="shared" si="328"/>
        <v/>
      </c>
      <c r="P2602" s="65" t="str">
        <f t="shared" ca="1" si="329"/>
        <v/>
      </c>
      <c r="Q2602" s="2"/>
      <c r="R2602" s="2"/>
      <c r="S2602" s="1" t="str">
        <f t="shared" si="322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323"/>
        <v>0</v>
      </c>
      <c r="W2602" s="1" t="str">
        <f t="shared" si="324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customHeight="1" x14ac:dyDescent="0.3">
      <c r="A2603" s="2"/>
      <c r="B2603" s="65" t="str">
        <f t="shared" si="325"/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 t="shared" si="326"/>
        <v/>
      </c>
      <c r="N2603" s="74" t="str">
        <f t="shared" si="327"/>
        <v/>
      </c>
      <c r="O2603" s="73" t="str">
        <f t="shared" si="328"/>
        <v/>
      </c>
      <c r="P2603" s="65" t="str">
        <f t="shared" ca="1" si="329"/>
        <v/>
      </c>
      <c r="Q2603" s="2"/>
      <c r="R2603" s="2"/>
      <c r="S2603" s="1" t="str">
        <f t="shared" si="322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323"/>
        <v>0</v>
      </c>
      <c r="W2603" s="1" t="str">
        <f t="shared" si="324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customHeight="1" x14ac:dyDescent="0.3">
      <c r="A2604" s="2"/>
      <c r="B2604" s="65" t="str">
        <f t="shared" si="325"/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 t="shared" si="326"/>
        <v/>
      </c>
      <c r="N2604" s="74" t="str">
        <f t="shared" si="327"/>
        <v/>
      </c>
      <c r="O2604" s="73" t="str">
        <f t="shared" si="328"/>
        <v/>
      </c>
      <c r="P2604" s="65" t="str">
        <f t="shared" ca="1" si="329"/>
        <v/>
      </c>
      <c r="Q2604" s="2"/>
      <c r="R2604" s="2"/>
      <c r="S2604" s="1" t="str">
        <f t="shared" si="322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323"/>
        <v>0</v>
      </c>
      <c r="W2604" s="1" t="str">
        <f t="shared" si="324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customHeight="1" x14ac:dyDescent="0.3">
      <c r="A2605" s="2"/>
      <c r="B2605" s="65" t="str">
        <f t="shared" si="325"/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 t="shared" si="326"/>
        <v/>
      </c>
      <c r="N2605" s="74" t="str">
        <f t="shared" si="327"/>
        <v/>
      </c>
      <c r="O2605" s="73" t="str">
        <f t="shared" si="328"/>
        <v/>
      </c>
      <c r="P2605" s="65" t="str">
        <f t="shared" ca="1" si="329"/>
        <v/>
      </c>
      <c r="Q2605" s="2"/>
      <c r="R2605" s="2"/>
      <c r="S2605" s="1" t="str">
        <f t="shared" si="322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323"/>
        <v>0</v>
      </c>
      <c r="W2605" s="1" t="str">
        <f t="shared" si="324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customHeight="1" x14ac:dyDescent="0.3">
      <c r="A2606" s="2"/>
      <c r="B2606" s="65" t="str">
        <f t="shared" si="325"/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 t="shared" si="326"/>
        <v/>
      </c>
      <c r="N2606" s="74" t="str">
        <f t="shared" si="327"/>
        <v/>
      </c>
      <c r="O2606" s="73" t="str">
        <f t="shared" si="328"/>
        <v/>
      </c>
      <c r="P2606" s="65" t="str">
        <f t="shared" ca="1" si="329"/>
        <v/>
      </c>
      <c r="Q2606" s="2"/>
      <c r="R2606" s="2"/>
      <c r="S2606" s="1" t="str">
        <f t="shared" si="322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323"/>
        <v>0</v>
      </c>
      <c r="W2606" s="1" t="str">
        <f t="shared" si="324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customHeight="1" x14ac:dyDescent="0.3">
      <c r="A2607" s="2"/>
      <c r="B2607" s="65" t="str">
        <f t="shared" si="325"/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 t="shared" si="326"/>
        <v/>
      </c>
      <c r="N2607" s="74" t="str">
        <f t="shared" si="327"/>
        <v/>
      </c>
      <c r="O2607" s="73" t="str">
        <f t="shared" si="328"/>
        <v/>
      </c>
      <c r="P2607" s="65" t="str">
        <f t="shared" ca="1" si="329"/>
        <v/>
      </c>
      <c r="Q2607" s="2"/>
      <c r="R2607" s="2"/>
      <c r="S2607" s="1" t="str">
        <f t="shared" si="322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323"/>
        <v>0</v>
      </c>
      <c r="W2607" s="1" t="str">
        <f t="shared" si="324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customHeight="1" x14ac:dyDescent="0.3">
      <c r="A2608" s="2"/>
      <c r="B2608" s="65" t="str">
        <f t="shared" si="325"/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 t="shared" si="326"/>
        <v/>
      </c>
      <c r="N2608" s="74" t="str">
        <f t="shared" si="327"/>
        <v/>
      </c>
      <c r="O2608" s="73" t="str">
        <f t="shared" si="328"/>
        <v/>
      </c>
      <c r="P2608" s="65" t="str">
        <f t="shared" ca="1" si="329"/>
        <v/>
      </c>
      <c r="Q2608" s="2"/>
      <c r="R2608" s="2"/>
      <c r="S2608" s="1" t="str">
        <f t="shared" si="322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323"/>
        <v>0</v>
      </c>
      <c r="W2608" s="1" t="str">
        <f t="shared" si="324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customHeight="1" x14ac:dyDescent="0.3">
      <c r="A2609" s="2"/>
      <c r="B2609" s="65" t="str">
        <f t="shared" si="325"/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 t="shared" si="326"/>
        <v/>
      </c>
      <c r="N2609" s="74" t="str">
        <f t="shared" si="327"/>
        <v/>
      </c>
      <c r="O2609" s="73" t="str">
        <f t="shared" si="328"/>
        <v/>
      </c>
      <c r="P2609" s="65" t="str">
        <f t="shared" ca="1" si="329"/>
        <v/>
      </c>
      <c r="Q2609" s="2"/>
      <c r="R2609" s="2"/>
      <c r="S2609" s="1" t="str">
        <f t="shared" si="322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323"/>
        <v>0</v>
      </c>
      <c r="W2609" s="1" t="str">
        <f t="shared" si="324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customHeight="1" x14ac:dyDescent="0.3">
      <c r="A2610" s="2"/>
      <c r="B2610" s="65" t="str">
        <f t="shared" si="325"/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 t="shared" si="326"/>
        <v/>
      </c>
      <c r="N2610" s="74" t="str">
        <f t="shared" si="327"/>
        <v/>
      </c>
      <c r="O2610" s="73" t="str">
        <f t="shared" si="328"/>
        <v/>
      </c>
      <c r="P2610" s="65" t="str">
        <f t="shared" ca="1" si="329"/>
        <v/>
      </c>
      <c r="Q2610" s="2"/>
      <c r="R2610" s="2"/>
      <c r="S2610" s="1" t="str">
        <f t="shared" si="322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323"/>
        <v>0</v>
      </c>
      <c r="W2610" s="1" t="str">
        <f t="shared" si="324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customHeight="1" x14ac:dyDescent="0.3">
      <c r="A2611" s="2"/>
      <c r="B2611" s="65" t="str">
        <f t="shared" si="325"/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 t="shared" si="326"/>
        <v/>
      </c>
      <c r="N2611" s="74" t="str">
        <f t="shared" si="327"/>
        <v/>
      </c>
      <c r="O2611" s="73" t="str">
        <f t="shared" si="328"/>
        <v/>
      </c>
      <c r="P2611" s="65" t="str">
        <f t="shared" ca="1" si="329"/>
        <v/>
      </c>
      <c r="Q2611" s="2"/>
      <c r="R2611" s="2"/>
      <c r="S2611" s="1" t="str">
        <f t="shared" si="322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323"/>
        <v>0</v>
      </c>
      <c r="W2611" s="1" t="str">
        <f t="shared" si="324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customHeight="1" x14ac:dyDescent="0.3">
      <c r="A2612" s="2"/>
      <c r="B2612" s="65" t="str">
        <f t="shared" si="325"/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 t="shared" si="326"/>
        <v/>
      </c>
      <c r="N2612" s="74" t="str">
        <f t="shared" si="327"/>
        <v/>
      </c>
      <c r="O2612" s="73" t="str">
        <f t="shared" si="328"/>
        <v/>
      </c>
      <c r="P2612" s="65" t="str">
        <f t="shared" ca="1" si="329"/>
        <v/>
      </c>
      <c r="Q2612" s="2"/>
      <c r="R2612" s="2"/>
      <c r="S2612" s="1" t="str">
        <f t="shared" si="322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323"/>
        <v>0</v>
      </c>
      <c r="W2612" s="1" t="str">
        <f t="shared" si="324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customHeight="1" x14ac:dyDescent="0.3">
      <c r="A2613" s="2"/>
      <c r="B2613" s="65" t="str">
        <f t="shared" si="325"/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 t="shared" si="326"/>
        <v/>
      </c>
      <c r="N2613" s="74" t="str">
        <f t="shared" si="327"/>
        <v/>
      </c>
      <c r="O2613" s="73" t="str">
        <f t="shared" si="328"/>
        <v/>
      </c>
      <c r="P2613" s="65" t="str">
        <f t="shared" ca="1" si="329"/>
        <v/>
      </c>
      <c r="Q2613" s="2"/>
      <c r="R2613" s="2"/>
      <c r="S2613" s="1" t="str">
        <f t="shared" si="322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323"/>
        <v>0</v>
      </c>
      <c r="W2613" s="1" t="str">
        <f t="shared" si="324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customHeight="1" x14ac:dyDescent="0.3">
      <c r="A2614" s="2"/>
      <c r="B2614" s="65" t="str">
        <f t="shared" si="325"/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 t="shared" si="326"/>
        <v/>
      </c>
      <c r="N2614" s="74" t="str">
        <f t="shared" si="327"/>
        <v/>
      </c>
      <c r="O2614" s="73" t="str">
        <f t="shared" si="328"/>
        <v/>
      </c>
      <c r="P2614" s="65" t="str">
        <f t="shared" ca="1" si="329"/>
        <v/>
      </c>
      <c r="Q2614" s="2"/>
      <c r="R2614" s="2"/>
      <c r="S2614" s="1" t="str">
        <f t="shared" si="322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323"/>
        <v>0</v>
      </c>
      <c r="W2614" s="1" t="str">
        <f t="shared" si="324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customHeight="1" x14ac:dyDescent="0.3">
      <c r="A2615" s="2"/>
      <c r="B2615" s="65" t="str">
        <f t="shared" si="325"/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 t="shared" si="326"/>
        <v/>
      </c>
      <c r="N2615" s="74" t="str">
        <f t="shared" si="327"/>
        <v/>
      </c>
      <c r="O2615" s="73" t="str">
        <f t="shared" si="328"/>
        <v/>
      </c>
      <c r="P2615" s="65" t="str">
        <f t="shared" ca="1" si="329"/>
        <v/>
      </c>
      <c r="Q2615" s="2"/>
      <c r="R2615" s="2"/>
      <c r="S2615" s="1" t="str">
        <f t="shared" si="322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323"/>
        <v>0</v>
      </c>
      <c r="W2615" s="1" t="str">
        <f t="shared" si="324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customHeight="1" x14ac:dyDescent="0.3">
      <c r="A2616" s="2"/>
      <c r="B2616" s="65" t="str">
        <f t="shared" si="325"/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 t="shared" si="326"/>
        <v/>
      </c>
      <c r="N2616" s="74" t="str">
        <f t="shared" si="327"/>
        <v/>
      </c>
      <c r="O2616" s="73" t="str">
        <f t="shared" si="328"/>
        <v/>
      </c>
      <c r="P2616" s="65" t="str">
        <f t="shared" ca="1" si="329"/>
        <v/>
      </c>
      <c r="Q2616" s="2"/>
      <c r="R2616" s="2"/>
      <c r="S2616" s="1" t="str">
        <f t="shared" si="322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323"/>
        <v>0</v>
      </c>
      <c r="W2616" s="1" t="str">
        <f t="shared" si="324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customHeight="1" x14ac:dyDescent="0.3">
      <c r="A2617" s="2"/>
      <c r="B2617" s="65" t="str">
        <f t="shared" si="325"/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 t="shared" si="326"/>
        <v/>
      </c>
      <c r="N2617" s="74" t="str">
        <f t="shared" si="327"/>
        <v/>
      </c>
      <c r="O2617" s="73" t="str">
        <f t="shared" si="328"/>
        <v/>
      </c>
      <c r="P2617" s="65" t="str">
        <f t="shared" ca="1" si="329"/>
        <v/>
      </c>
      <c r="Q2617" s="2"/>
      <c r="R2617" s="2"/>
      <c r="S2617" s="1" t="str">
        <f t="shared" si="322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323"/>
        <v>0</v>
      </c>
      <c r="W2617" s="1" t="str">
        <f t="shared" si="324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customHeight="1" x14ac:dyDescent="0.3">
      <c r="A2618" s="2"/>
      <c r="B2618" s="65" t="str">
        <f t="shared" si="325"/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 t="shared" si="326"/>
        <v/>
      </c>
      <c r="N2618" s="74" t="str">
        <f t="shared" si="327"/>
        <v/>
      </c>
      <c r="O2618" s="73" t="str">
        <f t="shared" si="328"/>
        <v/>
      </c>
      <c r="P2618" s="65" t="str">
        <f t="shared" ca="1" si="329"/>
        <v/>
      </c>
      <c r="Q2618" s="2"/>
      <c r="R2618" s="2"/>
      <c r="S2618" s="1" t="str">
        <f t="shared" si="322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323"/>
        <v>0</v>
      </c>
      <c r="W2618" s="1" t="str">
        <f t="shared" si="324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customHeight="1" x14ac:dyDescent="0.3">
      <c r="A2619" s="2"/>
      <c r="B2619" s="65" t="str">
        <f t="shared" si="325"/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 t="shared" si="326"/>
        <v/>
      </c>
      <c r="N2619" s="74" t="str">
        <f t="shared" si="327"/>
        <v/>
      </c>
      <c r="O2619" s="73" t="str">
        <f t="shared" si="328"/>
        <v/>
      </c>
      <c r="P2619" s="65" t="str">
        <f t="shared" ca="1" si="329"/>
        <v/>
      </c>
      <c r="Q2619" s="2"/>
      <c r="R2619" s="2"/>
      <c r="S2619" s="1" t="str">
        <f t="shared" si="322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323"/>
        <v>0</v>
      </c>
      <c r="W2619" s="1" t="str">
        <f t="shared" si="324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customHeight="1" x14ac:dyDescent="0.3">
      <c r="A2620" s="2"/>
      <c r="B2620" s="65" t="str">
        <f t="shared" si="325"/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 t="shared" si="326"/>
        <v/>
      </c>
      <c r="N2620" s="74" t="str">
        <f t="shared" si="327"/>
        <v/>
      </c>
      <c r="O2620" s="73" t="str">
        <f t="shared" si="328"/>
        <v/>
      </c>
      <c r="P2620" s="65" t="str">
        <f t="shared" ca="1" si="329"/>
        <v/>
      </c>
      <c r="Q2620" s="2"/>
      <c r="R2620" s="2"/>
      <c r="S2620" s="1" t="str">
        <f t="shared" si="322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323"/>
        <v>0</v>
      </c>
      <c r="W2620" s="1" t="str">
        <f t="shared" si="324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customHeight="1" x14ac:dyDescent="0.3">
      <c r="A2621" s="2"/>
      <c r="B2621" s="65" t="str">
        <f t="shared" si="325"/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 t="shared" si="326"/>
        <v/>
      </c>
      <c r="N2621" s="74" t="str">
        <f t="shared" si="327"/>
        <v/>
      </c>
      <c r="O2621" s="73" t="str">
        <f t="shared" si="328"/>
        <v/>
      </c>
      <c r="P2621" s="65" t="str">
        <f t="shared" ca="1" si="329"/>
        <v/>
      </c>
      <c r="Q2621" s="2"/>
      <c r="R2621" s="2"/>
      <c r="S2621" s="1" t="str">
        <f t="shared" si="322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323"/>
        <v>0</v>
      </c>
      <c r="W2621" s="1" t="str">
        <f t="shared" si="324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customHeight="1" x14ac:dyDescent="0.3">
      <c r="A2622" s="2"/>
      <c r="B2622" s="65" t="str">
        <f t="shared" si="325"/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 t="shared" si="326"/>
        <v/>
      </c>
      <c r="N2622" s="74" t="str">
        <f t="shared" si="327"/>
        <v/>
      </c>
      <c r="O2622" s="73" t="str">
        <f t="shared" si="328"/>
        <v/>
      </c>
      <c r="P2622" s="65" t="str">
        <f t="shared" ca="1" si="329"/>
        <v/>
      </c>
      <c r="Q2622" s="2"/>
      <c r="R2622" s="2"/>
      <c r="S2622" s="1" t="str">
        <f t="shared" si="322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323"/>
        <v>0</v>
      </c>
      <c r="W2622" s="1" t="str">
        <f t="shared" si="324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customHeight="1" x14ac:dyDescent="0.3">
      <c r="A2623" s="2"/>
      <c r="B2623" s="65" t="str">
        <f t="shared" si="325"/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 t="shared" si="326"/>
        <v/>
      </c>
      <c r="N2623" s="74" t="str">
        <f t="shared" si="327"/>
        <v/>
      </c>
      <c r="O2623" s="73" t="str">
        <f t="shared" si="328"/>
        <v/>
      </c>
      <c r="P2623" s="65" t="str">
        <f t="shared" ca="1" si="329"/>
        <v/>
      </c>
      <c r="Q2623" s="2"/>
      <c r="R2623" s="2"/>
      <c r="S2623" s="1" t="str">
        <f t="shared" si="322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323"/>
        <v>0</v>
      </c>
      <c r="W2623" s="1" t="str">
        <f t="shared" si="324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customHeight="1" x14ac:dyDescent="0.3">
      <c r="A2624" s="2"/>
      <c r="B2624" s="65" t="str">
        <f t="shared" si="325"/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 t="shared" si="326"/>
        <v/>
      </c>
      <c r="N2624" s="74" t="str">
        <f t="shared" si="327"/>
        <v/>
      </c>
      <c r="O2624" s="73" t="str">
        <f t="shared" si="328"/>
        <v/>
      </c>
      <c r="P2624" s="65" t="str">
        <f t="shared" ca="1" si="329"/>
        <v/>
      </c>
      <c r="Q2624" s="2"/>
      <c r="R2624" s="2"/>
      <c r="S2624" s="1" t="str">
        <f t="shared" si="322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323"/>
        <v>0</v>
      </c>
      <c r="W2624" s="1" t="str">
        <f t="shared" si="324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customHeight="1" x14ac:dyDescent="0.3">
      <c r="A2625" s="2"/>
      <c r="B2625" s="65" t="str">
        <f t="shared" si="325"/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 t="shared" si="326"/>
        <v/>
      </c>
      <c r="N2625" s="74" t="str">
        <f t="shared" si="327"/>
        <v/>
      </c>
      <c r="O2625" s="73" t="str">
        <f t="shared" si="328"/>
        <v/>
      </c>
      <c r="P2625" s="65" t="str">
        <f t="shared" ca="1" si="329"/>
        <v/>
      </c>
      <c r="Q2625" s="2"/>
      <c r="R2625" s="2"/>
      <c r="S2625" s="1" t="str">
        <f t="shared" si="322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323"/>
        <v>0</v>
      </c>
      <c r="W2625" s="1" t="str">
        <f t="shared" si="324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customHeight="1" x14ac:dyDescent="0.3">
      <c r="A2626" s="2"/>
      <c r="B2626" s="65" t="str">
        <f t="shared" si="325"/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 t="shared" si="326"/>
        <v/>
      </c>
      <c r="N2626" s="74" t="str">
        <f t="shared" si="327"/>
        <v/>
      </c>
      <c r="O2626" s="73" t="str">
        <f t="shared" si="328"/>
        <v/>
      </c>
      <c r="P2626" s="65" t="str">
        <f t="shared" ca="1" si="329"/>
        <v/>
      </c>
      <c r="Q2626" s="2"/>
      <c r="R2626" s="2"/>
      <c r="S2626" s="1" t="str">
        <f t="shared" si="322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323"/>
        <v>0</v>
      </c>
      <c r="W2626" s="1" t="str">
        <f t="shared" si="324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customHeight="1" x14ac:dyDescent="0.3">
      <c r="A2627" s="2"/>
      <c r="B2627" s="65" t="str">
        <f t="shared" si="325"/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 t="shared" si="326"/>
        <v/>
      </c>
      <c r="N2627" s="74" t="str">
        <f t="shared" si="327"/>
        <v/>
      </c>
      <c r="O2627" s="73" t="str">
        <f t="shared" si="328"/>
        <v/>
      </c>
      <c r="P2627" s="65" t="str">
        <f t="shared" ca="1" si="329"/>
        <v/>
      </c>
      <c r="Q2627" s="2"/>
      <c r="R2627" s="2"/>
      <c r="S2627" s="1" t="str">
        <f t="shared" si="322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323"/>
        <v>0</v>
      </c>
      <c r="W2627" s="1" t="str">
        <f t="shared" si="324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customHeight="1" x14ac:dyDescent="0.3">
      <c r="A2628" s="2"/>
      <c r="B2628" s="65" t="str">
        <f t="shared" si="325"/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 t="shared" si="326"/>
        <v/>
      </c>
      <c r="N2628" s="74" t="str">
        <f t="shared" si="327"/>
        <v/>
      </c>
      <c r="O2628" s="73" t="str">
        <f t="shared" si="328"/>
        <v/>
      </c>
      <c r="P2628" s="65" t="str">
        <f t="shared" ca="1" si="329"/>
        <v/>
      </c>
      <c r="Q2628" s="2"/>
      <c r="R2628" s="2"/>
      <c r="S2628" s="1" t="str">
        <f t="shared" si="322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323"/>
        <v>0</v>
      </c>
      <c r="W2628" s="1" t="str">
        <f t="shared" si="324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customHeight="1" x14ac:dyDescent="0.3">
      <c r="A2629" s="2"/>
      <c r="B2629" s="65" t="str">
        <f t="shared" si="325"/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 t="shared" si="326"/>
        <v/>
      </c>
      <c r="N2629" s="74" t="str">
        <f t="shared" si="327"/>
        <v/>
      </c>
      <c r="O2629" s="73" t="str">
        <f t="shared" si="328"/>
        <v/>
      </c>
      <c r="P2629" s="65" t="str">
        <f t="shared" ca="1" si="329"/>
        <v/>
      </c>
      <c r="Q2629" s="2"/>
      <c r="R2629" s="2"/>
      <c r="S2629" s="1" t="str">
        <f t="shared" ref="S2629:S2692" si="330"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ref="V2629:V2692" si="331">IF($T2629="",0,1)</f>
        <v>0</v>
      </c>
      <c r="W2629" s="1" t="str">
        <f t="shared" ref="W2629:W2692" si="332">IF($C2629="","",$D2629&amp;"|"&amp;$E2629&amp;"|"&amp;TEXT($C2629,"0")&amp;"|"&amp;TEXT($G2629,"0")&amp;"|"&amp;$F2629&amp;"|"&amp;$J2629)</f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customHeight="1" x14ac:dyDescent="0.3">
      <c r="A2630" s="2"/>
      <c r="B2630" s="65" t="str">
        <f t="shared" si="325"/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 t="shared" si="326"/>
        <v/>
      </c>
      <c r="N2630" s="74" t="str">
        <f t="shared" si="327"/>
        <v/>
      </c>
      <c r="O2630" s="73" t="str">
        <f t="shared" si="328"/>
        <v/>
      </c>
      <c r="P2630" s="65" t="str">
        <f t="shared" ca="1" si="329"/>
        <v/>
      </c>
      <c r="Q2630" s="2"/>
      <c r="R2630" s="2"/>
      <c r="S2630" s="1" t="str">
        <f t="shared" si="330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331"/>
        <v>0</v>
      </c>
      <c r="W2630" s="1" t="str">
        <f t="shared" si="332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customHeight="1" x14ac:dyDescent="0.3">
      <c r="A2631" s="2"/>
      <c r="B2631" s="65" t="str">
        <f t="shared" ref="B2631:B2694" si="333"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 t="shared" ref="M2631:M2694" si="334">IF($C2631="","",IF($D2631="Gider",$E2631,IF($L2631&lt;&gt;"",$L2631,$H2631)))</f>
        <v/>
      </c>
      <c r="N2631" s="74" t="str">
        <f t="shared" ref="N2631:N2694" si="335">IF($C2631="","",IF($D2631="Gider",$H2631,$E2631))</f>
        <v/>
      </c>
      <c r="O2631" s="73" t="str">
        <f t="shared" ref="O2631:O2694" si="336">IF($C2631="","",DATE(YEAR($C2631),MONTH($C2631),1))</f>
        <v/>
      </c>
      <c r="P2631" s="65" t="str">
        <f t="shared" ref="P2631:P2694" ca="1" si="337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TARİH",IF(COUNTIF($W$7:$W$3001,$W2631)&gt;1,"MÜKERRER?",IF($AD2631&gt;0,"KAPALI DÖNEM",IF($I2631="Hayır","ÖDENECEK","UYGUN")))),"EKSİK"))))</f>
        <v/>
      </c>
      <c r="Q2631" s="2"/>
      <c r="R2631" s="2"/>
      <c r="S2631" s="1" t="str">
        <f t="shared" si="330"/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si="331"/>
        <v>0</v>
      </c>
      <c r="W2631" s="1" t="str">
        <f t="shared" si="332"/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customHeight="1" x14ac:dyDescent="0.3">
      <c r="A2632" s="2"/>
      <c r="B2632" s="65" t="str">
        <f t="shared" si="333"/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 t="shared" si="334"/>
        <v/>
      </c>
      <c r="N2632" s="74" t="str">
        <f t="shared" si="335"/>
        <v/>
      </c>
      <c r="O2632" s="73" t="str">
        <f t="shared" si="336"/>
        <v/>
      </c>
      <c r="P2632" s="65" t="str">
        <f t="shared" ca="1" si="337"/>
        <v/>
      </c>
      <c r="Q2632" s="2"/>
      <c r="R2632" s="2"/>
      <c r="S2632" s="1" t="str">
        <f t="shared" si="330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331"/>
        <v>0</v>
      </c>
      <c r="W2632" s="1" t="str">
        <f t="shared" si="332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customHeight="1" x14ac:dyDescent="0.3">
      <c r="A2633" s="2"/>
      <c r="B2633" s="65" t="str">
        <f t="shared" si="333"/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 t="shared" si="334"/>
        <v/>
      </c>
      <c r="N2633" s="74" t="str">
        <f t="shared" si="335"/>
        <v/>
      </c>
      <c r="O2633" s="73" t="str">
        <f t="shared" si="336"/>
        <v/>
      </c>
      <c r="P2633" s="65" t="str">
        <f t="shared" ca="1" si="337"/>
        <v/>
      </c>
      <c r="Q2633" s="2"/>
      <c r="R2633" s="2"/>
      <c r="S2633" s="1" t="str">
        <f t="shared" si="330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331"/>
        <v>0</v>
      </c>
      <c r="W2633" s="1" t="str">
        <f t="shared" si="332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customHeight="1" x14ac:dyDescent="0.3">
      <c r="A2634" s="2"/>
      <c r="B2634" s="65" t="str">
        <f t="shared" si="333"/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 t="shared" si="334"/>
        <v/>
      </c>
      <c r="N2634" s="74" t="str">
        <f t="shared" si="335"/>
        <v/>
      </c>
      <c r="O2634" s="73" t="str">
        <f t="shared" si="336"/>
        <v/>
      </c>
      <c r="P2634" s="65" t="str">
        <f t="shared" ca="1" si="337"/>
        <v/>
      </c>
      <c r="Q2634" s="2"/>
      <c r="R2634" s="2"/>
      <c r="S2634" s="1" t="str">
        <f t="shared" si="330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331"/>
        <v>0</v>
      </c>
      <c r="W2634" s="1" t="str">
        <f t="shared" si="332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customHeight="1" x14ac:dyDescent="0.3">
      <c r="A2635" s="2"/>
      <c r="B2635" s="65" t="str">
        <f t="shared" si="333"/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 t="shared" si="334"/>
        <v/>
      </c>
      <c r="N2635" s="74" t="str">
        <f t="shared" si="335"/>
        <v/>
      </c>
      <c r="O2635" s="73" t="str">
        <f t="shared" si="336"/>
        <v/>
      </c>
      <c r="P2635" s="65" t="str">
        <f t="shared" ca="1" si="337"/>
        <v/>
      </c>
      <c r="Q2635" s="2"/>
      <c r="R2635" s="2"/>
      <c r="S2635" s="1" t="str">
        <f t="shared" si="330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331"/>
        <v>0</v>
      </c>
      <c r="W2635" s="1" t="str">
        <f t="shared" si="332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customHeight="1" x14ac:dyDescent="0.3">
      <c r="A2636" s="2"/>
      <c r="B2636" s="65" t="str">
        <f t="shared" si="333"/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 t="shared" si="334"/>
        <v/>
      </c>
      <c r="N2636" s="74" t="str">
        <f t="shared" si="335"/>
        <v/>
      </c>
      <c r="O2636" s="73" t="str">
        <f t="shared" si="336"/>
        <v/>
      </c>
      <c r="P2636" s="65" t="str">
        <f t="shared" ca="1" si="337"/>
        <v/>
      </c>
      <c r="Q2636" s="2"/>
      <c r="R2636" s="2"/>
      <c r="S2636" s="1" t="str">
        <f t="shared" si="330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331"/>
        <v>0</v>
      </c>
      <c r="W2636" s="1" t="str">
        <f t="shared" si="332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customHeight="1" x14ac:dyDescent="0.3">
      <c r="A2637" s="2"/>
      <c r="B2637" s="65" t="str">
        <f t="shared" si="333"/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 t="shared" si="334"/>
        <v/>
      </c>
      <c r="N2637" s="74" t="str">
        <f t="shared" si="335"/>
        <v/>
      </c>
      <c r="O2637" s="73" t="str">
        <f t="shared" si="336"/>
        <v/>
      </c>
      <c r="P2637" s="65" t="str">
        <f t="shared" ca="1" si="337"/>
        <v/>
      </c>
      <c r="Q2637" s="2"/>
      <c r="R2637" s="2"/>
      <c r="S2637" s="1" t="str">
        <f t="shared" si="330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331"/>
        <v>0</v>
      </c>
      <c r="W2637" s="1" t="str">
        <f t="shared" si="332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customHeight="1" x14ac:dyDescent="0.3">
      <c r="A2638" s="2"/>
      <c r="B2638" s="65" t="str">
        <f t="shared" si="333"/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 t="shared" si="334"/>
        <v/>
      </c>
      <c r="N2638" s="74" t="str">
        <f t="shared" si="335"/>
        <v/>
      </c>
      <c r="O2638" s="73" t="str">
        <f t="shared" si="336"/>
        <v/>
      </c>
      <c r="P2638" s="65" t="str">
        <f t="shared" ca="1" si="337"/>
        <v/>
      </c>
      <c r="Q2638" s="2"/>
      <c r="R2638" s="2"/>
      <c r="S2638" s="1" t="str">
        <f t="shared" si="330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331"/>
        <v>0</v>
      </c>
      <c r="W2638" s="1" t="str">
        <f t="shared" si="332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customHeight="1" x14ac:dyDescent="0.3">
      <c r="A2639" s="2"/>
      <c r="B2639" s="65" t="str">
        <f t="shared" si="333"/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 t="shared" si="334"/>
        <v/>
      </c>
      <c r="N2639" s="74" t="str">
        <f t="shared" si="335"/>
        <v/>
      </c>
      <c r="O2639" s="73" t="str">
        <f t="shared" si="336"/>
        <v/>
      </c>
      <c r="P2639" s="65" t="str">
        <f t="shared" ca="1" si="337"/>
        <v/>
      </c>
      <c r="Q2639" s="2"/>
      <c r="R2639" s="2"/>
      <c r="S2639" s="1" t="str">
        <f t="shared" si="330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331"/>
        <v>0</v>
      </c>
      <c r="W2639" s="1" t="str">
        <f t="shared" si="332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customHeight="1" x14ac:dyDescent="0.3">
      <c r="A2640" s="2"/>
      <c r="B2640" s="65" t="str">
        <f t="shared" si="333"/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 t="shared" si="334"/>
        <v/>
      </c>
      <c r="N2640" s="74" t="str">
        <f t="shared" si="335"/>
        <v/>
      </c>
      <c r="O2640" s="73" t="str">
        <f t="shared" si="336"/>
        <v/>
      </c>
      <c r="P2640" s="65" t="str">
        <f t="shared" ca="1" si="337"/>
        <v/>
      </c>
      <c r="Q2640" s="2"/>
      <c r="R2640" s="2"/>
      <c r="S2640" s="1" t="str">
        <f t="shared" si="330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331"/>
        <v>0</v>
      </c>
      <c r="W2640" s="1" t="str">
        <f t="shared" si="332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customHeight="1" x14ac:dyDescent="0.3">
      <c r="A2641" s="2"/>
      <c r="B2641" s="65" t="str">
        <f t="shared" si="333"/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 t="shared" si="334"/>
        <v/>
      </c>
      <c r="N2641" s="74" t="str">
        <f t="shared" si="335"/>
        <v/>
      </c>
      <c r="O2641" s="73" t="str">
        <f t="shared" si="336"/>
        <v/>
      </c>
      <c r="P2641" s="65" t="str">
        <f t="shared" ca="1" si="337"/>
        <v/>
      </c>
      <c r="Q2641" s="2"/>
      <c r="R2641" s="2"/>
      <c r="S2641" s="1" t="str">
        <f t="shared" si="330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331"/>
        <v>0</v>
      </c>
      <c r="W2641" s="1" t="str">
        <f t="shared" si="332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customHeight="1" x14ac:dyDescent="0.3">
      <c r="A2642" s="2"/>
      <c r="B2642" s="65" t="str">
        <f t="shared" si="333"/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 t="shared" si="334"/>
        <v/>
      </c>
      <c r="N2642" s="74" t="str">
        <f t="shared" si="335"/>
        <v/>
      </c>
      <c r="O2642" s="73" t="str">
        <f t="shared" si="336"/>
        <v/>
      </c>
      <c r="P2642" s="65" t="str">
        <f t="shared" ca="1" si="337"/>
        <v/>
      </c>
      <c r="Q2642" s="2"/>
      <c r="R2642" s="2"/>
      <c r="S2642" s="1" t="str">
        <f t="shared" si="330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331"/>
        <v>0</v>
      </c>
      <c r="W2642" s="1" t="str">
        <f t="shared" si="332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customHeight="1" x14ac:dyDescent="0.3">
      <c r="A2643" s="2"/>
      <c r="B2643" s="65" t="str">
        <f t="shared" si="333"/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 t="shared" si="334"/>
        <v/>
      </c>
      <c r="N2643" s="74" t="str">
        <f t="shared" si="335"/>
        <v/>
      </c>
      <c r="O2643" s="73" t="str">
        <f t="shared" si="336"/>
        <v/>
      </c>
      <c r="P2643" s="65" t="str">
        <f t="shared" ca="1" si="337"/>
        <v/>
      </c>
      <c r="Q2643" s="2"/>
      <c r="R2643" s="2"/>
      <c r="S2643" s="1" t="str">
        <f t="shared" si="330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331"/>
        <v>0</v>
      </c>
      <c r="W2643" s="1" t="str">
        <f t="shared" si="332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customHeight="1" x14ac:dyDescent="0.3">
      <c r="A2644" s="2"/>
      <c r="B2644" s="65" t="str">
        <f t="shared" si="333"/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 t="shared" si="334"/>
        <v/>
      </c>
      <c r="N2644" s="74" t="str">
        <f t="shared" si="335"/>
        <v/>
      </c>
      <c r="O2644" s="73" t="str">
        <f t="shared" si="336"/>
        <v/>
      </c>
      <c r="P2644" s="65" t="str">
        <f t="shared" ca="1" si="337"/>
        <v/>
      </c>
      <c r="Q2644" s="2"/>
      <c r="R2644" s="2"/>
      <c r="S2644" s="1" t="str">
        <f t="shared" si="330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331"/>
        <v>0</v>
      </c>
      <c r="W2644" s="1" t="str">
        <f t="shared" si="332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customHeight="1" x14ac:dyDescent="0.3">
      <c r="A2645" s="2"/>
      <c r="B2645" s="65" t="str">
        <f t="shared" si="333"/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 t="shared" si="334"/>
        <v/>
      </c>
      <c r="N2645" s="74" t="str">
        <f t="shared" si="335"/>
        <v/>
      </c>
      <c r="O2645" s="73" t="str">
        <f t="shared" si="336"/>
        <v/>
      </c>
      <c r="P2645" s="65" t="str">
        <f t="shared" ca="1" si="337"/>
        <v/>
      </c>
      <c r="Q2645" s="2"/>
      <c r="R2645" s="2"/>
      <c r="S2645" s="1" t="str">
        <f t="shared" si="330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331"/>
        <v>0</v>
      </c>
      <c r="W2645" s="1" t="str">
        <f t="shared" si="332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customHeight="1" x14ac:dyDescent="0.3">
      <c r="A2646" s="2"/>
      <c r="B2646" s="65" t="str">
        <f t="shared" si="333"/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 t="shared" si="334"/>
        <v/>
      </c>
      <c r="N2646" s="74" t="str">
        <f t="shared" si="335"/>
        <v/>
      </c>
      <c r="O2646" s="73" t="str">
        <f t="shared" si="336"/>
        <v/>
      </c>
      <c r="P2646" s="65" t="str">
        <f t="shared" ca="1" si="337"/>
        <v/>
      </c>
      <c r="Q2646" s="2"/>
      <c r="R2646" s="2"/>
      <c r="S2646" s="1" t="str">
        <f t="shared" si="330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331"/>
        <v>0</v>
      </c>
      <c r="W2646" s="1" t="str">
        <f t="shared" si="332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customHeight="1" x14ac:dyDescent="0.3">
      <c r="A2647" s="2"/>
      <c r="B2647" s="65" t="str">
        <f t="shared" si="333"/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 t="shared" si="334"/>
        <v/>
      </c>
      <c r="N2647" s="74" t="str">
        <f t="shared" si="335"/>
        <v/>
      </c>
      <c r="O2647" s="73" t="str">
        <f t="shared" si="336"/>
        <v/>
      </c>
      <c r="P2647" s="65" t="str">
        <f t="shared" ca="1" si="337"/>
        <v/>
      </c>
      <c r="Q2647" s="2"/>
      <c r="R2647" s="2"/>
      <c r="S2647" s="1" t="str">
        <f t="shared" si="330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331"/>
        <v>0</v>
      </c>
      <c r="W2647" s="1" t="str">
        <f t="shared" si="332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customHeight="1" x14ac:dyDescent="0.3">
      <c r="A2648" s="2"/>
      <c r="B2648" s="65" t="str">
        <f t="shared" si="333"/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 t="shared" si="334"/>
        <v/>
      </c>
      <c r="N2648" s="74" t="str">
        <f t="shared" si="335"/>
        <v/>
      </c>
      <c r="O2648" s="73" t="str">
        <f t="shared" si="336"/>
        <v/>
      </c>
      <c r="P2648" s="65" t="str">
        <f t="shared" ca="1" si="337"/>
        <v/>
      </c>
      <c r="Q2648" s="2"/>
      <c r="R2648" s="2"/>
      <c r="S2648" s="1" t="str">
        <f t="shared" si="330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331"/>
        <v>0</v>
      </c>
      <c r="W2648" s="1" t="str">
        <f t="shared" si="332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customHeight="1" x14ac:dyDescent="0.3">
      <c r="A2649" s="2"/>
      <c r="B2649" s="65" t="str">
        <f t="shared" si="333"/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 t="shared" si="334"/>
        <v/>
      </c>
      <c r="N2649" s="74" t="str">
        <f t="shared" si="335"/>
        <v/>
      </c>
      <c r="O2649" s="73" t="str">
        <f t="shared" si="336"/>
        <v/>
      </c>
      <c r="P2649" s="65" t="str">
        <f t="shared" ca="1" si="337"/>
        <v/>
      </c>
      <c r="Q2649" s="2"/>
      <c r="R2649" s="2"/>
      <c r="S2649" s="1" t="str">
        <f t="shared" si="330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331"/>
        <v>0</v>
      </c>
      <c r="W2649" s="1" t="str">
        <f t="shared" si="332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customHeight="1" x14ac:dyDescent="0.3">
      <c r="A2650" s="2"/>
      <c r="B2650" s="65" t="str">
        <f t="shared" si="333"/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 t="shared" si="334"/>
        <v/>
      </c>
      <c r="N2650" s="74" t="str">
        <f t="shared" si="335"/>
        <v/>
      </c>
      <c r="O2650" s="73" t="str">
        <f t="shared" si="336"/>
        <v/>
      </c>
      <c r="P2650" s="65" t="str">
        <f t="shared" ca="1" si="337"/>
        <v/>
      </c>
      <c r="Q2650" s="2"/>
      <c r="R2650" s="2"/>
      <c r="S2650" s="1" t="str">
        <f t="shared" si="330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331"/>
        <v>0</v>
      </c>
      <c r="W2650" s="1" t="str">
        <f t="shared" si="332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customHeight="1" x14ac:dyDescent="0.3">
      <c r="A2651" s="2"/>
      <c r="B2651" s="65" t="str">
        <f t="shared" si="333"/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 t="shared" si="334"/>
        <v/>
      </c>
      <c r="N2651" s="74" t="str">
        <f t="shared" si="335"/>
        <v/>
      </c>
      <c r="O2651" s="73" t="str">
        <f t="shared" si="336"/>
        <v/>
      </c>
      <c r="P2651" s="65" t="str">
        <f t="shared" ca="1" si="337"/>
        <v/>
      </c>
      <c r="Q2651" s="2"/>
      <c r="R2651" s="2"/>
      <c r="S2651" s="1" t="str">
        <f t="shared" si="330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331"/>
        <v>0</v>
      </c>
      <c r="W2651" s="1" t="str">
        <f t="shared" si="332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customHeight="1" x14ac:dyDescent="0.3">
      <c r="A2652" s="2"/>
      <c r="B2652" s="65" t="str">
        <f t="shared" si="333"/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 t="shared" si="334"/>
        <v/>
      </c>
      <c r="N2652" s="74" t="str">
        <f t="shared" si="335"/>
        <v/>
      </c>
      <c r="O2652" s="73" t="str">
        <f t="shared" si="336"/>
        <v/>
      </c>
      <c r="P2652" s="65" t="str">
        <f t="shared" ca="1" si="337"/>
        <v/>
      </c>
      <c r="Q2652" s="2"/>
      <c r="R2652" s="2"/>
      <c r="S2652" s="1" t="str">
        <f t="shared" si="330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331"/>
        <v>0</v>
      </c>
      <c r="W2652" s="1" t="str">
        <f t="shared" si="332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customHeight="1" x14ac:dyDescent="0.3">
      <c r="A2653" s="2"/>
      <c r="B2653" s="65" t="str">
        <f t="shared" si="333"/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 t="shared" si="334"/>
        <v/>
      </c>
      <c r="N2653" s="74" t="str">
        <f t="shared" si="335"/>
        <v/>
      </c>
      <c r="O2653" s="73" t="str">
        <f t="shared" si="336"/>
        <v/>
      </c>
      <c r="P2653" s="65" t="str">
        <f t="shared" ca="1" si="337"/>
        <v/>
      </c>
      <c r="Q2653" s="2"/>
      <c r="R2653" s="2"/>
      <c r="S2653" s="1" t="str">
        <f t="shared" si="330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331"/>
        <v>0</v>
      </c>
      <c r="W2653" s="1" t="str">
        <f t="shared" si="332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customHeight="1" x14ac:dyDescent="0.3">
      <c r="A2654" s="2"/>
      <c r="B2654" s="65" t="str">
        <f t="shared" si="333"/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 t="shared" si="334"/>
        <v/>
      </c>
      <c r="N2654" s="74" t="str">
        <f t="shared" si="335"/>
        <v/>
      </c>
      <c r="O2654" s="73" t="str">
        <f t="shared" si="336"/>
        <v/>
      </c>
      <c r="P2654" s="65" t="str">
        <f t="shared" ca="1" si="337"/>
        <v/>
      </c>
      <c r="Q2654" s="2"/>
      <c r="R2654" s="2"/>
      <c r="S2654" s="1" t="str">
        <f t="shared" si="330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331"/>
        <v>0</v>
      </c>
      <c r="W2654" s="1" t="str">
        <f t="shared" si="332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customHeight="1" x14ac:dyDescent="0.3">
      <c r="A2655" s="2"/>
      <c r="B2655" s="65" t="str">
        <f t="shared" si="333"/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 t="shared" si="334"/>
        <v/>
      </c>
      <c r="N2655" s="74" t="str">
        <f t="shared" si="335"/>
        <v/>
      </c>
      <c r="O2655" s="73" t="str">
        <f t="shared" si="336"/>
        <v/>
      </c>
      <c r="P2655" s="65" t="str">
        <f t="shared" ca="1" si="337"/>
        <v/>
      </c>
      <c r="Q2655" s="2"/>
      <c r="R2655" s="2"/>
      <c r="S2655" s="1" t="str">
        <f t="shared" si="330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331"/>
        <v>0</v>
      </c>
      <c r="W2655" s="1" t="str">
        <f t="shared" si="332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customHeight="1" x14ac:dyDescent="0.3">
      <c r="A2656" s="2"/>
      <c r="B2656" s="65" t="str">
        <f t="shared" si="333"/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 t="shared" si="334"/>
        <v/>
      </c>
      <c r="N2656" s="74" t="str">
        <f t="shared" si="335"/>
        <v/>
      </c>
      <c r="O2656" s="73" t="str">
        <f t="shared" si="336"/>
        <v/>
      </c>
      <c r="P2656" s="65" t="str">
        <f t="shared" ca="1" si="337"/>
        <v/>
      </c>
      <c r="Q2656" s="2"/>
      <c r="R2656" s="2"/>
      <c r="S2656" s="1" t="str">
        <f t="shared" si="330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331"/>
        <v>0</v>
      </c>
      <c r="W2656" s="1" t="str">
        <f t="shared" si="332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customHeight="1" x14ac:dyDescent="0.3">
      <c r="A2657" s="2"/>
      <c r="B2657" s="65" t="str">
        <f t="shared" si="333"/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 t="shared" si="334"/>
        <v/>
      </c>
      <c r="N2657" s="74" t="str">
        <f t="shared" si="335"/>
        <v/>
      </c>
      <c r="O2657" s="73" t="str">
        <f t="shared" si="336"/>
        <v/>
      </c>
      <c r="P2657" s="65" t="str">
        <f t="shared" ca="1" si="337"/>
        <v/>
      </c>
      <c r="Q2657" s="2"/>
      <c r="R2657" s="2"/>
      <c r="S2657" s="1" t="str">
        <f t="shared" si="330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331"/>
        <v>0</v>
      </c>
      <c r="W2657" s="1" t="str">
        <f t="shared" si="332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customHeight="1" x14ac:dyDescent="0.3">
      <c r="A2658" s="2"/>
      <c r="B2658" s="65" t="str">
        <f t="shared" si="333"/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 t="shared" si="334"/>
        <v/>
      </c>
      <c r="N2658" s="74" t="str">
        <f t="shared" si="335"/>
        <v/>
      </c>
      <c r="O2658" s="73" t="str">
        <f t="shared" si="336"/>
        <v/>
      </c>
      <c r="P2658" s="65" t="str">
        <f t="shared" ca="1" si="337"/>
        <v/>
      </c>
      <c r="Q2658" s="2"/>
      <c r="R2658" s="2"/>
      <c r="S2658" s="1" t="str">
        <f t="shared" si="330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331"/>
        <v>0</v>
      </c>
      <c r="W2658" s="1" t="str">
        <f t="shared" si="332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customHeight="1" x14ac:dyDescent="0.3">
      <c r="A2659" s="2"/>
      <c r="B2659" s="65" t="str">
        <f t="shared" si="333"/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 t="shared" si="334"/>
        <v/>
      </c>
      <c r="N2659" s="74" t="str">
        <f t="shared" si="335"/>
        <v/>
      </c>
      <c r="O2659" s="73" t="str">
        <f t="shared" si="336"/>
        <v/>
      </c>
      <c r="P2659" s="65" t="str">
        <f t="shared" ca="1" si="337"/>
        <v/>
      </c>
      <c r="Q2659" s="2"/>
      <c r="R2659" s="2"/>
      <c r="S2659" s="1" t="str">
        <f t="shared" si="330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331"/>
        <v>0</v>
      </c>
      <c r="W2659" s="1" t="str">
        <f t="shared" si="332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customHeight="1" x14ac:dyDescent="0.3">
      <c r="A2660" s="2"/>
      <c r="B2660" s="65" t="str">
        <f t="shared" si="333"/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 t="shared" si="334"/>
        <v/>
      </c>
      <c r="N2660" s="74" t="str">
        <f t="shared" si="335"/>
        <v/>
      </c>
      <c r="O2660" s="73" t="str">
        <f t="shared" si="336"/>
        <v/>
      </c>
      <c r="P2660" s="65" t="str">
        <f t="shared" ca="1" si="337"/>
        <v/>
      </c>
      <c r="Q2660" s="2"/>
      <c r="R2660" s="2"/>
      <c r="S2660" s="1" t="str">
        <f t="shared" si="330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331"/>
        <v>0</v>
      </c>
      <c r="W2660" s="1" t="str">
        <f t="shared" si="332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customHeight="1" x14ac:dyDescent="0.3">
      <c r="A2661" s="2"/>
      <c r="B2661" s="65" t="str">
        <f t="shared" si="333"/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 t="shared" si="334"/>
        <v/>
      </c>
      <c r="N2661" s="74" t="str">
        <f t="shared" si="335"/>
        <v/>
      </c>
      <c r="O2661" s="73" t="str">
        <f t="shared" si="336"/>
        <v/>
      </c>
      <c r="P2661" s="65" t="str">
        <f t="shared" ca="1" si="337"/>
        <v/>
      </c>
      <c r="Q2661" s="2"/>
      <c r="R2661" s="2"/>
      <c r="S2661" s="1" t="str">
        <f t="shared" si="330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331"/>
        <v>0</v>
      </c>
      <c r="W2661" s="1" t="str">
        <f t="shared" si="332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customHeight="1" x14ac:dyDescent="0.3">
      <c r="A2662" s="2"/>
      <c r="B2662" s="65" t="str">
        <f t="shared" si="333"/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 t="shared" si="334"/>
        <v/>
      </c>
      <c r="N2662" s="74" t="str">
        <f t="shared" si="335"/>
        <v/>
      </c>
      <c r="O2662" s="73" t="str">
        <f t="shared" si="336"/>
        <v/>
      </c>
      <c r="P2662" s="65" t="str">
        <f t="shared" ca="1" si="337"/>
        <v/>
      </c>
      <c r="Q2662" s="2"/>
      <c r="R2662" s="2"/>
      <c r="S2662" s="1" t="str">
        <f t="shared" si="330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331"/>
        <v>0</v>
      </c>
      <c r="W2662" s="1" t="str">
        <f t="shared" si="332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customHeight="1" x14ac:dyDescent="0.3">
      <c r="A2663" s="2"/>
      <c r="B2663" s="65" t="str">
        <f t="shared" si="333"/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 t="shared" si="334"/>
        <v/>
      </c>
      <c r="N2663" s="74" t="str">
        <f t="shared" si="335"/>
        <v/>
      </c>
      <c r="O2663" s="73" t="str">
        <f t="shared" si="336"/>
        <v/>
      </c>
      <c r="P2663" s="65" t="str">
        <f t="shared" ca="1" si="337"/>
        <v/>
      </c>
      <c r="Q2663" s="2"/>
      <c r="R2663" s="2"/>
      <c r="S2663" s="1" t="str">
        <f t="shared" si="330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331"/>
        <v>0</v>
      </c>
      <c r="W2663" s="1" t="str">
        <f t="shared" si="332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customHeight="1" x14ac:dyDescent="0.3">
      <c r="A2664" s="2"/>
      <c r="B2664" s="65" t="str">
        <f t="shared" si="333"/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 t="shared" si="334"/>
        <v/>
      </c>
      <c r="N2664" s="74" t="str">
        <f t="shared" si="335"/>
        <v/>
      </c>
      <c r="O2664" s="73" t="str">
        <f t="shared" si="336"/>
        <v/>
      </c>
      <c r="P2664" s="65" t="str">
        <f t="shared" ca="1" si="337"/>
        <v/>
      </c>
      <c r="Q2664" s="2"/>
      <c r="R2664" s="2"/>
      <c r="S2664" s="1" t="str">
        <f t="shared" si="330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331"/>
        <v>0</v>
      </c>
      <c r="W2664" s="1" t="str">
        <f t="shared" si="332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customHeight="1" x14ac:dyDescent="0.3">
      <c r="A2665" s="2"/>
      <c r="B2665" s="65" t="str">
        <f t="shared" si="333"/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 t="shared" si="334"/>
        <v/>
      </c>
      <c r="N2665" s="74" t="str">
        <f t="shared" si="335"/>
        <v/>
      </c>
      <c r="O2665" s="73" t="str">
        <f t="shared" si="336"/>
        <v/>
      </c>
      <c r="P2665" s="65" t="str">
        <f t="shared" ca="1" si="337"/>
        <v/>
      </c>
      <c r="Q2665" s="2"/>
      <c r="R2665" s="2"/>
      <c r="S2665" s="1" t="str">
        <f t="shared" si="330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331"/>
        <v>0</v>
      </c>
      <c r="W2665" s="1" t="str">
        <f t="shared" si="332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customHeight="1" x14ac:dyDescent="0.3">
      <c r="A2666" s="2"/>
      <c r="B2666" s="65" t="str">
        <f t="shared" si="333"/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 t="shared" si="334"/>
        <v/>
      </c>
      <c r="N2666" s="74" t="str">
        <f t="shared" si="335"/>
        <v/>
      </c>
      <c r="O2666" s="73" t="str">
        <f t="shared" si="336"/>
        <v/>
      </c>
      <c r="P2666" s="65" t="str">
        <f t="shared" ca="1" si="337"/>
        <v/>
      </c>
      <c r="Q2666" s="2"/>
      <c r="R2666" s="2"/>
      <c r="S2666" s="1" t="str">
        <f t="shared" si="330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331"/>
        <v>0</v>
      </c>
      <c r="W2666" s="1" t="str">
        <f t="shared" si="332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customHeight="1" x14ac:dyDescent="0.3">
      <c r="A2667" s="2"/>
      <c r="B2667" s="65" t="str">
        <f t="shared" si="333"/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 t="shared" si="334"/>
        <v/>
      </c>
      <c r="N2667" s="74" t="str">
        <f t="shared" si="335"/>
        <v/>
      </c>
      <c r="O2667" s="73" t="str">
        <f t="shared" si="336"/>
        <v/>
      </c>
      <c r="P2667" s="65" t="str">
        <f t="shared" ca="1" si="337"/>
        <v/>
      </c>
      <c r="Q2667" s="2"/>
      <c r="R2667" s="2"/>
      <c r="S2667" s="1" t="str">
        <f t="shared" si="330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331"/>
        <v>0</v>
      </c>
      <c r="W2667" s="1" t="str">
        <f t="shared" si="332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customHeight="1" x14ac:dyDescent="0.3">
      <c r="A2668" s="2"/>
      <c r="B2668" s="65" t="str">
        <f t="shared" si="333"/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 t="shared" si="334"/>
        <v/>
      </c>
      <c r="N2668" s="74" t="str">
        <f t="shared" si="335"/>
        <v/>
      </c>
      <c r="O2668" s="73" t="str">
        <f t="shared" si="336"/>
        <v/>
      </c>
      <c r="P2668" s="65" t="str">
        <f t="shared" ca="1" si="337"/>
        <v/>
      </c>
      <c r="Q2668" s="2"/>
      <c r="R2668" s="2"/>
      <c r="S2668" s="1" t="str">
        <f t="shared" si="330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331"/>
        <v>0</v>
      </c>
      <c r="W2668" s="1" t="str">
        <f t="shared" si="332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customHeight="1" x14ac:dyDescent="0.3">
      <c r="A2669" s="2"/>
      <c r="B2669" s="65" t="str">
        <f t="shared" si="333"/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 t="shared" si="334"/>
        <v/>
      </c>
      <c r="N2669" s="74" t="str">
        <f t="shared" si="335"/>
        <v/>
      </c>
      <c r="O2669" s="73" t="str">
        <f t="shared" si="336"/>
        <v/>
      </c>
      <c r="P2669" s="65" t="str">
        <f t="shared" ca="1" si="337"/>
        <v/>
      </c>
      <c r="Q2669" s="2"/>
      <c r="R2669" s="2"/>
      <c r="S2669" s="1" t="str">
        <f t="shared" si="330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331"/>
        <v>0</v>
      </c>
      <c r="W2669" s="1" t="str">
        <f t="shared" si="332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customHeight="1" x14ac:dyDescent="0.3">
      <c r="A2670" s="2"/>
      <c r="B2670" s="65" t="str">
        <f t="shared" si="333"/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 t="shared" si="334"/>
        <v/>
      </c>
      <c r="N2670" s="74" t="str">
        <f t="shared" si="335"/>
        <v/>
      </c>
      <c r="O2670" s="73" t="str">
        <f t="shared" si="336"/>
        <v/>
      </c>
      <c r="P2670" s="65" t="str">
        <f t="shared" ca="1" si="337"/>
        <v/>
      </c>
      <c r="Q2670" s="2"/>
      <c r="R2670" s="2"/>
      <c r="S2670" s="1" t="str">
        <f t="shared" si="330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331"/>
        <v>0</v>
      </c>
      <c r="W2670" s="1" t="str">
        <f t="shared" si="332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customHeight="1" x14ac:dyDescent="0.3">
      <c r="A2671" s="2"/>
      <c r="B2671" s="65" t="str">
        <f t="shared" si="333"/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 t="shared" si="334"/>
        <v/>
      </c>
      <c r="N2671" s="74" t="str">
        <f t="shared" si="335"/>
        <v/>
      </c>
      <c r="O2671" s="73" t="str">
        <f t="shared" si="336"/>
        <v/>
      </c>
      <c r="P2671" s="65" t="str">
        <f t="shared" ca="1" si="337"/>
        <v/>
      </c>
      <c r="Q2671" s="2"/>
      <c r="R2671" s="2"/>
      <c r="S2671" s="1" t="str">
        <f t="shared" si="330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331"/>
        <v>0</v>
      </c>
      <c r="W2671" s="1" t="str">
        <f t="shared" si="332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customHeight="1" x14ac:dyDescent="0.3">
      <c r="A2672" s="2"/>
      <c r="B2672" s="65" t="str">
        <f t="shared" si="333"/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 t="shared" si="334"/>
        <v/>
      </c>
      <c r="N2672" s="74" t="str">
        <f t="shared" si="335"/>
        <v/>
      </c>
      <c r="O2672" s="73" t="str">
        <f t="shared" si="336"/>
        <v/>
      </c>
      <c r="P2672" s="65" t="str">
        <f t="shared" ca="1" si="337"/>
        <v/>
      </c>
      <c r="Q2672" s="2"/>
      <c r="R2672" s="2"/>
      <c r="S2672" s="1" t="str">
        <f t="shared" si="330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331"/>
        <v>0</v>
      </c>
      <c r="W2672" s="1" t="str">
        <f t="shared" si="332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customHeight="1" x14ac:dyDescent="0.3">
      <c r="A2673" s="2"/>
      <c r="B2673" s="65" t="str">
        <f t="shared" si="333"/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 t="shared" si="334"/>
        <v/>
      </c>
      <c r="N2673" s="74" t="str">
        <f t="shared" si="335"/>
        <v/>
      </c>
      <c r="O2673" s="73" t="str">
        <f t="shared" si="336"/>
        <v/>
      </c>
      <c r="P2673" s="65" t="str">
        <f t="shared" ca="1" si="337"/>
        <v/>
      </c>
      <c r="Q2673" s="2"/>
      <c r="R2673" s="2"/>
      <c r="S2673" s="1" t="str">
        <f t="shared" si="330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331"/>
        <v>0</v>
      </c>
      <c r="W2673" s="1" t="str">
        <f t="shared" si="332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customHeight="1" x14ac:dyDescent="0.3">
      <c r="A2674" s="2"/>
      <c r="B2674" s="65" t="str">
        <f t="shared" si="333"/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 t="shared" si="334"/>
        <v/>
      </c>
      <c r="N2674" s="74" t="str">
        <f t="shared" si="335"/>
        <v/>
      </c>
      <c r="O2674" s="73" t="str">
        <f t="shared" si="336"/>
        <v/>
      </c>
      <c r="P2674" s="65" t="str">
        <f t="shared" ca="1" si="337"/>
        <v/>
      </c>
      <c r="Q2674" s="2"/>
      <c r="R2674" s="2"/>
      <c r="S2674" s="1" t="str">
        <f t="shared" si="330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331"/>
        <v>0</v>
      </c>
      <c r="W2674" s="1" t="str">
        <f t="shared" si="332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customHeight="1" x14ac:dyDescent="0.3">
      <c r="A2675" s="2"/>
      <c r="B2675" s="65" t="str">
        <f t="shared" si="333"/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 t="shared" si="334"/>
        <v/>
      </c>
      <c r="N2675" s="74" t="str">
        <f t="shared" si="335"/>
        <v/>
      </c>
      <c r="O2675" s="73" t="str">
        <f t="shared" si="336"/>
        <v/>
      </c>
      <c r="P2675" s="65" t="str">
        <f t="shared" ca="1" si="337"/>
        <v/>
      </c>
      <c r="Q2675" s="2"/>
      <c r="R2675" s="2"/>
      <c r="S2675" s="1" t="str">
        <f t="shared" si="330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331"/>
        <v>0</v>
      </c>
      <c r="W2675" s="1" t="str">
        <f t="shared" si="332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customHeight="1" x14ac:dyDescent="0.3">
      <c r="A2676" s="2"/>
      <c r="B2676" s="65" t="str">
        <f t="shared" si="333"/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 t="shared" si="334"/>
        <v/>
      </c>
      <c r="N2676" s="74" t="str">
        <f t="shared" si="335"/>
        <v/>
      </c>
      <c r="O2676" s="73" t="str">
        <f t="shared" si="336"/>
        <v/>
      </c>
      <c r="P2676" s="65" t="str">
        <f t="shared" ca="1" si="337"/>
        <v/>
      </c>
      <c r="Q2676" s="2"/>
      <c r="R2676" s="2"/>
      <c r="S2676" s="1" t="str">
        <f t="shared" si="330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331"/>
        <v>0</v>
      </c>
      <c r="W2676" s="1" t="str">
        <f t="shared" si="332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customHeight="1" x14ac:dyDescent="0.3">
      <c r="A2677" s="2"/>
      <c r="B2677" s="65" t="str">
        <f t="shared" si="333"/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 t="shared" si="334"/>
        <v/>
      </c>
      <c r="N2677" s="74" t="str">
        <f t="shared" si="335"/>
        <v/>
      </c>
      <c r="O2677" s="73" t="str">
        <f t="shared" si="336"/>
        <v/>
      </c>
      <c r="P2677" s="65" t="str">
        <f t="shared" ca="1" si="337"/>
        <v/>
      </c>
      <c r="Q2677" s="2"/>
      <c r="R2677" s="2"/>
      <c r="S2677" s="1" t="str">
        <f t="shared" si="330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331"/>
        <v>0</v>
      </c>
      <c r="W2677" s="1" t="str">
        <f t="shared" si="332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customHeight="1" x14ac:dyDescent="0.3">
      <c r="A2678" s="2"/>
      <c r="B2678" s="65" t="str">
        <f t="shared" si="333"/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 t="shared" si="334"/>
        <v/>
      </c>
      <c r="N2678" s="74" t="str">
        <f t="shared" si="335"/>
        <v/>
      </c>
      <c r="O2678" s="73" t="str">
        <f t="shared" si="336"/>
        <v/>
      </c>
      <c r="P2678" s="65" t="str">
        <f t="shared" ca="1" si="337"/>
        <v/>
      </c>
      <c r="Q2678" s="2"/>
      <c r="R2678" s="2"/>
      <c r="S2678" s="1" t="str">
        <f t="shared" si="330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331"/>
        <v>0</v>
      </c>
      <c r="W2678" s="1" t="str">
        <f t="shared" si="332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customHeight="1" x14ac:dyDescent="0.3">
      <c r="A2679" s="2"/>
      <c r="B2679" s="65" t="str">
        <f t="shared" si="333"/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 t="shared" si="334"/>
        <v/>
      </c>
      <c r="N2679" s="74" t="str">
        <f t="shared" si="335"/>
        <v/>
      </c>
      <c r="O2679" s="73" t="str">
        <f t="shared" si="336"/>
        <v/>
      </c>
      <c r="P2679" s="65" t="str">
        <f t="shared" ca="1" si="337"/>
        <v/>
      </c>
      <c r="Q2679" s="2"/>
      <c r="R2679" s="2"/>
      <c r="S2679" s="1" t="str">
        <f t="shared" si="330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331"/>
        <v>0</v>
      </c>
      <c r="W2679" s="1" t="str">
        <f t="shared" si="332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customHeight="1" x14ac:dyDescent="0.3">
      <c r="A2680" s="2"/>
      <c r="B2680" s="65" t="str">
        <f t="shared" si="333"/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 t="shared" si="334"/>
        <v/>
      </c>
      <c r="N2680" s="74" t="str">
        <f t="shared" si="335"/>
        <v/>
      </c>
      <c r="O2680" s="73" t="str">
        <f t="shared" si="336"/>
        <v/>
      </c>
      <c r="P2680" s="65" t="str">
        <f t="shared" ca="1" si="337"/>
        <v/>
      </c>
      <c r="Q2680" s="2"/>
      <c r="R2680" s="2"/>
      <c r="S2680" s="1" t="str">
        <f t="shared" si="330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331"/>
        <v>0</v>
      </c>
      <c r="W2680" s="1" t="str">
        <f t="shared" si="332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customHeight="1" x14ac:dyDescent="0.3">
      <c r="A2681" s="2"/>
      <c r="B2681" s="65" t="str">
        <f t="shared" si="333"/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 t="shared" si="334"/>
        <v/>
      </c>
      <c r="N2681" s="74" t="str">
        <f t="shared" si="335"/>
        <v/>
      </c>
      <c r="O2681" s="73" t="str">
        <f t="shared" si="336"/>
        <v/>
      </c>
      <c r="P2681" s="65" t="str">
        <f t="shared" ca="1" si="337"/>
        <v/>
      </c>
      <c r="Q2681" s="2"/>
      <c r="R2681" s="2"/>
      <c r="S2681" s="1" t="str">
        <f t="shared" si="330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331"/>
        <v>0</v>
      </c>
      <c r="W2681" s="1" t="str">
        <f t="shared" si="332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customHeight="1" x14ac:dyDescent="0.3">
      <c r="A2682" s="2"/>
      <c r="B2682" s="65" t="str">
        <f t="shared" si="333"/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 t="shared" si="334"/>
        <v/>
      </c>
      <c r="N2682" s="74" t="str">
        <f t="shared" si="335"/>
        <v/>
      </c>
      <c r="O2682" s="73" t="str">
        <f t="shared" si="336"/>
        <v/>
      </c>
      <c r="P2682" s="65" t="str">
        <f t="shared" ca="1" si="337"/>
        <v/>
      </c>
      <c r="Q2682" s="2"/>
      <c r="R2682" s="2"/>
      <c r="S2682" s="1" t="str">
        <f t="shared" si="330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331"/>
        <v>0</v>
      </c>
      <c r="W2682" s="1" t="str">
        <f t="shared" si="332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customHeight="1" x14ac:dyDescent="0.3">
      <c r="A2683" s="2"/>
      <c r="B2683" s="65" t="str">
        <f t="shared" si="333"/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 t="shared" si="334"/>
        <v/>
      </c>
      <c r="N2683" s="74" t="str">
        <f t="shared" si="335"/>
        <v/>
      </c>
      <c r="O2683" s="73" t="str">
        <f t="shared" si="336"/>
        <v/>
      </c>
      <c r="P2683" s="65" t="str">
        <f t="shared" ca="1" si="337"/>
        <v/>
      </c>
      <c r="Q2683" s="2"/>
      <c r="R2683" s="2"/>
      <c r="S2683" s="1" t="str">
        <f t="shared" si="330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331"/>
        <v>0</v>
      </c>
      <c r="W2683" s="1" t="str">
        <f t="shared" si="332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customHeight="1" x14ac:dyDescent="0.3">
      <c r="A2684" s="2"/>
      <c r="B2684" s="65" t="str">
        <f t="shared" si="333"/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 t="shared" si="334"/>
        <v/>
      </c>
      <c r="N2684" s="74" t="str">
        <f t="shared" si="335"/>
        <v/>
      </c>
      <c r="O2684" s="73" t="str">
        <f t="shared" si="336"/>
        <v/>
      </c>
      <c r="P2684" s="65" t="str">
        <f t="shared" ca="1" si="337"/>
        <v/>
      </c>
      <c r="Q2684" s="2"/>
      <c r="R2684" s="2"/>
      <c r="S2684" s="1" t="str">
        <f t="shared" si="330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331"/>
        <v>0</v>
      </c>
      <c r="W2684" s="1" t="str">
        <f t="shared" si="332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customHeight="1" x14ac:dyDescent="0.3">
      <c r="A2685" s="2"/>
      <c r="B2685" s="65" t="str">
        <f t="shared" si="333"/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 t="shared" si="334"/>
        <v/>
      </c>
      <c r="N2685" s="74" t="str">
        <f t="shared" si="335"/>
        <v/>
      </c>
      <c r="O2685" s="73" t="str">
        <f t="shared" si="336"/>
        <v/>
      </c>
      <c r="P2685" s="65" t="str">
        <f t="shared" ca="1" si="337"/>
        <v/>
      </c>
      <c r="Q2685" s="2"/>
      <c r="R2685" s="2"/>
      <c r="S2685" s="1" t="str">
        <f t="shared" si="330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331"/>
        <v>0</v>
      </c>
      <c r="W2685" s="1" t="str">
        <f t="shared" si="332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customHeight="1" x14ac:dyDescent="0.3">
      <c r="A2686" s="2"/>
      <c r="B2686" s="65" t="str">
        <f t="shared" si="333"/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 t="shared" si="334"/>
        <v/>
      </c>
      <c r="N2686" s="74" t="str">
        <f t="shared" si="335"/>
        <v/>
      </c>
      <c r="O2686" s="73" t="str">
        <f t="shared" si="336"/>
        <v/>
      </c>
      <c r="P2686" s="65" t="str">
        <f t="shared" ca="1" si="337"/>
        <v/>
      </c>
      <c r="Q2686" s="2"/>
      <c r="R2686" s="2"/>
      <c r="S2686" s="1" t="str">
        <f t="shared" si="330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331"/>
        <v>0</v>
      </c>
      <c r="W2686" s="1" t="str">
        <f t="shared" si="332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customHeight="1" x14ac:dyDescent="0.3">
      <c r="A2687" s="2"/>
      <c r="B2687" s="65" t="str">
        <f t="shared" si="333"/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 t="shared" si="334"/>
        <v/>
      </c>
      <c r="N2687" s="74" t="str">
        <f t="shared" si="335"/>
        <v/>
      </c>
      <c r="O2687" s="73" t="str">
        <f t="shared" si="336"/>
        <v/>
      </c>
      <c r="P2687" s="65" t="str">
        <f t="shared" ca="1" si="337"/>
        <v/>
      </c>
      <c r="Q2687" s="2"/>
      <c r="R2687" s="2"/>
      <c r="S2687" s="1" t="str">
        <f t="shared" si="330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331"/>
        <v>0</v>
      </c>
      <c r="W2687" s="1" t="str">
        <f t="shared" si="332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customHeight="1" x14ac:dyDescent="0.3">
      <c r="A2688" s="2"/>
      <c r="B2688" s="65" t="str">
        <f t="shared" si="333"/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 t="shared" si="334"/>
        <v/>
      </c>
      <c r="N2688" s="74" t="str">
        <f t="shared" si="335"/>
        <v/>
      </c>
      <c r="O2688" s="73" t="str">
        <f t="shared" si="336"/>
        <v/>
      </c>
      <c r="P2688" s="65" t="str">
        <f t="shared" ca="1" si="337"/>
        <v/>
      </c>
      <c r="Q2688" s="2"/>
      <c r="R2688" s="2"/>
      <c r="S2688" s="1" t="str">
        <f t="shared" si="330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331"/>
        <v>0</v>
      </c>
      <c r="W2688" s="1" t="str">
        <f t="shared" si="332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customHeight="1" x14ac:dyDescent="0.3">
      <c r="A2689" s="2"/>
      <c r="B2689" s="65" t="str">
        <f t="shared" si="333"/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 t="shared" si="334"/>
        <v/>
      </c>
      <c r="N2689" s="74" t="str">
        <f t="shared" si="335"/>
        <v/>
      </c>
      <c r="O2689" s="73" t="str">
        <f t="shared" si="336"/>
        <v/>
      </c>
      <c r="P2689" s="65" t="str">
        <f t="shared" ca="1" si="337"/>
        <v/>
      </c>
      <c r="Q2689" s="2"/>
      <c r="R2689" s="2"/>
      <c r="S2689" s="1" t="str">
        <f t="shared" si="330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331"/>
        <v>0</v>
      </c>
      <c r="W2689" s="1" t="str">
        <f t="shared" si="332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customHeight="1" x14ac:dyDescent="0.3">
      <c r="A2690" s="2"/>
      <c r="B2690" s="65" t="str">
        <f t="shared" si="333"/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 t="shared" si="334"/>
        <v/>
      </c>
      <c r="N2690" s="74" t="str">
        <f t="shared" si="335"/>
        <v/>
      </c>
      <c r="O2690" s="73" t="str">
        <f t="shared" si="336"/>
        <v/>
      </c>
      <c r="P2690" s="65" t="str">
        <f t="shared" ca="1" si="337"/>
        <v/>
      </c>
      <c r="Q2690" s="2"/>
      <c r="R2690" s="2"/>
      <c r="S2690" s="1" t="str">
        <f t="shared" si="330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331"/>
        <v>0</v>
      </c>
      <c r="W2690" s="1" t="str">
        <f t="shared" si="332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customHeight="1" x14ac:dyDescent="0.3">
      <c r="A2691" s="2"/>
      <c r="B2691" s="65" t="str">
        <f t="shared" si="333"/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 t="shared" si="334"/>
        <v/>
      </c>
      <c r="N2691" s="74" t="str">
        <f t="shared" si="335"/>
        <v/>
      </c>
      <c r="O2691" s="73" t="str">
        <f t="shared" si="336"/>
        <v/>
      </c>
      <c r="P2691" s="65" t="str">
        <f t="shared" ca="1" si="337"/>
        <v/>
      </c>
      <c r="Q2691" s="2"/>
      <c r="R2691" s="2"/>
      <c r="S2691" s="1" t="str">
        <f t="shared" si="330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331"/>
        <v>0</v>
      </c>
      <c r="W2691" s="1" t="str">
        <f t="shared" si="332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customHeight="1" x14ac:dyDescent="0.3">
      <c r="A2692" s="2"/>
      <c r="B2692" s="65" t="str">
        <f t="shared" si="333"/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 t="shared" si="334"/>
        <v/>
      </c>
      <c r="N2692" s="74" t="str">
        <f t="shared" si="335"/>
        <v/>
      </c>
      <c r="O2692" s="73" t="str">
        <f t="shared" si="336"/>
        <v/>
      </c>
      <c r="P2692" s="65" t="str">
        <f t="shared" ca="1" si="337"/>
        <v/>
      </c>
      <c r="Q2692" s="2"/>
      <c r="R2692" s="2"/>
      <c r="S2692" s="1" t="str">
        <f t="shared" si="330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331"/>
        <v>0</v>
      </c>
      <c r="W2692" s="1" t="str">
        <f t="shared" si="332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customHeight="1" x14ac:dyDescent="0.3">
      <c r="A2693" s="2"/>
      <c r="B2693" s="65" t="str">
        <f t="shared" si="333"/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 t="shared" si="334"/>
        <v/>
      </c>
      <c r="N2693" s="74" t="str">
        <f t="shared" si="335"/>
        <v/>
      </c>
      <c r="O2693" s="73" t="str">
        <f t="shared" si="336"/>
        <v/>
      </c>
      <c r="P2693" s="65" t="str">
        <f t="shared" ca="1" si="337"/>
        <v/>
      </c>
      <c r="Q2693" s="2"/>
      <c r="R2693" s="2"/>
      <c r="S2693" s="1" t="str">
        <f t="shared" ref="S2693:S2756" si="338"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ref="V2693:V2756" si="339">IF($T2693="",0,1)</f>
        <v>0</v>
      </c>
      <c r="W2693" s="1" t="str">
        <f t="shared" ref="W2693:W2756" si="340">IF($C2693="","",$D2693&amp;"|"&amp;$E2693&amp;"|"&amp;TEXT($C2693,"0")&amp;"|"&amp;TEXT($G2693,"0")&amp;"|"&amp;$F2693&amp;"|"&amp;$J2693)</f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customHeight="1" x14ac:dyDescent="0.3">
      <c r="A2694" s="2"/>
      <c r="B2694" s="65" t="str">
        <f t="shared" si="333"/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 t="shared" si="334"/>
        <v/>
      </c>
      <c r="N2694" s="74" t="str">
        <f t="shared" si="335"/>
        <v/>
      </c>
      <c r="O2694" s="73" t="str">
        <f t="shared" si="336"/>
        <v/>
      </c>
      <c r="P2694" s="65" t="str">
        <f t="shared" ca="1" si="337"/>
        <v/>
      </c>
      <c r="Q2694" s="2"/>
      <c r="R2694" s="2"/>
      <c r="S2694" s="1" t="str">
        <f t="shared" si="338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339"/>
        <v>0</v>
      </c>
      <c r="W2694" s="1" t="str">
        <f t="shared" si="340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customHeight="1" x14ac:dyDescent="0.3">
      <c r="A2695" s="2"/>
      <c r="B2695" s="65" t="str">
        <f t="shared" ref="B2695:B2758" si="341"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 t="shared" ref="M2695:M2758" si="342">IF($C2695="","",IF($D2695="Gider",$E2695,IF($L2695&lt;&gt;"",$L2695,$H2695)))</f>
        <v/>
      </c>
      <c r="N2695" s="74" t="str">
        <f t="shared" ref="N2695:N2758" si="343">IF($C2695="","",IF($D2695="Gider",$H2695,$E2695))</f>
        <v/>
      </c>
      <c r="O2695" s="73" t="str">
        <f t="shared" ref="O2695:O2758" si="344">IF($C2695="","",DATE(YEAR($C2695),MONTH($C2695),1))</f>
        <v/>
      </c>
      <c r="P2695" s="65" t="str">
        <f t="shared" ref="P2695:P2758" ca="1" si="345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TARİH",IF(COUNTIF($W$7:$W$3001,$W2695)&gt;1,"MÜKERRER?",IF($AD2695&gt;0,"KAPALI DÖNEM",IF($I2695="Hayır","ÖDENECEK","UYGUN")))),"EKSİK"))))</f>
        <v/>
      </c>
      <c r="Q2695" s="2"/>
      <c r="R2695" s="2"/>
      <c r="S2695" s="1" t="str">
        <f t="shared" si="338"/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si="339"/>
        <v>0</v>
      </c>
      <c r="W2695" s="1" t="str">
        <f t="shared" si="340"/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customHeight="1" x14ac:dyDescent="0.3">
      <c r="A2696" s="2"/>
      <c r="B2696" s="65" t="str">
        <f t="shared" si="341"/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 t="shared" si="342"/>
        <v/>
      </c>
      <c r="N2696" s="74" t="str">
        <f t="shared" si="343"/>
        <v/>
      </c>
      <c r="O2696" s="73" t="str">
        <f t="shared" si="344"/>
        <v/>
      </c>
      <c r="P2696" s="65" t="str">
        <f t="shared" ca="1" si="345"/>
        <v/>
      </c>
      <c r="Q2696" s="2"/>
      <c r="R2696" s="2"/>
      <c r="S2696" s="1" t="str">
        <f t="shared" si="338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339"/>
        <v>0</v>
      </c>
      <c r="W2696" s="1" t="str">
        <f t="shared" si="340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customHeight="1" x14ac:dyDescent="0.3">
      <c r="A2697" s="2"/>
      <c r="B2697" s="65" t="str">
        <f t="shared" si="341"/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 t="shared" si="342"/>
        <v/>
      </c>
      <c r="N2697" s="74" t="str">
        <f t="shared" si="343"/>
        <v/>
      </c>
      <c r="O2697" s="73" t="str">
        <f t="shared" si="344"/>
        <v/>
      </c>
      <c r="P2697" s="65" t="str">
        <f t="shared" ca="1" si="345"/>
        <v/>
      </c>
      <c r="Q2697" s="2"/>
      <c r="R2697" s="2"/>
      <c r="S2697" s="1" t="str">
        <f t="shared" si="338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339"/>
        <v>0</v>
      </c>
      <c r="W2697" s="1" t="str">
        <f t="shared" si="340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customHeight="1" x14ac:dyDescent="0.3">
      <c r="A2698" s="2"/>
      <c r="B2698" s="65" t="str">
        <f t="shared" si="341"/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 t="shared" si="342"/>
        <v/>
      </c>
      <c r="N2698" s="74" t="str">
        <f t="shared" si="343"/>
        <v/>
      </c>
      <c r="O2698" s="73" t="str">
        <f t="shared" si="344"/>
        <v/>
      </c>
      <c r="P2698" s="65" t="str">
        <f t="shared" ca="1" si="345"/>
        <v/>
      </c>
      <c r="Q2698" s="2"/>
      <c r="R2698" s="2"/>
      <c r="S2698" s="1" t="str">
        <f t="shared" si="338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339"/>
        <v>0</v>
      </c>
      <c r="W2698" s="1" t="str">
        <f t="shared" si="340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customHeight="1" x14ac:dyDescent="0.3">
      <c r="A2699" s="2"/>
      <c r="B2699" s="65" t="str">
        <f t="shared" si="341"/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 t="shared" si="342"/>
        <v/>
      </c>
      <c r="N2699" s="74" t="str">
        <f t="shared" si="343"/>
        <v/>
      </c>
      <c r="O2699" s="73" t="str">
        <f t="shared" si="344"/>
        <v/>
      </c>
      <c r="P2699" s="65" t="str">
        <f t="shared" ca="1" si="345"/>
        <v/>
      </c>
      <c r="Q2699" s="2"/>
      <c r="R2699" s="2"/>
      <c r="S2699" s="1" t="str">
        <f t="shared" si="338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339"/>
        <v>0</v>
      </c>
      <c r="W2699" s="1" t="str">
        <f t="shared" si="340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customHeight="1" x14ac:dyDescent="0.3">
      <c r="A2700" s="2"/>
      <c r="B2700" s="65" t="str">
        <f t="shared" si="341"/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 t="shared" si="342"/>
        <v/>
      </c>
      <c r="N2700" s="74" t="str">
        <f t="shared" si="343"/>
        <v/>
      </c>
      <c r="O2700" s="73" t="str">
        <f t="shared" si="344"/>
        <v/>
      </c>
      <c r="P2700" s="65" t="str">
        <f t="shared" ca="1" si="345"/>
        <v/>
      </c>
      <c r="Q2700" s="2"/>
      <c r="R2700" s="2"/>
      <c r="S2700" s="1" t="str">
        <f t="shared" si="338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339"/>
        <v>0</v>
      </c>
      <c r="W2700" s="1" t="str">
        <f t="shared" si="340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customHeight="1" x14ac:dyDescent="0.3">
      <c r="A2701" s="2"/>
      <c r="B2701" s="65" t="str">
        <f t="shared" si="341"/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 t="shared" si="342"/>
        <v/>
      </c>
      <c r="N2701" s="74" t="str">
        <f t="shared" si="343"/>
        <v/>
      </c>
      <c r="O2701" s="73" t="str">
        <f t="shared" si="344"/>
        <v/>
      </c>
      <c r="P2701" s="65" t="str">
        <f t="shared" ca="1" si="345"/>
        <v/>
      </c>
      <c r="Q2701" s="2"/>
      <c r="R2701" s="2"/>
      <c r="S2701" s="1" t="str">
        <f t="shared" si="338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339"/>
        <v>0</v>
      </c>
      <c r="W2701" s="1" t="str">
        <f t="shared" si="340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customHeight="1" x14ac:dyDescent="0.3">
      <c r="A2702" s="2"/>
      <c r="B2702" s="65" t="str">
        <f t="shared" si="341"/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 t="shared" si="342"/>
        <v/>
      </c>
      <c r="N2702" s="74" t="str">
        <f t="shared" si="343"/>
        <v/>
      </c>
      <c r="O2702" s="73" t="str">
        <f t="shared" si="344"/>
        <v/>
      </c>
      <c r="P2702" s="65" t="str">
        <f t="shared" ca="1" si="345"/>
        <v/>
      </c>
      <c r="Q2702" s="2"/>
      <c r="R2702" s="2"/>
      <c r="S2702" s="1" t="str">
        <f t="shared" si="338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339"/>
        <v>0</v>
      </c>
      <c r="W2702" s="1" t="str">
        <f t="shared" si="340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customHeight="1" x14ac:dyDescent="0.3">
      <c r="A2703" s="2"/>
      <c r="B2703" s="65" t="str">
        <f t="shared" si="341"/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 t="shared" si="342"/>
        <v/>
      </c>
      <c r="N2703" s="74" t="str">
        <f t="shared" si="343"/>
        <v/>
      </c>
      <c r="O2703" s="73" t="str">
        <f t="shared" si="344"/>
        <v/>
      </c>
      <c r="P2703" s="65" t="str">
        <f t="shared" ca="1" si="345"/>
        <v/>
      </c>
      <c r="Q2703" s="2"/>
      <c r="R2703" s="2"/>
      <c r="S2703" s="1" t="str">
        <f t="shared" si="338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339"/>
        <v>0</v>
      </c>
      <c r="W2703" s="1" t="str">
        <f t="shared" si="340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customHeight="1" x14ac:dyDescent="0.3">
      <c r="A2704" s="2"/>
      <c r="B2704" s="65" t="str">
        <f t="shared" si="341"/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 t="shared" si="342"/>
        <v/>
      </c>
      <c r="N2704" s="74" t="str">
        <f t="shared" si="343"/>
        <v/>
      </c>
      <c r="O2704" s="73" t="str">
        <f t="shared" si="344"/>
        <v/>
      </c>
      <c r="P2704" s="65" t="str">
        <f t="shared" ca="1" si="345"/>
        <v/>
      </c>
      <c r="Q2704" s="2"/>
      <c r="R2704" s="2"/>
      <c r="S2704" s="1" t="str">
        <f t="shared" si="338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339"/>
        <v>0</v>
      </c>
      <c r="W2704" s="1" t="str">
        <f t="shared" si="340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customHeight="1" x14ac:dyDescent="0.3">
      <c r="A2705" s="2"/>
      <c r="B2705" s="65" t="str">
        <f t="shared" si="341"/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 t="shared" si="342"/>
        <v/>
      </c>
      <c r="N2705" s="74" t="str">
        <f t="shared" si="343"/>
        <v/>
      </c>
      <c r="O2705" s="73" t="str">
        <f t="shared" si="344"/>
        <v/>
      </c>
      <c r="P2705" s="65" t="str">
        <f t="shared" ca="1" si="345"/>
        <v/>
      </c>
      <c r="Q2705" s="2"/>
      <c r="R2705" s="2"/>
      <c r="S2705" s="1" t="str">
        <f t="shared" si="338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339"/>
        <v>0</v>
      </c>
      <c r="W2705" s="1" t="str">
        <f t="shared" si="340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customHeight="1" x14ac:dyDescent="0.3">
      <c r="A2706" s="2"/>
      <c r="B2706" s="65" t="str">
        <f t="shared" si="341"/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 t="shared" si="342"/>
        <v/>
      </c>
      <c r="N2706" s="74" t="str">
        <f t="shared" si="343"/>
        <v/>
      </c>
      <c r="O2706" s="73" t="str">
        <f t="shared" si="344"/>
        <v/>
      </c>
      <c r="P2706" s="65" t="str">
        <f t="shared" ca="1" si="345"/>
        <v/>
      </c>
      <c r="Q2706" s="2"/>
      <c r="R2706" s="2"/>
      <c r="S2706" s="1" t="str">
        <f t="shared" si="338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339"/>
        <v>0</v>
      </c>
      <c r="W2706" s="1" t="str">
        <f t="shared" si="340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customHeight="1" x14ac:dyDescent="0.3">
      <c r="A2707" s="2"/>
      <c r="B2707" s="65" t="str">
        <f t="shared" si="341"/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 t="shared" si="342"/>
        <v/>
      </c>
      <c r="N2707" s="74" t="str">
        <f t="shared" si="343"/>
        <v/>
      </c>
      <c r="O2707" s="73" t="str">
        <f t="shared" si="344"/>
        <v/>
      </c>
      <c r="P2707" s="65" t="str">
        <f t="shared" ca="1" si="345"/>
        <v/>
      </c>
      <c r="Q2707" s="2"/>
      <c r="R2707" s="2"/>
      <c r="S2707" s="1" t="str">
        <f t="shared" si="338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339"/>
        <v>0</v>
      </c>
      <c r="W2707" s="1" t="str">
        <f t="shared" si="340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customHeight="1" x14ac:dyDescent="0.3">
      <c r="A2708" s="2"/>
      <c r="B2708" s="65" t="str">
        <f t="shared" si="341"/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 t="shared" si="342"/>
        <v/>
      </c>
      <c r="N2708" s="74" t="str">
        <f t="shared" si="343"/>
        <v/>
      </c>
      <c r="O2708" s="73" t="str">
        <f t="shared" si="344"/>
        <v/>
      </c>
      <c r="P2708" s="65" t="str">
        <f t="shared" ca="1" si="345"/>
        <v/>
      </c>
      <c r="Q2708" s="2"/>
      <c r="R2708" s="2"/>
      <c r="S2708" s="1" t="str">
        <f t="shared" si="338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339"/>
        <v>0</v>
      </c>
      <c r="W2708" s="1" t="str">
        <f t="shared" si="340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customHeight="1" x14ac:dyDescent="0.3">
      <c r="A2709" s="2"/>
      <c r="B2709" s="65" t="str">
        <f t="shared" si="341"/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 t="shared" si="342"/>
        <v/>
      </c>
      <c r="N2709" s="74" t="str">
        <f t="shared" si="343"/>
        <v/>
      </c>
      <c r="O2709" s="73" t="str">
        <f t="shared" si="344"/>
        <v/>
      </c>
      <c r="P2709" s="65" t="str">
        <f t="shared" ca="1" si="345"/>
        <v/>
      </c>
      <c r="Q2709" s="2"/>
      <c r="R2709" s="2"/>
      <c r="S2709" s="1" t="str">
        <f t="shared" si="338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339"/>
        <v>0</v>
      </c>
      <c r="W2709" s="1" t="str">
        <f t="shared" si="340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customHeight="1" x14ac:dyDescent="0.3">
      <c r="A2710" s="2"/>
      <c r="B2710" s="65" t="str">
        <f t="shared" si="341"/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 t="shared" si="342"/>
        <v/>
      </c>
      <c r="N2710" s="74" t="str">
        <f t="shared" si="343"/>
        <v/>
      </c>
      <c r="O2710" s="73" t="str">
        <f t="shared" si="344"/>
        <v/>
      </c>
      <c r="P2710" s="65" t="str">
        <f t="shared" ca="1" si="345"/>
        <v/>
      </c>
      <c r="Q2710" s="2"/>
      <c r="R2710" s="2"/>
      <c r="S2710" s="1" t="str">
        <f t="shared" si="338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339"/>
        <v>0</v>
      </c>
      <c r="W2710" s="1" t="str">
        <f t="shared" si="340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customHeight="1" x14ac:dyDescent="0.3">
      <c r="A2711" s="2"/>
      <c r="B2711" s="65" t="str">
        <f t="shared" si="341"/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 t="shared" si="342"/>
        <v/>
      </c>
      <c r="N2711" s="74" t="str">
        <f t="shared" si="343"/>
        <v/>
      </c>
      <c r="O2711" s="73" t="str">
        <f t="shared" si="344"/>
        <v/>
      </c>
      <c r="P2711" s="65" t="str">
        <f t="shared" ca="1" si="345"/>
        <v/>
      </c>
      <c r="Q2711" s="2"/>
      <c r="R2711" s="2"/>
      <c r="S2711" s="1" t="str">
        <f t="shared" si="338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339"/>
        <v>0</v>
      </c>
      <c r="W2711" s="1" t="str">
        <f t="shared" si="340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customHeight="1" x14ac:dyDescent="0.3">
      <c r="A2712" s="2"/>
      <c r="B2712" s="65" t="str">
        <f t="shared" si="341"/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 t="shared" si="342"/>
        <v/>
      </c>
      <c r="N2712" s="74" t="str">
        <f t="shared" si="343"/>
        <v/>
      </c>
      <c r="O2712" s="73" t="str">
        <f t="shared" si="344"/>
        <v/>
      </c>
      <c r="P2712" s="65" t="str">
        <f t="shared" ca="1" si="345"/>
        <v/>
      </c>
      <c r="Q2712" s="2"/>
      <c r="R2712" s="2"/>
      <c r="S2712" s="1" t="str">
        <f t="shared" si="338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339"/>
        <v>0</v>
      </c>
      <c r="W2712" s="1" t="str">
        <f t="shared" si="340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customHeight="1" x14ac:dyDescent="0.3">
      <c r="A2713" s="2"/>
      <c r="B2713" s="65" t="str">
        <f t="shared" si="341"/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 t="shared" si="342"/>
        <v/>
      </c>
      <c r="N2713" s="74" t="str">
        <f t="shared" si="343"/>
        <v/>
      </c>
      <c r="O2713" s="73" t="str">
        <f t="shared" si="344"/>
        <v/>
      </c>
      <c r="P2713" s="65" t="str">
        <f t="shared" ca="1" si="345"/>
        <v/>
      </c>
      <c r="Q2713" s="2"/>
      <c r="R2713" s="2"/>
      <c r="S2713" s="1" t="str">
        <f t="shared" si="338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339"/>
        <v>0</v>
      </c>
      <c r="W2713" s="1" t="str">
        <f t="shared" si="340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customHeight="1" x14ac:dyDescent="0.3">
      <c r="A2714" s="2"/>
      <c r="B2714" s="65" t="str">
        <f t="shared" si="341"/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 t="shared" si="342"/>
        <v/>
      </c>
      <c r="N2714" s="74" t="str">
        <f t="shared" si="343"/>
        <v/>
      </c>
      <c r="O2714" s="73" t="str">
        <f t="shared" si="344"/>
        <v/>
      </c>
      <c r="P2714" s="65" t="str">
        <f t="shared" ca="1" si="345"/>
        <v/>
      </c>
      <c r="Q2714" s="2"/>
      <c r="R2714" s="2"/>
      <c r="S2714" s="1" t="str">
        <f t="shared" si="338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339"/>
        <v>0</v>
      </c>
      <c r="W2714" s="1" t="str">
        <f t="shared" si="340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customHeight="1" x14ac:dyDescent="0.3">
      <c r="A2715" s="2"/>
      <c r="B2715" s="65" t="str">
        <f t="shared" si="341"/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 t="shared" si="342"/>
        <v/>
      </c>
      <c r="N2715" s="74" t="str">
        <f t="shared" si="343"/>
        <v/>
      </c>
      <c r="O2715" s="73" t="str">
        <f t="shared" si="344"/>
        <v/>
      </c>
      <c r="P2715" s="65" t="str">
        <f t="shared" ca="1" si="345"/>
        <v/>
      </c>
      <c r="Q2715" s="2"/>
      <c r="R2715" s="2"/>
      <c r="S2715" s="1" t="str">
        <f t="shared" si="338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339"/>
        <v>0</v>
      </c>
      <c r="W2715" s="1" t="str">
        <f t="shared" si="340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customHeight="1" x14ac:dyDescent="0.3">
      <c r="A2716" s="2"/>
      <c r="B2716" s="65" t="str">
        <f t="shared" si="341"/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 t="shared" si="342"/>
        <v/>
      </c>
      <c r="N2716" s="74" t="str">
        <f t="shared" si="343"/>
        <v/>
      </c>
      <c r="O2716" s="73" t="str">
        <f t="shared" si="344"/>
        <v/>
      </c>
      <c r="P2716" s="65" t="str">
        <f t="shared" ca="1" si="345"/>
        <v/>
      </c>
      <c r="Q2716" s="2"/>
      <c r="R2716" s="2"/>
      <c r="S2716" s="1" t="str">
        <f t="shared" si="338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339"/>
        <v>0</v>
      </c>
      <c r="W2716" s="1" t="str">
        <f t="shared" si="340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customHeight="1" x14ac:dyDescent="0.3">
      <c r="A2717" s="2"/>
      <c r="B2717" s="65" t="str">
        <f t="shared" si="341"/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 t="shared" si="342"/>
        <v/>
      </c>
      <c r="N2717" s="74" t="str">
        <f t="shared" si="343"/>
        <v/>
      </c>
      <c r="O2717" s="73" t="str">
        <f t="shared" si="344"/>
        <v/>
      </c>
      <c r="P2717" s="65" t="str">
        <f t="shared" ca="1" si="345"/>
        <v/>
      </c>
      <c r="Q2717" s="2"/>
      <c r="R2717" s="2"/>
      <c r="S2717" s="1" t="str">
        <f t="shared" si="338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339"/>
        <v>0</v>
      </c>
      <c r="W2717" s="1" t="str">
        <f t="shared" si="340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customHeight="1" x14ac:dyDescent="0.3">
      <c r="A2718" s="2"/>
      <c r="B2718" s="65" t="str">
        <f t="shared" si="341"/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 t="shared" si="342"/>
        <v/>
      </c>
      <c r="N2718" s="74" t="str">
        <f t="shared" si="343"/>
        <v/>
      </c>
      <c r="O2718" s="73" t="str">
        <f t="shared" si="344"/>
        <v/>
      </c>
      <c r="P2718" s="65" t="str">
        <f t="shared" ca="1" si="345"/>
        <v/>
      </c>
      <c r="Q2718" s="2"/>
      <c r="R2718" s="2"/>
      <c r="S2718" s="1" t="str">
        <f t="shared" si="338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339"/>
        <v>0</v>
      </c>
      <c r="W2718" s="1" t="str">
        <f t="shared" si="340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customHeight="1" x14ac:dyDescent="0.3">
      <c r="A2719" s="2"/>
      <c r="B2719" s="65" t="str">
        <f t="shared" si="341"/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 t="shared" si="342"/>
        <v/>
      </c>
      <c r="N2719" s="74" t="str">
        <f t="shared" si="343"/>
        <v/>
      </c>
      <c r="O2719" s="73" t="str">
        <f t="shared" si="344"/>
        <v/>
      </c>
      <c r="P2719" s="65" t="str">
        <f t="shared" ca="1" si="345"/>
        <v/>
      </c>
      <c r="Q2719" s="2"/>
      <c r="R2719" s="2"/>
      <c r="S2719" s="1" t="str">
        <f t="shared" si="338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339"/>
        <v>0</v>
      </c>
      <c r="W2719" s="1" t="str">
        <f t="shared" si="340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customHeight="1" x14ac:dyDescent="0.3">
      <c r="A2720" s="2"/>
      <c r="B2720" s="65" t="str">
        <f t="shared" si="341"/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 t="shared" si="342"/>
        <v/>
      </c>
      <c r="N2720" s="74" t="str">
        <f t="shared" si="343"/>
        <v/>
      </c>
      <c r="O2720" s="73" t="str">
        <f t="shared" si="344"/>
        <v/>
      </c>
      <c r="P2720" s="65" t="str">
        <f t="shared" ca="1" si="345"/>
        <v/>
      </c>
      <c r="Q2720" s="2"/>
      <c r="R2720" s="2"/>
      <c r="S2720" s="1" t="str">
        <f t="shared" si="338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339"/>
        <v>0</v>
      </c>
      <c r="W2720" s="1" t="str">
        <f t="shared" si="340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customHeight="1" x14ac:dyDescent="0.3">
      <c r="A2721" s="2"/>
      <c r="B2721" s="65" t="str">
        <f t="shared" si="341"/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 t="shared" si="342"/>
        <v/>
      </c>
      <c r="N2721" s="74" t="str">
        <f t="shared" si="343"/>
        <v/>
      </c>
      <c r="O2721" s="73" t="str">
        <f t="shared" si="344"/>
        <v/>
      </c>
      <c r="P2721" s="65" t="str">
        <f t="shared" ca="1" si="345"/>
        <v/>
      </c>
      <c r="Q2721" s="2"/>
      <c r="R2721" s="2"/>
      <c r="S2721" s="1" t="str">
        <f t="shared" si="338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339"/>
        <v>0</v>
      </c>
      <c r="W2721" s="1" t="str">
        <f t="shared" si="340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customHeight="1" x14ac:dyDescent="0.3">
      <c r="A2722" s="2"/>
      <c r="B2722" s="65" t="str">
        <f t="shared" si="341"/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 t="shared" si="342"/>
        <v/>
      </c>
      <c r="N2722" s="74" t="str">
        <f t="shared" si="343"/>
        <v/>
      </c>
      <c r="O2722" s="73" t="str">
        <f t="shared" si="344"/>
        <v/>
      </c>
      <c r="P2722" s="65" t="str">
        <f t="shared" ca="1" si="345"/>
        <v/>
      </c>
      <c r="Q2722" s="2"/>
      <c r="R2722" s="2"/>
      <c r="S2722" s="1" t="str">
        <f t="shared" si="338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339"/>
        <v>0</v>
      </c>
      <c r="W2722" s="1" t="str">
        <f t="shared" si="340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customHeight="1" x14ac:dyDescent="0.3">
      <c r="A2723" s="2"/>
      <c r="B2723" s="65" t="str">
        <f t="shared" si="341"/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 t="shared" si="342"/>
        <v/>
      </c>
      <c r="N2723" s="74" t="str">
        <f t="shared" si="343"/>
        <v/>
      </c>
      <c r="O2723" s="73" t="str">
        <f t="shared" si="344"/>
        <v/>
      </c>
      <c r="P2723" s="65" t="str">
        <f t="shared" ca="1" si="345"/>
        <v/>
      </c>
      <c r="Q2723" s="2"/>
      <c r="R2723" s="2"/>
      <c r="S2723" s="1" t="str">
        <f t="shared" si="338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339"/>
        <v>0</v>
      </c>
      <c r="W2723" s="1" t="str">
        <f t="shared" si="340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customHeight="1" x14ac:dyDescent="0.3">
      <c r="A2724" s="2"/>
      <c r="B2724" s="65" t="str">
        <f t="shared" si="341"/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 t="shared" si="342"/>
        <v/>
      </c>
      <c r="N2724" s="74" t="str">
        <f t="shared" si="343"/>
        <v/>
      </c>
      <c r="O2724" s="73" t="str">
        <f t="shared" si="344"/>
        <v/>
      </c>
      <c r="P2724" s="65" t="str">
        <f t="shared" ca="1" si="345"/>
        <v/>
      </c>
      <c r="Q2724" s="2"/>
      <c r="R2724" s="2"/>
      <c r="S2724" s="1" t="str">
        <f t="shared" si="338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339"/>
        <v>0</v>
      </c>
      <c r="W2724" s="1" t="str">
        <f t="shared" si="340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customHeight="1" x14ac:dyDescent="0.3">
      <c r="A2725" s="2"/>
      <c r="B2725" s="65" t="str">
        <f t="shared" si="341"/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 t="shared" si="342"/>
        <v/>
      </c>
      <c r="N2725" s="74" t="str">
        <f t="shared" si="343"/>
        <v/>
      </c>
      <c r="O2725" s="73" t="str">
        <f t="shared" si="344"/>
        <v/>
      </c>
      <c r="P2725" s="65" t="str">
        <f t="shared" ca="1" si="345"/>
        <v/>
      </c>
      <c r="Q2725" s="2"/>
      <c r="R2725" s="2"/>
      <c r="S2725" s="1" t="str">
        <f t="shared" si="338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339"/>
        <v>0</v>
      </c>
      <c r="W2725" s="1" t="str">
        <f t="shared" si="340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customHeight="1" x14ac:dyDescent="0.3">
      <c r="A2726" s="2"/>
      <c r="B2726" s="65" t="str">
        <f t="shared" si="341"/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 t="shared" si="342"/>
        <v/>
      </c>
      <c r="N2726" s="74" t="str">
        <f t="shared" si="343"/>
        <v/>
      </c>
      <c r="O2726" s="73" t="str">
        <f t="shared" si="344"/>
        <v/>
      </c>
      <c r="P2726" s="65" t="str">
        <f t="shared" ca="1" si="345"/>
        <v/>
      </c>
      <c r="Q2726" s="2"/>
      <c r="R2726" s="2"/>
      <c r="S2726" s="1" t="str">
        <f t="shared" si="338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339"/>
        <v>0</v>
      </c>
      <c r="W2726" s="1" t="str">
        <f t="shared" si="340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customHeight="1" x14ac:dyDescent="0.3">
      <c r="A2727" s="2"/>
      <c r="B2727" s="65" t="str">
        <f t="shared" si="341"/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 t="shared" si="342"/>
        <v/>
      </c>
      <c r="N2727" s="74" t="str">
        <f t="shared" si="343"/>
        <v/>
      </c>
      <c r="O2727" s="73" t="str">
        <f t="shared" si="344"/>
        <v/>
      </c>
      <c r="P2727" s="65" t="str">
        <f t="shared" ca="1" si="345"/>
        <v/>
      </c>
      <c r="Q2727" s="2"/>
      <c r="R2727" s="2"/>
      <c r="S2727" s="1" t="str">
        <f t="shared" si="338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339"/>
        <v>0</v>
      </c>
      <c r="W2727" s="1" t="str">
        <f t="shared" si="340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customHeight="1" x14ac:dyDescent="0.3">
      <c r="A2728" s="2"/>
      <c r="B2728" s="65" t="str">
        <f t="shared" si="341"/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 t="shared" si="342"/>
        <v/>
      </c>
      <c r="N2728" s="74" t="str">
        <f t="shared" si="343"/>
        <v/>
      </c>
      <c r="O2728" s="73" t="str">
        <f t="shared" si="344"/>
        <v/>
      </c>
      <c r="P2728" s="65" t="str">
        <f t="shared" ca="1" si="345"/>
        <v/>
      </c>
      <c r="Q2728" s="2"/>
      <c r="R2728" s="2"/>
      <c r="S2728" s="1" t="str">
        <f t="shared" si="338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339"/>
        <v>0</v>
      </c>
      <c r="W2728" s="1" t="str">
        <f t="shared" si="340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customHeight="1" x14ac:dyDescent="0.3">
      <c r="A2729" s="2"/>
      <c r="B2729" s="65" t="str">
        <f t="shared" si="341"/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 t="shared" si="342"/>
        <v/>
      </c>
      <c r="N2729" s="74" t="str">
        <f t="shared" si="343"/>
        <v/>
      </c>
      <c r="O2729" s="73" t="str">
        <f t="shared" si="344"/>
        <v/>
      </c>
      <c r="P2729" s="65" t="str">
        <f t="shared" ca="1" si="345"/>
        <v/>
      </c>
      <c r="Q2729" s="2"/>
      <c r="R2729" s="2"/>
      <c r="S2729" s="1" t="str">
        <f t="shared" si="338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339"/>
        <v>0</v>
      </c>
      <c r="W2729" s="1" t="str">
        <f t="shared" si="340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customHeight="1" x14ac:dyDescent="0.3">
      <c r="A2730" s="2"/>
      <c r="B2730" s="65" t="str">
        <f t="shared" si="341"/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 t="shared" si="342"/>
        <v/>
      </c>
      <c r="N2730" s="74" t="str">
        <f t="shared" si="343"/>
        <v/>
      </c>
      <c r="O2730" s="73" t="str">
        <f t="shared" si="344"/>
        <v/>
      </c>
      <c r="P2730" s="65" t="str">
        <f t="shared" ca="1" si="345"/>
        <v/>
      </c>
      <c r="Q2730" s="2"/>
      <c r="R2730" s="2"/>
      <c r="S2730" s="1" t="str">
        <f t="shared" si="338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339"/>
        <v>0</v>
      </c>
      <c r="W2730" s="1" t="str">
        <f t="shared" si="340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customHeight="1" x14ac:dyDescent="0.3">
      <c r="A2731" s="2"/>
      <c r="B2731" s="65" t="str">
        <f t="shared" si="341"/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 t="shared" si="342"/>
        <v/>
      </c>
      <c r="N2731" s="74" t="str">
        <f t="shared" si="343"/>
        <v/>
      </c>
      <c r="O2731" s="73" t="str">
        <f t="shared" si="344"/>
        <v/>
      </c>
      <c r="P2731" s="65" t="str">
        <f t="shared" ca="1" si="345"/>
        <v/>
      </c>
      <c r="Q2731" s="2"/>
      <c r="R2731" s="2"/>
      <c r="S2731" s="1" t="str">
        <f t="shared" si="338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339"/>
        <v>0</v>
      </c>
      <c r="W2731" s="1" t="str">
        <f t="shared" si="340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customHeight="1" x14ac:dyDescent="0.3">
      <c r="A2732" s="2"/>
      <c r="B2732" s="65" t="str">
        <f t="shared" si="341"/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 t="shared" si="342"/>
        <v/>
      </c>
      <c r="N2732" s="74" t="str">
        <f t="shared" si="343"/>
        <v/>
      </c>
      <c r="O2732" s="73" t="str">
        <f t="shared" si="344"/>
        <v/>
      </c>
      <c r="P2732" s="65" t="str">
        <f t="shared" ca="1" si="345"/>
        <v/>
      </c>
      <c r="Q2732" s="2"/>
      <c r="R2732" s="2"/>
      <c r="S2732" s="1" t="str">
        <f t="shared" si="338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339"/>
        <v>0</v>
      </c>
      <c r="W2732" s="1" t="str">
        <f t="shared" si="340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customHeight="1" x14ac:dyDescent="0.3">
      <c r="A2733" s="2"/>
      <c r="B2733" s="65" t="str">
        <f t="shared" si="341"/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 t="shared" si="342"/>
        <v/>
      </c>
      <c r="N2733" s="74" t="str">
        <f t="shared" si="343"/>
        <v/>
      </c>
      <c r="O2733" s="73" t="str">
        <f t="shared" si="344"/>
        <v/>
      </c>
      <c r="P2733" s="65" t="str">
        <f t="shared" ca="1" si="345"/>
        <v/>
      </c>
      <c r="Q2733" s="2"/>
      <c r="R2733" s="2"/>
      <c r="S2733" s="1" t="str">
        <f t="shared" si="338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339"/>
        <v>0</v>
      </c>
      <c r="W2733" s="1" t="str">
        <f t="shared" si="340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customHeight="1" x14ac:dyDescent="0.3">
      <c r="A2734" s="2"/>
      <c r="B2734" s="65" t="str">
        <f t="shared" si="341"/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 t="shared" si="342"/>
        <v/>
      </c>
      <c r="N2734" s="74" t="str">
        <f t="shared" si="343"/>
        <v/>
      </c>
      <c r="O2734" s="73" t="str">
        <f t="shared" si="344"/>
        <v/>
      </c>
      <c r="P2734" s="65" t="str">
        <f t="shared" ca="1" si="345"/>
        <v/>
      </c>
      <c r="Q2734" s="2"/>
      <c r="R2734" s="2"/>
      <c r="S2734" s="1" t="str">
        <f t="shared" si="338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339"/>
        <v>0</v>
      </c>
      <c r="W2734" s="1" t="str">
        <f t="shared" si="340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customHeight="1" x14ac:dyDescent="0.3">
      <c r="A2735" s="2"/>
      <c r="B2735" s="65" t="str">
        <f t="shared" si="341"/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 t="shared" si="342"/>
        <v/>
      </c>
      <c r="N2735" s="74" t="str">
        <f t="shared" si="343"/>
        <v/>
      </c>
      <c r="O2735" s="73" t="str">
        <f t="shared" si="344"/>
        <v/>
      </c>
      <c r="P2735" s="65" t="str">
        <f t="shared" ca="1" si="345"/>
        <v/>
      </c>
      <c r="Q2735" s="2"/>
      <c r="R2735" s="2"/>
      <c r="S2735" s="1" t="str">
        <f t="shared" si="338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339"/>
        <v>0</v>
      </c>
      <c r="W2735" s="1" t="str">
        <f t="shared" si="340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customHeight="1" x14ac:dyDescent="0.3">
      <c r="A2736" s="2"/>
      <c r="B2736" s="65" t="str">
        <f t="shared" si="341"/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 t="shared" si="342"/>
        <v/>
      </c>
      <c r="N2736" s="74" t="str">
        <f t="shared" si="343"/>
        <v/>
      </c>
      <c r="O2736" s="73" t="str">
        <f t="shared" si="344"/>
        <v/>
      </c>
      <c r="P2736" s="65" t="str">
        <f t="shared" ca="1" si="345"/>
        <v/>
      </c>
      <c r="Q2736" s="2"/>
      <c r="R2736" s="2"/>
      <c r="S2736" s="1" t="str">
        <f t="shared" si="338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339"/>
        <v>0</v>
      </c>
      <c r="W2736" s="1" t="str">
        <f t="shared" si="340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customHeight="1" x14ac:dyDescent="0.3">
      <c r="A2737" s="2"/>
      <c r="B2737" s="65" t="str">
        <f t="shared" si="341"/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 t="shared" si="342"/>
        <v/>
      </c>
      <c r="N2737" s="74" t="str">
        <f t="shared" si="343"/>
        <v/>
      </c>
      <c r="O2737" s="73" t="str">
        <f t="shared" si="344"/>
        <v/>
      </c>
      <c r="P2737" s="65" t="str">
        <f t="shared" ca="1" si="345"/>
        <v/>
      </c>
      <c r="Q2737" s="2"/>
      <c r="R2737" s="2"/>
      <c r="S2737" s="1" t="str">
        <f t="shared" si="338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339"/>
        <v>0</v>
      </c>
      <c r="W2737" s="1" t="str">
        <f t="shared" si="340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customHeight="1" x14ac:dyDescent="0.3">
      <c r="A2738" s="2"/>
      <c r="B2738" s="65" t="str">
        <f t="shared" si="341"/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 t="shared" si="342"/>
        <v/>
      </c>
      <c r="N2738" s="74" t="str">
        <f t="shared" si="343"/>
        <v/>
      </c>
      <c r="O2738" s="73" t="str">
        <f t="shared" si="344"/>
        <v/>
      </c>
      <c r="P2738" s="65" t="str">
        <f t="shared" ca="1" si="345"/>
        <v/>
      </c>
      <c r="Q2738" s="2"/>
      <c r="R2738" s="2"/>
      <c r="S2738" s="1" t="str">
        <f t="shared" si="338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339"/>
        <v>0</v>
      </c>
      <c r="W2738" s="1" t="str">
        <f t="shared" si="340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customHeight="1" x14ac:dyDescent="0.3">
      <c r="A2739" s="2"/>
      <c r="B2739" s="65" t="str">
        <f t="shared" si="341"/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 t="shared" si="342"/>
        <v/>
      </c>
      <c r="N2739" s="74" t="str">
        <f t="shared" si="343"/>
        <v/>
      </c>
      <c r="O2739" s="73" t="str">
        <f t="shared" si="344"/>
        <v/>
      </c>
      <c r="P2739" s="65" t="str">
        <f t="shared" ca="1" si="345"/>
        <v/>
      </c>
      <c r="Q2739" s="2"/>
      <c r="R2739" s="2"/>
      <c r="S2739" s="1" t="str">
        <f t="shared" si="338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339"/>
        <v>0</v>
      </c>
      <c r="W2739" s="1" t="str">
        <f t="shared" si="340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customHeight="1" x14ac:dyDescent="0.3">
      <c r="A2740" s="2"/>
      <c r="B2740" s="65" t="str">
        <f t="shared" si="341"/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 t="shared" si="342"/>
        <v/>
      </c>
      <c r="N2740" s="74" t="str">
        <f t="shared" si="343"/>
        <v/>
      </c>
      <c r="O2740" s="73" t="str">
        <f t="shared" si="344"/>
        <v/>
      </c>
      <c r="P2740" s="65" t="str">
        <f t="shared" ca="1" si="345"/>
        <v/>
      </c>
      <c r="Q2740" s="2"/>
      <c r="R2740" s="2"/>
      <c r="S2740" s="1" t="str">
        <f t="shared" si="338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339"/>
        <v>0</v>
      </c>
      <c r="W2740" s="1" t="str">
        <f t="shared" si="340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customHeight="1" x14ac:dyDescent="0.3">
      <c r="A2741" s="2"/>
      <c r="B2741" s="65" t="str">
        <f t="shared" si="341"/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 t="shared" si="342"/>
        <v/>
      </c>
      <c r="N2741" s="74" t="str">
        <f t="shared" si="343"/>
        <v/>
      </c>
      <c r="O2741" s="73" t="str">
        <f t="shared" si="344"/>
        <v/>
      </c>
      <c r="P2741" s="65" t="str">
        <f t="shared" ca="1" si="345"/>
        <v/>
      </c>
      <c r="Q2741" s="2"/>
      <c r="R2741" s="2"/>
      <c r="S2741" s="1" t="str">
        <f t="shared" si="338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339"/>
        <v>0</v>
      </c>
      <c r="W2741" s="1" t="str">
        <f t="shared" si="340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customHeight="1" x14ac:dyDescent="0.3">
      <c r="A2742" s="2"/>
      <c r="B2742" s="65" t="str">
        <f t="shared" si="341"/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 t="shared" si="342"/>
        <v/>
      </c>
      <c r="N2742" s="74" t="str">
        <f t="shared" si="343"/>
        <v/>
      </c>
      <c r="O2742" s="73" t="str">
        <f t="shared" si="344"/>
        <v/>
      </c>
      <c r="P2742" s="65" t="str">
        <f t="shared" ca="1" si="345"/>
        <v/>
      </c>
      <c r="Q2742" s="2"/>
      <c r="R2742" s="2"/>
      <c r="S2742" s="1" t="str">
        <f t="shared" si="338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339"/>
        <v>0</v>
      </c>
      <c r="W2742" s="1" t="str">
        <f t="shared" si="340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customHeight="1" x14ac:dyDescent="0.3">
      <c r="A2743" s="2"/>
      <c r="B2743" s="65" t="str">
        <f t="shared" si="341"/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 t="shared" si="342"/>
        <v/>
      </c>
      <c r="N2743" s="74" t="str">
        <f t="shared" si="343"/>
        <v/>
      </c>
      <c r="O2743" s="73" t="str">
        <f t="shared" si="344"/>
        <v/>
      </c>
      <c r="P2743" s="65" t="str">
        <f t="shared" ca="1" si="345"/>
        <v/>
      </c>
      <c r="Q2743" s="2"/>
      <c r="R2743" s="2"/>
      <c r="S2743" s="1" t="str">
        <f t="shared" si="338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339"/>
        <v>0</v>
      </c>
      <c r="W2743" s="1" t="str">
        <f t="shared" si="340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customHeight="1" x14ac:dyDescent="0.3">
      <c r="A2744" s="2"/>
      <c r="B2744" s="65" t="str">
        <f t="shared" si="341"/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 t="shared" si="342"/>
        <v/>
      </c>
      <c r="N2744" s="74" t="str">
        <f t="shared" si="343"/>
        <v/>
      </c>
      <c r="O2744" s="73" t="str">
        <f t="shared" si="344"/>
        <v/>
      </c>
      <c r="P2744" s="65" t="str">
        <f t="shared" ca="1" si="345"/>
        <v/>
      </c>
      <c r="Q2744" s="2"/>
      <c r="R2744" s="2"/>
      <c r="S2744" s="1" t="str">
        <f t="shared" si="338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339"/>
        <v>0</v>
      </c>
      <c r="W2744" s="1" t="str">
        <f t="shared" si="340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customHeight="1" x14ac:dyDescent="0.3">
      <c r="A2745" s="2"/>
      <c r="B2745" s="65" t="str">
        <f t="shared" si="341"/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 t="shared" si="342"/>
        <v/>
      </c>
      <c r="N2745" s="74" t="str">
        <f t="shared" si="343"/>
        <v/>
      </c>
      <c r="O2745" s="73" t="str">
        <f t="shared" si="344"/>
        <v/>
      </c>
      <c r="P2745" s="65" t="str">
        <f t="shared" ca="1" si="345"/>
        <v/>
      </c>
      <c r="Q2745" s="2"/>
      <c r="R2745" s="2"/>
      <c r="S2745" s="1" t="str">
        <f t="shared" si="338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339"/>
        <v>0</v>
      </c>
      <c r="W2745" s="1" t="str">
        <f t="shared" si="340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customHeight="1" x14ac:dyDescent="0.3">
      <c r="A2746" s="2"/>
      <c r="B2746" s="65" t="str">
        <f t="shared" si="341"/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 t="shared" si="342"/>
        <v/>
      </c>
      <c r="N2746" s="74" t="str">
        <f t="shared" si="343"/>
        <v/>
      </c>
      <c r="O2746" s="73" t="str">
        <f t="shared" si="344"/>
        <v/>
      </c>
      <c r="P2746" s="65" t="str">
        <f t="shared" ca="1" si="345"/>
        <v/>
      </c>
      <c r="Q2746" s="2"/>
      <c r="R2746" s="2"/>
      <c r="S2746" s="1" t="str">
        <f t="shared" si="338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339"/>
        <v>0</v>
      </c>
      <c r="W2746" s="1" t="str">
        <f t="shared" si="340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customHeight="1" x14ac:dyDescent="0.3">
      <c r="A2747" s="2"/>
      <c r="B2747" s="65" t="str">
        <f t="shared" si="341"/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 t="shared" si="342"/>
        <v/>
      </c>
      <c r="N2747" s="74" t="str">
        <f t="shared" si="343"/>
        <v/>
      </c>
      <c r="O2747" s="73" t="str">
        <f t="shared" si="344"/>
        <v/>
      </c>
      <c r="P2747" s="65" t="str">
        <f t="shared" ca="1" si="345"/>
        <v/>
      </c>
      <c r="Q2747" s="2"/>
      <c r="R2747" s="2"/>
      <c r="S2747" s="1" t="str">
        <f t="shared" si="338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339"/>
        <v>0</v>
      </c>
      <c r="W2747" s="1" t="str">
        <f t="shared" si="340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customHeight="1" x14ac:dyDescent="0.3">
      <c r="A2748" s="2"/>
      <c r="B2748" s="65" t="str">
        <f t="shared" si="341"/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 t="shared" si="342"/>
        <v/>
      </c>
      <c r="N2748" s="74" t="str">
        <f t="shared" si="343"/>
        <v/>
      </c>
      <c r="O2748" s="73" t="str">
        <f t="shared" si="344"/>
        <v/>
      </c>
      <c r="P2748" s="65" t="str">
        <f t="shared" ca="1" si="345"/>
        <v/>
      </c>
      <c r="Q2748" s="2"/>
      <c r="R2748" s="2"/>
      <c r="S2748" s="1" t="str">
        <f t="shared" si="338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339"/>
        <v>0</v>
      </c>
      <c r="W2748" s="1" t="str">
        <f t="shared" si="340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customHeight="1" x14ac:dyDescent="0.3">
      <c r="A2749" s="2"/>
      <c r="B2749" s="65" t="str">
        <f t="shared" si="341"/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 t="shared" si="342"/>
        <v/>
      </c>
      <c r="N2749" s="74" t="str">
        <f t="shared" si="343"/>
        <v/>
      </c>
      <c r="O2749" s="73" t="str">
        <f t="shared" si="344"/>
        <v/>
      </c>
      <c r="P2749" s="65" t="str">
        <f t="shared" ca="1" si="345"/>
        <v/>
      </c>
      <c r="Q2749" s="2"/>
      <c r="R2749" s="2"/>
      <c r="S2749" s="1" t="str">
        <f t="shared" si="338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339"/>
        <v>0</v>
      </c>
      <c r="W2749" s="1" t="str">
        <f t="shared" si="340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customHeight="1" x14ac:dyDescent="0.3">
      <c r="A2750" s="2"/>
      <c r="B2750" s="65" t="str">
        <f t="shared" si="341"/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 t="shared" si="342"/>
        <v/>
      </c>
      <c r="N2750" s="74" t="str">
        <f t="shared" si="343"/>
        <v/>
      </c>
      <c r="O2750" s="73" t="str">
        <f t="shared" si="344"/>
        <v/>
      </c>
      <c r="P2750" s="65" t="str">
        <f t="shared" ca="1" si="345"/>
        <v/>
      </c>
      <c r="Q2750" s="2"/>
      <c r="R2750" s="2"/>
      <c r="S2750" s="1" t="str">
        <f t="shared" si="338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339"/>
        <v>0</v>
      </c>
      <c r="W2750" s="1" t="str">
        <f t="shared" si="340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customHeight="1" x14ac:dyDescent="0.3">
      <c r="A2751" s="2"/>
      <c r="B2751" s="65" t="str">
        <f t="shared" si="341"/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 t="shared" si="342"/>
        <v/>
      </c>
      <c r="N2751" s="74" t="str">
        <f t="shared" si="343"/>
        <v/>
      </c>
      <c r="O2751" s="73" t="str">
        <f t="shared" si="344"/>
        <v/>
      </c>
      <c r="P2751" s="65" t="str">
        <f t="shared" ca="1" si="345"/>
        <v/>
      </c>
      <c r="Q2751" s="2"/>
      <c r="R2751" s="2"/>
      <c r="S2751" s="1" t="str">
        <f t="shared" si="338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339"/>
        <v>0</v>
      </c>
      <c r="W2751" s="1" t="str">
        <f t="shared" si="340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customHeight="1" x14ac:dyDescent="0.3">
      <c r="A2752" s="2"/>
      <c r="B2752" s="65" t="str">
        <f t="shared" si="341"/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 t="shared" si="342"/>
        <v/>
      </c>
      <c r="N2752" s="74" t="str">
        <f t="shared" si="343"/>
        <v/>
      </c>
      <c r="O2752" s="73" t="str">
        <f t="shared" si="344"/>
        <v/>
      </c>
      <c r="P2752" s="65" t="str">
        <f t="shared" ca="1" si="345"/>
        <v/>
      </c>
      <c r="Q2752" s="2"/>
      <c r="R2752" s="2"/>
      <c r="S2752" s="1" t="str">
        <f t="shared" si="338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339"/>
        <v>0</v>
      </c>
      <c r="W2752" s="1" t="str">
        <f t="shared" si="340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customHeight="1" x14ac:dyDescent="0.3">
      <c r="A2753" s="2"/>
      <c r="B2753" s="65" t="str">
        <f t="shared" si="341"/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 t="shared" si="342"/>
        <v/>
      </c>
      <c r="N2753" s="74" t="str">
        <f t="shared" si="343"/>
        <v/>
      </c>
      <c r="O2753" s="73" t="str">
        <f t="shared" si="344"/>
        <v/>
      </c>
      <c r="P2753" s="65" t="str">
        <f t="shared" ca="1" si="345"/>
        <v/>
      </c>
      <c r="Q2753" s="2"/>
      <c r="R2753" s="2"/>
      <c r="S2753" s="1" t="str">
        <f t="shared" si="338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339"/>
        <v>0</v>
      </c>
      <c r="W2753" s="1" t="str">
        <f t="shared" si="340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customHeight="1" x14ac:dyDescent="0.3">
      <c r="A2754" s="2"/>
      <c r="B2754" s="65" t="str">
        <f t="shared" si="341"/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 t="shared" si="342"/>
        <v/>
      </c>
      <c r="N2754" s="74" t="str">
        <f t="shared" si="343"/>
        <v/>
      </c>
      <c r="O2754" s="73" t="str">
        <f t="shared" si="344"/>
        <v/>
      </c>
      <c r="P2754" s="65" t="str">
        <f t="shared" ca="1" si="345"/>
        <v/>
      </c>
      <c r="Q2754" s="2"/>
      <c r="R2754" s="2"/>
      <c r="S2754" s="1" t="str">
        <f t="shared" si="338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339"/>
        <v>0</v>
      </c>
      <c r="W2754" s="1" t="str">
        <f t="shared" si="340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customHeight="1" x14ac:dyDescent="0.3">
      <c r="A2755" s="2"/>
      <c r="B2755" s="65" t="str">
        <f t="shared" si="341"/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 t="shared" si="342"/>
        <v/>
      </c>
      <c r="N2755" s="74" t="str">
        <f t="shared" si="343"/>
        <v/>
      </c>
      <c r="O2755" s="73" t="str">
        <f t="shared" si="344"/>
        <v/>
      </c>
      <c r="P2755" s="65" t="str">
        <f t="shared" ca="1" si="345"/>
        <v/>
      </c>
      <c r="Q2755" s="2"/>
      <c r="R2755" s="2"/>
      <c r="S2755" s="1" t="str">
        <f t="shared" si="338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339"/>
        <v>0</v>
      </c>
      <c r="W2755" s="1" t="str">
        <f t="shared" si="340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customHeight="1" x14ac:dyDescent="0.3">
      <c r="A2756" s="2"/>
      <c r="B2756" s="65" t="str">
        <f t="shared" si="341"/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 t="shared" si="342"/>
        <v/>
      </c>
      <c r="N2756" s="74" t="str">
        <f t="shared" si="343"/>
        <v/>
      </c>
      <c r="O2756" s="73" t="str">
        <f t="shared" si="344"/>
        <v/>
      </c>
      <c r="P2756" s="65" t="str">
        <f t="shared" ca="1" si="345"/>
        <v/>
      </c>
      <c r="Q2756" s="2"/>
      <c r="R2756" s="2"/>
      <c r="S2756" s="1" t="str">
        <f t="shared" si="338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339"/>
        <v>0</v>
      </c>
      <c r="W2756" s="1" t="str">
        <f t="shared" si="340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customHeight="1" x14ac:dyDescent="0.3">
      <c r="A2757" s="2"/>
      <c r="B2757" s="65" t="str">
        <f t="shared" si="341"/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 t="shared" si="342"/>
        <v/>
      </c>
      <c r="N2757" s="74" t="str">
        <f t="shared" si="343"/>
        <v/>
      </c>
      <c r="O2757" s="73" t="str">
        <f t="shared" si="344"/>
        <v/>
      </c>
      <c r="P2757" s="65" t="str">
        <f t="shared" ca="1" si="345"/>
        <v/>
      </c>
      <c r="Q2757" s="2"/>
      <c r="R2757" s="2"/>
      <c r="S2757" s="1" t="str">
        <f t="shared" ref="S2757:S2820" si="346"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ref="V2757:V2820" si="347">IF($T2757="",0,1)</f>
        <v>0</v>
      </c>
      <c r="W2757" s="1" t="str">
        <f t="shared" ref="W2757:W2820" si="348">IF($C2757="","",$D2757&amp;"|"&amp;$E2757&amp;"|"&amp;TEXT($C2757,"0")&amp;"|"&amp;TEXT($G2757,"0")&amp;"|"&amp;$F2757&amp;"|"&amp;$J2757)</f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customHeight="1" x14ac:dyDescent="0.3">
      <c r="A2758" s="2"/>
      <c r="B2758" s="65" t="str">
        <f t="shared" si="341"/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 t="shared" si="342"/>
        <v/>
      </c>
      <c r="N2758" s="74" t="str">
        <f t="shared" si="343"/>
        <v/>
      </c>
      <c r="O2758" s="73" t="str">
        <f t="shared" si="344"/>
        <v/>
      </c>
      <c r="P2758" s="65" t="str">
        <f t="shared" ca="1" si="345"/>
        <v/>
      </c>
      <c r="Q2758" s="2"/>
      <c r="R2758" s="2"/>
      <c r="S2758" s="1" t="str">
        <f t="shared" si="346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347"/>
        <v>0</v>
      </c>
      <c r="W2758" s="1" t="str">
        <f t="shared" si="348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customHeight="1" x14ac:dyDescent="0.3">
      <c r="A2759" s="2"/>
      <c r="B2759" s="65" t="str">
        <f t="shared" ref="B2759:B2822" si="349"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 t="shared" ref="M2759:M2822" si="350">IF($C2759="","",IF($D2759="Gider",$E2759,IF($L2759&lt;&gt;"",$L2759,$H2759)))</f>
        <v/>
      </c>
      <c r="N2759" s="74" t="str">
        <f t="shared" ref="N2759:N2822" si="351">IF($C2759="","",IF($D2759="Gider",$H2759,$E2759))</f>
        <v/>
      </c>
      <c r="O2759" s="73" t="str">
        <f t="shared" ref="O2759:O2822" si="352">IF($C2759="","",DATE(YEAR($C2759),MONTH($C2759),1))</f>
        <v/>
      </c>
      <c r="P2759" s="65" t="str">
        <f t="shared" ref="P2759:P2822" ca="1" si="353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TARİH",IF(COUNTIF($W$7:$W$3001,$W2759)&gt;1,"MÜKERRER?",IF($AD2759&gt;0,"KAPALI DÖNEM",IF($I2759="Hayır","ÖDENECEK","UYGUN")))),"EKSİK"))))</f>
        <v/>
      </c>
      <c r="Q2759" s="2"/>
      <c r="R2759" s="2"/>
      <c r="S2759" s="1" t="str">
        <f t="shared" si="346"/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si="347"/>
        <v>0</v>
      </c>
      <c r="W2759" s="1" t="str">
        <f t="shared" si="348"/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customHeight="1" x14ac:dyDescent="0.3">
      <c r="A2760" s="2"/>
      <c r="B2760" s="65" t="str">
        <f t="shared" si="349"/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 t="shared" si="350"/>
        <v/>
      </c>
      <c r="N2760" s="74" t="str">
        <f t="shared" si="351"/>
        <v/>
      </c>
      <c r="O2760" s="73" t="str">
        <f t="shared" si="352"/>
        <v/>
      </c>
      <c r="P2760" s="65" t="str">
        <f t="shared" ca="1" si="353"/>
        <v/>
      </c>
      <c r="Q2760" s="2"/>
      <c r="R2760" s="2"/>
      <c r="S2760" s="1" t="str">
        <f t="shared" si="346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347"/>
        <v>0</v>
      </c>
      <c r="W2760" s="1" t="str">
        <f t="shared" si="348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customHeight="1" x14ac:dyDescent="0.3">
      <c r="A2761" s="2"/>
      <c r="B2761" s="65" t="str">
        <f t="shared" si="349"/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 t="shared" si="350"/>
        <v/>
      </c>
      <c r="N2761" s="74" t="str">
        <f t="shared" si="351"/>
        <v/>
      </c>
      <c r="O2761" s="73" t="str">
        <f t="shared" si="352"/>
        <v/>
      </c>
      <c r="P2761" s="65" t="str">
        <f t="shared" ca="1" si="353"/>
        <v/>
      </c>
      <c r="Q2761" s="2"/>
      <c r="R2761" s="2"/>
      <c r="S2761" s="1" t="str">
        <f t="shared" si="346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347"/>
        <v>0</v>
      </c>
      <c r="W2761" s="1" t="str">
        <f t="shared" si="348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customHeight="1" x14ac:dyDescent="0.3">
      <c r="A2762" s="2"/>
      <c r="B2762" s="65" t="str">
        <f t="shared" si="349"/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 t="shared" si="350"/>
        <v/>
      </c>
      <c r="N2762" s="74" t="str">
        <f t="shared" si="351"/>
        <v/>
      </c>
      <c r="O2762" s="73" t="str">
        <f t="shared" si="352"/>
        <v/>
      </c>
      <c r="P2762" s="65" t="str">
        <f t="shared" ca="1" si="353"/>
        <v/>
      </c>
      <c r="Q2762" s="2"/>
      <c r="R2762" s="2"/>
      <c r="S2762" s="1" t="str">
        <f t="shared" si="346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347"/>
        <v>0</v>
      </c>
      <c r="W2762" s="1" t="str">
        <f t="shared" si="348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customHeight="1" x14ac:dyDescent="0.3">
      <c r="A2763" s="2"/>
      <c r="B2763" s="65" t="str">
        <f t="shared" si="349"/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 t="shared" si="350"/>
        <v/>
      </c>
      <c r="N2763" s="74" t="str">
        <f t="shared" si="351"/>
        <v/>
      </c>
      <c r="O2763" s="73" t="str">
        <f t="shared" si="352"/>
        <v/>
      </c>
      <c r="P2763" s="65" t="str">
        <f t="shared" ca="1" si="353"/>
        <v/>
      </c>
      <c r="Q2763" s="2"/>
      <c r="R2763" s="2"/>
      <c r="S2763" s="1" t="str">
        <f t="shared" si="346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347"/>
        <v>0</v>
      </c>
      <c r="W2763" s="1" t="str">
        <f t="shared" si="348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customHeight="1" x14ac:dyDescent="0.3">
      <c r="A2764" s="2"/>
      <c r="B2764" s="65" t="str">
        <f t="shared" si="349"/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 t="shared" si="350"/>
        <v/>
      </c>
      <c r="N2764" s="74" t="str">
        <f t="shared" si="351"/>
        <v/>
      </c>
      <c r="O2764" s="73" t="str">
        <f t="shared" si="352"/>
        <v/>
      </c>
      <c r="P2764" s="65" t="str">
        <f t="shared" ca="1" si="353"/>
        <v/>
      </c>
      <c r="Q2764" s="2"/>
      <c r="R2764" s="2"/>
      <c r="S2764" s="1" t="str">
        <f t="shared" si="346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347"/>
        <v>0</v>
      </c>
      <c r="W2764" s="1" t="str">
        <f t="shared" si="348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customHeight="1" x14ac:dyDescent="0.3">
      <c r="A2765" s="2"/>
      <c r="B2765" s="65" t="str">
        <f t="shared" si="349"/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 t="shared" si="350"/>
        <v/>
      </c>
      <c r="N2765" s="74" t="str">
        <f t="shared" si="351"/>
        <v/>
      </c>
      <c r="O2765" s="73" t="str">
        <f t="shared" si="352"/>
        <v/>
      </c>
      <c r="P2765" s="65" t="str">
        <f t="shared" ca="1" si="353"/>
        <v/>
      </c>
      <c r="Q2765" s="2"/>
      <c r="R2765" s="2"/>
      <c r="S2765" s="1" t="str">
        <f t="shared" si="346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347"/>
        <v>0</v>
      </c>
      <c r="W2765" s="1" t="str">
        <f t="shared" si="348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customHeight="1" x14ac:dyDescent="0.3">
      <c r="A2766" s="2"/>
      <c r="B2766" s="65" t="str">
        <f t="shared" si="349"/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 t="shared" si="350"/>
        <v/>
      </c>
      <c r="N2766" s="74" t="str">
        <f t="shared" si="351"/>
        <v/>
      </c>
      <c r="O2766" s="73" t="str">
        <f t="shared" si="352"/>
        <v/>
      </c>
      <c r="P2766" s="65" t="str">
        <f t="shared" ca="1" si="353"/>
        <v/>
      </c>
      <c r="Q2766" s="2"/>
      <c r="R2766" s="2"/>
      <c r="S2766" s="1" t="str">
        <f t="shared" si="346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347"/>
        <v>0</v>
      </c>
      <c r="W2766" s="1" t="str">
        <f t="shared" si="348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customHeight="1" x14ac:dyDescent="0.3">
      <c r="A2767" s="2"/>
      <c r="B2767" s="65" t="str">
        <f t="shared" si="349"/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 t="shared" si="350"/>
        <v/>
      </c>
      <c r="N2767" s="74" t="str">
        <f t="shared" si="351"/>
        <v/>
      </c>
      <c r="O2767" s="73" t="str">
        <f t="shared" si="352"/>
        <v/>
      </c>
      <c r="P2767" s="65" t="str">
        <f t="shared" ca="1" si="353"/>
        <v/>
      </c>
      <c r="Q2767" s="2"/>
      <c r="R2767" s="2"/>
      <c r="S2767" s="1" t="str">
        <f t="shared" si="346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347"/>
        <v>0</v>
      </c>
      <c r="W2767" s="1" t="str">
        <f t="shared" si="348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customHeight="1" x14ac:dyDescent="0.3">
      <c r="A2768" s="2"/>
      <c r="B2768" s="65" t="str">
        <f t="shared" si="349"/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 t="shared" si="350"/>
        <v/>
      </c>
      <c r="N2768" s="74" t="str">
        <f t="shared" si="351"/>
        <v/>
      </c>
      <c r="O2768" s="73" t="str">
        <f t="shared" si="352"/>
        <v/>
      </c>
      <c r="P2768" s="65" t="str">
        <f t="shared" ca="1" si="353"/>
        <v/>
      </c>
      <c r="Q2768" s="2"/>
      <c r="R2768" s="2"/>
      <c r="S2768" s="1" t="str">
        <f t="shared" si="346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347"/>
        <v>0</v>
      </c>
      <c r="W2768" s="1" t="str">
        <f t="shared" si="348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customHeight="1" x14ac:dyDescent="0.3">
      <c r="A2769" s="2"/>
      <c r="B2769" s="65" t="str">
        <f t="shared" si="349"/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 t="shared" si="350"/>
        <v/>
      </c>
      <c r="N2769" s="74" t="str">
        <f t="shared" si="351"/>
        <v/>
      </c>
      <c r="O2769" s="73" t="str">
        <f t="shared" si="352"/>
        <v/>
      </c>
      <c r="P2769" s="65" t="str">
        <f t="shared" ca="1" si="353"/>
        <v/>
      </c>
      <c r="Q2769" s="2"/>
      <c r="R2769" s="2"/>
      <c r="S2769" s="1" t="str">
        <f t="shared" si="346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347"/>
        <v>0</v>
      </c>
      <c r="W2769" s="1" t="str">
        <f t="shared" si="348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customHeight="1" x14ac:dyDescent="0.3">
      <c r="A2770" s="2"/>
      <c r="B2770" s="65" t="str">
        <f t="shared" si="349"/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 t="shared" si="350"/>
        <v/>
      </c>
      <c r="N2770" s="74" t="str">
        <f t="shared" si="351"/>
        <v/>
      </c>
      <c r="O2770" s="73" t="str">
        <f t="shared" si="352"/>
        <v/>
      </c>
      <c r="P2770" s="65" t="str">
        <f t="shared" ca="1" si="353"/>
        <v/>
      </c>
      <c r="Q2770" s="2"/>
      <c r="R2770" s="2"/>
      <c r="S2770" s="1" t="str">
        <f t="shared" si="346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347"/>
        <v>0</v>
      </c>
      <c r="W2770" s="1" t="str">
        <f t="shared" si="348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customHeight="1" x14ac:dyDescent="0.3">
      <c r="A2771" s="2"/>
      <c r="B2771" s="65" t="str">
        <f t="shared" si="349"/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 t="shared" si="350"/>
        <v/>
      </c>
      <c r="N2771" s="74" t="str">
        <f t="shared" si="351"/>
        <v/>
      </c>
      <c r="O2771" s="73" t="str">
        <f t="shared" si="352"/>
        <v/>
      </c>
      <c r="P2771" s="65" t="str">
        <f t="shared" ca="1" si="353"/>
        <v/>
      </c>
      <c r="Q2771" s="2"/>
      <c r="R2771" s="2"/>
      <c r="S2771" s="1" t="str">
        <f t="shared" si="346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347"/>
        <v>0</v>
      </c>
      <c r="W2771" s="1" t="str">
        <f t="shared" si="348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customHeight="1" x14ac:dyDescent="0.3">
      <c r="A2772" s="2"/>
      <c r="B2772" s="65" t="str">
        <f t="shared" si="349"/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 t="shared" si="350"/>
        <v/>
      </c>
      <c r="N2772" s="74" t="str">
        <f t="shared" si="351"/>
        <v/>
      </c>
      <c r="O2772" s="73" t="str">
        <f t="shared" si="352"/>
        <v/>
      </c>
      <c r="P2772" s="65" t="str">
        <f t="shared" ca="1" si="353"/>
        <v/>
      </c>
      <c r="Q2772" s="2"/>
      <c r="R2772" s="2"/>
      <c r="S2772" s="1" t="str">
        <f t="shared" si="346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347"/>
        <v>0</v>
      </c>
      <c r="W2772" s="1" t="str">
        <f t="shared" si="348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customHeight="1" x14ac:dyDescent="0.3">
      <c r="A2773" s="2"/>
      <c r="B2773" s="65" t="str">
        <f t="shared" si="349"/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 t="shared" si="350"/>
        <v/>
      </c>
      <c r="N2773" s="74" t="str">
        <f t="shared" si="351"/>
        <v/>
      </c>
      <c r="O2773" s="73" t="str">
        <f t="shared" si="352"/>
        <v/>
      </c>
      <c r="P2773" s="65" t="str">
        <f t="shared" ca="1" si="353"/>
        <v/>
      </c>
      <c r="Q2773" s="2"/>
      <c r="R2773" s="2"/>
      <c r="S2773" s="1" t="str">
        <f t="shared" si="346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347"/>
        <v>0</v>
      </c>
      <c r="W2773" s="1" t="str">
        <f t="shared" si="348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customHeight="1" x14ac:dyDescent="0.3">
      <c r="A2774" s="2"/>
      <c r="B2774" s="65" t="str">
        <f t="shared" si="349"/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 t="shared" si="350"/>
        <v/>
      </c>
      <c r="N2774" s="74" t="str">
        <f t="shared" si="351"/>
        <v/>
      </c>
      <c r="O2774" s="73" t="str">
        <f t="shared" si="352"/>
        <v/>
      </c>
      <c r="P2774" s="65" t="str">
        <f t="shared" ca="1" si="353"/>
        <v/>
      </c>
      <c r="Q2774" s="2"/>
      <c r="R2774" s="2"/>
      <c r="S2774" s="1" t="str">
        <f t="shared" si="346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347"/>
        <v>0</v>
      </c>
      <c r="W2774" s="1" t="str">
        <f t="shared" si="348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customHeight="1" x14ac:dyDescent="0.3">
      <c r="A2775" s="2"/>
      <c r="B2775" s="65" t="str">
        <f t="shared" si="349"/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 t="shared" si="350"/>
        <v/>
      </c>
      <c r="N2775" s="74" t="str">
        <f t="shared" si="351"/>
        <v/>
      </c>
      <c r="O2775" s="73" t="str">
        <f t="shared" si="352"/>
        <v/>
      </c>
      <c r="P2775" s="65" t="str">
        <f t="shared" ca="1" si="353"/>
        <v/>
      </c>
      <c r="Q2775" s="2"/>
      <c r="R2775" s="2"/>
      <c r="S2775" s="1" t="str">
        <f t="shared" si="346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347"/>
        <v>0</v>
      </c>
      <c r="W2775" s="1" t="str">
        <f t="shared" si="348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customHeight="1" x14ac:dyDescent="0.3">
      <c r="A2776" s="2"/>
      <c r="B2776" s="65" t="str">
        <f t="shared" si="349"/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 t="shared" si="350"/>
        <v/>
      </c>
      <c r="N2776" s="74" t="str">
        <f t="shared" si="351"/>
        <v/>
      </c>
      <c r="O2776" s="73" t="str">
        <f t="shared" si="352"/>
        <v/>
      </c>
      <c r="P2776" s="65" t="str">
        <f t="shared" ca="1" si="353"/>
        <v/>
      </c>
      <c r="Q2776" s="2"/>
      <c r="R2776" s="2"/>
      <c r="S2776" s="1" t="str">
        <f t="shared" si="346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347"/>
        <v>0</v>
      </c>
      <c r="W2776" s="1" t="str">
        <f t="shared" si="348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customHeight="1" x14ac:dyDescent="0.3">
      <c r="A2777" s="2"/>
      <c r="B2777" s="65" t="str">
        <f t="shared" si="349"/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 t="shared" si="350"/>
        <v/>
      </c>
      <c r="N2777" s="74" t="str">
        <f t="shared" si="351"/>
        <v/>
      </c>
      <c r="O2777" s="73" t="str">
        <f t="shared" si="352"/>
        <v/>
      </c>
      <c r="P2777" s="65" t="str">
        <f t="shared" ca="1" si="353"/>
        <v/>
      </c>
      <c r="Q2777" s="2"/>
      <c r="R2777" s="2"/>
      <c r="S2777" s="1" t="str">
        <f t="shared" si="346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347"/>
        <v>0</v>
      </c>
      <c r="W2777" s="1" t="str">
        <f t="shared" si="348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customHeight="1" x14ac:dyDescent="0.3">
      <c r="A2778" s="2"/>
      <c r="B2778" s="65" t="str">
        <f t="shared" si="349"/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 t="shared" si="350"/>
        <v/>
      </c>
      <c r="N2778" s="74" t="str">
        <f t="shared" si="351"/>
        <v/>
      </c>
      <c r="O2778" s="73" t="str">
        <f t="shared" si="352"/>
        <v/>
      </c>
      <c r="P2778" s="65" t="str">
        <f t="shared" ca="1" si="353"/>
        <v/>
      </c>
      <c r="Q2778" s="2"/>
      <c r="R2778" s="2"/>
      <c r="S2778" s="1" t="str">
        <f t="shared" si="346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347"/>
        <v>0</v>
      </c>
      <c r="W2778" s="1" t="str">
        <f t="shared" si="348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customHeight="1" x14ac:dyDescent="0.3">
      <c r="A2779" s="2"/>
      <c r="B2779" s="65" t="str">
        <f t="shared" si="349"/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 t="shared" si="350"/>
        <v/>
      </c>
      <c r="N2779" s="74" t="str">
        <f t="shared" si="351"/>
        <v/>
      </c>
      <c r="O2779" s="73" t="str">
        <f t="shared" si="352"/>
        <v/>
      </c>
      <c r="P2779" s="65" t="str">
        <f t="shared" ca="1" si="353"/>
        <v/>
      </c>
      <c r="Q2779" s="2"/>
      <c r="R2779" s="2"/>
      <c r="S2779" s="1" t="str">
        <f t="shared" si="346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347"/>
        <v>0</v>
      </c>
      <c r="W2779" s="1" t="str">
        <f t="shared" si="348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customHeight="1" x14ac:dyDescent="0.3">
      <c r="A2780" s="2"/>
      <c r="B2780" s="65" t="str">
        <f t="shared" si="349"/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 t="shared" si="350"/>
        <v/>
      </c>
      <c r="N2780" s="74" t="str">
        <f t="shared" si="351"/>
        <v/>
      </c>
      <c r="O2780" s="73" t="str">
        <f t="shared" si="352"/>
        <v/>
      </c>
      <c r="P2780" s="65" t="str">
        <f t="shared" ca="1" si="353"/>
        <v/>
      </c>
      <c r="Q2780" s="2"/>
      <c r="R2780" s="2"/>
      <c r="S2780" s="1" t="str">
        <f t="shared" si="346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347"/>
        <v>0</v>
      </c>
      <c r="W2780" s="1" t="str">
        <f t="shared" si="348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customHeight="1" x14ac:dyDescent="0.3">
      <c r="A2781" s="2"/>
      <c r="B2781" s="65" t="str">
        <f t="shared" si="349"/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 t="shared" si="350"/>
        <v/>
      </c>
      <c r="N2781" s="74" t="str">
        <f t="shared" si="351"/>
        <v/>
      </c>
      <c r="O2781" s="73" t="str">
        <f t="shared" si="352"/>
        <v/>
      </c>
      <c r="P2781" s="65" t="str">
        <f t="shared" ca="1" si="353"/>
        <v/>
      </c>
      <c r="Q2781" s="2"/>
      <c r="R2781" s="2"/>
      <c r="S2781" s="1" t="str">
        <f t="shared" si="346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347"/>
        <v>0</v>
      </c>
      <c r="W2781" s="1" t="str">
        <f t="shared" si="348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customHeight="1" x14ac:dyDescent="0.3">
      <c r="A2782" s="2"/>
      <c r="B2782" s="65" t="str">
        <f t="shared" si="349"/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 t="shared" si="350"/>
        <v/>
      </c>
      <c r="N2782" s="74" t="str">
        <f t="shared" si="351"/>
        <v/>
      </c>
      <c r="O2782" s="73" t="str">
        <f t="shared" si="352"/>
        <v/>
      </c>
      <c r="P2782" s="65" t="str">
        <f t="shared" ca="1" si="353"/>
        <v/>
      </c>
      <c r="Q2782" s="2"/>
      <c r="R2782" s="2"/>
      <c r="S2782" s="1" t="str">
        <f t="shared" si="346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347"/>
        <v>0</v>
      </c>
      <c r="W2782" s="1" t="str">
        <f t="shared" si="348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customHeight="1" x14ac:dyDescent="0.3">
      <c r="A2783" s="2"/>
      <c r="B2783" s="65" t="str">
        <f t="shared" si="349"/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 t="shared" si="350"/>
        <v/>
      </c>
      <c r="N2783" s="74" t="str">
        <f t="shared" si="351"/>
        <v/>
      </c>
      <c r="O2783" s="73" t="str">
        <f t="shared" si="352"/>
        <v/>
      </c>
      <c r="P2783" s="65" t="str">
        <f t="shared" ca="1" si="353"/>
        <v/>
      </c>
      <c r="Q2783" s="2"/>
      <c r="R2783" s="2"/>
      <c r="S2783" s="1" t="str">
        <f t="shared" si="346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347"/>
        <v>0</v>
      </c>
      <c r="W2783" s="1" t="str">
        <f t="shared" si="348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customHeight="1" x14ac:dyDescent="0.3">
      <c r="A2784" s="2"/>
      <c r="B2784" s="65" t="str">
        <f t="shared" si="349"/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 t="shared" si="350"/>
        <v/>
      </c>
      <c r="N2784" s="74" t="str">
        <f t="shared" si="351"/>
        <v/>
      </c>
      <c r="O2784" s="73" t="str">
        <f t="shared" si="352"/>
        <v/>
      </c>
      <c r="P2784" s="65" t="str">
        <f t="shared" ca="1" si="353"/>
        <v/>
      </c>
      <c r="Q2784" s="2"/>
      <c r="R2784" s="2"/>
      <c r="S2784" s="1" t="str">
        <f t="shared" si="346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347"/>
        <v>0</v>
      </c>
      <c r="W2784" s="1" t="str">
        <f t="shared" si="348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customHeight="1" x14ac:dyDescent="0.3">
      <c r="A2785" s="2"/>
      <c r="B2785" s="65" t="str">
        <f t="shared" si="349"/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 t="shared" si="350"/>
        <v/>
      </c>
      <c r="N2785" s="74" t="str">
        <f t="shared" si="351"/>
        <v/>
      </c>
      <c r="O2785" s="73" t="str">
        <f t="shared" si="352"/>
        <v/>
      </c>
      <c r="P2785" s="65" t="str">
        <f t="shared" ca="1" si="353"/>
        <v/>
      </c>
      <c r="Q2785" s="2"/>
      <c r="R2785" s="2"/>
      <c r="S2785" s="1" t="str">
        <f t="shared" si="346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347"/>
        <v>0</v>
      </c>
      <c r="W2785" s="1" t="str">
        <f t="shared" si="348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customHeight="1" x14ac:dyDescent="0.3">
      <c r="A2786" s="2"/>
      <c r="B2786" s="65" t="str">
        <f t="shared" si="349"/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 t="shared" si="350"/>
        <v/>
      </c>
      <c r="N2786" s="74" t="str">
        <f t="shared" si="351"/>
        <v/>
      </c>
      <c r="O2786" s="73" t="str">
        <f t="shared" si="352"/>
        <v/>
      </c>
      <c r="P2786" s="65" t="str">
        <f t="shared" ca="1" si="353"/>
        <v/>
      </c>
      <c r="Q2786" s="2"/>
      <c r="R2786" s="2"/>
      <c r="S2786" s="1" t="str">
        <f t="shared" si="346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347"/>
        <v>0</v>
      </c>
      <c r="W2786" s="1" t="str">
        <f t="shared" si="348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customHeight="1" x14ac:dyDescent="0.3">
      <c r="A2787" s="2"/>
      <c r="B2787" s="65" t="str">
        <f t="shared" si="349"/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 t="shared" si="350"/>
        <v/>
      </c>
      <c r="N2787" s="74" t="str">
        <f t="shared" si="351"/>
        <v/>
      </c>
      <c r="O2787" s="73" t="str">
        <f t="shared" si="352"/>
        <v/>
      </c>
      <c r="P2787" s="65" t="str">
        <f t="shared" ca="1" si="353"/>
        <v/>
      </c>
      <c r="Q2787" s="2"/>
      <c r="R2787" s="2"/>
      <c r="S2787" s="1" t="str">
        <f t="shared" si="346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347"/>
        <v>0</v>
      </c>
      <c r="W2787" s="1" t="str">
        <f t="shared" si="348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customHeight="1" x14ac:dyDescent="0.3">
      <c r="A2788" s="2"/>
      <c r="B2788" s="65" t="str">
        <f t="shared" si="349"/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 t="shared" si="350"/>
        <v/>
      </c>
      <c r="N2788" s="74" t="str">
        <f t="shared" si="351"/>
        <v/>
      </c>
      <c r="O2788" s="73" t="str">
        <f t="shared" si="352"/>
        <v/>
      </c>
      <c r="P2788" s="65" t="str">
        <f t="shared" ca="1" si="353"/>
        <v/>
      </c>
      <c r="Q2788" s="2"/>
      <c r="R2788" s="2"/>
      <c r="S2788" s="1" t="str">
        <f t="shared" si="346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347"/>
        <v>0</v>
      </c>
      <c r="W2788" s="1" t="str">
        <f t="shared" si="348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customHeight="1" x14ac:dyDescent="0.3">
      <c r="A2789" s="2"/>
      <c r="B2789" s="65" t="str">
        <f t="shared" si="349"/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 t="shared" si="350"/>
        <v/>
      </c>
      <c r="N2789" s="74" t="str">
        <f t="shared" si="351"/>
        <v/>
      </c>
      <c r="O2789" s="73" t="str">
        <f t="shared" si="352"/>
        <v/>
      </c>
      <c r="P2789" s="65" t="str">
        <f t="shared" ca="1" si="353"/>
        <v/>
      </c>
      <c r="Q2789" s="2"/>
      <c r="R2789" s="2"/>
      <c r="S2789" s="1" t="str">
        <f t="shared" si="346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347"/>
        <v>0</v>
      </c>
      <c r="W2789" s="1" t="str">
        <f t="shared" si="348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customHeight="1" x14ac:dyDescent="0.3">
      <c r="A2790" s="2"/>
      <c r="B2790" s="65" t="str">
        <f t="shared" si="349"/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 t="shared" si="350"/>
        <v/>
      </c>
      <c r="N2790" s="74" t="str">
        <f t="shared" si="351"/>
        <v/>
      </c>
      <c r="O2790" s="73" t="str">
        <f t="shared" si="352"/>
        <v/>
      </c>
      <c r="P2790" s="65" t="str">
        <f t="shared" ca="1" si="353"/>
        <v/>
      </c>
      <c r="Q2790" s="2"/>
      <c r="R2790" s="2"/>
      <c r="S2790" s="1" t="str">
        <f t="shared" si="346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347"/>
        <v>0</v>
      </c>
      <c r="W2790" s="1" t="str">
        <f t="shared" si="348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customHeight="1" x14ac:dyDescent="0.3">
      <c r="A2791" s="2"/>
      <c r="B2791" s="65" t="str">
        <f t="shared" si="349"/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 t="shared" si="350"/>
        <v/>
      </c>
      <c r="N2791" s="74" t="str">
        <f t="shared" si="351"/>
        <v/>
      </c>
      <c r="O2791" s="73" t="str">
        <f t="shared" si="352"/>
        <v/>
      </c>
      <c r="P2791" s="65" t="str">
        <f t="shared" ca="1" si="353"/>
        <v/>
      </c>
      <c r="Q2791" s="2"/>
      <c r="R2791" s="2"/>
      <c r="S2791" s="1" t="str">
        <f t="shared" si="346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347"/>
        <v>0</v>
      </c>
      <c r="W2791" s="1" t="str">
        <f t="shared" si="348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customHeight="1" x14ac:dyDescent="0.3">
      <c r="A2792" s="2"/>
      <c r="B2792" s="65" t="str">
        <f t="shared" si="349"/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 t="shared" si="350"/>
        <v/>
      </c>
      <c r="N2792" s="74" t="str">
        <f t="shared" si="351"/>
        <v/>
      </c>
      <c r="O2792" s="73" t="str">
        <f t="shared" si="352"/>
        <v/>
      </c>
      <c r="P2792" s="65" t="str">
        <f t="shared" ca="1" si="353"/>
        <v/>
      </c>
      <c r="Q2792" s="2"/>
      <c r="R2792" s="2"/>
      <c r="S2792" s="1" t="str">
        <f t="shared" si="346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347"/>
        <v>0</v>
      </c>
      <c r="W2792" s="1" t="str">
        <f t="shared" si="348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customHeight="1" x14ac:dyDescent="0.3">
      <c r="A2793" s="2"/>
      <c r="B2793" s="65" t="str">
        <f t="shared" si="349"/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 t="shared" si="350"/>
        <v/>
      </c>
      <c r="N2793" s="74" t="str">
        <f t="shared" si="351"/>
        <v/>
      </c>
      <c r="O2793" s="73" t="str">
        <f t="shared" si="352"/>
        <v/>
      </c>
      <c r="P2793" s="65" t="str">
        <f t="shared" ca="1" si="353"/>
        <v/>
      </c>
      <c r="Q2793" s="2"/>
      <c r="R2793" s="2"/>
      <c r="S2793" s="1" t="str">
        <f t="shared" si="346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347"/>
        <v>0</v>
      </c>
      <c r="W2793" s="1" t="str">
        <f t="shared" si="348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customHeight="1" x14ac:dyDescent="0.3">
      <c r="A2794" s="2"/>
      <c r="B2794" s="65" t="str">
        <f t="shared" si="349"/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 t="shared" si="350"/>
        <v/>
      </c>
      <c r="N2794" s="74" t="str">
        <f t="shared" si="351"/>
        <v/>
      </c>
      <c r="O2794" s="73" t="str">
        <f t="shared" si="352"/>
        <v/>
      </c>
      <c r="P2794" s="65" t="str">
        <f t="shared" ca="1" si="353"/>
        <v/>
      </c>
      <c r="Q2794" s="2"/>
      <c r="R2794" s="2"/>
      <c r="S2794" s="1" t="str">
        <f t="shared" si="346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347"/>
        <v>0</v>
      </c>
      <c r="W2794" s="1" t="str">
        <f t="shared" si="348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customHeight="1" x14ac:dyDescent="0.3">
      <c r="A2795" s="2"/>
      <c r="B2795" s="65" t="str">
        <f t="shared" si="349"/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 t="shared" si="350"/>
        <v/>
      </c>
      <c r="N2795" s="74" t="str">
        <f t="shared" si="351"/>
        <v/>
      </c>
      <c r="O2795" s="73" t="str">
        <f t="shared" si="352"/>
        <v/>
      </c>
      <c r="P2795" s="65" t="str">
        <f t="shared" ca="1" si="353"/>
        <v/>
      </c>
      <c r="Q2795" s="2"/>
      <c r="R2795" s="2"/>
      <c r="S2795" s="1" t="str">
        <f t="shared" si="346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347"/>
        <v>0</v>
      </c>
      <c r="W2795" s="1" t="str">
        <f t="shared" si="348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customHeight="1" x14ac:dyDescent="0.3">
      <c r="A2796" s="2"/>
      <c r="B2796" s="65" t="str">
        <f t="shared" si="349"/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 t="shared" si="350"/>
        <v/>
      </c>
      <c r="N2796" s="74" t="str">
        <f t="shared" si="351"/>
        <v/>
      </c>
      <c r="O2796" s="73" t="str">
        <f t="shared" si="352"/>
        <v/>
      </c>
      <c r="P2796" s="65" t="str">
        <f t="shared" ca="1" si="353"/>
        <v/>
      </c>
      <c r="Q2796" s="2"/>
      <c r="R2796" s="2"/>
      <c r="S2796" s="1" t="str">
        <f t="shared" si="346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347"/>
        <v>0</v>
      </c>
      <c r="W2796" s="1" t="str">
        <f t="shared" si="348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customHeight="1" x14ac:dyDescent="0.3">
      <c r="A2797" s="2"/>
      <c r="B2797" s="65" t="str">
        <f t="shared" si="349"/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 t="shared" si="350"/>
        <v/>
      </c>
      <c r="N2797" s="74" t="str">
        <f t="shared" si="351"/>
        <v/>
      </c>
      <c r="O2797" s="73" t="str">
        <f t="shared" si="352"/>
        <v/>
      </c>
      <c r="P2797" s="65" t="str">
        <f t="shared" ca="1" si="353"/>
        <v/>
      </c>
      <c r="Q2797" s="2"/>
      <c r="R2797" s="2"/>
      <c r="S2797" s="1" t="str">
        <f t="shared" si="346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347"/>
        <v>0</v>
      </c>
      <c r="W2797" s="1" t="str">
        <f t="shared" si="348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customHeight="1" x14ac:dyDescent="0.3">
      <c r="A2798" s="2"/>
      <c r="B2798" s="65" t="str">
        <f t="shared" si="349"/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 t="shared" si="350"/>
        <v/>
      </c>
      <c r="N2798" s="74" t="str">
        <f t="shared" si="351"/>
        <v/>
      </c>
      <c r="O2798" s="73" t="str">
        <f t="shared" si="352"/>
        <v/>
      </c>
      <c r="P2798" s="65" t="str">
        <f t="shared" ca="1" si="353"/>
        <v/>
      </c>
      <c r="Q2798" s="2"/>
      <c r="R2798" s="2"/>
      <c r="S2798" s="1" t="str">
        <f t="shared" si="346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347"/>
        <v>0</v>
      </c>
      <c r="W2798" s="1" t="str">
        <f t="shared" si="348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customHeight="1" x14ac:dyDescent="0.3">
      <c r="A2799" s="2"/>
      <c r="B2799" s="65" t="str">
        <f t="shared" si="349"/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 t="shared" si="350"/>
        <v/>
      </c>
      <c r="N2799" s="74" t="str">
        <f t="shared" si="351"/>
        <v/>
      </c>
      <c r="O2799" s="73" t="str">
        <f t="shared" si="352"/>
        <v/>
      </c>
      <c r="P2799" s="65" t="str">
        <f t="shared" ca="1" si="353"/>
        <v/>
      </c>
      <c r="Q2799" s="2"/>
      <c r="R2799" s="2"/>
      <c r="S2799" s="1" t="str">
        <f t="shared" si="346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347"/>
        <v>0</v>
      </c>
      <c r="W2799" s="1" t="str">
        <f t="shared" si="348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customHeight="1" x14ac:dyDescent="0.3">
      <c r="A2800" s="2"/>
      <c r="B2800" s="65" t="str">
        <f t="shared" si="349"/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 t="shared" si="350"/>
        <v/>
      </c>
      <c r="N2800" s="74" t="str">
        <f t="shared" si="351"/>
        <v/>
      </c>
      <c r="O2800" s="73" t="str">
        <f t="shared" si="352"/>
        <v/>
      </c>
      <c r="P2800" s="65" t="str">
        <f t="shared" ca="1" si="353"/>
        <v/>
      </c>
      <c r="Q2800" s="2"/>
      <c r="R2800" s="2"/>
      <c r="S2800" s="1" t="str">
        <f t="shared" si="346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347"/>
        <v>0</v>
      </c>
      <c r="W2800" s="1" t="str">
        <f t="shared" si="348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customHeight="1" x14ac:dyDescent="0.3">
      <c r="A2801" s="2"/>
      <c r="B2801" s="65" t="str">
        <f t="shared" si="349"/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 t="shared" si="350"/>
        <v/>
      </c>
      <c r="N2801" s="74" t="str">
        <f t="shared" si="351"/>
        <v/>
      </c>
      <c r="O2801" s="73" t="str">
        <f t="shared" si="352"/>
        <v/>
      </c>
      <c r="P2801" s="65" t="str">
        <f t="shared" ca="1" si="353"/>
        <v/>
      </c>
      <c r="Q2801" s="2"/>
      <c r="R2801" s="2"/>
      <c r="S2801" s="1" t="str">
        <f t="shared" si="346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347"/>
        <v>0</v>
      </c>
      <c r="W2801" s="1" t="str">
        <f t="shared" si="348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customHeight="1" x14ac:dyDescent="0.3">
      <c r="A2802" s="2"/>
      <c r="B2802" s="65" t="str">
        <f t="shared" si="349"/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 t="shared" si="350"/>
        <v/>
      </c>
      <c r="N2802" s="74" t="str">
        <f t="shared" si="351"/>
        <v/>
      </c>
      <c r="O2802" s="73" t="str">
        <f t="shared" si="352"/>
        <v/>
      </c>
      <c r="P2802" s="65" t="str">
        <f t="shared" ca="1" si="353"/>
        <v/>
      </c>
      <c r="Q2802" s="2"/>
      <c r="R2802" s="2"/>
      <c r="S2802" s="1" t="str">
        <f t="shared" si="346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347"/>
        <v>0</v>
      </c>
      <c r="W2802" s="1" t="str">
        <f t="shared" si="348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customHeight="1" x14ac:dyDescent="0.3">
      <c r="A2803" s="2"/>
      <c r="B2803" s="65" t="str">
        <f t="shared" si="349"/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 t="shared" si="350"/>
        <v/>
      </c>
      <c r="N2803" s="74" t="str">
        <f t="shared" si="351"/>
        <v/>
      </c>
      <c r="O2803" s="73" t="str">
        <f t="shared" si="352"/>
        <v/>
      </c>
      <c r="P2803" s="65" t="str">
        <f t="shared" ca="1" si="353"/>
        <v/>
      </c>
      <c r="Q2803" s="2"/>
      <c r="R2803" s="2"/>
      <c r="S2803" s="1" t="str">
        <f t="shared" si="346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347"/>
        <v>0</v>
      </c>
      <c r="W2803" s="1" t="str">
        <f t="shared" si="348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customHeight="1" x14ac:dyDescent="0.3">
      <c r="A2804" s="2"/>
      <c r="B2804" s="65" t="str">
        <f t="shared" si="349"/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 t="shared" si="350"/>
        <v/>
      </c>
      <c r="N2804" s="74" t="str">
        <f t="shared" si="351"/>
        <v/>
      </c>
      <c r="O2804" s="73" t="str">
        <f t="shared" si="352"/>
        <v/>
      </c>
      <c r="P2804" s="65" t="str">
        <f t="shared" ca="1" si="353"/>
        <v/>
      </c>
      <c r="Q2804" s="2"/>
      <c r="R2804" s="2"/>
      <c r="S2804" s="1" t="str">
        <f t="shared" si="346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347"/>
        <v>0</v>
      </c>
      <c r="W2804" s="1" t="str">
        <f t="shared" si="348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customHeight="1" x14ac:dyDescent="0.3">
      <c r="A2805" s="2"/>
      <c r="B2805" s="65" t="str">
        <f t="shared" si="349"/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 t="shared" si="350"/>
        <v/>
      </c>
      <c r="N2805" s="74" t="str">
        <f t="shared" si="351"/>
        <v/>
      </c>
      <c r="O2805" s="73" t="str">
        <f t="shared" si="352"/>
        <v/>
      </c>
      <c r="P2805" s="65" t="str">
        <f t="shared" ca="1" si="353"/>
        <v/>
      </c>
      <c r="Q2805" s="2"/>
      <c r="R2805" s="2"/>
      <c r="S2805" s="1" t="str">
        <f t="shared" si="346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347"/>
        <v>0</v>
      </c>
      <c r="W2805" s="1" t="str">
        <f t="shared" si="348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customHeight="1" x14ac:dyDescent="0.3">
      <c r="A2806" s="2"/>
      <c r="B2806" s="65" t="str">
        <f t="shared" si="349"/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 t="shared" si="350"/>
        <v/>
      </c>
      <c r="N2806" s="74" t="str">
        <f t="shared" si="351"/>
        <v/>
      </c>
      <c r="O2806" s="73" t="str">
        <f t="shared" si="352"/>
        <v/>
      </c>
      <c r="P2806" s="65" t="str">
        <f t="shared" ca="1" si="353"/>
        <v/>
      </c>
      <c r="Q2806" s="2"/>
      <c r="R2806" s="2"/>
      <c r="S2806" s="1" t="str">
        <f t="shared" si="346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347"/>
        <v>0</v>
      </c>
      <c r="W2806" s="1" t="str">
        <f t="shared" si="348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customHeight="1" x14ac:dyDescent="0.3">
      <c r="A2807" s="2"/>
      <c r="B2807" s="65" t="str">
        <f t="shared" si="349"/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 t="shared" si="350"/>
        <v/>
      </c>
      <c r="N2807" s="74" t="str">
        <f t="shared" si="351"/>
        <v/>
      </c>
      <c r="O2807" s="73" t="str">
        <f t="shared" si="352"/>
        <v/>
      </c>
      <c r="P2807" s="65" t="str">
        <f t="shared" ca="1" si="353"/>
        <v/>
      </c>
      <c r="Q2807" s="2"/>
      <c r="R2807" s="2"/>
      <c r="S2807" s="1" t="str">
        <f t="shared" si="346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347"/>
        <v>0</v>
      </c>
      <c r="W2807" s="1" t="str">
        <f t="shared" si="348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customHeight="1" x14ac:dyDescent="0.3">
      <c r="A2808" s="2"/>
      <c r="B2808" s="65" t="str">
        <f t="shared" si="349"/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 t="shared" si="350"/>
        <v/>
      </c>
      <c r="N2808" s="74" t="str">
        <f t="shared" si="351"/>
        <v/>
      </c>
      <c r="O2808" s="73" t="str">
        <f t="shared" si="352"/>
        <v/>
      </c>
      <c r="P2808" s="65" t="str">
        <f t="shared" ca="1" si="353"/>
        <v/>
      </c>
      <c r="Q2808" s="2"/>
      <c r="R2808" s="2"/>
      <c r="S2808" s="1" t="str">
        <f t="shared" si="346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347"/>
        <v>0</v>
      </c>
      <c r="W2808" s="1" t="str">
        <f t="shared" si="348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customHeight="1" x14ac:dyDescent="0.3">
      <c r="A2809" s="2"/>
      <c r="B2809" s="65" t="str">
        <f t="shared" si="349"/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 t="shared" si="350"/>
        <v/>
      </c>
      <c r="N2809" s="74" t="str">
        <f t="shared" si="351"/>
        <v/>
      </c>
      <c r="O2809" s="73" t="str">
        <f t="shared" si="352"/>
        <v/>
      </c>
      <c r="P2809" s="65" t="str">
        <f t="shared" ca="1" si="353"/>
        <v/>
      </c>
      <c r="Q2809" s="2"/>
      <c r="R2809" s="2"/>
      <c r="S2809" s="1" t="str">
        <f t="shared" si="346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347"/>
        <v>0</v>
      </c>
      <c r="W2809" s="1" t="str">
        <f t="shared" si="348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customHeight="1" x14ac:dyDescent="0.3">
      <c r="A2810" s="2"/>
      <c r="B2810" s="65" t="str">
        <f t="shared" si="349"/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 t="shared" si="350"/>
        <v/>
      </c>
      <c r="N2810" s="74" t="str">
        <f t="shared" si="351"/>
        <v/>
      </c>
      <c r="O2810" s="73" t="str">
        <f t="shared" si="352"/>
        <v/>
      </c>
      <c r="P2810" s="65" t="str">
        <f t="shared" ca="1" si="353"/>
        <v/>
      </c>
      <c r="Q2810" s="2"/>
      <c r="R2810" s="2"/>
      <c r="S2810" s="1" t="str">
        <f t="shared" si="346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347"/>
        <v>0</v>
      </c>
      <c r="W2810" s="1" t="str">
        <f t="shared" si="348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customHeight="1" x14ac:dyDescent="0.3">
      <c r="A2811" s="2"/>
      <c r="B2811" s="65" t="str">
        <f t="shared" si="349"/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 t="shared" si="350"/>
        <v/>
      </c>
      <c r="N2811" s="74" t="str">
        <f t="shared" si="351"/>
        <v/>
      </c>
      <c r="O2811" s="73" t="str">
        <f t="shared" si="352"/>
        <v/>
      </c>
      <c r="P2811" s="65" t="str">
        <f t="shared" ca="1" si="353"/>
        <v/>
      </c>
      <c r="Q2811" s="2"/>
      <c r="R2811" s="2"/>
      <c r="S2811" s="1" t="str">
        <f t="shared" si="346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347"/>
        <v>0</v>
      </c>
      <c r="W2811" s="1" t="str">
        <f t="shared" si="348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customHeight="1" x14ac:dyDescent="0.3">
      <c r="A2812" s="2"/>
      <c r="B2812" s="65" t="str">
        <f t="shared" si="349"/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 t="shared" si="350"/>
        <v/>
      </c>
      <c r="N2812" s="74" t="str">
        <f t="shared" si="351"/>
        <v/>
      </c>
      <c r="O2812" s="73" t="str">
        <f t="shared" si="352"/>
        <v/>
      </c>
      <c r="P2812" s="65" t="str">
        <f t="shared" ca="1" si="353"/>
        <v/>
      </c>
      <c r="Q2812" s="2"/>
      <c r="R2812" s="2"/>
      <c r="S2812" s="1" t="str">
        <f t="shared" si="346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347"/>
        <v>0</v>
      </c>
      <c r="W2812" s="1" t="str">
        <f t="shared" si="348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customHeight="1" x14ac:dyDescent="0.3">
      <c r="A2813" s="2"/>
      <c r="B2813" s="65" t="str">
        <f t="shared" si="349"/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 t="shared" si="350"/>
        <v/>
      </c>
      <c r="N2813" s="74" t="str">
        <f t="shared" si="351"/>
        <v/>
      </c>
      <c r="O2813" s="73" t="str">
        <f t="shared" si="352"/>
        <v/>
      </c>
      <c r="P2813" s="65" t="str">
        <f t="shared" ca="1" si="353"/>
        <v/>
      </c>
      <c r="Q2813" s="2"/>
      <c r="R2813" s="2"/>
      <c r="S2813" s="1" t="str">
        <f t="shared" si="346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347"/>
        <v>0</v>
      </c>
      <c r="W2813" s="1" t="str">
        <f t="shared" si="348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customHeight="1" x14ac:dyDescent="0.3">
      <c r="A2814" s="2"/>
      <c r="B2814" s="65" t="str">
        <f t="shared" si="349"/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 t="shared" si="350"/>
        <v/>
      </c>
      <c r="N2814" s="74" t="str">
        <f t="shared" si="351"/>
        <v/>
      </c>
      <c r="O2814" s="73" t="str">
        <f t="shared" si="352"/>
        <v/>
      </c>
      <c r="P2814" s="65" t="str">
        <f t="shared" ca="1" si="353"/>
        <v/>
      </c>
      <c r="Q2814" s="2"/>
      <c r="R2814" s="2"/>
      <c r="S2814" s="1" t="str">
        <f t="shared" si="346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347"/>
        <v>0</v>
      </c>
      <c r="W2814" s="1" t="str">
        <f t="shared" si="348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customHeight="1" x14ac:dyDescent="0.3">
      <c r="A2815" s="2"/>
      <c r="B2815" s="65" t="str">
        <f t="shared" si="349"/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 t="shared" si="350"/>
        <v/>
      </c>
      <c r="N2815" s="74" t="str">
        <f t="shared" si="351"/>
        <v/>
      </c>
      <c r="O2815" s="73" t="str">
        <f t="shared" si="352"/>
        <v/>
      </c>
      <c r="P2815" s="65" t="str">
        <f t="shared" ca="1" si="353"/>
        <v/>
      </c>
      <c r="Q2815" s="2"/>
      <c r="R2815" s="2"/>
      <c r="S2815" s="1" t="str">
        <f t="shared" si="346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347"/>
        <v>0</v>
      </c>
      <c r="W2815" s="1" t="str">
        <f t="shared" si="348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customHeight="1" x14ac:dyDescent="0.3">
      <c r="A2816" s="2"/>
      <c r="B2816" s="65" t="str">
        <f t="shared" si="349"/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 t="shared" si="350"/>
        <v/>
      </c>
      <c r="N2816" s="74" t="str">
        <f t="shared" si="351"/>
        <v/>
      </c>
      <c r="O2816" s="73" t="str">
        <f t="shared" si="352"/>
        <v/>
      </c>
      <c r="P2816" s="65" t="str">
        <f t="shared" ca="1" si="353"/>
        <v/>
      </c>
      <c r="Q2816" s="2"/>
      <c r="R2816" s="2"/>
      <c r="S2816" s="1" t="str">
        <f t="shared" si="346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347"/>
        <v>0</v>
      </c>
      <c r="W2816" s="1" t="str">
        <f t="shared" si="348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customHeight="1" x14ac:dyDescent="0.3">
      <c r="A2817" s="2"/>
      <c r="B2817" s="65" t="str">
        <f t="shared" si="349"/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 t="shared" si="350"/>
        <v/>
      </c>
      <c r="N2817" s="74" t="str">
        <f t="shared" si="351"/>
        <v/>
      </c>
      <c r="O2817" s="73" t="str">
        <f t="shared" si="352"/>
        <v/>
      </c>
      <c r="P2817" s="65" t="str">
        <f t="shared" ca="1" si="353"/>
        <v/>
      </c>
      <c r="Q2817" s="2"/>
      <c r="R2817" s="2"/>
      <c r="S2817" s="1" t="str">
        <f t="shared" si="346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347"/>
        <v>0</v>
      </c>
      <c r="W2817" s="1" t="str">
        <f t="shared" si="348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customHeight="1" x14ac:dyDescent="0.3">
      <c r="A2818" s="2"/>
      <c r="B2818" s="65" t="str">
        <f t="shared" si="349"/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 t="shared" si="350"/>
        <v/>
      </c>
      <c r="N2818" s="74" t="str">
        <f t="shared" si="351"/>
        <v/>
      </c>
      <c r="O2818" s="73" t="str">
        <f t="shared" si="352"/>
        <v/>
      </c>
      <c r="P2818" s="65" t="str">
        <f t="shared" ca="1" si="353"/>
        <v/>
      </c>
      <c r="Q2818" s="2"/>
      <c r="R2818" s="2"/>
      <c r="S2818" s="1" t="str">
        <f t="shared" si="346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347"/>
        <v>0</v>
      </c>
      <c r="W2818" s="1" t="str">
        <f t="shared" si="348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customHeight="1" x14ac:dyDescent="0.3">
      <c r="A2819" s="2"/>
      <c r="B2819" s="65" t="str">
        <f t="shared" si="349"/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 t="shared" si="350"/>
        <v/>
      </c>
      <c r="N2819" s="74" t="str">
        <f t="shared" si="351"/>
        <v/>
      </c>
      <c r="O2819" s="73" t="str">
        <f t="shared" si="352"/>
        <v/>
      </c>
      <c r="P2819" s="65" t="str">
        <f t="shared" ca="1" si="353"/>
        <v/>
      </c>
      <c r="Q2819" s="2"/>
      <c r="R2819" s="2"/>
      <c r="S2819" s="1" t="str">
        <f t="shared" si="346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347"/>
        <v>0</v>
      </c>
      <c r="W2819" s="1" t="str">
        <f t="shared" si="348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customHeight="1" x14ac:dyDescent="0.3">
      <c r="A2820" s="2"/>
      <c r="B2820" s="65" t="str">
        <f t="shared" si="349"/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 t="shared" si="350"/>
        <v/>
      </c>
      <c r="N2820" s="74" t="str">
        <f t="shared" si="351"/>
        <v/>
      </c>
      <c r="O2820" s="73" t="str">
        <f t="shared" si="352"/>
        <v/>
      </c>
      <c r="P2820" s="65" t="str">
        <f t="shared" ca="1" si="353"/>
        <v/>
      </c>
      <c r="Q2820" s="2"/>
      <c r="R2820" s="2"/>
      <c r="S2820" s="1" t="str">
        <f t="shared" si="346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347"/>
        <v>0</v>
      </c>
      <c r="W2820" s="1" t="str">
        <f t="shared" si="348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customHeight="1" x14ac:dyDescent="0.3">
      <c r="A2821" s="2"/>
      <c r="B2821" s="65" t="str">
        <f t="shared" si="349"/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 t="shared" si="350"/>
        <v/>
      </c>
      <c r="N2821" s="74" t="str">
        <f t="shared" si="351"/>
        <v/>
      </c>
      <c r="O2821" s="73" t="str">
        <f t="shared" si="352"/>
        <v/>
      </c>
      <c r="P2821" s="65" t="str">
        <f t="shared" ca="1" si="353"/>
        <v/>
      </c>
      <c r="Q2821" s="2"/>
      <c r="R2821" s="2"/>
      <c r="S2821" s="1" t="str">
        <f t="shared" ref="S2821:S2884" si="354"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ref="V2821:V2884" si="355">IF($T2821="",0,1)</f>
        <v>0</v>
      </c>
      <c r="W2821" s="1" t="str">
        <f t="shared" ref="W2821:W2884" si="356">IF($C2821="","",$D2821&amp;"|"&amp;$E2821&amp;"|"&amp;TEXT($C2821,"0")&amp;"|"&amp;TEXT($G2821,"0")&amp;"|"&amp;$F2821&amp;"|"&amp;$J2821)</f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customHeight="1" x14ac:dyDescent="0.3">
      <c r="A2822" s="2"/>
      <c r="B2822" s="65" t="str">
        <f t="shared" si="349"/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 t="shared" si="350"/>
        <v/>
      </c>
      <c r="N2822" s="74" t="str">
        <f t="shared" si="351"/>
        <v/>
      </c>
      <c r="O2822" s="73" t="str">
        <f t="shared" si="352"/>
        <v/>
      </c>
      <c r="P2822" s="65" t="str">
        <f t="shared" ca="1" si="353"/>
        <v/>
      </c>
      <c r="Q2822" s="2"/>
      <c r="R2822" s="2"/>
      <c r="S2822" s="1" t="str">
        <f t="shared" si="354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355"/>
        <v>0</v>
      </c>
      <c r="W2822" s="1" t="str">
        <f t="shared" si="356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customHeight="1" x14ac:dyDescent="0.3">
      <c r="A2823" s="2"/>
      <c r="B2823" s="65" t="str">
        <f t="shared" ref="B2823:B2886" si="357"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 t="shared" ref="M2823:M2886" si="358">IF($C2823="","",IF($D2823="Gider",$E2823,IF($L2823&lt;&gt;"",$L2823,$H2823)))</f>
        <v/>
      </c>
      <c r="N2823" s="74" t="str">
        <f t="shared" ref="N2823:N2886" si="359">IF($C2823="","",IF($D2823="Gider",$H2823,$E2823))</f>
        <v/>
      </c>
      <c r="O2823" s="73" t="str">
        <f t="shared" ref="O2823:O2886" si="360">IF($C2823="","",DATE(YEAR($C2823),MONTH($C2823),1))</f>
        <v/>
      </c>
      <c r="P2823" s="65" t="str">
        <f t="shared" ref="P2823:P2886" ca="1" si="361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TARİH",IF(COUNTIF($W$7:$W$3001,$W2823)&gt;1,"MÜKERRER?",IF($AD2823&gt;0,"KAPALI DÖNEM",IF($I2823="Hayır","ÖDENECEK","UYGUN")))),"EKSİK"))))</f>
        <v/>
      </c>
      <c r="Q2823" s="2"/>
      <c r="R2823" s="2"/>
      <c r="S2823" s="1" t="str">
        <f t="shared" si="354"/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si="355"/>
        <v>0</v>
      </c>
      <c r="W2823" s="1" t="str">
        <f t="shared" si="356"/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customHeight="1" x14ac:dyDescent="0.3">
      <c r="A2824" s="2"/>
      <c r="B2824" s="65" t="str">
        <f t="shared" si="357"/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 t="shared" si="358"/>
        <v/>
      </c>
      <c r="N2824" s="74" t="str">
        <f t="shared" si="359"/>
        <v/>
      </c>
      <c r="O2824" s="73" t="str">
        <f t="shared" si="360"/>
        <v/>
      </c>
      <c r="P2824" s="65" t="str">
        <f t="shared" ca="1" si="361"/>
        <v/>
      </c>
      <c r="Q2824" s="2"/>
      <c r="R2824" s="2"/>
      <c r="S2824" s="1" t="str">
        <f t="shared" si="354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355"/>
        <v>0</v>
      </c>
      <c r="W2824" s="1" t="str">
        <f t="shared" si="356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customHeight="1" x14ac:dyDescent="0.3">
      <c r="A2825" s="2"/>
      <c r="B2825" s="65" t="str">
        <f t="shared" si="357"/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 t="shared" si="358"/>
        <v/>
      </c>
      <c r="N2825" s="74" t="str">
        <f t="shared" si="359"/>
        <v/>
      </c>
      <c r="O2825" s="73" t="str">
        <f t="shared" si="360"/>
        <v/>
      </c>
      <c r="P2825" s="65" t="str">
        <f t="shared" ca="1" si="361"/>
        <v/>
      </c>
      <c r="Q2825" s="2"/>
      <c r="R2825" s="2"/>
      <c r="S2825" s="1" t="str">
        <f t="shared" si="354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355"/>
        <v>0</v>
      </c>
      <c r="W2825" s="1" t="str">
        <f t="shared" si="356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customHeight="1" x14ac:dyDescent="0.3">
      <c r="A2826" s="2"/>
      <c r="B2826" s="65" t="str">
        <f t="shared" si="357"/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 t="shared" si="358"/>
        <v/>
      </c>
      <c r="N2826" s="74" t="str">
        <f t="shared" si="359"/>
        <v/>
      </c>
      <c r="O2826" s="73" t="str">
        <f t="shared" si="360"/>
        <v/>
      </c>
      <c r="P2826" s="65" t="str">
        <f t="shared" ca="1" si="361"/>
        <v/>
      </c>
      <c r="Q2826" s="2"/>
      <c r="R2826" s="2"/>
      <c r="S2826" s="1" t="str">
        <f t="shared" si="354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355"/>
        <v>0</v>
      </c>
      <c r="W2826" s="1" t="str">
        <f t="shared" si="356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customHeight="1" x14ac:dyDescent="0.3">
      <c r="A2827" s="2"/>
      <c r="B2827" s="65" t="str">
        <f t="shared" si="357"/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 t="shared" si="358"/>
        <v/>
      </c>
      <c r="N2827" s="74" t="str">
        <f t="shared" si="359"/>
        <v/>
      </c>
      <c r="O2827" s="73" t="str">
        <f t="shared" si="360"/>
        <v/>
      </c>
      <c r="P2827" s="65" t="str">
        <f t="shared" ca="1" si="361"/>
        <v/>
      </c>
      <c r="Q2827" s="2"/>
      <c r="R2827" s="2"/>
      <c r="S2827" s="1" t="str">
        <f t="shared" si="354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355"/>
        <v>0</v>
      </c>
      <c r="W2827" s="1" t="str">
        <f t="shared" si="356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customHeight="1" x14ac:dyDescent="0.3">
      <c r="A2828" s="2"/>
      <c r="B2828" s="65" t="str">
        <f t="shared" si="357"/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 t="shared" si="358"/>
        <v/>
      </c>
      <c r="N2828" s="74" t="str">
        <f t="shared" si="359"/>
        <v/>
      </c>
      <c r="O2828" s="73" t="str">
        <f t="shared" si="360"/>
        <v/>
      </c>
      <c r="P2828" s="65" t="str">
        <f t="shared" ca="1" si="361"/>
        <v/>
      </c>
      <c r="Q2828" s="2"/>
      <c r="R2828" s="2"/>
      <c r="S2828" s="1" t="str">
        <f t="shared" si="354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355"/>
        <v>0</v>
      </c>
      <c r="W2828" s="1" t="str">
        <f t="shared" si="356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customHeight="1" x14ac:dyDescent="0.3">
      <c r="A2829" s="2"/>
      <c r="B2829" s="65" t="str">
        <f t="shared" si="357"/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 t="shared" si="358"/>
        <v/>
      </c>
      <c r="N2829" s="74" t="str">
        <f t="shared" si="359"/>
        <v/>
      </c>
      <c r="O2829" s="73" t="str">
        <f t="shared" si="360"/>
        <v/>
      </c>
      <c r="P2829" s="65" t="str">
        <f t="shared" ca="1" si="361"/>
        <v/>
      </c>
      <c r="Q2829" s="2"/>
      <c r="R2829" s="2"/>
      <c r="S2829" s="1" t="str">
        <f t="shared" si="354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355"/>
        <v>0</v>
      </c>
      <c r="W2829" s="1" t="str">
        <f t="shared" si="356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customHeight="1" x14ac:dyDescent="0.3">
      <c r="A2830" s="2"/>
      <c r="B2830" s="65" t="str">
        <f t="shared" si="357"/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 t="shared" si="358"/>
        <v/>
      </c>
      <c r="N2830" s="74" t="str">
        <f t="shared" si="359"/>
        <v/>
      </c>
      <c r="O2830" s="73" t="str">
        <f t="shared" si="360"/>
        <v/>
      </c>
      <c r="P2830" s="65" t="str">
        <f t="shared" ca="1" si="361"/>
        <v/>
      </c>
      <c r="Q2830" s="2"/>
      <c r="R2830" s="2"/>
      <c r="S2830" s="1" t="str">
        <f t="shared" si="354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355"/>
        <v>0</v>
      </c>
      <c r="W2830" s="1" t="str">
        <f t="shared" si="356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customHeight="1" x14ac:dyDescent="0.3">
      <c r="A2831" s="2"/>
      <c r="B2831" s="65" t="str">
        <f t="shared" si="357"/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 t="shared" si="358"/>
        <v/>
      </c>
      <c r="N2831" s="74" t="str">
        <f t="shared" si="359"/>
        <v/>
      </c>
      <c r="O2831" s="73" t="str">
        <f t="shared" si="360"/>
        <v/>
      </c>
      <c r="P2831" s="65" t="str">
        <f t="shared" ca="1" si="361"/>
        <v/>
      </c>
      <c r="Q2831" s="2"/>
      <c r="R2831" s="2"/>
      <c r="S2831" s="1" t="str">
        <f t="shared" si="354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355"/>
        <v>0</v>
      </c>
      <c r="W2831" s="1" t="str">
        <f t="shared" si="356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customHeight="1" x14ac:dyDescent="0.3">
      <c r="A2832" s="2"/>
      <c r="B2832" s="65" t="str">
        <f t="shared" si="357"/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 t="shared" si="358"/>
        <v/>
      </c>
      <c r="N2832" s="74" t="str">
        <f t="shared" si="359"/>
        <v/>
      </c>
      <c r="O2832" s="73" t="str">
        <f t="shared" si="360"/>
        <v/>
      </c>
      <c r="P2832" s="65" t="str">
        <f t="shared" ca="1" si="361"/>
        <v/>
      </c>
      <c r="Q2832" s="2"/>
      <c r="R2832" s="2"/>
      <c r="S2832" s="1" t="str">
        <f t="shared" si="354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355"/>
        <v>0</v>
      </c>
      <c r="W2832" s="1" t="str">
        <f t="shared" si="356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customHeight="1" x14ac:dyDescent="0.3">
      <c r="A2833" s="2"/>
      <c r="B2833" s="65" t="str">
        <f t="shared" si="357"/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 t="shared" si="358"/>
        <v/>
      </c>
      <c r="N2833" s="74" t="str">
        <f t="shared" si="359"/>
        <v/>
      </c>
      <c r="O2833" s="73" t="str">
        <f t="shared" si="360"/>
        <v/>
      </c>
      <c r="P2833" s="65" t="str">
        <f t="shared" ca="1" si="361"/>
        <v/>
      </c>
      <c r="Q2833" s="2"/>
      <c r="R2833" s="2"/>
      <c r="S2833" s="1" t="str">
        <f t="shared" si="354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355"/>
        <v>0</v>
      </c>
      <c r="W2833" s="1" t="str">
        <f t="shared" si="356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customHeight="1" x14ac:dyDescent="0.3">
      <c r="A2834" s="2"/>
      <c r="B2834" s="65" t="str">
        <f t="shared" si="357"/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 t="shared" si="358"/>
        <v/>
      </c>
      <c r="N2834" s="74" t="str">
        <f t="shared" si="359"/>
        <v/>
      </c>
      <c r="O2834" s="73" t="str">
        <f t="shared" si="360"/>
        <v/>
      </c>
      <c r="P2834" s="65" t="str">
        <f t="shared" ca="1" si="361"/>
        <v/>
      </c>
      <c r="Q2834" s="2"/>
      <c r="R2834" s="2"/>
      <c r="S2834" s="1" t="str">
        <f t="shared" si="354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355"/>
        <v>0</v>
      </c>
      <c r="W2834" s="1" t="str">
        <f t="shared" si="356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customHeight="1" x14ac:dyDescent="0.3">
      <c r="A2835" s="2"/>
      <c r="B2835" s="65" t="str">
        <f t="shared" si="357"/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 t="shared" si="358"/>
        <v/>
      </c>
      <c r="N2835" s="74" t="str">
        <f t="shared" si="359"/>
        <v/>
      </c>
      <c r="O2835" s="73" t="str">
        <f t="shared" si="360"/>
        <v/>
      </c>
      <c r="P2835" s="65" t="str">
        <f t="shared" ca="1" si="361"/>
        <v/>
      </c>
      <c r="Q2835" s="2"/>
      <c r="R2835" s="2"/>
      <c r="S2835" s="1" t="str">
        <f t="shared" si="354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355"/>
        <v>0</v>
      </c>
      <c r="W2835" s="1" t="str">
        <f t="shared" si="356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customHeight="1" x14ac:dyDescent="0.3">
      <c r="A2836" s="2"/>
      <c r="B2836" s="65" t="str">
        <f t="shared" si="357"/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 t="shared" si="358"/>
        <v/>
      </c>
      <c r="N2836" s="74" t="str">
        <f t="shared" si="359"/>
        <v/>
      </c>
      <c r="O2836" s="73" t="str">
        <f t="shared" si="360"/>
        <v/>
      </c>
      <c r="P2836" s="65" t="str">
        <f t="shared" ca="1" si="361"/>
        <v/>
      </c>
      <c r="Q2836" s="2"/>
      <c r="R2836" s="2"/>
      <c r="S2836" s="1" t="str">
        <f t="shared" si="354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355"/>
        <v>0</v>
      </c>
      <c r="W2836" s="1" t="str">
        <f t="shared" si="356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customHeight="1" x14ac:dyDescent="0.3">
      <c r="A2837" s="2"/>
      <c r="B2837" s="65" t="str">
        <f t="shared" si="357"/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 t="shared" si="358"/>
        <v/>
      </c>
      <c r="N2837" s="74" t="str">
        <f t="shared" si="359"/>
        <v/>
      </c>
      <c r="O2837" s="73" t="str">
        <f t="shared" si="360"/>
        <v/>
      </c>
      <c r="P2837" s="65" t="str">
        <f t="shared" ca="1" si="361"/>
        <v/>
      </c>
      <c r="Q2837" s="2"/>
      <c r="R2837" s="2"/>
      <c r="S2837" s="1" t="str">
        <f t="shared" si="354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355"/>
        <v>0</v>
      </c>
      <c r="W2837" s="1" t="str">
        <f t="shared" si="356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customHeight="1" x14ac:dyDescent="0.3">
      <c r="A2838" s="2"/>
      <c r="B2838" s="65" t="str">
        <f t="shared" si="357"/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 t="shared" si="358"/>
        <v/>
      </c>
      <c r="N2838" s="74" t="str">
        <f t="shared" si="359"/>
        <v/>
      </c>
      <c r="O2838" s="73" t="str">
        <f t="shared" si="360"/>
        <v/>
      </c>
      <c r="P2838" s="65" t="str">
        <f t="shared" ca="1" si="361"/>
        <v/>
      </c>
      <c r="Q2838" s="2"/>
      <c r="R2838" s="2"/>
      <c r="S2838" s="1" t="str">
        <f t="shared" si="354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355"/>
        <v>0</v>
      </c>
      <c r="W2838" s="1" t="str">
        <f t="shared" si="356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customHeight="1" x14ac:dyDescent="0.3">
      <c r="A2839" s="2"/>
      <c r="B2839" s="65" t="str">
        <f t="shared" si="357"/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 t="shared" si="358"/>
        <v/>
      </c>
      <c r="N2839" s="74" t="str">
        <f t="shared" si="359"/>
        <v/>
      </c>
      <c r="O2839" s="73" t="str">
        <f t="shared" si="360"/>
        <v/>
      </c>
      <c r="P2839" s="65" t="str">
        <f t="shared" ca="1" si="361"/>
        <v/>
      </c>
      <c r="Q2839" s="2"/>
      <c r="R2839" s="2"/>
      <c r="S2839" s="1" t="str">
        <f t="shared" si="354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355"/>
        <v>0</v>
      </c>
      <c r="W2839" s="1" t="str">
        <f t="shared" si="356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customHeight="1" x14ac:dyDescent="0.3">
      <c r="A2840" s="2"/>
      <c r="B2840" s="65" t="str">
        <f t="shared" si="357"/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 t="shared" si="358"/>
        <v/>
      </c>
      <c r="N2840" s="74" t="str">
        <f t="shared" si="359"/>
        <v/>
      </c>
      <c r="O2840" s="73" t="str">
        <f t="shared" si="360"/>
        <v/>
      </c>
      <c r="P2840" s="65" t="str">
        <f t="shared" ca="1" si="361"/>
        <v/>
      </c>
      <c r="Q2840" s="2"/>
      <c r="R2840" s="2"/>
      <c r="S2840" s="1" t="str">
        <f t="shared" si="354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355"/>
        <v>0</v>
      </c>
      <c r="W2840" s="1" t="str">
        <f t="shared" si="356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customHeight="1" x14ac:dyDescent="0.3">
      <c r="A2841" s="2"/>
      <c r="B2841" s="65" t="str">
        <f t="shared" si="357"/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 t="shared" si="358"/>
        <v/>
      </c>
      <c r="N2841" s="74" t="str">
        <f t="shared" si="359"/>
        <v/>
      </c>
      <c r="O2841" s="73" t="str">
        <f t="shared" si="360"/>
        <v/>
      </c>
      <c r="P2841" s="65" t="str">
        <f t="shared" ca="1" si="361"/>
        <v/>
      </c>
      <c r="Q2841" s="2"/>
      <c r="R2841" s="2"/>
      <c r="S2841" s="1" t="str">
        <f t="shared" si="354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355"/>
        <v>0</v>
      </c>
      <c r="W2841" s="1" t="str">
        <f t="shared" si="356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customHeight="1" x14ac:dyDescent="0.3">
      <c r="A2842" s="2"/>
      <c r="B2842" s="65" t="str">
        <f t="shared" si="357"/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 t="shared" si="358"/>
        <v/>
      </c>
      <c r="N2842" s="74" t="str">
        <f t="shared" si="359"/>
        <v/>
      </c>
      <c r="O2842" s="73" t="str">
        <f t="shared" si="360"/>
        <v/>
      </c>
      <c r="P2842" s="65" t="str">
        <f t="shared" ca="1" si="361"/>
        <v/>
      </c>
      <c r="Q2842" s="2"/>
      <c r="R2842" s="2"/>
      <c r="S2842" s="1" t="str">
        <f t="shared" si="354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355"/>
        <v>0</v>
      </c>
      <c r="W2842" s="1" t="str">
        <f t="shared" si="356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customHeight="1" x14ac:dyDescent="0.3">
      <c r="A2843" s="2"/>
      <c r="B2843" s="65" t="str">
        <f t="shared" si="357"/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 t="shared" si="358"/>
        <v/>
      </c>
      <c r="N2843" s="74" t="str">
        <f t="shared" si="359"/>
        <v/>
      </c>
      <c r="O2843" s="73" t="str">
        <f t="shared" si="360"/>
        <v/>
      </c>
      <c r="P2843" s="65" t="str">
        <f t="shared" ca="1" si="361"/>
        <v/>
      </c>
      <c r="Q2843" s="2"/>
      <c r="R2843" s="2"/>
      <c r="S2843" s="1" t="str">
        <f t="shared" si="354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355"/>
        <v>0</v>
      </c>
      <c r="W2843" s="1" t="str">
        <f t="shared" si="356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customHeight="1" x14ac:dyDescent="0.3">
      <c r="A2844" s="2"/>
      <c r="B2844" s="65" t="str">
        <f t="shared" si="357"/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 t="shared" si="358"/>
        <v/>
      </c>
      <c r="N2844" s="74" t="str">
        <f t="shared" si="359"/>
        <v/>
      </c>
      <c r="O2844" s="73" t="str">
        <f t="shared" si="360"/>
        <v/>
      </c>
      <c r="P2844" s="65" t="str">
        <f t="shared" ca="1" si="361"/>
        <v/>
      </c>
      <c r="Q2844" s="2"/>
      <c r="R2844" s="2"/>
      <c r="S2844" s="1" t="str">
        <f t="shared" si="354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355"/>
        <v>0</v>
      </c>
      <c r="W2844" s="1" t="str">
        <f t="shared" si="356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customHeight="1" x14ac:dyDescent="0.3">
      <c r="A2845" s="2"/>
      <c r="B2845" s="65" t="str">
        <f t="shared" si="357"/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 t="shared" si="358"/>
        <v/>
      </c>
      <c r="N2845" s="74" t="str">
        <f t="shared" si="359"/>
        <v/>
      </c>
      <c r="O2845" s="73" t="str">
        <f t="shared" si="360"/>
        <v/>
      </c>
      <c r="P2845" s="65" t="str">
        <f t="shared" ca="1" si="361"/>
        <v/>
      </c>
      <c r="Q2845" s="2"/>
      <c r="R2845" s="2"/>
      <c r="S2845" s="1" t="str">
        <f t="shared" si="354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355"/>
        <v>0</v>
      </c>
      <c r="W2845" s="1" t="str">
        <f t="shared" si="356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customHeight="1" x14ac:dyDescent="0.3">
      <c r="A2846" s="2"/>
      <c r="B2846" s="65" t="str">
        <f t="shared" si="357"/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 t="shared" si="358"/>
        <v/>
      </c>
      <c r="N2846" s="74" t="str">
        <f t="shared" si="359"/>
        <v/>
      </c>
      <c r="O2846" s="73" t="str">
        <f t="shared" si="360"/>
        <v/>
      </c>
      <c r="P2846" s="65" t="str">
        <f t="shared" ca="1" si="361"/>
        <v/>
      </c>
      <c r="Q2846" s="2"/>
      <c r="R2846" s="2"/>
      <c r="S2846" s="1" t="str">
        <f t="shared" si="354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355"/>
        <v>0</v>
      </c>
      <c r="W2846" s="1" t="str">
        <f t="shared" si="356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customHeight="1" x14ac:dyDescent="0.3">
      <c r="A2847" s="2"/>
      <c r="B2847" s="65" t="str">
        <f t="shared" si="357"/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 t="shared" si="358"/>
        <v/>
      </c>
      <c r="N2847" s="74" t="str">
        <f t="shared" si="359"/>
        <v/>
      </c>
      <c r="O2847" s="73" t="str">
        <f t="shared" si="360"/>
        <v/>
      </c>
      <c r="P2847" s="65" t="str">
        <f t="shared" ca="1" si="361"/>
        <v/>
      </c>
      <c r="Q2847" s="2"/>
      <c r="R2847" s="2"/>
      <c r="S2847" s="1" t="str">
        <f t="shared" si="354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355"/>
        <v>0</v>
      </c>
      <c r="W2847" s="1" t="str">
        <f t="shared" si="356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customHeight="1" x14ac:dyDescent="0.3">
      <c r="A2848" s="2"/>
      <c r="B2848" s="65" t="str">
        <f t="shared" si="357"/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 t="shared" si="358"/>
        <v/>
      </c>
      <c r="N2848" s="74" t="str">
        <f t="shared" si="359"/>
        <v/>
      </c>
      <c r="O2848" s="73" t="str">
        <f t="shared" si="360"/>
        <v/>
      </c>
      <c r="P2848" s="65" t="str">
        <f t="shared" ca="1" si="361"/>
        <v/>
      </c>
      <c r="Q2848" s="2"/>
      <c r="R2848" s="2"/>
      <c r="S2848" s="1" t="str">
        <f t="shared" si="354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355"/>
        <v>0</v>
      </c>
      <c r="W2848" s="1" t="str">
        <f t="shared" si="356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customHeight="1" x14ac:dyDescent="0.3">
      <c r="A2849" s="2"/>
      <c r="B2849" s="65" t="str">
        <f t="shared" si="357"/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 t="shared" si="358"/>
        <v/>
      </c>
      <c r="N2849" s="74" t="str">
        <f t="shared" si="359"/>
        <v/>
      </c>
      <c r="O2849" s="73" t="str">
        <f t="shared" si="360"/>
        <v/>
      </c>
      <c r="P2849" s="65" t="str">
        <f t="shared" ca="1" si="361"/>
        <v/>
      </c>
      <c r="Q2849" s="2"/>
      <c r="R2849" s="2"/>
      <c r="S2849" s="1" t="str">
        <f t="shared" si="354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355"/>
        <v>0</v>
      </c>
      <c r="W2849" s="1" t="str">
        <f t="shared" si="356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customHeight="1" x14ac:dyDescent="0.3">
      <c r="A2850" s="2"/>
      <c r="B2850" s="65" t="str">
        <f t="shared" si="357"/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 t="shared" si="358"/>
        <v/>
      </c>
      <c r="N2850" s="74" t="str">
        <f t="shared" si="359"/>
        <v/>
      </c>
      <c r="O2850" s="73" t="str">
        <f t="shared" si="360"/>
        <v/>
      </c>
      <c r="P2850" s="65" t="str">
        <f t="shared" ca="1" si="361"/>
        <v/>
      </c>
      <c r="Q2850" s="2"/>
      <c r="R2850" s="2"/>
      <c r="S2850" s="1" t="str">
        <f t="shared" si="354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355"/>
        <v>0</v>
      </c>
      <c r="W2850" s="1" t="str">
        <f t="shared" si="356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customHeight="1" x14ac:dyDescent="0.3">
      <c r="A2851" s="2"/>
      <c r="B2851" s="65" t="str">
        <f t="shared" si="357"/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 t="shared" si="358"/>
        <v/>
      </c>
      <c r="N2851" s="74" t="str">
        <f t="shared" si="359"/>
        <v/>
      </c>
      <c r="O2851" s="73" t="str">
        <f t="shared" si="360"/>
        <v/>
      </c>
      <c r="P2851" s="65" t="str">
        <f t="shared" ca="1" si="361"/>
        <v/>
      </c>
      <c r="Q2851" s="2"/>
      <c r="R2851" s="2"/>
      <c r="S2851" s="1" t="str">
        <f t="shared" si="354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355"/>
        <v>0</v>
      </c>
      <c r="W2851" s="1" t="str">
        <f t="shared" si="356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customHeight="1" x14ac:dyDescent="0.3">
      <c r="A2852" s="2"/>
      <c r="B2852" s="65" t="str">
        <f t="shared" si="357"/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 t="shared" si="358"/>
        <v/>
      </c>
      <c r="N2852" s="74" t="str">
        <f t="shared" si="359"/>
        <v/>
      </c>
      <c r="O2852" s="73" t="str">
        <f t="shared" si="360"/>
        <v/>
      </c>
      <c r="P2852" s="65" t="str">
        <f t="shared" ca="1" si="361"/>
        <v/>
      </c>
      <c r="Q2852" s="2"/>
      <c r="R2852" s="2"/>
      <c r="S2852" s="1" t="str">
        <f t="shared" si="354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355"/>
        <v>0</v>
      </c>
      <c r="W2852" s="1" t="str">
        <f t="shared" si="356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customHeight="1" x14ac:dyDescent="0.3">
      <c r="A2853" s="2"/>
      <c r="B2853" s="65" t="str">
        <f t="shared" si="357"/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 t="shared" si="358"/>
        <v/>
      </c>
      <c r="N2853" s="74" t="str">
        <f t="shared" si="359"/>
        <v/>
      </c>
      <c r="O2853" s="73" t="str">
        <f t="shared" si="360"/>
        <v/>
      </c>
      <c r="P2853" s="65" t="str">
        <f t="shared" ca="1" si="361"/>
        <v/>
      </c>
      <c r="Q2853" s="2"/>
      <c r="R2853" s="2"/>
      <c r="S2853" s="1" t="str">
        <f t="shared" si="354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355"/>
        <v>0</v>
      </c>
      <c r="W2853" s="1" t="str">
        <f t="shared" si="356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customHeight="1" x14ac:dyDescent="0.3">
      <c r="A2854" s="2"/>
      <c r="B2854" s="65" t="str">
        <f t="shared" si="357"/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 t="shared" si="358"/>
        <v/>
      </c>
      <c r="N2854" s="74" t="str">
        <f t="shared" si="359"/>
        <v/>
      </c>
      <c r="O2854" s="73" t="str">
        <f t="shared" si="360"/>
        <v/>
      </c>
      <c r="P2854" s="65" t="str">
        <f t="shared" ca="1" si="361"/>
        <v/>
      </c>
      <c r="Q2854" s="2"/>
      <c r="R2854" s="2"/>
      <c r="S2854" s="1" t="str">
        <f t="shared" si="354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355"/>
        <v>0</v>
      </c>
      <c r="W2854" s="1" t="str">
        <f t="shared" si="356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customHeight="1" x14ac:dyDescent="0.3">
      <c r="A2855" s="2"/>
      <c r="B2855" s="65" t="str">
        <f t="shared" si="357"/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 t="shared" si="358"/>
        <v/>
      </c>
      <c r="N2855" s="74" t="str">
        <f t="shared" si="359"/>
        <v/>
      </c>
      <c r="O2855" s="73" t="str">
        <f t="shared" si="360"/>
        <v/>
      </c>
      <c r="P2855" s="65" t="str">
        <f t="shared" ca="1" si="361"/>
        <v/>
      </c>
      <c r="Q2855" s="2"/>
      <c r="R2855" s="2"/>
      <c r="S2855" s="1" t="str">
        <f t="shared" si="354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355"/>
        <v>0</v>
      </c>
      <c r="W2855" s="1" t="str">
        <f t="shared" si="356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customHeight="1" x14ac:dyDescent="0.3">
      <c r="A2856" s="2"/>
      <c r="B2856" s="65" t="str">
        <f t="shared" si="357"/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 t="shared" si="358"/>
        <v/>
      </c>
      <c r="N2856" s="74" t="str">
        <f t="shared" si="359"/>
        <v/>
      </c>
      <c r="O2856" s="73" t="str">
        <f t="shared" si="360"/>
        <v/>
      </c>
      <c r="P2856" s="65" t="str">
        <f t="shared" ca="1" si="361"/>
        <v/>
      </c>
      <c r="Q2856" s="2"/>
      <c r="R2856" s="2"/>
      <c r="S2856" s="1" t="str">
        <f t="shared" si="354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355"/>
        <v>0</v>
      </c>
      <c r="W2856" s="1" t="str">
        <f t="shared" si="356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customHeight="1" x14ac:dyDescent="0.3">
      <c r="A2857" s="2"/>
      <c r="B2857" s="65" t="str">
        <f t="shared" si="357"/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 t="shared" si="358"/>
        <v/>
      </c>
      <c r="N2857" s="74" t="str">
        <f t="shared" si="359"/>
        <v/>
      </c>
      <c r="O2857" s="73" t="str">
        <f t="shared" si="360"/>
        <v/>
      </c>
      <c r="P2857" s="65" t="str">
        <f t="shared" ca="1" si="361"/>
        <v/>
      </c>
      <c r="Q2857" s="2"/>
      <c r="R2857" s="2"/>
      <c r="S2857" s="1" t="str">
        <f t="shared" si="354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355"/>
        <v>0</v>
      </c>
      <c r="W2857" s="1" t="str">
        <f t="shared" si="356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customHeight="1" x14ac:dyDescent="0.3">
      <c r="A2858" s="2"/>
      <c r="B2858" s="65" t="str">
        <f t="shared" si="357"/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 t="shared" si="358"/>
        <v/>
      </c>
      <c r="N2858" s="74" t="str">
        <f t="shared" si="359"/>
        <v/>
      </c>
      <c r="O2858" s="73" t="str">
        <f t="shared" si="360"/>
        <v/>
      </c>
      <c r="P2858" s="65" t="str">
        <f t="shared" ca="1" si="361"/>
        <v/>
      </c>
      <c r="Q2858" s="2"/>
      <c r="R2858" s="2"/>
      <c r="S2858" s="1" t="str">
        <f t="shared" si="354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355"/>
        <v>0</v>
      </c>
      <c r="W2858" s="1" t="str">
        <f t="shared" si="356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customHeight="1" x14ac:dyDescent="0.3">
      <c r="A2859" s="2"/>
      <c r="B2859" s="65" t="str">
        <f t="shared" si="357"/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 t="shared" si="358"/>
        <v/>
      </c>
      <c r="N2859" s="74" t="str">
        <f t="shared" si="359"/>
        <v/>
      </c>
      <c r="O2859" s="73" t="str">
        <f t="shared" si="360"/>
        <v/>
      </c>
      <c r="P2859" s="65" t="str">
        <f t="shared" ca="1" si="361"/>
        <v/>
      </c>
      <c r="Q2859" s="2"/>
      <c r="R2859" s="2"/>
      <c r="S2859" s="1" t="str">
        <f t="shared" si="354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355"/>
        <v>0</v>
      </c>
      <c r="W2859" s="1" t="str">
        <f t="shared" si="356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customHeight="1" x14ac:dyDescent="0.3">
      <c r="A2860" s="2"/>
      <c r="B2860" s="65" t="str">
        <f t="shared" si="357"/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 t="shared" si="358"/>
        <v/>
      </c>
      <c r="N2860" s="74" t="str">
        <f t="shared" si="359"/>
        <v/>
      </c>
      <c r="O2860" s="73" t="str">
        <f t="shared" si="360"/>
        <v/>
      </c>
      <c r="P2860" s="65" t="str">
        <f t="shared" ca="1" si="361"/>
        <v/>
      </c>
      <c r="Q2860" s="2"/>
      <c r="R2860" s="2"/>
      <c r="S2860" s="1" t="str">
        <f t="shared" si="354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355"/>
        <v>0</v>
      </c>
      <c r="W2860" s="1" t="str">
        <f t="shared" si="356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customHeight="1" x14ac:dyDescent="0.3">
      <c r="A2861" s="2"/>
      <c r="B2861" s="65" t="str">
        <f t="shared" si="357"/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 t="shared" si="358"/>
        <v/>
      </c>
      <c r="N2861" s="74" t="str">
        <f t="shared" si="359"/>
        <v/>
      </c>
      <c r="O2861" s="73" t="str">
        <f t="shared" si="360"/>
        <v/>
      </c>
      <c r="P2861" s="65" t="str">
        <f t="shared" ca="1" si="361"/>
        <v/>
      </c>
      <c r="Q2861" s="2"/>
      <c r="R2861" s="2"/>
      <c r="S2861" s="1" t="str">
        <f t="shared" si="354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355"/>
        <v>0</v>
      </c>
      <c r="W2861" s="1" t="str">
        <f t="shared" si="356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customHeight="1" x14ac:dyDescent="0.3">
      <c r="A2862" s="2"/>
      <c r="B2862" s="65" t="str">
        <f t="shared" si="357"/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 t="shared" si="358"/>
        <v/>
      </c>
      <c r="N2862" s="74" t="str">
        <f t="shared" si="359"/>
        <v/>
      </c>
      <c r="O2862" s="73" t="str">
        <f t="shared" si="360"/>
        <v/>
      </c>
      <c r="P2862" s="65" t="str">
        <f t="shared" ca="1" si="361"/>
        <v/>
      </c>
      <c r="Q2862" s="2"/>
      <c r="R2862" s="2"/>
      <c r="S2862" s="1" t="str">
        <f t="shared" si="354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355"/>
        <v>0</v>
      </c>
      <c r="W2862" s="1" t="str">
        <f t="shared" si="356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customHeight="1" x14ac:dyDescent="0.3">
      <c r="A2863" s="2"/>
      <c r="B2863" s="65" t="str">
        <f t="shared" si="357"/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 t="shared" si="358"/>
        <v/>
      </c>
      <c r="N2863" s="74" t="str">
        <f t="shared" si="359"/>
        <v/>
      </c>
      <c r="O2863" s="73" t="str">
        <f t="shared" si="360"/>
        <v/>
      </c>
      <c r="P2863" s="65" t="str">
        <f t="shared" ca="1" si="361"/>
        <v/>
      </c>
      <c r="Q2863" s="2"/>
      <c r="R2863" s="2"/>
      <c r="S2863" s="1" t="str">
        <f t="shared" si="354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355"/>
        <v>0</v>
      </c>
      <c r="W2863" s="1" t="str">
        <f t="shared" si="356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customHeight="1" x14ac:dyDescent="0.3">
      <c r="A2864" s="2"/>
      <c r="B2864" s="65" t="str">
        <f t="shared" si="357"/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 t="shared" si="358"/>
        <v/>
      </c>
      <c r="N2864" s="74" t="str">
        <f t="shared" si="359"/>
        <v/>
      </c>
      <c r="O2864" s="73" t="str">
        <f t="shared" si="360"/>
        <v/>
      </c>
      <c r="P2864" s="65" t="str">
        <f t="shared" ca="1" si="361"/>
        <v/>
      </c>
      <c r="Q2864" s="2"/>
      <c r="R2864" s="2"/>
      <c r="S2864" s="1" t="str">
        <f t="shared" si="354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355"/>
        <v>0</v>
      </c>
      <c r="W2864" s="1" t="str">
        <f t="shared" si="356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customHeight="1" x14ac:dyDescent="0.3">
      <c r="A2865" s="2"/>
      <c r="B2865" s="65" t="str">
        <f t="shared" si="357"/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 t="shared" si="358"/>
        <v/>
      </c>
      <c r="N2865" s="74" t="str">
        <f t="shared" si="359"/>
        <v/>
      </c>
      <c r="O2865" s="73" t="str">
        <f t="shared" si="360"/>
        <v/>
      </c>
      <c r="P2865" s="65" t="str">
        <f t="shared" ca="1" si="361"/>
        <v/>
      </c>
      <c r="Q2865" s="2"/>
      <c r="R2865" s="2"/>
      <c r="S2865" s="1" t="str">
        <f t="shared" si="354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355"/>
        <v>0</v>
      </c>
      <c r="W2865" s="1" t="str">
        <f t="shared" si="356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customHeight="1" x14ac:dyDescent="0.3">
      <c r="A2866" s="2"/>
      <c r="B2866" s="65" t="str">
        <f t="shared" si="357"/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 t="shared" si="358"/>
        <v/>
      </c>
      <c r="N2866" s="74" t="str">
        <f t="shared" si="359"/>
        <v/>
      </c>
      <c r="O2866" s="73" t="str">
        <f t="shared" si="360"/>
        <v/>
      </c>
      <c r="P2866" s="65" t="str">
        <f t="shared" ca="1" si="361"/>
        <v/>
      </c>
      <c r="Q2866" s="2"/>
      <c r="R2866" s="2"/>
      <c r="S2866" s="1" t="str">
        <f t="shared" si="354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355"/>
        <v>0</v>
      </c>
      <c r="W2866" s="1" t="str">
        <f t="shared" si="356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customHeight="1" x14ac:dyDescent="0.3">
      <c r="A2867" s="2"/>
      <c r="B2867" s="65" t="str">
        <f t="shared" si="357"/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 t="shared" si="358"/>
        <v/>
      </c>
      <c r="N2867" s="74" t="str">
        <f t="shared" si="359"/>
        <v/>
      </c>
      <c r="O2867" s="73" t="str">
        <f t="shared" si="360"/>
        <v/>
      </c>
      <c r="P2867" s="65" t="str">
        <f t="shared" ca="1" si="361"/>
        <v/>
      </c>
      <c r="Q2867" s="2"/>
      <c r="R2867" s="2"/>
      <c r="S2867" s="1" t="str">
        <f t="shared" si="354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355"/>
        <v>0</v>
      </c>
      <c r="W2867" s="1" t="str">
        <f t="shared" si="356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customHeight="1" x14ac:dyDescent="0.3">
      <c r="A2868" s="2"/>
      <c r="B2868" s="65" t="str">
        <f t="shared" si="357"/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 t="shared" si="358"/>
        <v/>
      </c>
      <c r="N2868" s="74" t="str">
        <f t="shared" si="359"/>
        <v/>
      </c>
      <c r="O2868" s="73" t="str">
        <f t="shared" si="360"/>
        <v/>
      </c>
      <c r="P2868" s="65" t="str">
        <f t="shared" ca="1" si="361"/>
        <v/>
      </c>
      <c r="Q2868" s="2"/>
      <c r="R2868" s="2"/>
      <c r="S2868" s="1" t="str">
        <f t="shared" si="354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355"/>
        <v>0</v>
      </c>
      <c r="W2868" s="1" t="str">
        <f t="shared" si="356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customHeight="1" x14ac:dyDescent="0.3">
      <c r="A2869" s="2"/>
      <c r="B2869" s="65" t="str">
        <f t="shared" si="357"/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 t="shared" si="358"/>
        <v/>
      </c>
      <c r="N2869" s="74" t="str">
        <f t="shared" si="359"/>
        <v/>
      </c>
      <c r="O2869" s="73" t="str">
        <f t="shared" si="360"/>
        <v/>
      </c>
      <c r="P2869" s="65" t="str">
        <f t="shared" ca="1" si="361"/>
        <v/>
      </c>
      <c r="Q2869" s="2"/>
      <c r="R2869" s="2"/>
      <c r="S2869" s="1" t="str">
        <f t="shared" si="354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355"/>
        <v>0</v>
      </c>
      <c r="W2869" s="1" t="str">
        <f t="shared" si="356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customHeight="1" x14ac:dyDescent="0.3">
      <c r="A2870" s="2"/>
      <c r="B2870" s="65" t="str">
        <f t="shared" si="357"/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 t="shared" si="358"/>
        <v/>
      </c>
      <c r="N2870" s="74" t="str">
        <f t="shared" si="359"/>
        <v/>
      </c>
      <c r="O2870" s="73" t="str">
        <f t="shared" si="360"/>
        <v/>
      </c>
      <c r="P2870" s="65" t="str">
        <f t="shared" ca="1" si="361"/>
        <v/>
      </c>
      <c r="Q2870" s="2"/>
      <c r="R2870" s="2"/>
      <c r="S2870" s="1" t="str">
        <f t="shared" si="354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355"/>
        <v>0</v>
      </c>
      <c r="W2870" s="1" t="str">
        <f t="shared" si="356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customHeight="1" x14ac:dyDescent="0.3">
      <c r="A2871" s="2"/>
      <c r="B2871" s="65" t="str">
        <f t="shared" si="357"/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 t="shared" si="358"/>
        <v/>
      </c>
      <c r="N2871" s="74" t="str">
        <f t="shared" si="359"/>
        <v/>
      </c>
      <c r="O2871" s="73" t="str">
        <f t="shared" si="360"/>
        <v/>
      </c>
      <c r="P2871" s="65" t="str">
        <f t="shared" ca="1" si="361"/>
        <v/>
      </c>
      <c r="Q2871" s="2"/>
      <c r="R2871" s="2"/>
      <c r="S2871" s="1" t="str">
        <f t="shared" si="354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355"/>
        <v>0</v>
      </c>
      <c r="W2871" s="1" t="str">
        <f t="shared" si="356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customHeight="1" x14ac:dyDescent="0.3">
      <c r="A2872" s="2"/>
      <c r="B2872" s="65" t="str">
        <f t="shared" si="357"/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 t="shared" si="358"/>
        <v/>
      </c>
      <c r="N2872" s="74" t="str">
        <f t="shared" si="359"/>
        <v/>
      </c>
      <c r="O2872" s="73" t="str">
        <f t="shared" si="360"/>
        <v/>
      </c>
      <c r="P2872" s="65" t="str">
        <f t="shared" ca="1" si="361"/>
        <v/>
      </c>
      <c r="Q2872" s="2"/>
      <c r="R2872" s="2"/>
      <c r="S2872" s="1" t="str">
        <f t="shared" si="354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355"/>
        <v>0</v>
      </c>
      <c r="W2872" s="1" t="str">
        <f t="shared" si="356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customHeight="1" x14ac:dyDescent="0.3">
      <c r="A2873" s="2"/>
      <c r="B2873" s="65" t="str">
        <f t="shared" si="357"/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 t="shared" si="358"/>
        <v/>
      </c>
      <c r="N2873" s="74" t="str">
        <f t="shared" si="359"/>
        <v/>
      </c>
      <c r="O2873" s="73" t="str">
        <f t="shared" si="360"/>
        <v/>
      </c>
      <c r="P2873" s="65" t="str">
        <f t="shared" ca="1" si="361"/>
        <v/>
      </c>
      <c r="Q2873" s="2"/>
      <c r="R2873" s="2"/>
      <c r="S2873" s="1" t="str">
        <f t="shared" si="354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355"/>
        <v>0</v>
      </c>
      <c r="W2873" s="1" t="str">
        <f t="shared" si="356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customHeight="1" x14ac:dyDescent="0.3">
      <c r="A2874" s="2"/>
      <c r="B2874" s="65" t="str">
        <f t="shared" si="357"/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 t="shared" si="358"/>
        <v/>
      </c>
      <c r="N2874" s="74" t="str">
        <f t="shared" si="359"/>
        <v/>
      </c>
      <c r="O2874" s="73" t="str">
        <f t="shared" si="360"/>
        <v/>
      </c>
      <c r="P2874" s="65" t="str">
        <f t="shared" ca="1" si="361"/>
        <v/>
      </c>
      <c r="Q2874" s="2"/>
      <c r="R2874" s="2"/>
      <c r="S2874" s="1" t="str">
        <f t="shared" si="354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355"/>
        <v>0</v>
      </c>
      <c r="W2874" s="1" t="str">
        <f t="shared" si="356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customHeight="1" x14ac:dyDescent="0.3">
      <c r="A2875" s="2"/>
      <c r="B2875" s="65" t="str">
        <f t="shared" si="357"/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 t="shared" si="358"/>
        <v/>
      </c>
      <c r="N2875" s="74" t="str">
        <f t="shared" si="359"/>
        <v/>
      </c>
      <c r="O2875" s="73" t="str">
        <f t="shared" si="360"/>
        <v/>
      </c>
      <c r="P2875" s="65" t="str">
        <f t="shared" ca="1" si="361"/>
        <v/>
      </c>
      <c r="Q2875" s="2"/>
      <c r="R2875" s="2"/>
      <c r="S2875" s="1" t="str">
        <f t="shared" si="354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355"/>
        <v>0</v>
      </c>
      <c r="W2875" s="1" t="str">
        <f t="shared" si="356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customHeight="1" x14ac:dyDescent="0.3">
      <c r="A2876" s="2"/>
      <c r="B2876" s="65" t="str">
        <f t="shared" si="357"/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 t="shared" si="358"/>
        <v/>
      </c>
      <c r="N2876" s="74" t="str">
        <f t="shared" si="359"/>
        <v/>
      </c>
      <c r="O2876" s="73" t="str">
        <f t="shared" si="360"/>
        <v/>
      </c>
      <c r="P2876" s="65" t="str">
        <f t="shared" ca="1" si="361"/>
        <v/>
      </c>
      <c r="Q2876" s="2"/>
      <c r="R2876" s="2"/>
      <c r="S2876" s="1" t="str">
        <f t="shared" si="354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355"/>
        <v>0</v>
      </c>
      <c r="W2876" s="1" t="str">
        <f t="shared" si="356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customHeight="1" x14ac:dyDescent="0.3">
      <c r="A2877" s="2"/>
      <c r="B2877" s="65" t="str">
        <f t="shared" si="357"/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 t="shared" si="358"/>
        <v/>
      </c>
      <c r="N2877" s="74" t="str">
        <f t="shared" si="359"/>
        <v/>
      </c>
      <c r="O2877" s="73" t="str">
        <f t="shared" si="360"/>
        <v/>
      </c>
      <c r="P2877" s="65" t="str">
        <f t="shared" ca="1" si="361"/>
        <v/>
      </c>
      <c r="Q2877" s="2"/>
      <c r="R2877" s="2"/>
      <c r="S2877" s="1" t="str">
        <f t="shared" si="354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355"/>
        <v>0</v>
      </c>
      <c r="W2877" s="1" t="str">
        <f t="shared" si="356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customHeight="1" x14ac:dyDescent="0.3">
      <c r="A2878" s="2"/>
      <c r="B2878" s="65" t="str">
        <f t="shared" si="357"/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 t="shared" si="358"/>
        <v/>
      </c>
      <c r="N2878" s="74" t="str">
        <f t="shared" si="359"/>
        <v/>
      </c>
      <c r="O2878" s="73" t="str">
        <f t="shared" si="360"/>
        <v/>
      </c>
      <c r="P2878" s="65" t="str">
        <f t="shared" ca="1" si="361"/>
        <v/>
      </c>
      <c r="Q2878" s="2"/>
      <c r="R2878" s="2"/>
      <c r="S2878" s="1" t="str">
        <f t="shared" si="354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355"/>
        <v>0</v>
      </c>
      <c r="W2878" s="1" t="str">
        <f t="shared" si="356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customHeight="1" x14ac:dyDescent="0.3">
      <c r="A2879" s="2"/>
      <c r="B2879" s="65" t="str">
        <f t="shared" si="357"/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 t="shared" si="358"/>
        <v/>
      </c>
      <c r="N2879" s="74" t="str">
        <f t="shared" si="359"/>
        <v/>
      </c>
      <c r="O2879" s="73" t="str">
        <f t="shared" si="360"/>
        <v/>
      </c>
      <c r="P2879" s="65" t="str">
        <f t="shared" ca="1" si="361"/>
        <v/>
      </c>
      <c r="Q2879" s="2"/>
      <c r="R2879" s="2"/>
      <c r="S2879" s="1" t="str">
        <f t="shared" si="354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355"/>
        <v>0</v>
      </c>
      <c r="W2879" s="1" t="str">
        <f t="shared" si="356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customHeight="1" x14ac:dyDescent="0.3">
      <c r="A2880" s="2"/>
      <c r="B2880" s="65" t="str">
        <f t="shared" si="357"/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 t="shared" si="358"/>
        <v/>
      </c>
      <c r="N2880" s="74" t="str">
        <f t="shared" si="359"/>
        <v/>
      </c>
      <c r="O2880" s="73" t="str">
        <f t="shared" si="360"/>
        <v/>
      </c>
      <c r="P2880" s="65" t="str">
        <f t="shared" ca="1" si="361"/>
        <v/>
      </c>
      <c r="Q2880" s="2"/>
      <c r="R2880" s="2"/>
      <c r="S2880" s="1" t="str">
        <f t="shared" si="354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355"/>
        <v>0</v>
      </c>
      <c r="W2880" s="1" t="str">
        <f t="shared" si="356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customHeight="1" x14ac:dyDescent="0.3">
      <c r="A2881" s="2"/>
      <c r="B2881" s="65" t="str">
        <f t="shared" si="357"/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 t="shared" si="358"/>
        <v/>
      </c>
      <c r="N2881" s="74" t="str">
        <f t="shared" si="359"/>
        <v/>
      </c>
      <c r="O2881" s="73" t="str">
        <f t="shared" si="360"/>
        <v/>
      </c>
      <c r="P2881" s="65" t="str">
        <f t="shared" ca="1" si="361"/>
        <v/>
      </c>
      <c r="Q2881" s="2"/>
      <c r="R2881" s="2"/>
      <c r="S2881" s="1" t="str">
        <f t="shared" si="354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355"/>
        <v>0</v>
      </c>
      <c r="W2881" s="1" t="str">
        <f t="shared" si="356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customHeight="1" x14ac:dyDescent="0.3">
      <c r="A2882" s="2"/>
      <c r="B2882" s="65" t="str">
        <f t="shared" si="357"/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 t="shared" si="358"/>
        <v/>
      </c>
      <c r="N2882" s="74" t="str">
        <f t="shared" si="359"/>
        <v/>
      </c>
      <c r="O2882" s="73" t="str">
        <f t="shared" si="360"/>
        <v/>
      </c>
      <c r="P2882" s="65" t="str">
        <f t="shared" ca="1" si="361"/>
        <v/>
      </c>
      <c r="Q2882" s="2"/>
      <c r="R2882" s="2"/>
      <c r="S2882" s="1" t="str">
        <f t="shared" si="354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355"/>
        <v>0</v>
      </c>
      <c r="W2882" s="1" t="str">
        <f t="shared" si="356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customHeight="1" x14ac:dyDescent="0.3">
      <c r="A2883" s="2"/>
      <c r="B2883" s="65" t="str">
        <f t="shared" si="357"/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 t="shared" si="358"/>
        <v/>
      </c>
      <c r="N2883" s="74" t="str">
        <f t="shared" si="359"/>
        <v/>
      </c>
      <c r="O2883" s="73" t="str">
        <f t="shared" si="360"/>
        <v/>
      </c>
      <c r="P2883" s="65" t="str">
        <f t="shared" ca="1" si="361"/>
        <v/>
      </c>
      <c r="Q2883" s="2"/>
      <c r="R2883" s="2"/>
      <c r="S2883" s="1" t="str">
        <f t="shared" si="354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355"/>
        <v>0</v>
      </c>
      <c r="W2883" s="1" t="str">
        <f t="shared" si="356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customHeight="1" x14ac:dyDescent="0.3">
      <c r="A2884" s="2"/>
      <c r="B2884" s="65" t="str">
        <f t="shared" si="357"/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 t="shared" si="358"/>
        <v/>
      </c>
      <c r="N2884" s="74" t="str">
        <f t="shared" si="359"/>
        <v/>
      </c>
      <c r="O2884" s="73" t="str">
        <f t="shared" si="360"/>
        <v/>
      </c>
      <c r="P2884" s="65" t="str">
        <f t="shared" ca="1" si="361"/>
        <v/>
      </c>
      <c r="Q2884" s="2"/>
      <c r="R2884" s="2"/>
      <c r="S2884" s="1" t="str">
        <f t="shared" si="354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355"/>
        <v>0</v>
      </c>
      <c r="W2884" s="1" t="str">
        <f t="shared" si="356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customHeight="1" x14ac:dyDescent="0.3">
      <c r="A2885" s="2"/>
      <c r="B2885" s="65" t="str">
        <f t="shared" si="357"/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 t="shared" si="358"/>
        <v/>
      </c>
      <c r="N2885" s="74" t="str">
        <f t="shared" si="359"/>
        <v/>
      </c>
      <c r="O2885" s="73" t="str">
        <f t="shared" si="360"/>
        <v/>
      </c>
      <c r="P2885" s="65" t="str">
        <f t="shared" ca="1" si="361"/>
        <v/>
      </c>
      <c r="Q2885" s="2"/>
      <c r="R2885" s="2"/>
      <c r="S2885" s="1" t="str">
        <f t="shared" ref="S2885:S2948" si="362"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ref="V2885:V2948" si="363">IF($T2885="",0,1)</f>
        <v>0</v>
      </c>
      <c r="W2885" s="1" t="str">
        <f t="shared" ref="W2885:W2948" si="364">IF($C2885="","",$D2885&amp;"|"&amp;$E2885&amp;"|"&amp;TEXT($C2885,"0")&amp;"|"&amp;TEXT($G2885,"0")&amp;"|"&amp;$F2885&amp;"|"&amp;$J2885)</f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customHeight="1" x14ac:dyDescent="0.3">
      <c r="A2886" s="2"/>
      <c r="B2886" s="65" t="str">
        <f t="shared" si="357"/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 t="shared" si="358"/>
        <v/>
      </c>
      <c r="N2886" s="74" t="str">
        <f t="shared" si="359"/>
        <v/>
      </c>
      <c r="O2886" s="73" t="str">
        <f t="shared" si="360"/>
        <v/>
      </c>
      <c r="P2886" s="65" t="str">
        <f t="shared" ca="1" si="361"/>
        <v/>
      </c>
      <c r="Q2886" s="2"/>
      <c r="R2886" s="2"/>
      <c r="S2886" s="1" t="str">
        <f t="shared" si="362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363"/>
        <v>0</v>
      </c>
      <c r="W2886" s="1" t="str">
        <f t="shared" si="364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customHeight="1" x14ac:dyDescent="0.3">
      <c r="A2887" s="2"/>
      <c r="B2887" s="65" t="str">
        <f t="shared" ref="B2887:B2950" si="365"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 t="shared" ref="M2887:M2950" si="366">IF($C2887="","",IF($D2887="Gider",$E2887,IF($L2887&lt;&gt;"",$L2887,$H2887)))</f>
        <v/>
      </c>
      <c r="N2887" s="74" t="str">
        <f t="shared" ref="N2887:N2950" si="367">IF($C2887="","",IF($D2887="Gider",$H2887,$E2887))</f>
        <v/>
      </c>
      <c r="O2887" s="73" t="str">
        <f t="shared" ref="O2887:O2950" si="368">IF($C2887="","",DATE(YEAR($C2887),MONTH($C2887),1))</f>
        <v/>
      </c>
      <c r="P2887" s="65" t="str">
        <f t="shared" ref="P2887:P2950" ca="1" si="369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TARİH",IF(COUNTIF($W$7:$W$3001,$W2887)&gt;1,"MÜKERRER?",IF($AD2887&gt;0,"KAPALI DÖNEM",IF($I2887="Hayır","ÖDENECEK","UYGUN")))),"EKSİK"))))</f>
        <v/>
      </c>
      <c r="Q2887" s="2"/>
      <c r="R2887" s="2"/>
      <c r="S2887" s="1" t="str">
        <f t="shared" si="362"/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si="363"/>
        <v>0</v>
      </c>
      <c r="W2887" s="1" t="str">
        <f t="shared" si="364"/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customHeight="1" x14ac:dyDescent="0.3">
      <c r="A2888" s="2"/>
      <c r="B2888" s="65" t="str">
        <f t="shared" si="365"/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 t="shared" si="366"/>
        <v/>
      </c>
      <c r="N2888" s="74" t="str">
        <f t="shared" si="367"/>
        <v/>
      </c>
      <c r="O2888" s="73" t="str">
        <f t="shared" si="368"/>
        <v/>
      </c>
      <c r="P2888" s="65" t="str">
        <f t="shared" ca="1" si="369"/>
        <v/>
      </c>
      <c r="Q2888" s="2"/>
      <c r="R2888" s="2"/>
      <c r="S2888" s="1" t="str">
        <f t="shared" si="362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363"/>
        <v>0</v>
      </c>
      <c r="W2888" s="1" t="str">
        <f t="shared" si="364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customHeight="1" x14ac:dyDescent="0.3">
      <c r="A2889" s="2"/>
      <c r="B2889" s="65" t="str">
        <f t="shared" si="365"/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 t="shared" si="366"/>
        <v/>
      </c>
      <c r="N2889" s="74" t="str">
        <f t="shared" si="367"/>
        <v/>
      </c>
      <c r="O2889" s="73" t="str">
        <f t="shared" si="368"/>
        <v/>
      </c>
      <c r="P2889" s="65" t="str">
        <f t="shared" ca="1" si="369"/>
        <v/>
      </c>
      <c r="Q2889" s="2"/>
      <c r="R2889" s="2"/>
      <c r="S2889" s="1" t="str">
        <f t="shared" si="362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363"/>
        <v>0</v>
      </c>
      <c r="W2889" s="1" t="str">
        <f t="shared" si="364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customHeight="1" x14ac:dyDescent="0.3">
      <c r="A2890" s="2"/>
      <c r="B2890" s="65" t="str">
        <f t="shared" si="365"/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 t="shared" si="366"/>
        <v/>
      </c>
      <c r="N2890" s="74" t="str">
        <f t="shared" si="367"/>
        <v/>
      </c>
      <c r="O2890" s="73" t="str">
        <f t="shared" si="368"/>
        <v/>
      </c>
      <c r="P2890" s="65" t="str">
        <f t="shared" ca="1" si="369"/>
        <v/>
      </c>
      <c r="Q2890" s="2"/>
      <c r="R2890" s="2"/>
      <c r="S2890" s="1" t="str">
        <f t="shared" si="362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363"/>
        <v>0</v>
      </c>
      <c r="W2890" s="1" t="str">
        <f t="shared" si="364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customHeight="1" x14ac:dyDescent="0.3">
      <c r="A2891" s="2"/>
      <c r="B2891" s="65" t="str">
        <f t="shared" si="365"/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 t="shared" si="366"/>
        <v/>
      </c>
      <c r="N2891" s="74" t="str">
        <f t="shared" si="367"/>
        <v/>
      </c>
      <c r="O2891" s="73" t="str">
        <f t="shared" si="368"/>
        <v/>
      </c>
      <c r="P2891" s="65" t="str">
        <f t="shared" ca="1" si="369"/>
        <v/>
      </c>
      <c r="Q2891" s="2"/>
      <c r="R2891" s="2"/>
      <c r="S2891" s="1" t="str">
        <f t="shared" si="362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363"/>
        <v>0</v>
      </c>
      <c r="W2891" s="1" t="str">
        <f t="shared" si="364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customHeight="1" x14ac:dyDescent="0.3">
      <c r="A2892" s="2"/>
      <c r="B2892" s="65" t="str">
        <f t="shared" si="365"/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 t="shared" si="366"/>
        <v/>
      </c>
      <c r="N2892" s="74" t="str">
        <f t="shared" si="367"/>
        <v/>
      </c>
      <c r="O2892" s="73" t="str">
        <f t="shared" si="368"/>
        <v/>
      </c>
      <c r="P2892" s="65" t="str">
        <f t="shared" ca="1" si="369"/>
        <v/>
      </c>
      <c r="Q2892" s="2"/>
      <c r="R2892" s="2"/>
      <c r="S2892" s="1" t="str">
        <f t="shared" si="362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363"/>
        <v>0</v>
      </c>
      <c r="W2892" s="1" t="str">
        <f t="shared" si="364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customHeight="1" x14ac:dyDescent="0.3">
      <c r="A2893" s="2"/>
      <c r="B2893" s="65" t="str">
        <f t="shared" si="365"/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 t="shared" si="366"/>
        <v/>
      </c>
      <c r="N2893" s="74" t="str">
        <f t="shared" si="367"/>
        <v/>
      </c>
      <c r="O2893" s="73" t="str">
        <f t="shared" si="368"/>
        <v/>
      </c>
      <c r="P2893" s="65" t="str">
        <f t="shared" ca="1" si="369"/>
        <v/>
      </c>
      <c r="Q2893" s="2"/>
      <c r="R2893" s="2"/>
      <c r="S2893" s="1" t="str">
        <f t="shared" si="362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363"/>
        <v>0</v>
      </c>
      <c r="W2893" s="1" t="str">
        <f t="shared" si="364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customHeight="1" x14ac:dyDescent="0.3">
      <c r="A2894" s="2"/>
      <c r="B2894" s="65" t="str">
        <f t="shared" si="365"/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 t="shared" si="366"/>
        <v/>
      </c>
      <c r="N2894" s="74" t="str">
        <f t="shared" si="367"/>
        <v/>
      </c>
      <c r="O2894" s="73" t="str">
        <f t="shared" si="368"/>
        <v/>
      </c>
      <c r="P2894" s="65" t="str">
        <f t="shared" ca="1" si="369"/>
        <v/>
      </c>
      <c r="Q2894" s="2"/>
      <c r="R2894" s="2"/>
      <c r="S2894" s="1" t="str">
        <f t="shared" si="362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363"/>
        <v>0</v>
      </c>
      <c r="W2894" s="1" t="str">
        <f t="shared" si="364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customHeight="1" x14ac:dyDescent="0.3">
      <c r="A2895" s="2"/>
      <c r="B2895" s="65" t="str">
        <f t="shared" si="365"/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 t="shared" si="366"/>
        <v/>
      </c>
      <c r="N2895" s="74" t="str">
        <f t="shared" si="367"/>
        <v/>
      </c>
      <c r="O2895" s="73" t="str">
        <f t="shared" si="368"/>
        <v/>
      </c>
      <c r="P2895" s="65" t="str">
        <f t="shared" ca="1" si="369"/>
        <v/>
      </c>
      <c r="Q2895" s="2"/>
      <c r="R2895" s="2"/>
      <c r="S2895" s="1" t="str">
        <f t="shared" si="362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363"/>
        <v>0</v>
      </c>
      <c r="W2895" s="1" t="str">
        <f t="shared" si="364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customHeight="1" x14ac:dyDescent="0.3">
      <c r="A2896" s="2"/>
      <c r="B2896" s="65" t="str">
        <f t="shared" si="365"/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 t="shared" si="366"/>
        <v/>
      </c>
      <c r="N2896" s="74" t="str">
        <f t="shared" si="367"/>
        <v/>
      </c>
      <c r="O2896" s="73" t="str">
        <f t="shared" si="368"/>
        <v/>
      </c>
      <c r="P2896" s="65" t="str">
        <f t="shared" ca="1" si="369"/>
        <v/>
      </c>
      <c r="Q2896" s="2"/>
      <c r="R2896" s="2"/>
      <c r="S2896" s="1" t="str">
        <f t="shared" si="362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363"/>
        <v>0</v>
      </c>
      <c r="W2896" s="1" t="str">
        <f t="shared" si="364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customHeight="1" x14ac:dyDescent="0.3">
      <c r="A2897" s="2"/>
      <c r="B2897" s="65" t="str">
        <f t="shared" si="365"/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 t="shared" si="366"/>
        <v/>
      </c>
      <c r="N2897" s="74" t="str">
        <f t="shared" si="367"/>
        <v/>
      </c>
      <c r="O2897" s="73" t="str">
        <f t="shared" si="368"/>
        <v/>
      </c>
      <c r="P2897" s="65" t="str">
        <f t="shared" ca="1" si="369"/>
        <v/>
      </c>
      <c r="Q2897" s="2"/>
      <c r="R2897" s="2"/>
      <c r="S2897" s="1" t="str">
        <f t="shared" si="362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363"/>
        <v>0</v>
      </c>
      <c r="W2897" s="1" t="str">
        <f t="shared" si="364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customHeight="1" x14ac:dyDescent="0.3">
      <c r="A2898" s="2"/>
      <c r="B2898" s="65" t="str">
        <f t="shared" si="365"/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 t="shared" si="366"/>
        <v/>
      </c>
      <c r="N2898" s="74" t="str">
        <f t="shared" si="367"/>
        <v/>
      </c>
      <c r="O2898" s="73" t="str">
        <f t="shared" si="368"/>
        <v/>
      </c>
      <c r="P2898" s="65" t="str">
        <f t="shared" ca="1" si="369"/>
        <v/>
      </c>
      <c r="Q2898" s="2"/>
      <c r="R2898" s="2"/>
      <c r="S2898" s="1" t="str">
        <f t="shared" si="362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363"/>
        <v>0</v>
      </c>
      <c r="W2898" s="1" t="str">
        <f t="shared" si="364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customHeight="1" x14ac:dyDescent="0.3">
      <c r="A2899" s="2"/>
      <c r="B2899" s="65" t="str">
        <f t="shared" si="365"/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 t="shared" si="366"/>
        <v/>
      </c>
      <c r="N2899" s="74" t="str">
        <f t="shared" si="367"/>
        <v/>
      </c>
      <c r="O2899" s="73" t="str">
        <f t="shared" si="368"/>
        <v/>
      </c>
      <c r="P2899" s="65" t="str">
        <f t="shared" ca="1" si="369"/>
        <v/>
      </c>
      <c r="Q2899" s="2"/>
      <c r="R2899" s="2"/>
      <c r="S2899" s="1" t="str">
        <f t="shared" si="362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363"/>
        <v>0</v>
      </c>
      <c r="W2899" s="1" t="str">
        <f t="shared" si="364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customHeight="1" x14ac:dyDescent="0.3">
      <c r="A2900" s="2"/>
      <c r="B2900" s="65" t="str">
        <f t="shared" si="365"/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 t="shared" si="366"/>
        <v/>
      </c>
      <c r="N2900" s="74" t="str">
        <f t="shared" si="367"/>
        <v/>
      </c>
      <c r="O2900" s="73" t="str">
        <f t="shared" si="368"/>
        <v/>
      </c>
      <c r="P2900" s="65" t="str">
        <f t="shared" ca="1" si="369"/>
        <v/>
      </c>
      <c r="Q2900" s="2"/>
      <c r="R2900" s="2"/>
      <c r="S2900" s="1" t="str">
        <f t="shared" si="362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363"/>
        <v>0</v>
      </c>
      <c r="W2900" s="1" t="str">
        <f t="shared" si="364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customHeight="1" x14ac:dyDescent="0.3">
      <c r="A2901" s="2"/>
      <c r="B2901" s="65" t="str">
        <f t="shared" si="365"/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 t="shared" si="366"/>
        <v/>
      </c>
      <c r="N2901" s="74" t="str">
        <f t="shared" si="367"/>
        <v/>
      </c>
      <c r="O2901" s="73" t="str">
        <f t="shared" si="368"/>
        <v/>
      </c>
      <c r="P2901" s="65" t="str">
        <f t="shared" ca="1" si="369"/>
        <v/>
      </c>
      <c r="Q2901" s="2"/>
      <c r="R2901" s="2"/>
      <c r="S2901" s="1" t="str">
        <f t="shared" si="362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363"/>
        <v>0</v>
      </c>
      <c r="W2901" s="1" t="str">
        <f t="shared" si="364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customHeight="1" x14ac:dyDescent="0.3">
      <c r="A2902" s="2"/>
      <c r="B2902" s="65" t="str">
        <f t="shared" si="365"/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 t="shared" si="366"/>
        <v/>
      </c>
      <c r="N2902" s="74" t="str">
        <f t="shared" si="367"/>
        <v/>
      </c>
      <c r="O2902" s="73" t="str">
        <f t="shared" si="368"/>
        <v/>
      </c>
      <c r="P2902" s="65" t="str">
        <f t="shared" ca="1" si="369"/>
        <v/>
      </c>
      <c r="Q2902" s="2"/>
      <c r="R2902" s="2"/>
      <c r="S2902" s="1" t="str">
        <f t="shared" si="362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363"/>
        <v>0</v>
      </c>
      <c r="W2902" s="1" t="str">
        <f t="shared" si="364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customHeight="1" x14ac:dyDescent="0.3">
      <c r="A2903" s="2"/>
      <c r="B2903" s="65" t="str">
        <f t="shared" si="365"/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 t="shared" si="366"/>
        <v/>
      </c>
      <c r="N2903" s="74" t="str">
        <f t="shared" si="367"/>
        <v/>
      </c>
      <c r="O2903" s="73" t="str">
        <f t="shared" si="368"/>
        <v/>
      </c>
      <c r="P2903" s="65" t="str">
        <f t="shared" ca="1" si="369"/>
        <v/>
      </c>
      <c r="Q2903" s="2"/>
      <c r="R2903" s="2"/>
      <c r="S2903" s="1" t="str">
        <f t="shared" si="362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363"/>
        <v>0</v>
      </c>
      <c r="W2903" s="1" t="str">
        <f t="shared" si="364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customHeight="1" x14ac:dyDescent="0.3">
      <c r="A2904" s="2"/>
      <c r="B2904" s="65" t="str">
        <f t="shared" si="365"/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 t="shared" si="366"/>
        <v/>
      </c>
      <c r="N2904" s="74" t="str">
        <f t="shared" si="367"/>
        <v/>
      </c>
      <c r="O2904" s="73" t="str">
        <f t="shared" si="368"/>
        <v/>
      </c>
      <c r="P2904" s="65" t="str">
        <f t="shared" ca="1" si="369"/>
        <v/>
      </c>
      <c r="Q2904" s="2"/>
      <c r="R2904" s="2"/>
      <c r="S2904" s="1" t="str">
        <f t="shared" si="362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363"/>
        <v>0</v>
      </c>
      <c r="W2904" s="1" t="str">
        <f t="shared" si="364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customHeight="1" x14ac:dyDescent="0.3">
      <c r="A2905" s="2"/>
      <c r="B2905" s="65" t="str">
        <f t="shared" si="365"/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 t="shared" si="366"/>
        <v/>
      </c>
      <c r="N2905" s="74" t="str">
        <f t="shared" si="367"/>
        <v/>
      </c>
      <c r="O2905" s="73" t="str">
        <f t="shared" si="368"/>
        <v/>
      </c>
      <c r="P2905" s="65" t="str">
        <f t="shared" ca="1" si="369"/>
        <v/>
      </c>
      <c r="Q2905" s="2"/>
      <c r="R2905" s="2"/>
      <c r="S2905" s="1" t="str">
        <f t="shared" si="362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363"/>
        <v>0</v>
      </c>
      <c r="W2905" s="1" t="str">
        <f t="shared" si="364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customHeight="1" x14ac:dyDescent="0.3">
      <c r="A2906" s="2"/>
      <c r="B2906" s="65" t="str">
        <f t="shared" si="365"/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 t="shared" si="366"/>
        <v/>
      </c>
      <c r="N2906" s="74" t="str">
        <f t="shared" si="367"/>
        <v/>
      </c>
      <c r="O2906" s="73" t="str">
        <f t="shared" si="368"/>
        <v/>
      </c>
      <c r="P2906" s="65" t="str">
        <f t="shared" ca="1" si="369"/>
        <v/>
      </c>
      <c r="Q2906" s="2"/>
      <c r="R2906" s="2"/>
      <c r="S2906" s="1" t="str">
        <f t="shared" si="362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363"/>
        <v>0</v>
      </c>
      <c r="W2906" s="1" t="str">
        <f t="shared" si="364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customHeight="1" x14ac:dyDescent="0.3">
      <c r="A2907" s="2"/>
      <c r="B2907" s="65" t="str">
        <f t="shared" si="365"/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 t="shared" si="366"/>
        <v/>
      </c>
      <c r="N2907" s="74" t="str">
        <f t="shared" si="367"/>
        <v/>
      </c>
      <c r="O2907" s="73" t="str">
        <f t="shared" si="368"/>
        <v/>
      </c>
      <c r="P2907" s="65" t="str">
        <f t="shared" ca="1" si="369"/>
        <v/>
      </c>
      <c r="Q2907" s="2"/>
      <c r="R2907" s="2"/>
      <c r="S2907" s="1" t="str">
        <f t="shared" si="362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363"/>
        <v>0</v>
      </c>
      <c r="W2907" s="1" t="str">
        <f t="shared" si="364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customHeight="1" x14ac:dyDescent="0.3">
      <c r="A2908" s="2"/>
      <c r="B2908" s="65" t="str">
        <f t="shared" si="365"/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 t="shared" si="366"/>
        <v/>
      </c>
      <c r="N2908" s="74" t="str">
        <f t="shared" si="367"/>
        <v/>
      </c>
      <c r="O2908" s="73" t="str">
        <f t="shared" si="368"/>
        <v/>
      </c>
      <c r="P2908" s="65" t="str">
        <f t="shared" ca="1" si="369"/>
        <v/>
      </c>
      <c r="Q2908" s="2"/>
      <c r="R2908" s="2"/>
      <c r="S2908" s="1" t="str">
        <f t="shared" si="362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363"/>
        <v>0</v>
      </c>
      <c r="W2908" s="1" t="str">
        <f t="shared" si="364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customHeight="1" x14ac:dyDescent="0.3">
      <c r="A2909" s="2"/>
      <c r="B2909" s="65" t="str">
        <f t="shared" si="365"/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 t="shared" si="366"/>
        <v/>
      </c>
      <c r="N2909" s="74" t="str">
        <f t="shared" si="367"/>
        <v/>
      </c>
      <c r="O2909" s="73" t="str">
        <f t="shared" si="368"/>
        <v/>
      </c>
      <c r="P2909" s="65" t="str">
        <f t="shared" ca="1" si="369"/>
        <v/>
      </c>
      <c r="Q2909" s="2"/>
      <c r="R2909" s="2"/>
      <c r="S2909" s="1" t="str">
        <f t="shared" si="362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363"/>
        <v>0</v>
      </c>
      <c r="W2909" s="1" t="str">
        <f t="shared" si="364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customHeight="1" x14ac:dyDescent="0.3">
      <c r="A2910" s="2"/>
      <c r="B2910" s="65" t="str">
        <f t="shared" si="365"/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 t="shared" si="366"/>
        <v/>
      </c>
      <c r="N2910" s="74" t="str">
        <f t="shared" si="367"/>
        <v/>
      </c>
      <c r="O2910" s="73" t="str">
        <f t="shared" si="368"/>
        <v/>
      </c>
      <c r="P2910" s="65" t="str">
        <f t="shared" ca="1" si="369"/>
        <v/>
      </c>
      <c r="Q2910" s="2"/>
      <c r="R2910" s="2"/>
      <c r="S2910" s="1" t="str">
        <f t="shared" si="362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363"/>
        <v>0</v>
      </c>
      <c r="W2910" s="1" t="str">
        <f t="shared" si="364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customHeight="1" x14ac:dyDescent="0.3">
      <c r="A2911" s="2"/>
      <c r="B2911" s="65" t="str">
        <f t="shared" si="365"/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 t="shared" si="366"/>
        <v/>
      </c>
      <c r="N2911" s="74" t="str">
        <f t="shared" si="367"/>
        <v/>
      </c>
      <c r="O2911" s="73" t="str">
        <f t="shared" si="368"/>
        <v/>
      </c>
      <c r="P2911" s="65" t="str">
        <f t="shared" ca="1" si="369"/>
        <v/>
      </c>
      <c r="Q2911" s="2"/>
      <c r="R2911" s="2"/>
      <c r="S2911" s="1" t="str">
        <f t="shared" si="362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363"/>
        <v>0</v>
      </c>
      <c r="W2911" s="1" t="str">
        <f t="shared" si="364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customHeight="1" x14ac:dyDescent="0.3">
      <c r="A2912" s="2"/>
      <c r="B2912" s="65" t="str">
        <f t="shared" si="365"/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 t="shared" si="366"/>
        <v/>
      </c>
      <c r="N2912" s="74" t="str">
        <f t="shared" si="367"/>
        <v/>
      </c>
      <c r="O2912" s="73" t="str">
        <f t="shared" si="368"/>
        <v/>
      </c>
      <c r="P2912" s="65" t="str">
        <f t="shared" ca="1" si="369"/>
        <v/>
      </c>
      <c r="Q2912" s="2"/>
      <c r="R2912" s="2"/>
      <c r="S2912" s="1" t="str">
        <f t="shared" si="362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363"/>
        <v>0</v>
      </c>
      <c r="W2912" s="1" t="str">
        <f t="shared" si="364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customHeight="1" x14ac:dyDescent="0.3">
      <c r="A2913" s="2"/>
      <c r="B2913" s="65" t="str">
        <f t="shared" si="365"/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 t="shared" si="366"/>
        <v/>
      </c>
      <c r="N2913" s="74" t="str">
        <f t="shared" si="367"/>
        <v/>
      </c>
      <c r="O2913" s="73" t="str">
        <f t="shared" si="368"/>
        <v/>
      </c>
      <c r="P2913" s="65" t="str">
        <f t="shared" ca="1" si="369"/>
        <v/>
      </c>
      <c r="Q2913" s="2"/>
      <c r="R2913" s="2"/>
      <c r="S2913" s="1" t="str">
        <f t="shared" si="362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363"/>
        <v>0</v>
      </c>
      <c r="W2913" s="1" t="str">
        <f t="shared" si="364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customHeight="1" x14ac:dyDescent="0.3">
      <c r="A2914" s="2"/>
      <c r="B2914" s="65" t="str">
        <f t="shared" si="365"/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 t="shared" si="366"/>
        <v/>
      </c>
      <c r="N2914" s="74" t="str">
        <f t="shared" si="367"/>
        <v/>
      </c>
      <c r="O2914" s="73" t="str">
        <f t="shared" si="368"/>
        <v/>
      </c>
      <c r="P2914" s="65" t="str">
        <f t="shared" ca="1" si="369"/>
        <v/>
      </c>
      <c r="Q2914" s="2"/>
      <c r="R2914" s="2"/>
      <c r="S2914" s="1" t="str">
        <f t="shared" si="362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363"/>
        <v>0</v>
      </c>
      <c r="W2914" s="1" t="str">
        <f t="shared" si="364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customHeight="1" x14ac:dyDescent="0.3">
      <c r="A2915" s="2"/>
      <c r="B2915" s="65" t="str">
        <f t="shared" si="365"/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 t="shared" si="366"/>
        <v/>
      </c>
      <c r="N2915" s="74" t="str">
        <f t="shared" si="367"/>
        <v/>
      </c>
      <c r="O2915" s="73" t="str">
        <f t="shared" si="368"/>
        <v/>
      </c>
      <c r="P2915" s="65" t="str">
        <f t="shared" ca="1" si="369"/>
        <v/>
      </c>
      <c r="Q2915" s="2"/>
      <c r="R2915" s="2"/>
      <c r="S2915" s="1" t="str">
        <f t="shared" si="362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363"/>
        <v>0</v>
      </c>
      <c r="W2915" s="1" t="str">
        <f t="shared" si="364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customHeight="1" x14ac:dyDescent="0.3">
      <c r="A2916" s="2"/>
      <c r="B2916" s="65" t="str">
        <f t="shared" si="365"/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 t="shared" si="366"/>
        <v/>
      </c>
      <c r="N2916" s="74" t="str">
        <f t="shared" si="367"/>
        <v/>
      </c>
      <c r="O2916" s="73" t="str">
        <f t="shared" si="368"/>
        <v/>
      </c>
      <c r="P2916" s="65" t="str">
        <f t="shared" ca="1" si="369"/>
        <v/>
      </c>
      <c r="Q2916" s="2"/>
      <c r="R2916" s="2"/>
      <c r="S2916" s="1" t="str">
        <f t="shared" si="362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363"/>
        <v>0</v>
      </c>
      <c r="W2916" s="1" t="str">
        <f t="shared" si="364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customHeight="1" x14ac:dyDescent="0.3">
      <c r="A2917" s="2"/>
      <c r="B2917" s="65" t="str">
        <f t="shared" si="365"/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 t="shared" si="366"/>
        <v/>
      </c>
      <c r="N2917" s="74" t="str">
        <f t="shared" si="367"/>
        <v/>
      </c>
      <c r="O2917" s="73" t="str">
        <f t="shared" si="368"/>
        <v/>
      </c>
      <c r="P2917" s="65" t="str">
        <f t="shared" ca="1" si="369"/>
        <v/>
      </c>
      <c r="Q2917" s="2"/>
      <c r="R2917" s="2"/>
      <c r="S2917" s="1" t="str">
        <f t="shared" si="362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363"/>
        <v>0</v>
      </c>
      <c r="W2917" s="1" t="str">
        <f t="shared" si="364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customHeight="1" x14ac:dyDescent="0.3">
      <c r="A2918" s="2"/>
      <c r="B2918" s="65" t="str">
        <f t="shared" si="365"/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 t="shared" si="366"/>
        <v/>
      </c>
      <c r="N2918" s="74" t="str">
        <f t="shared" si="367"/>
        <v/>
      </c>
      <c r="O2918" s="73" t="str">
        <f t="shared" si="368"/>
        <v/>
      </c>
      <c r="P2918" s="65" t="str">
        <f t="shared" ca="1" si="369"/>
        <v/>
      </c>
      <c r="Q2918" s="2"/>
      <c r="R2918" s="2"/>
      <c r="S2918" s="1" t="str">
        <f t="shared" si="362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363"/>
        <v>0</v>
      </c>
      <c r="W2918" s="1" t="str">
        <f t="shared" si="364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customHeight="1" x14ac:dyDescent="0.3">
      <c r="A2919" s="2"/>
      <c r="B2919" s="65" t="str">
        <f t="shared" si="365"/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 t="shared" si="366"/>
        <v/>
      </c>
      <c r="N2919" s="74" t="str">
        <f t="shared" si="367"/>
        <v/>
      </c>
      <c r="O2919" s="73" t="str">
        <f t="shared" si="368"/>
        <v/>
      </c>
      <c r="P2919" s="65" t="str">
        <f t="shared" ca="1" si="369"/>
        <v/>
      </c>
      <c r="Q2919" s="2"/>
      <c r="R2919" s="2"/>
      <c r="S2919" s="1" t="str">
        <f t="shared" si="362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363"/>
        <v>0</v>
      </c>
      <c r="W2919" s="1" t="str">
        <f t="shared" si="364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customHeight="1" x14ac:dyDescent="0.3">
      <c r="A2920" s="2"/>
      <c r="B2920" s="65" t="str">
        <f t="shared" si="365"/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 t="shared" si="366"/>
        <v/>
      </c>
      <c r="N2920" s="74" t="str">
        <f t="shared" si="367"/>
        <v/>
      </c>
      <c r="O2920" s="73" t="str">
        <f t="shared" si="368"/>
        <v/>
      </c>
      <c r="P2920" s="65" t="str">
        <f t="shared" ca="1" si="369"/>
        <v/>
      </c>
      <c r="Q2920" s="2"/>
      <c r="R2920" s="2"/>
      <c r="S2920" s="1" t="str">
        <f t="shared" si="362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363"/>
        <v>0</v>
      </c>
      <c r="W2920" s="1" t="str">
        <f t="shared" si="364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customHeight="1" x14ac:dyDescent="0.3">
      <c r="A2921" s="2"/>
      <c r="B2921" s="65" t="str">
        <f t="shared" si="365"/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 t="shared" si="366"/>
        <v/>
      </c>
      <c r="N2921" s="74" t="str">
        <f t="shared" si="367"/>
        <v/>
      </c>
      <c r="O2921" s="73" t="str">
        <f t="shared" si="368"/>
        <v/>
      </c>
      <c r="P2921" s="65" t="str">
        <f t="shared" ca="1" si="369"/>
        <v/>
      </c>
      <c r="Q2921" s="2"/>
      <c r="R2921" s="2"/>
      <c r="S2921" s="1" t="str">
        <f t="shared" si="362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363"/>
        <v>0</v>
      </c>
      <c r="W2921" s="1" t="str">
        <f t="shared" si="364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customHeight="1" x14ac:dyDescent="0.3">
      <c r="A2922" s="2"/>
      <c r="B2922" s="65" t="str">
        <f t="shared" si="365"/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 t="shared" si="366"/>
        <v/>
      </c>
      <c r="N2922" s="74" t="str">
        <f t="shared" si="367"/>
        <v/>
      </c>
      <c r="O2922" s="73" t="str">
        <f t="shared" si="368"/>
        <v/>
      </c>
      <c r="P2922" s="65" t="str">
        <f t="shared" ca="1" si="369"/>
        <v/>
      </c>
      <c r="Q2922" s="2"/>
      <c r="R2922" s="2"/>
      <c r="S2922" s="1" t="str">
        <f t="shared" si="362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363"/>
        <v>0</v>
      </c>
      <c r="W2922" s="1" t="str">
        <f t="shared" si="364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customHeight="1" x14ac:dyDescent="0.3">
      <c r="A2923" s="2"/>
      <c r="B2923" s="65" t="str">
        <f t="shared" si="365"/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 t="shared" si="366"/>
        <v/>
      </c>
      <c r="N2923" s="74" t="str">
        <f t="shared" si="367"/>
        <v/>
      </c>
      <c r="O2923" s="73" t="str">
        <f t="shared" si="368"/>
        <v/>
      </c>
      <c r="P2923" s="65" t="str">
        <f t="shared" ca="1" si="369"/>
        <v/>
      </c>
      <c r="Q2923" s="2"/>
      <c r="R2923" s="2"/>
      <c r="S2923" s="1" t="str">
        <f t="shared" si="362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363"/>
        <v>0</v>
      </c>
      <c r="W2923" s="1" t="str">
        <f t="shared" si="364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customHeight="1" x14ac:dyDescent="0.3">
      <c r="A2924" s="2"/>
      <c r="B2924" s="65" t="str">
        <f t="shared" si="365"/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 t="shared" si="366"/>
        <v/>
      </c>
      <c r="N2924" s="74" t="str">
        <f t="shared" si="367"/>
        <v/>
      </c>
      <c r="O2924" s="73" t="str">
        <f t="shared" si="368"/>
        <v/>
      </c>
      <c r="P2924" s="65" t="str">
        <f t="shared" ca="1" si="369"/>
        <v/>
      </c>
      <c r="Q2924" s="2"/>
      <c r="R2924" s="2"/>
      <c r="S2924" s="1" t="str">
        <f t="shared" si="362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363"/>
        <v>0</v>
      </c>
      <c r="W2924" s="1" t="str">
        <f t="shared" si="364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customHeight="1" x14ac:dyDescent="0.3">
      <c r="A2925" s="2"/>
      <c r="B2925" s="65" t="str">
        <f t="shared" si="365"/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 t="shared" si="366"/>
        <v/>
      </c>
      <c r="N2925" s="74" t="str">
        <f t="shared" si="367"/>
        <v/>
      </c>
      <c r="O2925" s="73" t="str">
        <f t="shared" si="368"/>
        <v/>
      </c>
      <c r="P2925" s="65" t="str">
        <f t="shared" ca="1" si="369"/>
        <v/>
      </c>
      <c r="Q2925" s="2"/>
      <c r="R2925" s="2"/>
      <c r="S2925" s="1" t="str">
        <f t="shared" si="362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363"/>
        <v>0</v>
      </c>
      <c r="W2925" s="1" t="str">
        <f t="shared" si="364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customHeight="1" x14ac:dyDescent="0.3">
      <c r="A2926" s="2"/>
      <c r="B2926" s="65" t="str">
        <f t="shared" si="365"/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 t="shared" si="366"/>
        <v/>
      </c>
      <c r="N2926" s="74" t="str">
        <f t="shared" si="367"/>
        <v/>
      </c>
      <c r="O2926" s="73" t="str">
        <f t="shared" si="368"/>
        <v/>
      </c>
      <c r="P2926" s="65" t="str">
        <f t="shared" ca="1" si="369"/>
        <v/>
      </c>
      <c r="Q2926" s="2"/>
      <c r="R2926" s="2"/>
      <c r="S2926" s="1" t="str">
        <f t="shared" si="362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363"/>
        <v>0</v>
      </c>
      <c r="W2926" s="1" t="str">
        <f t="shared" si="364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customHeight="1" x14ac:dyDescent="0.3">
      <c r="A2927" s="2"/>
      <c r="B2927" s="65" t="str">
        <f t="shared" si="365"/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 t="shared" si="366"/>
        <v/>
      </c>
      <c r="N2927" s="74" t="str">
        <f t="shared" si="367"/>
        <v/>
      </c>
      <c r="O2927" s="73" t="str">
        <f t="shared" si="368"/>
        <v/>
      </c>
      <c r="P2927" s="65" t="str">
        <f t="shared" ca="1" si="369"/>
        <v/>
      </c>
      <c r="Q2927" s="2"/>
      <c r="R2927" s="2"/>
      <c r="S2927" s="1" t="str">
        <f t="shared" si="362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363"/>
        <v>0</v>
      </c>
      <c r="W2927" s="1" t="str">
        <f t="shared" si="364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customHeight="1" x14ac:dyDescent="0.3">
      <c r="A2928" s="2"/>
      <c r="B2928" s="65" t="str">
        <f t="shared" si="365"/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 t="shared" si="366"/>
        <v/>
      </c>
      <c r="N2928" s="74" t="str">
        <f t="shared" si="367"/>
        <v/>
      </c>
      <c r="O2928" s="73" t="str">
        <f t="shared" si="368"/>
        <v/>
      </c>
      <c r="P2928" s="65" t="str">
        <f t="shared" ca="1" si="369"/>
        <v/>
      </c>
      <c r="Q2928" s="2"/>
      <c r="R2928" s="2"/>
      <c r="S2928" s="1" t="str">
        <f t="shared" si="362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363"/>
        <v>0</v>
      </c>
      <c r="W2928" s="1" t="str">
        <f t="shared" si="364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customHeight="1" x14ac:dyDescent="0.3">
      <c r="A2929" s="2"/>
      <c r="B2929" s="65" t="str">
        <f t="shared" si="365"/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 t="shared" si="366"/>
        <v/>
      </c>
      <c r="N2929" s="74" t="str">
        <f t="shared" si="367"/>
        <v/>
      </c>
      <c r="O2929" s="73" t="str">
        <f t="shared" si="368"/>
        <v/>
      </c>
      <c r="P2929" s="65" t="str">
        <f t="shared" ca="1" si="369"/>
        <v/>
      </c>
      <c r="Q2929" s="2"/>
      <c r="R2929" s="2"/>
      <c r="S2929" s="1" t="str">
        <f t="shared" si="362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363"/>
        <v>0</v>
      </c>
      <c r="W2929" s="1" t="str">
        <f t="shared" si="364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customHeight="1" x14ac:dyDescent="0.3">
      <c r="A2930" s="2"/>
      <c r="B2930" s="65" t="str">
        <f t="shared" si="365"/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 t="shared" si="366"/>
        <v/>
      </c>
      <c r="N2930" s="74" t="str">
        <f t="shared" si="367"/>
        <v/>
      </c>
      <c r="O2930" s="73" t="str">
        <f t="shared" si="368"/>
        <v/>
      </c>
      <c r="P2930" s="65" t="str">
        <f t="shared" ca="1" si="369"/>
        <v/>
      </c>
      <c r="Q2930" s="2"/>
      <c r="R2930" s="2"/>
      <c r="S2930" s="1" t="str">
        <f t="shared" si="362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363"/>
        <v>0</v>
      </c>
      <c r="W2930" s="1" t="str">
        <f t="shared" si="364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customHeight="1" x14ac:dyDescent="0.3">
      <c r="A2931" s="2"/>
      <c r="B2931" s="65" t="str">
        <f t="shared" si="365"/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 t="shared" si="366"/>
        <v/>
      </c>
      <c r="N2931" s="74" t="str">
        <f t="shared" si="367"/>
        <v/>
      </c>
      <c r="O2931" s="73" t="str">
        <f t="shared" si="368"/>
        <v/>
      </c>
      <c r="P2931" s="65" t="str">
        <f t="shared" ca="1" si="369"/>
        <v/>
      </c>
      <c r="Q2931" s="2"/>
      <c r="R2931" s="2"/>
      <c r="S2931" s="1" t="str">
        <f t="shared" si="362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363"/>
        <v>0</v>
      </c>
      <c r="W2931" s="1" t="str">
        <f t="shared" si="364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customHeight="1" x14ac:dyDescent="0.3">
      <c r="A2932" s="2"/>
      <c r="B2932" s="65" t="str">
        <f t="shared" si="365"/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 t="shared" si="366"/>
        <v/>
      </c>
      <c r="N2932" s="74" t="str">
        <f t="shared" si="367"/>
        <v/>
      </c>
      <c r="O2932" s="73" t="str">
        <f t="shared" si="368"/>
        <v/>
      </c>
      <c r="P2932" s="65" t="str">
        <f t="shared" ca="1" si="369"/>
        <v/>
      </c>
      <c r="Q2932" s="2"/>
      <c r="R2932" s="2"/>
      <c r="S2932" s="1" t="str">
        <f t="shared" si="362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363"/>
        <v>0</v>
      </c>
      <c r="W2932" s="1" t="str">
        <f t="shared" si="364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customHeight="1" x14ac:dyDescent="0.3">
      <c r="A2933" s="2"/>
      <c r="B2933" s="65" t="str">
        <f t="shared" si="365"/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 t="shared" si="366"/>
        <v/>
      </c>
      <c r="N2933" s="74" t="str">
        <f t="shared" si="367"/>
        <v/>
      </c>
      <c r="O2933" s="73" t="str">
        <f t="shared" si="368"/>
        <v/>
      </c>
      <c r="P2933" s="65" t="str">
        <f t="shared" ca="1" si="369"/>
        <v/>
      </c>
      <c r="Q2933" s="2"/>
      <c r="R2933" s="2"/>
      <c r="S2933" s="1" t="str">
        <f t="shared" si="362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363"/>
        <v>0</v>
      </c>
      <c r="W2933" s="1" t="str">
        <f t="shared" si="364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customHeight="1" x14ac:dyDescent="0.3">
      <c r="A2934" s="2"/>
      <c r="B2934" s="65" t="str">
        <f t="shared" si="365"/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 t="shared" si="366"/>
        <v/>
      </c>
      <c r="N2934" s="74" t="str">
        <f t="shared" si="367"/>
        <v/>
      </c>
      <c r="O2934" s="73" t="str">
        <f t="shared" si="368"/>
        <v/>
      </c>
      <c r="P2934" s="65" t="str">
        <f t="shared" ca="1" si="369"/>
        <v/>
      </c>
      <c r="Q2934" s="2"/>
      <c r="R2934" s="2"/>
      <c r="S2934" s="1" t="str">
        <f t="shared" si="362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363"/>
        <v>0</v>
      </c>
      <c r="W2934" s="1" t="str">
        <f t="shared" si="364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customHeight="1" x14ac:dyDescent="0.3">
      <c r="A2935" s="2"/>
      <c r="B2935" s="65" t="str">
        <f t="shared" si="365"/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 t="shared" si="366"/>
        <v/>
      </c>
      <c r="N2935" s="74" t="str">
        <f t="shared" si="367"/>
        <v/>
      </c>
      <c r="O2935" s="73" t="str">
        <f t="shared" si="368"/>
        <v/>
      </c>
      <c r="P2935" s="65" t="str">
        <f t="shared" ca="1" si="369"/>
        <v/>
      </c>
      <c r="Q2935" s="2"/>
      <c r="R2935" s="2"/>
      <c r="S2935" s="1" t="str">
        <f t="shared" si="362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363"/>
        <v>0</v>
      </c>
      <c r="W2935" s="1" t="str">
        <f t="shared" si="364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customHeight="1" x14ac:dyDescent="0.3">
      <c r="A2936" s="2"/>
      <c r="B2936" s="65" t="str">
        <f t="shared" si="365"/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 t="shared" si="366"/>
        <v/>
      </c>
      <c r="N2936" s="74" t="str">
        <f t="shared" si="367"/>
        <v/>
      </c>
      <c r="O2936" s="73" t="str">
        <f t="shared" si="368"/>
        <v/>
      </c>
      <c r="P2936" s="65" t="str">
        <f t="shared" ca="1" si="369"/>
        <v/>
      </c>
      <c r="Q2936" s="2"/>
      <c r="R2936" s="2"/>
      <c r="S2936" s="1" t="str">
        <f t="shared" si="362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363"/>
        <v>0</v>
      </c>
      <c r="W2936" s="1" t="str">
        <f t="shared" si="364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customHeight="1" x14ac:dyDescent="0.3">
      <c r="A2937" s="2"/>
      <c r="B2937" s="65" t="str">
        <f t="shared" si="365"/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 t="shared" si="366"/>
        <v/>
      </c>
      <c r="N2937" s="74" t="str">
        <f t="shared" si="367"/>
        <v/>
      </c>
      <c r="O2937" s="73" t="str">
        <f t="shared" si="368"/>
        <v/>
      </c>
      <c r="P2937" s="65" t="str">
        <f t="shared" ca="1" si="369"/>
        <v/>
      </c>
      <c r="Q2937" s="2"/>
      <c r="R2937" s="2"/>
      <c r="S2937" s="1" t="str">
        <f t="shared" si="362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363"/>
        <v>0</v>
      </c>
      <c r="W2937" s="1" t="str">
        <f t="shared" si="364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customHeight="1" x14ac:dyDescent="0.3">
      <c r="A2938" s="2"/>
      <c r="B2938" s="65" t="str">
        <f t="shared" si="365"/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 t="shared" si="366"/>
        <v/>
      </c>
      <c r="N2938" s="74" t="str">
        <f t="shared" si="367"/>
        <v/>
      </c>
      <c r="O2938" s="73" t="str">
        <f t="shared" si="368"/>
        <v/>
      </c>
      <c r="P2938" s="65" t="str">
        <f t="shared" ca="1" si="369"/>
        <v/>
      </c>
      <c r="Q2938" s="2"/>
      <c r="R2938" s="2"/>
      <c r="S2938" s="1" t="str">
        <f t="shared" si="362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363"/>
        <v>0</v>
      </c>
      <c r="W2938" s="1" t="str">
        <f t="shared" si="364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customHeight="1" x14ac:dyDescent="0.3">
      <c r="A2939" s="2"/>
      <c r="B2939" s="65" t="str">
        <f t="shared" si="365"/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 t="shared" si="366"/>
        <v/>
      </c>
      <c r="N2939" s="74" t="str">
        <f t="shared" si="367"/>
        <v/>
      </c>
      <c r="O2939" s="73" t="str">
        <f t="shared" si="368"/>
        <v/>
      </c>
      <c r="P2939" s="65" t="str">
        <f t="shared" ca="1" si="369"/>
        <v/>
      </c>
      <c r="Q2939" s="2"/>
      <c r="R2939" s="2"/>
      <c r="S2939" s="1" t="str">
        <f t="shared" si="362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363"/>
        <v>0</v>
      </c>
      <c r="W2939" s="1" t="str">
        <f t="shared" si="364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customHeight="1" x14ac:dyDescent="0.3">
      <c r="A2940" s="2"/>
      <c r="B2940" s="65" t="str">
        <f t="shared" si="365"/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 t="shared" si="366"/>
        <v/>
      </c>
      <c r="N2940" s="74" t="str">
        <f t="shared" si="367"/>
        <v/>
      </c>
      <c r="O2940" s="73" t="str">
        <f t="shared" si="368"/>
        <v/>
      </c>
      <c r="P2940" s="65" t="str">
        <f t="shared" ca="1" si="369"/>
        <v/>
      </c>
      <c r="Q2940" s="2"/>
      <c r="R2940" s="2"/>
      <c r="S2940" s="1" t="str">
        <f t="shared" si="362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363"/>
        <v>0</v>
      </c>
      <c r="W2940" s="1" t="str">
        <f t="shared" si="364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customHeight="1" x14ac:dyDescent="0.3">
      <c r="A2941" s="2"/>
      <c r="B2941" s="65" t="str">
        <f t="shared" si="365"/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 t="shared" si="366"/>
        <v/>
      </c>
      <c r="N2941" s="74" t="str">
        <f t="shared" si="367"/>
        <v/>
      </c>
      <c r="O2941" s="73" t="str">
        <f t="shared" si="368"/>
        <v/>
      </c>
      <c r="P2941" s="65" t="str">
        <f t="shared" ca="1" si="369"/>
        <v/>
      </c>
      <c r="Q2941" s="2"/>
      <c r="R2941" s="2"/>
      <c r="S2941" s="1" t="str">
        <f t="shared" si="362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363"/>
        <v>0</v>
      </c>
      <c r="W2941" s="1" t="str">
        <f t="shared" si="364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customHeight="1" x14ac:dyDescent="0.3">
      <c r="A2942" s="2"/>
      <c r="B2942" s="65" t="str">
        <f t="shared" si="365"/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 t="shared" si="366"/>
        <v/>
      </c>
      <c r="N2942" s="74" t="str">
        <f t="shared" si="367"/>
        <v/>
      </c>
      <c r="O2942" s="73" t="str">
        <f t="shared" si="368"/>
        <v/>
      </c>
      <c r="P2942" s="65" t="str">
        <f t="shared" ca="1" si="369"/>
        <v/>
      </c>
      <c r="Q2942" s="2"/>
      <c r="R2942" s="2"/>
      <c r="S2942" s="1" t="str">
        <f t="shared" si="362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363"/>
        <v>0</v>
      </c>
      <c r="W2942" s="1" t="str">
        <f t="shared" si="364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customHeight="1" x14ac:dyDescent="0.3">
      <c r="A2943" s="2"/>
      <c r="B2943" s="65" t="str">
        <f t="shared" si="365"/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 t="shared" si="366"/>
        <v/>
      </c>
      <c r="N2943" s="74" t="str">
        <f t="shared" si="367"/>
        <v/>
      </c>
      <c r="O2943" s="73" t="str">
        <f t="shared" si="368"/>
        <v/>
      </c>
      <c r="P2943" s="65" t="str">
        <f t="shared" ca="1" si="369"/>
        <v/>
      </c>
      <c r="Q2943" s="2"/>
      <c r="R2943" s="2"/>
      <c r="S2943" s="1" t="str">
        <f t="shared" si="362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363"/>
        <v>0</v>
      </c>
      <c r="W2943" s="1" t="str">
        <f t="shared" si="364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customHeight="1" x14ac:dyDescent="0.3">
      <c r="A2944" s="2"/>
      <c r="B2944" s="65" t="str">
        <f t="shared" si="365"/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 t="shared" si="366"/>
        <v/>
      </c>
      <c r="N2944" s="74" t="str">
        <f t="shared" si="367"/>
        <v/>
      </c>
      <c r="O2944" s="73" t="str">
        <f t="shared" si="368"/>
        <v/>
      </c>
      <c r="P2944" s="65" t="str">
        <f t="shared" ca="1" si="369"/>
        <v/>
      </c>
      <c r="Q2944" s="2"/>
      <c r="R2944" s="2"/>
      <c r="S2944" s="1" t="str">
        <f t="shared" si="362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363"/>
        <v>0</v>
      </c>
      <c r="W2944" s="1" t="str">
        <f t="shared" si="364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customHeight="1" x14ac:dyDescent="0.3">
      <c r="A2945" s="2"/>
      <c r="B2945" s="65" t="str">
        <f t="shared" si="365"/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 t="shared" si="366"/>
        <v/>
      </c>
      <c r="N2945" s="74" t="str">
        <f t="shared" si="367"/>
        <v/>
      </c>
      <c r="O2945" s="73" t="str">
        <f t="shared" si="368"/>
        <v/>
      </c>
      <c r="P2945" s="65" t="str">
        <f t="shared" ca="1" si="369"/>
        <v/>
      </c>
      <c r="Q2945" s="2"/>
      <c r="R2945" s="2"/>
      <c r="S2945" s="1" t="str">
        <f t="shared" si="362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363"/>
        <v>0</v>
      </c>
      <c r="W2945" s="1" t="str">
        <f t="shared" si="364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customHeight="1" x14ac:dyDescent="0.3">
      <c r="A2946" s="2"/>
      <c r="B2946" s="65" t="str">
        <f t="shared" si="365"/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 t="shared" si="366"/>
        <v/>
      </c>
      <c r="N2946" s="74" t="str">
        <f t="shared" si="367"/>
        <v/>
      </c>
      <c r="O2946" s="73" t="str">
        <f t="shared" si="368"/>
        <v/>
      </c>
      <c r="P2946" s="65" t="str">
        <f t="shared" ca="1" si="369"/>
        <v/>
      </c>
      <c r="Q2946" s="2"/>
      <c r="R2946" s="2"/>
      <c r="S2946" s="1" t="str">
        <f t="shared" si="362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363"/>
        <v>0</v>
      </c>
      <c r="W2946" s="1" t="str">
        <f t="shared" si="364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customHeight="1" x14ac:dyDescent="0.3">
      <c r="A2947" s="2"/>
      <c r="B2947" s="65" t="str">
        <f t="shared" si="365"/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 t="shared" si="366"/>
        <v/>
      </c>
      <c r="N2947" s="74" t="str">
        <f t="shared" si="367"/>
        <v/>
      </c>
      <c r="O2947" s="73" t="str">
        <f t="shared" si="368"/>
        <v/>
      </c>
      <c r="P2947" s="65" t="str">
        <f t="shared" ca="1" si="369"/>
        <v/>
      </c>
      <c r="Q2947" s="2"/>
      <c r="R2947" s="2"/>
      <c r="S2947" s="1" t="str">
        <f t="shared" si="362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363"/>
        <v>0</v>
      </c>
      <c r="W2947" s="1" t="str">
        <f t="shared" si="364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customHeight="1" x14ac:dyDescent="0.3">
      <c r="A2948" s="2"/>
      <c r="B2948" s="65" t="str">
        <f t="shared" si="365"/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 t="shared" si="366"/>
        <v/>
      </c>
      <c r="N2948" s="74" t="str">
        <f t="shared" si="367"/>
        <v/>
      </c>
      <c r="O2948" s="73" t="str">
        <f t="shared" si="368"/>
        <v/>
      </c>
      <c r="P2948" s="65" t="str">
        <f t="shared" ca="1" si="369"/>
        <v/>
      </c>
      <c r="Q2948" s="2"/>
      <c r="R2948" s="2"/>
      <c r="S2948" s="1" t="str">
        <f t="shared" si="362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363"/>
        <v>0</v>
      </c>
      <c r="W2948" s="1" t="str">
        <f t="shared" si="364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customHeight="1" x14ac:dyDescent="0.3">
      <c r="A2949" s="2"/>
      <c r="B2949" s="65" t="str">
        <f t="shared" si="365"/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 t="shared" si="366"/>
        <v/>
      </c>
      <c r="N2949" s="74" t="str">
        <f t="shared" si="367"/>
        <v/>
      </c>
      <c r="O2949" s="73" t="str">
        <f t="shared" si="368"/>
        <v/>
      </c>
      <c r="P2949" s="65" t="str">
        <f t="shared" ca="1" si="369"/>
        <v/>
      </c>
      <c r="Q2949" s="2"/>
      <c r="R2949" s="2"/>
      <c r="S2949" s="1" t="str">
        <f t="shared" ref="S2949:S3001" si="370"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ref="V2949:V3001" si="371">IF($T2949="",0,1)</f>
        <v>0</v>
      </c>
      <c r="W2949" s="1" t="str">
        <f t="shared" ref="W2949:W3001" si="372">IF($C2949="","",$D2949&amp;"|"&amp;$E2949&amp;"|"&amp;TEXT($C2949,"0")&amp;"|"&amp;TEXT($G2949,"0")&amp;"|"&amp;$F2949&amp;"|"&amp;$J2949)</f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customHeight="1" x14ac:dyDescent="0.3">
      <c r="A2950" s="2"/>
      <c r="B2950" s="65" t="str">
        <f t="shared" si="365"/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 t="shared" si="366"/>
        <v/>
      </c>
      <c r="N2950" s="74" t="str">
        <f t="shared" si="367"/>
        <v/>
      </c>
      <c r="O2950" s="73" t="str">
        <f t="shared" si="368"/>
        <v/>
      </c>
      <c r="P2950" s="65" t="str">
        <f t="shared" ca="1" si="369"/>
        <v/>
      </c>
      <c r="Q2950" s="2"/>
      <c r="R2950" s="2"/>
      <c r="S2950" s="1" t="str">
        <f t="shared" si="370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371"/>
        <v>0</v>
      </c>
      <c r="W2950" s="1" t="str">
        <f t="shared" si="372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customHeight="1" x14ac:dyDescent="0.3">
      <c r="A2951" s="2"/>
      <c r="B2951" s="65" t="str">
        <f t="shared" ref="B2951:B3001" si="373"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 t="shared" ref="M2951:M3001" si="374">IF($C2951="","",IF($D2951="Gider",$E2951,IF($L2951&lt;&gt;"",$L2951,$H2951)))</f>
        <v/>
      </c>
      <c r="N2951" s="74" t="str">
        <f t="shared" ref="N2951:N3001" si="375">IF($C2951="","",IF($D2951="Gider",$H2951,$E2951))</f>
        <v/>
      </c>
      <c r="O2951" s="73" t="str">
        <f t="shared" ref="O2951:O3001" si="376">IF($C2951="","",DATE(YEAR($C2951),MONTH($C2951),1))</f>
        <v/>
      </c>
      <c r="P2951" s="65" t="str">
        <f t="shared" ref="P2951:P3001" ca="1" si="377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TARİH",IF(COUNTIF($W$7:$W$3001,$W2951)&gt;1,"MÜKERRER?",IF($AD2951&gt;0,"KAPALI DÖNEM",IF($I2951="Hayır","ÖDENECEK","UYGUN")))),"EKSİK"))))</f>
        <v/>
      </c>
      <c r="Q2951" s="2"/>
      <c r="R2951" s="2"/>
      <c r="S2951" s="1" t="str">
        <f t="shared" si="370"/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si="371"/>
        <v>0</v>
      </c>
      <c r="W2951" s="1" t="str">
        <f t="shared" si="372"/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customHeight="1" x14ac:dyDescent="0.3">
      <c r="A2952" s="2"/>
      <c r="B2952" s="65" t="str">
        <f t="shared" si="373"/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 t="shared" si="374"/>
        <v/>
      </c>
      <c r="N2952" s="74" t="str">
        <f t="shared" si="375"/>
        <v/>
      </c>
      <c r="O2952" s="73" t="str">
        <f t="shared" si="376"/>
        <v/>
      </c>
      <c r="P2952" s="65" t="str">
        <f t="shared" ca="1" si="377"/>
        <v/>
      </c>
      <c r="Q2952" s="2"/>
      <c r="R2952" s="2"/>
      <c r="S2952" s="1" t="str">
        <f t="shared" si="370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371"/>
        <v>0</v>
      </c>
      <c r="W2952" s="1" t="str">
        <f t="shared" si="372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customHeight="1" x14ac:dyDescent="0.3">
      <c r="A2953" s="2"/>
      <c r="B2953" s="65" t="str">
        <f t="shared" si="373"/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 t="shared" si="374"/>
        <v/>
      </c>
      <c r="N2953" s="74" t="str">
        <f t="shared" si="375"/>
        <v/>
      </c>
      <c r="O2953" s="73" t="str">
        <f t="shared" si="376"/>
        <v/>
      </c>
      <c r="P2953" s="65" t="str">
        <f t="shared" ca="1" si="377"/>
        <v/>
      </c>
      <c r="Q2953" s="2"/>
      <c r="R2953" s="2"/>
      <c r="S2953" s="1" t="str">
        <f t="shared" si="370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371"/>
        <v>0</v>
      </c>
      <c r="W2953" s="1" t="str">
        <f t="shared" si="372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customHeight="1" x14ac:dyDescent="0.3">
      <c r="A2954" s="2"/>
      <c r="B2954" s="65" t="str">
        <f t="shared" si="373"/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 t="shared" si="374"/>
        <v/>
      </c>
      <c r="N2954" s="74" t="str">
        <f t="shared" si="375"/>
        <v/>
      </c>
      <c r="O2954" s="73" t="str">
        <f t="shared" si="376"/>
        <v/>
      </c>
      <c r="P2954" s="65" t="str">
        <f t="shared" ca="1" si="377"/>
        <v/>
      </c>
      <c r="Q2954" s="2"/>
      <c r="R2954" s="2"/>
      <c r="S2954" s="1" t="str">
        <f t="shared" si="370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371"/>
        <v>0</v>
      </c>
      <c r="W2954" s="1" t="str">
        <f t="shared" si="372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customHeight="1" x14ac:dyDescent="0.3">
      <c r="A2955" s="2"/>
      <c r="B2955" s="65" t="str">
        <f t="shared" si="373"/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 t="shared" si="374"/>
        <v/>
      </c>
      <c r="N2955" s="74" t="str">
        <f t="shared" si="375"/>
        <v/>
      </c>
      <c r="O2955" s="73" t="str">
        <f t="shared" si="376"/>
        <v/>
      </c>
      <c r="P2955" s="65" t="str">
        <f t="shared" ca="1" si="377"/>
        <v/>
      </c>
      <c r="Q2955" s="2"/>
      <c r="R2955" s="2"/>
      <c r="S2955" s="1" t="str">
        <f t="shared" si="370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371"/>
        <v>0</v>
      </c>
      <c r="W2955" s="1" t="str">
        <f t="shared" si="372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customHeight="1" x14ac:dyDescent="0.3">
      <c r="A2956" s="2"/>
      <c r="B2956" s="65" t="str">
        <f t="shared" si="373"/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 t="shared" si="374"/>
        <v/>
      </c>
      <c r="N2956" s="74" t="str">
        <f t="shared" si="375"/>
        <v/>
      </c>
      <c r="O2956" s="73" t="str">
        <f t="shared" si="376"/>
        <v/>
      </c>
      <c r="P2956" s="65" t="str">
        <f t="shared" ca="1" si="377"/>
        <v/>
      </c>
      <c r="Q2956" s="2"/>
      <c r="R2956" s="2"/>
      <c r="S2956" s="1" t="str">
        <f t="shared" si="370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371"/>
        <v>0</v>
      </c>
      <c r="W2956" s="1" t="str">
        <f t="shared" si="372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customHeight="1" x14ac:dyDescent="0.3">
      <c r="A2957" s="2"/>
      <c r="B2957" s="65" t="str">
        <f t="shared" si="373"/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 t="shared" si="374"/>
        <v/>
      </c>
      <c r="N2957" s="74" t="str">
        <f t="shared" si="375"/>
        <v/>
      </c>
      <c r="O2957" s="73" t="str">
        <f t="shared" si="376"/>
        <v/>
      </c>
      <c r="P2957" s="65" t="str">
        <f t="shared" ca="1" si="377"/>
        <v/>
      </c>
      <c r="Q2957" s="2"/>
      <c r="R2957" s="2"/>
      <c r="S2957" s="1" t="str">
        <f t="shared" si="370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371"/>
        <v>0</v>
      </c>
      <c r="W2957" s="1" t="str">
        <f t="shared" si="372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customHeight="1" x14ac:dyDescent="0.3">
      <c r="A2958" s="2"/>
      <c r="B2958" s="65" t="str">
        <f t="shared" si="373"/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 t="shared" si="374"/>
        <v/>
      </c>
      <c r="N2958" s="74" t="str">
        <f t="shared" si="375"/>
        <v/>
      </c>
      <c r="O2958" s="73" t="str">
        <f t="shared" si="376"/>
        <v/>
      </c>
      <c r="P2958" s="65" t="str">
        <f t="shared" ca="1" si="377"/>
        <v/>
      </c>
      <c r="Q2958" s="2"/>
      <c r="R2958" s="2"/>
      <c r="S2958" s="1" t="str">
        <f t="shared" si="370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371"/>
        <v>0</v>
      </c>
      <c r="W2958" s="1" t="str">
        <f t="shared" si="372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customHeight="1" x14ac:dyDescent="0.3">
      <c r="A2959" s="2"/>
      <c r="B2959" s="65" t="str">
        <f t="shared" si="373"/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 t="shared" si="374"/>
        <v/>
      </c>
      <c r="N2959" s="74" t="str">
        <f t="shared" si="375"/>
        <v/>
      </c>
      <c r="O2959" s="73" t="str">
        <f t="shared" si="376"/>
        <v/>
      </c>
      <c r="P2959" s="65" t="str">
        <f t="shared" ca="1" si="377"/>
        <v/>
      </c>
      <c r="Q2959" s="2"/>
      <c r="R2959" s="2"/>
      <c r="S2959" s="1" t="str">
        <f t="shared" si="370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371"/>
        <v>0</v>
      </c>
      <c r="W2959" s="1" t="str">
        <f t="shared" si="372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customHeight="1" x14ac:dyDescent="0.3">
      <c r="A2960" s="2"/>
      <c r="B2960" s="65" t="str">
        <f t="shared" si="373"/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 t="shared" si="374"/>
        <v/>
      </c>
      <c r="N2960" s="74" t="str">
        <f t="shared" si="375"/>
        <v/>
      </c>
      <c r="O2960" s="73" t="str">
        <f t="shared" si="376"/>
        <v/>
      </c>
      <c r="P2960" s="65" t="str">
        <f t="shared" ca="1" si="377"/>
        <v/>
      </c>
      <c r="Q2960" s="2"/>
      <c r="R2960" s="2"/>
      <c r="S2960" s="1" t="str">
        <f t="shared" si="370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371"/>
        <v>0</v>
      </c>
      <c r="W2960" s="1" t="str">
        <f t="shared" si="372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customHeight="1" x14ac:dyDescent="0.3">
      <c r="A2961" s="2"/>
      <c r="B2961" s="65" t="str">
        <f t="shared" si="373"/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 t="shared" si="374"/>
        <v/>
      </c>
      <c r="N2961" s="74" t="str">
        <f t="shared" si="375"/>
        <v/>
      </c>
      <c r="O2961" s="73" t="str">
        <f t="shared" si="376"/>
        <v/>
      </c>
      <c r="P2961" s="65" t="str">
        <f t="shared" ca="1" si="377"/>
        <v/>
      </c>
      <c r="Q2961" s="2"/>
      <c r="R2961" s="2"/>
      <c r="S2961" s="1" t="str">
        <f t="shared" si="370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371"/>
        <v>0</v>
      </c>
      <c r="W2961" s="1" t="str">
        <f t="shared" si="372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customHeight="1" x14ac:dyDescent="0.3">
      <c r="A2962" s="2"/>
      <c r="B2962" s="65" t="str">
        <f t="shared" si="373"/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 t="shared" si="374"/>
        <v/>
      </c>
      <c r="N2962" s="74" t="str">
        <f t="shared" si="375"/>
        <v/>
      </c>
      <c r="O2962" s="73" t="str">
        <f t="shared" si="376"/>
        <v/>
      </c>
      <c r="P2962" s="65" t="str">
        <f t="shared" ca="1" si="377"/>
        <v/>
      </c>
      <c r="Q2962" s="2"/>
      <c r="R2962" s="2"/>
      <c r="S2962" s="1" t="str">
        <f t="shared" si="370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371"/>
        <v>0</v>
      </c>
      <c r="W2962" s="1" t="str">
        <f t="shared" si="372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customHeight="1" x14ac:dyDescent="0.3">
      <c r="A2963" s="2"/>
      <c r="B2963" s="65" t="str">
        <f t="shared" si="373"/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 t="shared" si="374"/>
        <v/>
      </c>
      <c r="N2963" s="74" t="str">
        <f t="shared" si="375"/>
        <v/>
      </c>
      <c r="O2963" s="73" t="str">
        <f t="shared" si="376"/>
        <v/>
      </c>
      <c r="P2963" s="65" t="str">
        <f t="shared" ca="1" si="377"/>
        <v/>
      </c>
      <c r="Q2963" s="2"/>
      <c r="R2963" s="2"/>
      <c r="S2963" s="1" t="str">
        <f t="shared" si="370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371"/>
        <v>0</v>
      </c>
      <c r="W2963" s="1" t="str">
        <f t="shared" si="372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customHeight="1" x14ac:dyDescent="0.3">
      <c r="A2964" s="2"/>
      <c r="B2964" s="65" t="str">
        <f t="shared" si="373"/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 t="shared" si="374"/>
        <v/>
      </c>
      <c r="N2964" s="74" t="str">
        <f t="shared" si="375"/>
        <v/>
      </c>
      <c r="O2964" s="73" t="str">
        <f t="shared" si="376"/>
        <v/>
      </c>
      <c r="P2964" s="65" t="str">
        <f t="shared" ca="1" si="377"/>
        <v/>
      </c>
      <c r="Q2964" s="2"/>
      <c r="R2964" s="2"/>
      <c r="S2964" s="1" t="str">
        <f t="shared" si="370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371"/>
        <v>0</v>
      </c>
      <c r="W2964" s="1" t="str">
        <f t="shared" si="372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customHeight="1" x14ac:dyDescent="0.3">
      <c r="A2965" s="2"/>
      <c r="B2965" s="65" t="str">
        <f t="shared" si="373"/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 t="shared" si="374"/>
        <v/>
      </c>
      <c r="N2965" s="74" t="str">
        <f t="shared" si="375"/>
        <v/>
      </c>
      <c r="O2965" s="73" t="str">
        <f t="shared" si="376"/>
        <v/>
      </c>
      <c r="P2965" s="65" t="str">
        <f t="shared" ca="1" si="377"/>
        <v/>
      </c>
      <c r="Q2965" s="2"/>
      <c r="R2965" s="2"/>
      <c r="S2965" s="1" t="str">
        <f t="shared" si="370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371"/>
        <v>0</v>
      </c>
      <c r="W2965" s="1" t="str">
        <f t="shared" si="372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customHeight="1" x14ac:dyDescent="0.3">
      <c r="A2966" s="2"/>
      <c r="B2966" s="65" t="str">
        <f t="shared" si="373"/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 t="shared" si="374"/>
        <v/>
      </c>
      <c r="N2966" s="74" t="str">
        <f t="shared" si="375"/>
        <v/>
      </c>
      <c r="O2966" s="73" t="str">
        <f t="shared" si="376"/>
        <v/>
      </c>
      <c r="P2966" s="65" t="str">
        <f t="shared" ca="1" si="377"/>
        <v/>
      </c>
      <c r="Q2966" s="2"/>
      <c r="R2966" s="2"/>
      <c r="S2966" s="1" t="str">
        <f t="shared" si="370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371"/>
        <v>0</v>
      </c>
      <c r="W2966" s="1" t="str">
        <f t="shared" si="372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customHeight="1" x14ac:dyDescent="0.3">
      <c r="A2967" s="2"/>
      <c r="B2967" s="65" t="str">
        <f t="shared" si="373"/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 t="shared" si="374"/>
        <v/>
      </c>
      <c r="N2967" s="74" t="str">
        <f t="shared" si="375"/>
        <v/>
      </c>
      <c r="O2967" s="73" t="str">
        <f t="shared" si="376"/>
        <v/>
      </c>
      <c r="P2967" s="65" t="str">
        <f t="shared" ca="1" si="377"/>
        <v/>
      </c>
      <c r="Q2967" s="2"/>
      <c r="R2967" s="2"/>
      <c r="S2967" s="1" t="str">
        <f t="shared" si="370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371"/>
        <v>0</v>
      </c>
      <c r="W2967" s="1" t="str">
        <f t="shared" si="372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customHeight="1" x14ac:dyDescent="0.3">
      <c r="A2968" s="2"/>
      <c r="B2968" s="65" t="str">
        <f t="shared" si="373"/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 t="shared" si="374"/>
        <v/>
      </c>
      <c r="N2968" s="74" t="str">
        <f t="shared" si="375"/>
        <v/>
      </c>
      <c r="O2968" s="73" t="str">
        <f t="shared" si="376"/>
        <v/>
      </c>
      <c r="P2968" s="65" t="str">
        <f t="shared" ca="1" si="377"/>
        <v/>
      </c>
      <c r="Q2968" s="2"/>
      <c r="R2968" s="2"/>
      <c r="S2968" s="1" t="str">
        <f t="shared" si="370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371"/>
        <v>0</v>
      </c>
      <c r="W2968" s="1" t="str">
        <f t="shared" si="372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customHeight="1" x14ac:dyDescent="0.3">
      <c r="A2969" s="2"/>
      <c r="B2969" s="65" t="str">
        <f t="shared" si="373"/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 t="shared" si="374"/>
        <v/>
      </c>
      <c r="N2969" s="74" t="str">
        <f t="shared" si="375"/>
        <v/>
      </c>
      <c r="O2969" s="73" t="str">
        <f t="shared" si="376"/>
        <v/>
      </c>
      <c r="P2969" s="65" t="str">
        <f t="shared" ca="1" si="377"/>
        <v/>
      </c>
      <c r="Q2969" s="2"/>
      <c r="R2969" s="2"/>
      <c r="S2969" s="1" t="str">
        <f t="shared" si="370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371"/>
        <v>0</v>
      </c>
      <c r="W2969" s="1" t="str">
        <f t="shared" si="372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customHeight="1" x14ac:dyDescent="0.3">
      <c r="A2970" s="2"/>
      <c r="B2970" s="65" t="str">
        <f t="shared" si="373"/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 t="shared" si="374"/>
        <v/>
      </c>
      <c r="N2970" s="74" t="str">
        <f t="shared" si="375"/>
        <v/>
      </c>
      <c r="O2970" s="73" t="str">
        <f t="shared" si="376"/>
        <v/>
      </c>
      <c r="P2970" s="65" t="str">
        <f t="shared" ca="1" si="377"/>
        <v/>
      </c>
      <c r="Q2970" s="2"/>
      <c r="R2970" s="2"/>
      <c r="S2970" s="1" t="str">
        <f t="shared" si="370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371"/>
        <v>0</v>
      </c>
      <c r="W2970" s="1" t="str">
        <f t="shared" si="372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customHeight="1" x14ac:dyDescent="0.3">
      <c r="A2971" s="2"/>
      <c r="B2971" s="65" t="str">
        <f t="shared" si="373"/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 t="shared" si="374"/>
        <v/>
      </c>
      <c r="N2971" s="74" t="str">
        <f t="shared" si="375"/>
        <v/>
      </c>
      <c r="O2971" s="73" t="str">
        <f t="shared" si="376"/>
        <v/>
      </c>
      <c r="P2971" s="65" t="str">
        <f t="shared" ca="1" si="377"/>
        <v/>
      </c>
      <c r="Q2971" s="2"/>
      <c r="R2971" s="2"/>
      <c r="S2971" s="1" t="str">
        <f t="shared" si="370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371"/>
        <v>0</v>
      </c>
      <c r="W2971" s="1" t="str">
        <f t="shared" si="372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customHeight="1" x14ac:dyDescent="0.3">
      <c r="A2972" s="2"/>
      <c r="B2972" s="65" t="str">
        <f t="shared" si="373"/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 t="shared" si="374"/>
        <v/>
      </c>
      <c r="N2972" s="74" t="str">
        <f t="shared" si="375"/>
        <v/>
      </c>
      <c r="O2972" s="73" t="str">
        <f t="shared" si="376"/>
        <v/>
      </c>
      <c r="P2972" s="65" t="str">
        <f t="shared" ca="1" si="377"/>
        <v/>
      </c>
      <c r="Q2972" s="2"/>
      <c r="R2972" s="2"/>
      <c r="S2972" s="1" t="str">
        <f t="shared" si="370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371"/>
        <v>0</v>
      </c>
      <c r="W2972" s="1" t="str">
        <f t="shared" si="372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customHeight="1" x14ac:dyDescent="0.3">
      <c r="A2973" s="2"/>
      <c r="B2973" s="65" t="str">
        <f t="shared" si="373"/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 t="shared" si="374"/>
        <v/>
      </c>
      <c r="N2973" s="74" t="str">
        <f t="shared" si="375"/>
        <v/>
      </c>
      <c r="O2973" s="73" t="str">
        <f t="shared" si="376"/>
        <v/>
      </c>
      <c r="P2973" s="65" t="str">
        <f t="shared" ca="1" si="377"/>
        <v/>
      </c>
      <c r="Q2973" s="2"/>
      <c r="R2973" s="2"/>
      <c r="S2973" s="1" t="str">
        <f t="shared" si="370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371"/>
        <v>0</v>
      </c>
      <c r="W2973" s="1" t="str">
        <f t="shared" si="372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customHeight="1" x14ac:dyDescent="0.3">
      <c r="A2974" s="2"/>
      <c r="B2974" s="65" t="str">
        <f t="shared" si="373"/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 t="shared" si="374"/>
        <v/>
      </c>
      <c r="N2974" s="74" t="str">
        <f t="shared" si="375"/>
        <v/>
      </c>
      <c r="O2974" s="73" t="str">
        <f t="shared" si="376"/>
        <v/>
      </c>
      <c r="P2974" s="65" t="str">
        <f t="shared" ca="1" si="377"/>
        <v/>
      </c>
      <c r="Q2974" s="2"/>
      <c r="R2974" s="2"/>
      <c r="S2974" s="1" t="str">
        <f t="shared" si="370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371"/>
        <v>0</v>
      </c>
      <c r="W2974" s="1" t="str">
        <f t="shared" si="372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customHeight="1" x14ac:dyDescent="0.3">
      <c r="A2975" s="2"/>
      <c r="B2975" s="65" t="str">
        <f t="shared" si="373"/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 t="shared" si="374"/>
        <v/>
      </c>
      <c r="N2975" s="74" t="str">
        <f t="shared" si="375"/>
        <v/>
      </c>
      <c r="O2975" s="73" t="str">
        <f t="shared" si="376"/>
        <v/>
      </c>
      <c r="P2975" s="65" t="str">
        <f t="shared" ca="1" si="377"/>
        <v/>
      </c>
      <c r="Q2975" s="2"/>
      <c r="R2975" s="2"/>
      <c r="S2975" s="1" t="str">
        <f t="shared" si="370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371"/>
        <v>0</v>
      </c>
      <c r="W2975" s="1" t="str">
        <f t="shared" si="372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customHeight="1" x14ac:dyDescent="0.3">
      <c r="A2976" s="2"/>
      <c r="B2976" s="65" t="str">
        <f t="shared" si="373"/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 t="shared" si="374"/>
        <v/>
      </c>
      <c r="N2976" s="74" t="str">
        <f t="shared" si="375"/>
        <v/>
      </c>
      <c r="O2976" s="73" t="str">
        <f t="shared" si="376"/>
        <v/>
      </c>
      <c r="P2976" s="65" t="str">
        <f t="shared" ca="1" si="377"/>
        <v/>
      </c>
      <c r="Q2976" s="2"/>
      <c r="R2976" s="2"/>
      <c r="S2976" s="1" t="str">
        <f t="shared" si="370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371"/>
        <v>0</v>
      </c>
      <c r="W2976" s="1" t="str">
        <f t="shared" si="372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customHeight="1" x14ac:dyDescent="0.3">
      <c r="A2977" s="2"/>
      <c r="B2977" s="65" t="str">
        <f t="shared" si="373"/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 t="shared" si="374"/>
        <v/>
      </c>
      <c r="N2977" s="74" t="str">
        <f t="shared" si="375"/>
        <v/>
      </c>
      <c r="O2977" s="73" t="str">
        <f t="shared" si="376"/>
        <v/>
      </c>
      <c r="P2977" s="65" t="str">
        <f t="shared" ca="1" si="377"/>
        <v/>
      </c>
      <c r="Q2977" s="2"/>
      <c r="R2977" s="2"/>
      <c r="S2977" s="1" t="str">
        <f t="shared" si="370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371"/>
        <v>0</v>
      </c>
      <c r="W2977" s="1" t="str">
        <f t="shared" si="372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customHeight="1" x14ac:dyDescent="0.3">
      <c r="A2978" s="2"/>
      <c r="B2978" s="65" t="str">
        <f t="shared" si="373"/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 t="shared" si="374"/>
        <v/>
      </c>
      <c r="N2978" s="74" t="str">
        <f t="shared" si="375"/>
        <v/>
      </c>
      <c r="O2978" s="73" t="str">
        <f t="shared" si="376"/>
        <v/>
      </c>
      <c r="P2978" s="65" t="str">
        <f t="shared" ca="1" si="377"/>
        <v/>
      </c>
      <c r="Q2978" s="2"/>
      <c r="R2978" s="2"/>
      <c r="S2978" s="1" t="str">
        <f t="shared" si="370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371"/>
        <v>0</v>
      </c>
      <c r="W2978" s="1" t="str">
        <f t="shared" si="372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customHeight="1" x14ac:dyDescent="0.3">
      <c r="A2979" s="2"/>
      <c r="B2979" s="65" t="str">
        <f t="shared" si="373"/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 t="shared" si="374"/>
        <v/>
      </c>
      <c r="N2979" s="74" t="str">
        <f t="shared" si="375"/>
        <v/>
      </c>
      <c r="O2979" s="73" t="str">
        <f t="shared" si="376"/>
        <v/>
      </c>
      <c r="P2979" s="65" t="str">
        <f t="shared" ca="1" si="377"/>
        <v/>
      </c>
      <c r="Q2979" s="2"/>
      <c r="R2979" s="2"/>
      <c r="S2979" s="1" t="str">
        <f t="shared" si="370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371"/>
        <v>0</v>
      </c>
      <c r="W2979" s="1" t="str">
        <f t="shared" si="372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customHeight="1" x14ac:dyDescent="0.3">
      <c r="A2980" s="2"/>
      <c r="B2980" s="65" t="str">
        <f t="shared" si="373"/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 t="shared" si="374"/>
        <v/>
      </c>
      <c r="N2980" s="74" t="str">
        <f t="shared" si="375"/>
        <v/>
      </c>
      <c r="O2980" s="73" t="str">
        <f t="shared" si="376"/>
        <v/>
      </c>
      <c r="P2980" s="65" t="str">
        <f t="shared" ca="1" si="377"/>
        <v/>
      </c>
      <c r="Q2980" s="2"/>
      <c r="R2980" s="2"/>
      <c r="S2980" s="1" t="str">
        <f t="shared" si="370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371"/>
        <v>0</v>
      </c>
      <c r="W2980" s="1" t="str">
        <f t="shared" si="372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customHeight="1" x14ac:dyDescent="0.3">
      <c r="A2981" s="2"/>
      <c r="B2981" s="65" t="str">
        <f t="shared" si="373"/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 t="shared" si="374"/>
        <v/>
      </c>
      <c r="N2981" s="74" t="str">
        <f t="shared" si="375"/>
        <v/>
      </c>
      <c r="O2981" s="73" t="str">
        <f t="shared" si="376"/>
        <v/>
      </c>
      <c r="P2981" s="65" t="str">
        <f t="shared" ca="1" si="377"/>
        <v/>
      </c>
      <c r="Q2981" s="2"/>
      <c r="R2981" s="2"/>
      <c r="S2981" s="1" t="str">
        <f t="shared" si="370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371"/>
        <v>0</v>
      </c>
      <c r="W2981" s="1" t="str">
        <f t="shared" si="372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customHeight="1" x14ac:dyDescent="0.3">
      <c r="A2982" s="2"/>
      <c r="B2982" s="65" t="str">
        <f t="shared" si="373"/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 t="shared" si="374"/>
        <v/>
      </c>
      <c r="N2982" s="74" t="str">
        <f t="shared" si="375"/>
        <v/>
      </c>
      <c r="O2982" s="73" t="str">
        <f t="shared" si="376"/>
        <v/>
      </c>
      <c r="P2982" s="65" t="str">
        <f t="shared" ca="1" si="377"/>
        <v/>
      </c>
      <c r="Q2982" s="2"/>
      <c r="R2982" s="2"/>
      <c r="S2982" s="1" t="str">
        <f t="shared" si="370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371"/>
        <v>0</v>
      </c>
      <c r="W2982" s="1" t="str">
        <f t="shared" si="372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customHeight="1" x14ac:dyDescent="0.3">
      <c r="A2983" s="2"/>
      <c r="B2983" s="65" t="str">
        <f t="shared" si="373"/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 t="shared" si="374"/>
        <v/>
      </c>
      <c r="N2983" s="74" t="str">
        <f t="shared" si="375"/>
        <v/>
      </c>
      <c r="O2983" s="73" t="str">
        <f t="shared" si="376"/>
        <v/>
      </c>
      <c r="P2983" s="65" t="str">
        <f t="shared" ca="1" si="377"/>
        <v/>
      </c>
      <c r="Q2983" s="2"/>
      <c r="R2983" s="2"/>
      <c r="S2983" s="1" t="str">
        <f t="shared" si="370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371"/>
        <v>0</v>
      </c>
      <c r="W2983" s="1" t="str">
        <f t="shared" si="372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customHeight="1" x14ac:dyDescent="0.3">
      <c r="A2984" s="2"/>
      <c r="B2984" s="65" t="str">
        <f t="shared" si="373"/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 t="shared" si="374"/>
        <v/>
      </c>
      <c r="N2984" s="74" t="str">
        <f t="shared" si="375"/>
        <v/>
      </c>
      <c r="O2984" s="73" t="str">
        <f t="shared" si="376"/>
        <v/>
      </c>
      <c r="P2984" s="65" t="str">
        <f t="shared" ca="1" si="377"/>
        <v/>
      </c>
      <c r="Q2984" s="2"/>
      <c r="R2984" s="2"/>
      <c r="S2984" s="1" t="str">
        <f t="shared" si="370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371"/>
        <v>0</v>
      </c>
      <c r="W2984" s="1" t="str">
        <f t="shared" si="372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customHeight="1" x14ac:dyDescent="0.3">
      <c r="A2985" s="2"/>
      <c r="B2985" s="65" t="str">
        <f t="shared" si="373"/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 t="shared" si="374"/>
        <v/>
      </c>
      <c r="N2985" s="74" t="str">
        <f t="shared" si="375"/>
        <v/>
      </c>
      <c r="O2985" s="73" t="str">
        <f t="shared" si="376"/>
        <v/>
      </c>
      <c r="P2985" s="65" t="str">
        <f t="shared" ca="1" si="377"/>
        <v/>
      </c>
      <c r="Q2985" s="2"/>
      <c r="R2985" s="2"/>
      <c r="S2985" s="1" t="str">
        <f t="shared" si="370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371"/>
        <v>0</v>
      </c>
      <c r="W2985" s="1" t="str">
        <f t="shared" si="372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customHeight="1" x14ac:dyDescent="0.3">
      <c r="A2986" s="2"/>
      <c r="B2986" s="65" t="str">
        <f t="shared" si="373"/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 t="shared" si="374"/>
        <v/>
      </c>
      <c r="N2986" s="74" t="str">
        <f t="shared" si="375"/>
        <v/>
      </c>
      <c r="O2986" s="73" t="str">
        <f t="shared" si="376"/>
        <v/>
      </c>
      <c r="P2986" s="65" t="str">
        <f t="shared" ca="1" si="377"/>
        <v/>
      </c>
      <c r="Q2986" s="2"/>
      <c r="R2986" s="2"/>
      <c r="S2986" s="1" t="str">
        <f t="shared" si="370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371"/>
        <v>0</v>
      </c>
      <c r="W2986" s="1" t="str">
        <f t="shared" si="372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customHeight="1" x14ac:dyDescent="0.3">
      <c r="A2987" s="2"/>
      <c r="B2987" s="65" t="str">
        <f t="shared" si="373"/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 t="shared" si="374"/>
        <v/>
      </c>
      <c r="N2987" s="74" t="str">
        <f t="shared" si="375"/>
        <v/>
      </c>
      <c r="O2987" s="73" t="str">
        <f t="shared" si="376"/>
        <v/>
      </c>
      <c r="P2987" s="65" t="str">
        <f t="shared" ca="1" si="377"/>
        <v/>
      </c>
      <c r="Q2987" s="2"/>
      <c r="R2987" s="2"/>
      <c r="S2987" s="1" t="str">
        <f t="shared" si="370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371"/>
        <v>0</v>
      </c>
      <c r="W2987" s="1" t="str">
        <f t="shared" si="372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customHeight="1" x14ac:dyDescent="0.3">
      <c r="A2988" s="2"/>
      <c r="B2988" s="65" t="str">
        <f t="shared" si="373"/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 t="shared" si="374"/>
        <v/>
      </c>
      <c r="N2988" s="74" t="str">
        <f t="shared" si="375"/>
        <v/>
      </c>
      <c r="O2988" s="73" t="str">
        <f t="shared" si="376"/>
        <v/>
      </c>
      <c r="P2988" s="65" t="str">
        <f t="shared" ca="1" si="377"/>
        <v/>
      </c>
      <c r="Q2988" s="2"/>
      <c r="R2988" s="2"/>
      <c r="S2988" s="1" t="str">
        <f t="shared" si="370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371"/>
        <v>0</v>
      </c>
      <c r="W2988" s="1" t="str">
        <f t="shared" si="372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customHeight="1" x14ac:dyDescent="0.3">
      <c r="A2989" s="2"/>
      <c r="B2989" s="65" t="str">
        <f t="shared" si="373"/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 t="shared" si="374"/>
        <v/>
      </c>
      <c r="N2989" s="74" t="str">
        <f t="shared" si="375"/>
        <v/>
      </c>
      <c r="O2989" s="73" t="str">
        <f t="shared" si="376"/>
        <v/>
      </c>
      <c r="P2989" s="65" t="str">
        <f t="shared" ca="1" si="377"/>
        <v/>
      </c>
      <c r="Q2989" s="2"/>
      <c r="R2989" s="2"/>
      <c r="S2989" s="1" t="str">
        <f t="shared" si="370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371"/>
        <v>0</v>
      </c>
      <c r="W2989" s="1" t="str">
        <f t="shared" si="372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customHeight="1" x14ac:dyDescent="0.3">
      <c r="A2990" s="2"/>
      <c r="B2990" s="65" t="str">
        <f t="shared" si="373"/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 t="shared" si="374"/>
        <v/>
      </c>
      <c r="N2990" s="74" t="str">
        <f t="shared" si="375"/>
        <v/>
      </c>
      <c r="O2990" s="73" t="str">
        <f t="shared" si="376"/>
        <v/>
      </c>
      <c r="P2990" s="65" t="str">
        <f t="shared" ca="1" si="377"/>
        <v/>
      </c>
      <c r="Q2990" s="2"/>
      <c r="R2990" s="2"/>
      <c r="S2990" s="1" t="str">
        <f t="shared" si="370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371"/>
        <v>0</v>
      </c>
      <c r="W2990" s="1" t="str">
        <f t="shared" si="372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customHeight="1" x14ac:dyDescent="0.3">
      <c r="A2991" s="2"/>
      <c r="B2991" s="65" t="str">
        <f t="shared" si="373"/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 t="shared" si="374"/>
        <v/>
      </c>
      <c r="N2991" s="74" t="str">
        <f t="shared" si="375"/>
        <v/>
      </c>
      <c r="O2991" s="73" t="str">
        <f t="shared" si="376"/>
        <v/>
      </c>
      <c r="P2991" s="65" t="str">
        <f t="shared" ca="1" si="377"/>
        <v/>
      </c>
      <c r="Q2991" s="2"/>
      <c r="R2991" s="2"/>
      <c r="S2991" s="1" t="str">
        <f t="shared" si="370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371"/>
        <v>0</v>
      </c>
      <c r="W2991" s="1" t="str">
        <f t="shared" si="372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customHeight="1" x14ac:dyDescent="0.3">
      <c r="A2992" s="2"/>
      <c r="B2992" s="65" t="str">
        <f t="shared" si="373"/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 t="shared" si="374"/>
        <v/>
      </c>
      <c r="N2992" s="74" t="str">
        <f t="shared" si="375"/>
        <v/>
      </c>
      <c r="O2992" s="73" t="str">
        <f t="shared" si="376"/>
        <v/>
      </c>
      <c r="P2992" s="65" t="str">
        <f t="shared" ca="1" si="377"/>
        <v/>
      </c>
      <c r="Q2992" s="2"/>
      <c r="R2992" s="2"/>
      <c r="S2992" s="1" t="str">
        <f t="shared" si="370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371"/>
        <v>0</v>
      </c>
      <c r="W2992" s="1" t="str">
        <f t="shared" si="372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customHeight="1" x14ac:dyDescent="0.3">
      <c r="A2993" s="2"/>
      <c r="B2993" s="65" t="str">
        <f t="shared" si="373"/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 t="shared" si="374"/>
        <v/>
      </c>
      <c r="N2993" s="74" t="str">
        <f t="shared" si="375"/>
        <v/>
      </c>
      <c r="O2993" s="73" t="str">
        <f t="shared" si="376"/>
        <v/>
      </c>
      <c r="P2993" s="65" t="str">
        <f t="shared" ca="1" si="377"/>
        <v/>
      </c>
      <c r="Q2993" s="2"/>
      <c r="R2993" s="2"/>
      <c r="S2993" s="1" t="str">
        <f t="shared" si="370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371"/>
        <v>0</v>
      </c>
      <c r="W2993" s="1" t="str">
        <f t="shared" si="372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customHeight="1" x14ac:dyDescent="0.3">
      <c r="A2994" s="2"/>
      <c r="B2994" s="65" t="str">
        <f t="shared" si="373"/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 t="shared" si="374"/>
        <v/>
      </c>
      <c r="N2994" s="74" t="str">
        <f t="shared" si="375"/>
        <v/>
      </c>
      <c r="O2994" s="73" t="str">
        <f t="shared" si="376"/>
        <v/>
      </c>
      <c r="P2994" s="65" t="str">
        <f t="shared" ca="1" si="377"/>
        <v/>
      </c>
      <c r="Q2994" s="2"/>
      <c r="R2994" s="2"/>
      <c r="S2994" s="1" t="str">
        <f t="shared" si="370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371"/>
        <v>0</v>
      </c>
      <c r="W2994" s="1" t="str">
        <f t="shared" si="372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customHeight="1" x14ac:dyDescent="0.3">
      <c r="A2995" s="2"/>
      <c r="B2995" s="65" t="str">
        <f t="shared" si="373"/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 t="shared" si="374"/>
        <v/>
      </c>
      <c r="N2995" s="74" t="str">
        <f t="shared" si="375"/>
        <v/>
      </c>
      <c r="O2995" s="73" t="str">
        <f t="shared" si="376"/>
        <v/>
      </c>
      <c r="P2995" s="65" t="str">
        <f t="shared" ca="1" si="377"/>
        <v/>
      </c>
      <c r="Q2995" s="2"/>
      <c r="R2995" s="2"/>
      <c r="S2995" s="1" t="str">
        <f t="shared" si="370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371"/>
        <v>0</v>
      </c>
      <c r="W2995" s="1" t="str">
        <f t="shared" si="372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customHeight="1" x14ac:dyDescent="0.3">
      <c r="A2996" s="2"/>
      <c r="B2996" s="65" t="str">
        <f t="shared" si="373"/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 t="shared" si="374"/>
        <v/>
      </c>
      <c r="N2996" s="74" t="str">
        <f t="shared" si="375"/>
        <v/>
      </c>
      <c r="O2996" s="73" t="str">
        <f t="shared" si="376"/>
        <v/>
      </c>
      <c r="P2996" s="65" t="str">
        <f t="shared" ca="1" si="377"/>
        <v/>
      </c>
      <c r="Q2996" s="2"/>
      <c r="R2996" s="2"/>
      <c r="S2996" s="1" t="str">
        <f t="shared" si="370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371"/>
        <v>0</v>
      </c>
      <c r="W2996" s="1" t="str">
        <f t="shared" si="372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customHeight="1" x14ac:dyDescent="0.3">
      <c r="A2997" s="2"/>
      <c r="B2997" s="65" t="str">
        <f t="shared" si="373"/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 t="shared" si="374"/>
        <v/>
      </c>
      <c r="N2997" s="74" t="str">
        <f t="shared" si="375"/>
        <v/>
      </c>
      <c r="O2997" s="73" t="str">
        <f t="shared" si="376"/>
        <v/>
      </c>
      <c r="P2997" s="65" t="str">
        <f t="shared" ca="1" si="377"/>
        <v/>
      </c>
      <c r="Q2997" s="2"/>
      <c r="R2997" s="2"/>
      <c r="S2997" s="1" t="str">
        <f t="shared" si="370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371"/>
        <v>0</v>
      </c>
      <c r="W2997" s="1" t="str">
        <f t="shared" si="372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customHeight="1" x14ac:dyDescent="0.3">
      <c r="A2998" s="2"/>
      <c r="B2998" s="65" t="str">
        <f t="shared" si="373"/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 t="shared" si="374"/>
        <v/>
      </c>
      <c r="N2998" s="74" t="str">
        <f t="shared" si="375"/>
        <v/>
      </c>
      <c r="O2998" s="73" t="str">
        <f t="shared" si="376"/>
        <v/>
      </c>
      <c r="P2998" s="65" t="str">
        <f t="shared" ca="1" si="377"/>
        <v/>
      </c>
      <c r="Q2998" s="2"/>
      <c r="R2998" s="2"/>
      <c r="S2998" s="1" t="str">
        <f t="shared" si="370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371"/>
        <v>0</v>
      </c>
      <c r="W2998" s="1" t="str">
        <f t="shared" si="372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customHeight="1" x14ac:dyDescent="0.3">
      <c r="A2999" s="2"/>
      <c r="B2999" s="65" t="str">
        <f t="shared" si="373"/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 t="shared" si="374"/>
        <v/>
      </c>
      <c r="N2999" s="74" t="str">
        <f t="shared" si="375"/>
        <v/>
      </c>
      <c r="O2999" s="73" t="str">
        <f t="shared" si="376"/>
        <v/>
      </c>
      <c r="P2999" s="65" t="str">
        <f t="shared" ca="1" si="377"/>
        <v/>
      </c>
      <c r="Q2999" s="2"/>
      <c r="R2999" s="2"/>
      <c r="S2999" s="1" t="str">
        <f t="shared" si="370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371"/>
        <v>0</v>
      </c>
      <c r="W2999" s="1" t="str">
        <f t="shared" si="372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customHeight="1" x14ac:dyDescent="0.3">
      <c r="A3000" s="2"/>
      <c r="B3000" s="65" t="str">
        <f t="shared" si="373"/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 t="shared" si="374"/>
        <v/>
      </c>
      <c r="N3000" s="74" t="str">
        <f t="shared" si="375"/>
        <v/>
      </c>
      <c r="O3000" s="73" t="str">
        <f t="shared" si="376"/>
        <v/>
      </c>
      <c r="P3000" s="65" t="str">
        <f t="shared" ca="1" si="377"/>
        <v/>
      </c>
      <c r="Q3000" s="2"/>
      <c r="R3000" s="2"/>
      <c r="S3000" s="1" t="str">
        <f t="shared" si="370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371"/>
        <v>0</v>
      </c>
      <c r="W3000" s="1" t="str">
        <f t="shared" si="372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customHeight="1" x14ac:dyDescent="0.3">
      <c r="A3001" s="2"/>
      <c r="B3001" s="65" t="str">
        <f t="shared" si="373"/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 t="shared" si="374"/>
        <v/>
      </c>
      <c r="N3001" s="74" t="str">
        <f t="shared" si="375"/>
        <v/>
      </c>
      <c r="O3001" s="73" t="str">
        <f t="shared" si="376"/>
        <v/>
      </c>
      <c r="P3001" s="65" t="str">
        <f t="shared" ca="1" si="377"/>
        <v/>
      </c>
      <c r="Q3001" s="2"/>
      <c r="R3001" s="2"/>
      <c r="S3001" s="1" t="str">
        <f t="shared" si="370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371"/>
        <v>0</v>
      </c>
      <c r="W3001" s="1" t="str">
        <f t="shared" si="372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customHeight="1" x14ac:dyDescent="0.3">
      <c r="A3002" s="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2"/>
      <c r="R3002" s="2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</row>
    <row r="3003" spans="1:31" ht="18" customHeight="1" x14ac:dyDescent="0.3">
      <c r="A3003" s="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2"/>
      <c r="R3003" s="2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</row>
  </sheetData>
  <sheetProtection formatCells="0" formatColumns="0" formatRows="0" sort="0" autoFilter="0"/>
  <autoFilter ref="B6:P3001" xr:uid="{00000000-0009-0000-0000-000005000000}">
    <filterColumn colId="2">
      <filters blank="1">
        <filter val="Gelir"/>
      </filters>
    </filterColumn>
    <sortState xmlns:xlrd2="http://schemas.microsoft.com/office/spreadsheetml/2017/richdata2" ref="B7:P3001">
      <sortCondition ref="C6:C3001"/>
    </sortState>
  </autoFilter>
  <mergeCells count="4">
    <mergeCell ref="F1:P1"/>
    <mergeCell ref="A1:E1"/>
    <mergeCell ref="X5:AC5"/>
    <mergeCell ref="A2:P2"/>
  </mergeCells>
  <conditionalFormatting sqref="P7:P3001">
    <cfRule type="expression" dxfId="63" priority="2">
      <formula>EXACT($P7,"UYGUN")</formula>
    </cfRule>
    <cfRule type="expression" dxfId="62" priority="3">
      <formula>EXACT($P7,"TAHAKKUK")</formula>
    </cfRule>
    <cfRule type="expression" dxfId="61" priority="4">
      <formula>EXACT($P7,"ÖDENECEK")</formula>
    </cfRule>
    <cfRule type="expression" dxfId="60" priority="5">
      <formula>EXACT($P7,"EKSİK")</formula>
    </cfRule>
    <cfRule type="expression" dxfId="59" priority="6">
      <formula>EXACT($P7,"İLERİ TARİH")</formula>
    </cfRule>
    <cfRule type="expression" dxfId="58" priority="7">
      <formula>EXACT($P7,"MÜKERRER?")</formula>
    </cfRule>
    <cfRule type="expression" dxfId="57" priority="8">
      <formula>EXACT($P7,"KAPALI DÖNEM")</formula>
    </cfRule>
    <cfRule type="expression" dxfId="56" priority="9">
      <formula>EXACT($P7,"TAHAKKUK NAKİT OLAMAZ")</formula>
    </cfRule>
    <cfRule type="expression" dxfId="55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1" xr:uid="{00000000-0002-0000-0500-000000000000}">
      <formula1>"Gelir,Gider"</formula1>
      <formula2>0</formula2>
    </dataValidation>
    <dataValidation type="list" allowBlank="1" errorTitle="Kategori" error="Önce Tür sütununu doldurun; liste Tür’e göre gelir." promptTitle="Kategori" prompt="Önce Tür sütununu doldurun; liste Tür’e göre gelir." sqref="E7:E3001" xr:uid="{00000000-0002-0000-0500-000001000000}">
      <formula1>INDIRECT($D7)</formula1>
      <formula2>0</formula2>
    </dataValidation>
    <dataValidation type="list" allowBlank="1" errorTitle="Borçlu Taraf" error="Müşteri seçerseniz cari borç doğar; boş bırakırsanız nakit gelir olur." promptTitle="Borçlu Taraf" prompt="Müşteri seçerseniz cari borç doğar; boş bırakırsanız nakit gelir olur." sqref="L7:L3001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1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1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2A52D5"/>
    <pageSetUpPr fitToPage="1"/>
  </sheetPr>
  <dimension ref="A1:M4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19" sqref="A19"/>
      <selection pane="bottomRight" activeCell="D7" sqref="D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5" width="20.42578125" customWidth="1"/>
    <col min="6" max="6" width="14.85546875" customWidth="1"/>
    <col min="7" max="7" width="31.5703125" customWidth="1"/>
    <col min="8" max="8" width="13" customWidth="1"/>
    <col min="9" max="9" width="14.85546875" customWidth="1"/>
    <col min="10" max="10" width="13.85546875" customWidth="1"/>
    <col min="11" max="12" width="2.28515625" customWidth="1"/>
    <col min="13" max="13" width="2.42578125" hidden="1" customWidth="1"/>
  </cols>
  <sheetData>
    <row r="1" spans="1:13" ht="37.5" customHeight="1" x14ac:dyDescent="0.3">
      <c r="A1" s="209" t="s">
        <v>548</v>
      </c>
      <c r="B1" s="171"/>
      <c r="C1" s="171"/>
      <c r="D1" s="171"/>
      <c r="E1" s="171"/>
      <c r="F1" s="208" t="s">
        <v>952</v>
      </c>
      <c r="G1" s="171"/>
      <c r="H1" s="171"/>
      <c r="I1" s="171"/>
      <c r="J1" s="171"/>
      <c r="K1" s="171"/>
      <c r="L1" s="13"/>
    </row>
    <row r="2" spans="1:13" ht="21.75" customHeight="1" x14ac:dyDescent="0.3">
      <c r="A2" s="210" t="s">
        <v>1309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4"/>
    </row>
    <row r="3" spans="1:13" ht="19.5" customHeight="1" x14ac:dyDescent="0.3">
      <c r="A3" s="2"/>
      <c r="B3" s="50" t="s">
        <v>1310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953</v>
      </c>
      <c r="G4" s="2"/>
      <c r="H4" s="2"/>
      <c r="I4" s="2"/>
      <c r="J4" s="2"/>
      <c r="K4" s="2"/>
      <c r="L4" s="2"/>
    </row>
    <row r="5" spans="1:13" ht="25.5" customHeight="1" x14ac:dyDescent="0.3">
      <c r="A5" s="2"/>
      <c r="B5" s="53"/>
      <c r="C5" s="54" t="s">
        <v>954</v>
      </c>
      <c r="D5" s="53"/>
      <c r="E5" s="53"/>
      <c r="F5" s="56">
        <f>SUM($F$7:$F$406)</f>
        <v>1561462.04</v>
      </c>
      <c r="G5" s="53"/>
      <c r="H5" s="53"/>
      <c r="I5" s="53"/>
      <c r="J5" s="53"/>
      <c r="K5" s="2"/>
      <c r="L5" s="2"/>
    </row>
    <row r="6" spans="1:13" ht="39.75" customHeight="1" x14ac:dyDescent="0.3">
      <c r="A6" s="2"/>
      <c r="B6" s="57" t="s">
        <v>955</v>
      </c>
      <c r="C6" s="57" t="s">
        <v>709</v>
      </c>
      <c r="D6" s="57" t="s">
        <v>956</v>
      </c>
      <c r="E6" s="57" t="s">
        <v>957</v>
      </c>
      <c r="F6" s="59" t="s">
        <v>710</v>
      </c>
      <c r="G6" s="58" t="s">
        <v>54</v>
      </c>
      <c r="H6" s="58" t="s">
        <v>713</v>
      </c>
      <c r="I6" s="58" t="s">
        <v>714</v>
      </c>
      <c r="J6" s="57" t="s">
        <v>697</v>
      </c>
      <c r="K6" s="57"/>
      <c r="L6" s="57"/>
      <c r="M6" s="57" t="s">
        <v>958</v>
      </c>
    </row>
    <row r="7" spans="1:13" ht="18" customHeight="1" x14ac:dyDescent="0.3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717</v>
      </c>
      <c r="E7" s="60" t="s">
        <v>723</v>
      </c>
      <c r="F7" s="67">
        <v>15000</v>
      </c>
      <c r="G7" s="61" t="s">
        <v>959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65" t="str">
        <f>IF($E7="","",$E7&amp;"|"&amp;COUNTIFS($E$7:$E7,$E7))</f>
        <v>ÖMER KARTAL|1</v>
      </c>
      <c r="L7" s="65" t="str">
        <f>IF($D7="","",$D7&amp;"|"&amp;COUNTIFS($D$7:$D7,$D7))</f>
        <v>MERKEZ KASA|1</v>
      </c>
      <c r="M7" s="65" t="str">
        <f>IF(AND($E7&lt;&gt;"",COUNTIF($G7,"KÂR PAYI / AVANS*")&gt;0),$E7&amp;"|"&amp;COUNTIFS($E$7:$E7,$E7,$G$7:$G7,"KÂR PAYI / AVANS*"),"")</f>
        <v/>
      </c>
    </row>
    <row r="8" spans="1:13" ht="18" customHeight="1" x14ac:dyDescent="0.3">
      <c r="A8" s="2"/>
      <c r="B8" s="65" t="str">
        <f t="shared" si="0"/>
        <v>V00002</v>
      </c>
      <c r="C8" s="66"/>
      <c r="D8" s="60"/>
      <c r="E8" s="60"/>
      <c r="F8" s="67"/>
      <c r="G8" s="61"/>
      <c r="H8" s="61"/>
      <c r="I8" s="61"/>
      <c r="J8" s="65" t="str">
        <f t="shared" si="1"/>
        <v>UYGUN</v>
      </c>
      <c r="K8" s="65" t="str">
        <f>IF($E8="","",$E8&amp;"|"&amp;COUNTIFS($E$7:$E8,$E8))</f>
        <v>ÖMER KARTAL|2</v>
      </c>
      <c r="L8" s="65" t="str">
        <f>IF($D8="","",$D8&amp;"|"&amp;COUNTIFS($D$7:$D8,$D8))</f>
        <v>MERKEZ KASA|2</v>
      </c>
      <c r="M8" s="65" t="str">
        <f>IF(AND($E8&lt;&gt;"",COUNTIF($G8,"KÂR PAYI / AVANS*")&gt;0),$E8&amp;"|"&amp;COUNTIFS($E$7:$E8,$E8,$G$7:$G8,"KÂR PAYI / AVANS*"),"")</f>
        <v/>
      </c>
    </row>
    <row r="9" spans="1:13" ht="18" customHeight="1" x14ac:dyDescent="0.3">
      <c r="A9" s="2"/>
      <c r="B9" s="65" t="str">
        <f t="shared" si="0"/>
        <v>V00003</v>
      </c>
      <c r="C9" s="66"/>
      <c r="D9" s="60"/>
      <c r="E9" s="60"/>
      <c r="F9" s="67"/>
      <c r="G9" s="61"/>
      <c r="H9" s="61"/>
      <c r="I9" s="61"/>
      <c r="J9" s="65" t="str">
        <f t="shared" si="1"/>
        <v>UYGUN</v>
      </c>
      <c r="K9" s="65" t="str">
        <f>IF($E9="","",$E9&amp;"|"&amp;COUNTIFS($E$7:$E9,$E9))</f>
        <v>ÖMER KARTAL|3</v>
      </c>
      <c r="L9" s="65" t="str">
        <f>IF($D9="","",$D9&amp;"|"&amp;COUNTIFS($D$7:$D9,$D9))</f>
        <v>MERKEZ KASA|3</v>
      </c>
      <c r="M9" s="65" t="str">
        <f>IF(AND($E9&lt;&gt;"",COUNTIF($G9,"KÂR PAYI / AVANS*")&gt;0),$E9&amp;"|"&amp;COUNTIFS($E$7:$E9,$E9,$G$7:$G9,"KÂR PAYI / AVANS*"),"")</f>
        <v/>
      </c>
    </row>
    <row r="10" spans="1:13" ht="18" customHeight="1" x14ac:dyDescent="0.3">
      <c r="A10" s="2"/>
      <c r="B10" s="65" t="str">
        <f t="shared" si="0"/>
        <v>V00004</v>
      </c>
      <c r="C10" s="66"/>
      <c r="D10" s="60"/>
      <c r="E10" s="60"/>
      <c r="F10" s="67"/>
      <c r="G10" s="61"/>
      <c r="H10" s="61"/>
      <c r="I10" s="61"/>
      <c r="J10" s="65" t="str">
        <f t="shared" si="1"/>
        <v>UYGUN</v>
      </c>
      <c r="K10" s="65" t="str">
        <f>IF($E10="","",$E10&amp;"|"&amp;COUNTIFS($E$7:$E10,$E10))</f>
        <v>ÖMER KARTAL|4</v>
      </c>
      <c r="L10" s="65" t="str">
        <f>IF($D10="","",$D10&amp;"|"&amp;COUNTIFS($D$7:$D10,$D10))</f>
        <v>MERKEZ KASA|4</v>
      </c>
      <c r="M10" s="65" t="str">
        <f>IF(AND($E10&lt;&gt;"",COUNTIF($G10,"KÂR PAYI / AVANS*")&gt;0),$E10&amp;"|"&amp;COUNTIFS($E$7:$E10,$E10,$G$7:$G10,"KÂR PAYI / AVANS*"),"")</f>
        <v/>
      </c>
    </row>
    <row r="11" spans="1:13" ht="18" customHeight="1" x14ac:dyDescent="0.3">
      <c r="A11" s="2"/>
      <c r="B11" s="65" t="str">
        <f t="shared" si="0"/>
        <v>V00005</v>
      </c>
      <c r="C11" s="66">
        <v>46053</v>
      </c>
      <c r="D11" s="60" t="s">
        <v>717</v>
      </c>
      <c r="E11" s="60" t="s">
        <v>723</v>
      </c>
      <c r="F11" s="67">
        <v>15000</v>
      </c>
      <c r="G11" s="61" t="s">
        <v>963</v>
      </c>
      <c r="H11" s="61"/>
      <c r="I11" s="61"/>
      <c r="J11" s="65" t="str">
        <f t="shared" si="1"/>
        <v>UYGUN</v>
      </c>
      <c r="K11" s="65" t="str">
        <f>IF($E11="","",$E11&amp;"|"&amp;COUNTIFS($E$7:$E11,$E11))</f>
        <v>ÖMER KARTAL|5</v>
      </c>
      <c r="L11" s="65" t="str">
        <f>IF($D11="","",$D11&amp;"|"&amp;COUNTIFS($D$7:$D11,$D11))</f>
        <v>MERKEZ KASA|5</v>
      </c>
      <c r="M11" s="65" t="str">
        <f>IF(AND($E11&lt;&gt;"",COUNTIF($G11,"KÂR PAYI / AVANS*")&gt;0),$E11&amp;"|"&amp;COUNTIFS($E$7:$E11,$E11,$G$7:$G11,"KÂR PAYI / AVANS*"),"")</f>
        <v/>
      </c>
    </row>
    <row r="12" spans="1:13" ht="18" customHeight="1" x14ac:dyDescent="0.3">
      <c r="A12" s="2"/>
      <c r="B12" s="65" t="str">
        <f t="shared" si="0"/>
        <v>V00006</v>
      </c>
      <c r="C12" s="66">
        <v>46053</v>
      </c>
      <c r="D12" s="60" t="s">
        <v>717</v>
      </c>
      <c r="E12" s="60" t="s">
        <v>723</v>
      </c>
      <c r="F12" s="67">
        <v>5000</v>
      </c>
      <c r="G12" s="61" t="s">
        <v>964</v>
      </c>
      <c r="H12" s="61"/>
      <c r="I12" s="61"/>
      <c r="J12" s="65" t="str">
        <f t="shared" si="1"/>
        <v>UYGUN</v>
      </c>
      <c r="K12" s="65" t="str">
        <f>IF($E12="","",$E12&amp;"|"&amp;COUNTIFS($E$7:$E12,$E12))</f>
        <v>ÖMER KARTAL|6</v>
      </c>
      <c r="L12" s="65" t="str">
        <f>IF($D12="","",$D12&amp;"|"&amp;COUNTIFS($D$7:$D12,$D12))</f>
        <v>MERKEZ KASA|6</v>
      </c>
      <c r="M12" s="65" t="str">
        <f>IF(AND($E12&lt;&gt;"",COUNTIF($G12,"KÂR PAYI / AVANS*")&gt;0),$E12&amp;"|"&amp;COUNTIFS($E$7:$E12,$E12,$G$7:$G12,"KÂR PAYI / AVANS*"),"")</f>
        <v/>
      </c>
    </row>
    <row r="13" spans="1:13" ht="18" customHeight="1" x14ac:dyDescent="0.3">
      <c r="A13" s="2"/>
      <c r="B13" s="65" t="str">
        <f t="shared" si="0"/>
        <v>V00007</v>
      </c>
      <c r="C13" s="66"/>
      <c r="D13" s="60"/>
      <c r="E13" s="60"/>
      <c r="F13" s="67"/>
      <c r="G13" s="61"/>
      <c r="H13" s="61"/>
      <c r="I13" s="61"/>
      <c r="J13" s="65" t="str">
        <f t="shared" si="1"/>
        <v>UYGUN</v>
      </c>
      <c r="K13" s="65" t="str">
        <f>IF($E13="","",$E13&amp;"|"&amp;COUNTIFS($E$7:$E13,$E13))</f>
        <v>ÖMER KARTAL|7</v>
      </c>
      <c r="L13" s="65" t="str">
        <f>IF($D13="","",$D13&amp;"|"&amp;COUNTIFS($D$7:$D13,$D13))</f>
        <v>MERKEZ KASA|7</v>
      </c>
      <c r="M13" s="65" t="str">
        <f>IF(AND($E13&lt;&gt;"",COUNTIF($G13,"KÂR PAYI / AVANS*")&gt;0),$E13&amp;"|"&amp;COUNTIFS($E$7:$E13,$E13,$G$7:$G13,"KÂR PAYI / AVANS*"),"")</f>
        <v/>
      </c>
    </row>
    <row r="14" spans="1:13" ht="18" customHeight="1" x14ac:dyDescent="0.3">
      <c r="A14" s="2"/>
      <c r="B14" s="65" t="str">
        <f t="shared" si="0"/>
        <v>V00008</v>
      </c>
      <c r="C14" s="66"/>
      <c r="D14" s="60"/>
      <c r="E14" s="60"/>
      <c r="F14" s="67"/>
      <c r="G14" s="61"/>
      <c r="H14" s="61"/>
      <c r="I14" s="61"/>
      <c r="J14" s="65" t="str">
        <f t="shared" si="1"/>
        <v>UYGUN</v>
      </c>
      <c r="K14" s="65" t="str">
        <f>IF($E14="","",$E14&amp;"|"&amp;COUNTIFS($E$7:$E14,$E14))</f>
        <v>ÖMER KARTAL|8</v>
      </c>
      <c r="L14" s="65" t="str">
        <f>IF($D14="","",$D14&amp;"|"&amp;COUNTIFS($D$7:$D14,$D14))</f>
        <v>MERKEZ KASA|8</v>
      </c>
      <c r="M14" s="65" t="str">
        <f>IF(AND($E14&lt;&gt;"",COUNTIF($G14,"KÂR PAYI / AVANS*")&gt;0),$E14&amp;"|"&amp;COUNTIFS($E$7:$E14,$E14,$G$7:$G14,"KÂR PAYI / AVANS*"),"")</f>
        <v/>
      </c>
    </row>
    <row r="15" spans="1:13" ht="18" customHeight="1" x14ac:dyDescent="0.3">
      <c r="A15" s="2"/>
      <c r="B15" s="65" t="str">
        <f t="shared" si="0"/>
        <v>V00009</v>
      </c>
      <c r="C15" s="66"/>
      <c r="D15" s="60"/>
      <c r="E15" s="60"/>
      <c r="F15" s="67"/>
      <c r="G15" s="61"/>
      <c r="H15" s="61"/>
      <c r="I15" s="61"/>
      <c r="J15" s="65" t="str">
        <f t="shared" si="1"/>
        <v>UYGUN</v>
      </c>
      <c r="K15" s="65" t="str">
        <f>IF($E15="","",$E15&amp;"|"&amp;COUNTIFS($E$7:$E15,$E15))</f>
        <v>ÖMER KARTAL|9</v>
      </c>
      <c r="L15" s="65" t="str">
        <f>IF($D15="","",$D15&amp;"|"&amp;COUNTIFS($D$7:$D15,$D15))</f>
        <v>MERKEZ KASA|9</v>
      </c>
      <c r="M15" s="65" t="str">
        <f>IF(AND($E15&lt;&gt;"",COUNTIF($G15,"KÂR PAYI / AVANS*")&gt;0),$E15&amp;"|"&amp;COUNTIFS($E$7:$E15,$E15,$G$7:$G15,"KÂR PAYI / AVANS*"),"")</f>
        <v/>
      </c>
    </row>
    <row r="16" spans="1:13" ht="18" hidden="1" customHeight="1" x14ac:dyDescent="0.3">
      <c r="A16" s="2"/>
      <c r="B16" s="65" t="str">
        <f t="shared" si="0"/>
        <v>V00010</v>
      </c>
      <c r="C16" s="66">
        <v>46087</v>
      </c>
      <c r="D16" s="60" t="s">
        <v>723</v>
      </c>
      <c r="E16" s="60" t="s">
        <v>717</v>
      </c>
      <c r="F16" s="67">
        <v>15000</v>
      </c>
      <c r="G16" s="61" t="s">
        <v>965</v>
      </c>
      <c r="H16" s="61"/>
      <c r="I16" s="61"/>
      <c r="J16" s="65" t="str">
        <f t="shared" si="1"/>
        <v>UYGUN</v>
      </c>
      <c r="K16" s="65" t="str">
        <f>IF($E16="","",$E16&amp;"|"&amp;COUNTIFS($E$7:$E16,$E16))</f>
        <v>MERKEZ KASA|1</v>
      </c>
      <c r="L16" s="65" t="str">
        <f>IF($D16="","",$D16&amp;"|"&amp;COUNTIFS($D$7:$D16,$D16))</f>
        <v>ÖMER KARTAL|1</v>
      </c>
      <c r="M16" s="65" t="str">
        <f>IF(AND($E16&lt;&gt;"",COUNTIF($G16,"KÂR PAYI / AVANS*")&gt;0),$E16&amp;"|"&amp;COUNTIFS($E$7:$E16,$E16,$G$7:$G16,"KÂR PAYI / AVANS*"),"")</f>
        <v/>
      </c>
    </row>
    <row r="17" spans="1:13" ht="18" customHeight="1" x14ac:dyDescent="0.3">
      <c r="A17" s="2"/>
      <c r="B17" s="65" t="str">
        <f t="shared" si="0"/>
        <v>V00011</v>
      </c>
      <c r="C17" s="66"/>
      <c r="D17" s="60"/>
      <c r="E17" s="60"/>
      <c r="F17" s="67"/>
      <c r="G17" s="61"/>
      <c r="H17" s="61"/>
      <c r="I17" s="61"/>
      <c r="J17" s="65" t="str">
        <f t="shared" si="1"/>
        <v>UYGUN</v>
      </c>
      <c r="K17" s="65" t="str">
        <f>IF($E17="","",$E17&amp;"|"&amp;COUNTIFS($E$7:$E17,$E17))</f>
        <v>ÖMER KARTAL|10</v>
      </c>
      <c r="L17" s="65" t="str">
        <f>IF($D17="","",$D17&amp;"|"&amp;COUNTIFS($D$7:$D17,$D17))</f>
        <v>MERKEZ KASA|10</v>
      </c>
      <c r="M17" s="65" t="str">
        <f>IF(AND($E17&lt;&gt;"",COUNTIF($G17,"KÂR PAYI / AVANS*")&gt;0),$E17&amp;"|"&amp;COUNTIFS($E$7:$E17,$E17,$G$7:$G17,"KÂR PAYI / AVANS*"),"")</f>
        <v/>
      </c>
    </row>
    <row r="18" spans="1:13" ht="18" customHeight="1" x14ac:dyDescent="0.3">
      <c r="A18" s="2"/>
      <c r="B18" s="65" t="str">
        <f t="shared" si="0"/>
        <v>V00012</v>
      </c>
      <c r="C18" s="66"/>
      <c r="D18" s="60"/>
      <c r="E18" s="60"/>
      <c r="F18" s="67"/>
      <c r="G18" s="61"/>
      <c r="H18" s="61"/>
      <c r="I18" s="61"/>
      <c r="J18" s="65" t="str">
        <f t="shared" si="1"/>
        <v>UYGUN</v>
      </c>
      <c r="K18" s="65" t="str">
        <f>IF($E18="","",$E18&amp;"|"&amp;COUNTIFS($E$7:$E18,$E18))</f>
        <v>ÖMER KARTAL|11</v>
      </c>
      <c r="L18" s="65" t="str">
        <f>IF($D18="","",$D18&amp;"|"&amp;COUNTIFS($D$7:$D18,$D18))</f>
        <v>MERKEZ KASA|11</v>
      </c>
      <c r="M18" s="65" t="str">
        <f>IF(AND($E18&lt;&gt;"",COUNTIF($G18,"KÂR PAYI / AVANS*")&gt;0),$E18&amp;"|"&amp;COUNTIFS($E$7:$E18,$E18,$G$7:$G18,"KÂR PAYI / AVANS*"),"")</f>
        <v/>
      </c>
    </row>
    <row r="19" spans="1:13" ht="18" customHeight="1" x14ac:dyDescent="0.3">
      <c r="A19" s="2"/>
      <c r="B19" s="65" t="str">
        <f t="shared" si="0"/>
        <v>V00013</v>
      </c>
      <c r="C19" s="66">
        <v>46137</v>
      </c>
      <c r="D19" s="60" t="s">
        <v>717</v>
      </c>
      <c r="E19" s="60" t="s">
        <v>723</v>
      </c>
      <c r="F19" s="67">
        <v>20000</v>
      </c>
      <c r="G19" s="61" t="s">
        <v>966</v>
      </c>
      <c r="H19" s="61"/>
      <c r="I19" s="61"/>
      <c r="J19" s="65" t="str">
        <f t="shared" si="1"/>
        <v>UYGUN</v>
      </c>
      <c r="K19" s="65" t="str">
        <f>IF($E19="","",$E19&amp;"|"&amp;COUNTIFS($E$7:$E19,$E19))</f>
        <v>ÖMER KARTAL|12</v>
      </c>
      <c r="L19" s="65" t="str">
        <f>IF($D19="","",$D19&amp;"|"&amp;COUNTIFS($D$7:$D19,$D19))</f>
        <v>MERKEZ KASA|12</v>
      </c>
      <c r="M19" s="65" t="str">
        <f>IF(AND($E19&lt;&gt;"",COUNTIF($G19,"KÂR PAYI / AVANS*")&gt;0),$E19&amp;"|"&amp;COUNTIFS($E$7:$E19,$E19,$G$7:$G19,"KÂR PAYI / AVANS*"),"")</f>
        <v/>
      </c>
    </row>
    <row r="20" spans="1:13" ht="18" customHeight="1" x14ac:dyDescent="0.3">
      <c r="A20" s="2"/>
      <c r="B20" s="65" t="str">
        <f t="shared" si="0"/>
        <v>V00014</v>
      </c>
      <c r="C20" s="66"/>
      <c r="D20" s="60"/>
      <c r="E20" s="60"/>
      <c r="F20" s="67"/>
      <c r="G20" s="61"/>
      <c r="H20" s="61"/>
      <c r="I20" s="61"/>
      <c r="J20" s="65" t="str">
        <f t="shared" si="1"/>
        <v>UYGUN</v>
      </c>
      <c r="K20" s="65" t="str">
        <f>IF($E20="","",$E20&amp;"|"&amp;COUNTIFS($E$7:$E20,$E20))</f>
        <v>ÖMER KARTAL|13</v>
      </c>
      <c r="L20" s="65" t="str">
        <f>IF($D20="","",$D20&amp;"|"&amp;COUNTIFS($D$7:$D20,$D20))</f>
        <v>MERKEZ KASA|13</v>
      </c>
      <c r="M20" s="65" t="str">
        <f>IF(AND($E20&lt;&gt;"",COUNTIF($G20,"KÂR PAYI / AVANS*")&gt;0),$E20&amp;"|"&amp;COUNTIFS($E$7:$E20,$E20,$G$7:$G20,"KÂR PAYI / AVANS*"),"")</f>
        <v/>
      </c>
    </row>
    <row r="21" spans="1:13" ht="18" customHeight="1" x14ac:dyDescent="0.3">
      <c r="A21" s="2"/>
      <c r="B21" s="65" t="str">
        <f t="shared" si="0"/>
        <v>V00015</v>
      </c>
      <c r="C21" s="66"/>
      <c r="D21" s="60"/>
      <c r="E21" s="60"/>
      <c r="F21" s="67"/>
      <c r="G21" s="61"/>
      <c r="H21" s="61"/>
      <c r="I21" s="61"/>
      <c r="J21" s="65" t="str">
        <f t="shared" si="1"/>
        <v>UYGUN</v>
      </c>
      <c r="K21" s="65" t="str">
        <f>IF($E21="","",$E21&amp;"|"&amp;COUNTIFS($E$7:$E21,$E21))</f>
        <v>ÖMER KARTAL|14</v>
      </c>
      <c r="L21" s="65" t="str">
        <f>IF($D21="","",$D21&amp;"|"&amp;COUNTIFS($D$7:$D21,$D21))</f>
        <v>MERKEZ KASA|14</v>
      </c>
      <c r="M21" s="65" t="str">
        <f>IF(AND($E21&lt;&gt;"",COUNTIF($G21,"KÂR PAYI / AVANS*")&gt;0),$E21&amp;"|"&amp;COUNTIFS($E$7:$E21,$E21,$G$7:$G21,"KÂR PAYI / AVANS*"),"")</f>
        <v/>
      </c>
    </row>
    <row r="22" spans="1:13" ht="18" customHeight="1" x14ac:dyDescent="0.3">
      <c r="A22" s="2"/>
      <c r="B22" s="65" t="str">
        <f t="shared" si="0"/>
        <v>V00016</v>
      </c>
      <c r="C22" s="66">
        <v>46144</v>
      </c>
      <c r="D22" s="60" t="s">
        <v>717</v>
      </c>
      <c r="E22" s="60" t="s">
        <v>723</v>
      </c>
      <c r="F22" s="67">
        <v>1000</v>
      </c>
      <c r="G22" s="61" t="s">
        <v>967</v>
      </c>
      <c r="H22" s="61"/>
      <c r="I22" s="61"/>
      <c r="J22" s="65" t="str">
        <f t="shared" si="1"/>
        <v>UYGUN</v>
      </c>
      <c r="K22" s="65" t="str">
        <f>IF($E22="","",$E22&amp;"|"&amp;COUNTIFS($E$7:$E22,$E22))</f>
        <v>ÖMER KARTAL|15</v>
      </c>
      <c r="L22" s="65" t="str">
        <f>IF($D22="","",$D22&amp;"|"&amp;COUNTIFS($D$7:$D22,$D22))</f>
        <v>MERKEZ KASA|15</v>
      </c>
      <c r="M22" s="65" t="str">
        <f>IF(AND($E22&lt;&gt;"",COUNTIF($G22,"KÂR PAYI / AVANS*")&gt;0),$E22&amp;"|"&amp;COUNTIFS($E$7:$E22,$E22,$G$7:$G22,"KÂR PAYI / AVANS*"),"")</f>
        <v/>
      </c>
    </row>
    <row r="23" spans="1:13" ht="18" customHeight="1" x14ac:dyDescent="0.3">
      <c r="A23" s="2"/>
      <c r="B23" s="65" t="str">
        <f t="shared" si="0"/>
        <v>V00017</v>
      </c>
      <c r="C23" s="66">
        <v>46147</v>
      </c>
      <c r="D23" s="60" t="s">
        <v>717</v>
      </c>
      <c r="E23" s="60" t="s">
        <v>723</v>
      </c>
      <c r="F23" s="67">
        <v>23600</v>
      </c>
      <c r="G23" s="61" t="s">
        <v>741</v>
      </c>
      <c r="H23" s="61"/>
      <c r="I23" s="61"/>
      <c r="J23" s="65" t="str">
        <f t="shared" si="1"/>
        <v>UYGUN</v>
      </c>
      <c r="K23" s="65" t="str">
        <f>IF($E23="","",$E23&amp;"|"&amp;COUNTIFS($E$7:$E23,$E23))</f>
        <v>ÖMER KARTAL|16</v>
      </c>
      <c r="L23" s="65" t="str">
        <f>IF($D23="","",$D23&amp;"|"&amp;COUNTIFS($D$7:$D23,$D23))</f>
        <v>MERKEZ KASA|16</v>
      </c>
      <c r="M23" s="65" t="str">
        <f>IF(AND($E23&lt;&gt;"",COUNTIF($G23,"KÂR PAYI / AVANS*")&gt;0),$E23&amp;"|"&amp;COUNTIFS($E$7:$E23,$E23,$G$7:$G23,"KÂR PAYI / AVANS*"),"")</f>
        <v/>
      </c>
    </row>
    <row r="24" spans="1:13" ht="18" customHeight="1" x14ac:dyDescent="0.3">
      <c r="A24" s="2"/>
      <c r="B24" s="65" t="str">
        <f t="shared" si="0"/>
        <v>V00018</v>
      </c>
      <c r="C24" s="66">
        <v>46173</v>
      </c>
      <c r="D24" s="60" t="s">
        <v>717</v>
      </c>
      <c r="E24" s="60" t="s">
        <v>723</v>
      </c>
      <c r="F24" s="67">
        <v>17000</v>
      </c>
      <c r="G24" s="61" t="s">
        <v>968</v>
      </c>
      <c r="H24" s="61"/>
      <c r="I24" s="61"/>
      <c r="J24" s="65" t="str">
        <f t="shared" si="1"/>
        <v>UYGUN</v>
      </c>
      <c r="K24" s="65" t="str">
        <f>IF($E24="","",$E24&amp;"|"&amp;COUNTIFS($E$7:$E24,$E24))</f>
        <v>ÖMER KARTAL|17</v>
      </c>
      <c r="L24" s="65" t="str">
        <f>IF($D24="","",$D24&amp;"|"&amp;COUNTIFS($D$7:$D24,$D24))</f>
        <v>MERKEZ KASA|17</v>
      </c>
      <c r="M24" s="65" t="str">
        <f>IF(AND($E24&lt;&gt;"",COUNTIF($G24,"KÂR PAYI / AVANS*")&gt;0),$E24&amp;"|"&amp;COUNTIFS($E$7:$E24,$E24,$G$7:$G24,"KÂR PAYI / AVANS*"),"")</f>
        <v/>
      </c>
    </row>
    <row r="25" spans="1:13" ht="18" customHeight="1" x14ac:dyDescent="0.3">
      <c r="A25" s="2"/>
      <c r="B25" s="65" t="str">
        <f t="shared" si="0"/>
        <v>V00019</v>
      </c>
      <c r="C25" s="66"/>
      <c r="D25" s="60"/>
      <c r="E25" s="60"/>
      <c r="F25" s="67"/>
      <c r="G25" s="61"/>
      <c r="H25" s="61"/>
      <c r="I25" s="61"/>
      <c r="J25" s="65" t="str">
        <f t="shared" si="1"/>
        <v>UYGUN</v>
      </c>
      <c r="K25" s="65" t="str">
        <f>IF($E25="","",$E25&amp;"|"&amp;COUNTIFS($E$7:$E25,$E25))</f>
        <v>ÖMER KARTAL|18</v>
      </c>
      <c r="L25" s="65" t="str">
        <f>IF($D25="","",$D25&amp;"|"&amp;COUNTIFS($D$7:$D25,$D25))</f>
        <v>MERKEZ KASA|18</v>
      </c>
      <c r="M25" s="65" t="str">
        <f>IF(AND($E25&lt;&gt;"",COUNTIF($G25,"KÂR PAYI / AVANS*")&gt;0),$E25&amp;"|"&amp;COUNTIFS($E$7:$E25,$E25,$G$7:$G25,"KÂR PAYI / AVANS*"),"")</f>
        <v/>
      </c>
    </row>
    <row r="26" spans="1:13" ht="18" customHeight="1" x14ac:dyDescent="0.3">
      <c r="A26" s="2"/>
      <c r="B26" s="65" t="str">
        <f t="shared" si="0"/>
        <v>V00020</v>
      </c>
      <c r="C26" s="66"/>
      <c r="D26" s="60"/>
      <c r="E26" s="60"/>
      <c r="F26" s="67"/>
      <c r="G26" s="61"/>
      <c r="H26" s="61"/>
      <c r="I26" s="61"/>
      <c r="J26" s="65" t="str">
        <f t="shared" si="1"/>
        <v>UYGUN</v>
      </c>
      <c r="K26" s="65" t="str">
        <f>IF($E26="","",$E26&amp;"|"&amp;COUNTIFS($E$7:$E26,$E26))</f>
        <v>ÖMER KARTAL|19</v>
      </c>
      <c r="L26" s="65" t="str">
        <f>IF($D26="","",$D26&amp;"|"&amp;COUNTIFS($D$7:$D26,$D26))</f>
        <v>MERKEZ KASA|19</v>
      </c>
      <c r="M26" s="65" t="str">
        <f>IF(AND($E26&lt;&gt;"",COUNTIF($G26,"KÂR PAYI / AVANS*")&gt;0),$E26&amp;"|"&amp;COUNTIFS($E$7:$E26,$E26,$G$7:$G26,"KÂR PAYI / AVANS*"),"")</f>
        <v/>
      </c>
    </row>
    <row r="27" spans="1:13" ht="18" customHeight="1" x14ac:dyDescent="0.3">
      <c r="A27" s="2"/>
      <c r="B27" s="65" t="str">
        <f t="shared" si="0"/>
        <v>V00021</v>
      </c>
      <c r="C27" s="66"/>
      <c r="D27" s="60"/>
      <c r="E27" s="60"/>
      <c r="F27" s="67"/>
      <c r="G27" s="61"/>
      <c r="H27" s="61"/>
      <c r="I27" s="61"/>
      <c r="J27" s="65" t="str">
        <f t="shared" si="1"/>
        <v>UYGUN</v>
      </c>
      <c r="K27" s="65" t="str">
        <f>IF($E27="","",$E27&amp;"|"&amp;COUNTIFS($E$7:$E27,$E27))</f>
        <v>ÖMER KARTAL|20</v>
      </c>
      <c r="L27" s="65" t="str">
        <f>IF($D27="","",$D27&amp;"|"&amp;COUNTIFS($D$7:$D27,$D27))</f>
        <v>MERKEZ KASA|20</v>
      </c>
      <c r="M27" s="65" t="str">
        <f>IF(AND($E27&lt;&gt;"",COUNTIF($G27,"KÂR PAYI / AVANS*")&gt;0),$E27&amp;"|"&amp;COUNTIFS($E$7:$E27,$E27,$G$7:$G27,"KÂR PAYI / AVANS*"),"")</f>
        <v/>
      </c>
    </row>
    <row r="28" spans="1:13" ht="18" customHeight="1" x14ac:dyDescent="0.3">
      <c r="A28" s="2"/>
      <c r="B28" s="65" t="str">
        <f t="shared" si="0"/>
        <v>V00022</v>
      </c>
      <c r="C28" s="66"/>
      <c r="D28" s="60"/>
      <c r="E28" s="60"/>
      <c r="F28" s="67"/>
      <c r="G28" s="61"/>
      <c r="H28" s="61"/>
      <c r="I28" s="61"/>
      <c r="J28" s="65" t="str">
        <f t="shared" si="1"/>
        <v>UYGUN</v>
      </c>
      <c r="K28" s="65" t="str">
        <f>IF($E28="","",$E28&amp;"|"&amp;COUNTIFS($E$7:$E28,$E28))</f>
        <v>ÖMER KARTAL|21</v>
      </c>
      <c r="L28" s="65" t="str">
        <f>IF($D28="","",$D28&amp;"|"&amp;COUNTIFS($D$7:$D28,$D28))</f>
        <v>MERKEZ KASA|21</v>
      </c>
      <c r="M28" s="65" t="str">
        <f>IF(AND($E28&lt;&gt;"",COUNTIF($G28,"KÂR PAYI / AVANS*")&gt;0),$E28&amp;"|"&amp;COUNTIFS($E$7:$E28,$E28,$G$7:$G28,"KÂR PAYI / AVANS*"),"")</f>
        <v/>
      </c>
    </row>
    <row r="29" spans="1:13" ht="18" customHeight="1" x14ac:dyDescent="0.3">
      <c r="A29" s="2"/>
      <c r="B29" s="65" t="str">
        <f t="shared" si="0"/>
        <v>V00023</v>
      </c>
      <c r="C29" s="66">
        <v>46207</v>
      </c>
      <c r="D29" s="60" t="s">
        <v>717</v>
      </c>
      <c r="E29" s="60" t="s">
        <v>723</v>
      </c>
      <c r="F29" s="67">
        <v>5000</v>
      </c>
      <c r="G29" s="61" t="s">
        <v>742</v>
      </c>
      <c r="H29" s="61"/>
      <c r="I29" s="61"/>
      <c r="J29" s="65" t="str">
        <f t="shared" si="1"/>
        <v>UYGUN</v>
      </c>
      <c r="K29" s="65" t="str">
        <f>IF($E29="","",$E29&amp;"|"&amp;COUNTIFS($E$7:$E29,$E29))</f>
        <v>ÖMER KARTAL|22</v>
      </c>
      <c r="L29" s="65" t="str">
        <f>IF($D29="","",$D29&amp;"|"&amp;COUNTIFS($D$7:$D29,$D29))</f>
        <v>MERKEZ KASA|22</v>
      </c>
      <c r="M29" s="65" t="str">
        <f>IF(AND($E29&lt;&gt;"",COUNTIF($G29,"KÂR PAYI / AVANS*")&gt;0),$E29&amp;"|"&amp;COUNTIFS($E$7:$E29,$E29,$G$7:$G29,"KÂR PAYI / AVANS*"),"")</f>
        <v/>
      </c>
    </row>
    <row r="30" spans="1:13" ht="18" customHeight="1" x14ac:dyDescent="0.3">
      <c r="A30" s="2"/>
      <c r="B30" s="65" t="str">
        <f t="shared" si="0"/>
        <v>V00024</v>
      </c>
      <c r="C30" s="66">
        <v>46214</v>
      </c>
      <c r="D30" s="60" t="s">
        <v>717</v>
      </c>
      <c r="E30" s="60" t="s">
        <v>723</v>
      </c>
      <c r="F30" s="67">
        <v>5000</v>
      </c>
      <c r="G30" s="61" t="s">
        <v>742</v>
      </c>
      <c r="H30" s="61"/>
      <c r="I30" s="61"/>
      <c r="J30" s="65" t="str">
        <f t="shared" si="1"/>
        <v>UYGUN</v>
      </c>
      <c r="K30" s="65" t="str">
        <f>IF($E30="","",$E30&amp;"|"&amp;COUNTIFS($E$7:$E30,$E30))</f>
        <v>ÖMER KARTAL|23</v>
      </c>
      <c r="L30" s="65" t="str">
        <f>IF($D30="","",$D30&amp;"|"&amp;COUNTIFS($D$7:$D30,$D30))</f>
        <v>MERKEZ KASA|23</v>
      </c>
      <c r="M30" s="65" t="str">
        <f>IF(AND($E30&lt;&gt;"",COUNTIF($G30,"KÂR PAYI / AVANS*")&gt;0),$E30&amp;"|"&amp;COUNTIFS($E$7:$E30,$E30,$G$7:$G30,"KÂR PAYI / AVANS*"),"")</f>
        <v/>
      </c>
    </row>
    <row r="31" spans="1:13" ht="18" customHeight="1" x14ac:dyDescent="0.3">
      <c r="A31" s="2"/>
      <c r="B31" s="65" t="str">
        <f t="shared" si="0"/>
        <v>V00025</v>
      </c>
      <c r="C31" s="66">
        <v>46221</v>
      </c>
      <c r="D31" s="60" t="s">
        <v>717</v>
      </c>
      <c r="E31" s="60" t="s">
        <v>723</v>
      </c>
      <c r="F31" s="67">
        <v>5000</v>
      </c>
      <c r="G31" s="61" t="s">
        <v>742</v>
      </c>
      <c r="H31" s="61"/>
      <c r="I31" s="61"/>
      <c r="J31" s="65" t="str">
        <f t="shared" si="1"/>
        <v>UYGUN</v>
      </c>
      <c r="K31" s="65" t="str">
        <f>IF($E31="","",$E31&amp;"|"&amp;COUNTIFS($E$7:$E31,$E31))</f>
        <v>ÖMER KARTAL|24</v>
      </c>
      <c r="L31" s="65" t="str">
        <f>IF($D31="","",$D31&amp;"|"&amp;COUNTIFS($D$7:$D31,$D31))</f>
        <v>MERKEZ KASA|24</v>
      </c>
      <c r="M31" s="65" t="str">
        <f>IF(AND($E31&lt;&gt;"",COUNTIF($G31,"KÂR PAYI / AVANS*")&gt;0),$E31&amp;"|"&amp;COUNTIFS($E$7:$E31,$E31,$G$7:$G31,"KÂR PAYI / AVANS*"),"")</f>
        <v/>
      </c>
    </row>
    <row r="32" spans="1:13" ht="18" customHeight="1" x14ac:dyDescent="0.3">
      <c r="A32" s="2"/>
      <c r="B32" s="65" t="str">
        <f t="shared" si="0"/>
        <v>V00026</v>
      </c>
      <c r="C32" s="66">
        <v>46228</v>
      </c>
      <c r="D32" s="60" t="s">
        <v>717</v>
      </c>
      <c r="E32" s="60" t="s">
        <v>723</v>
      </c>
      <c r="F32" s="67">
        <v>5000</v>
      </c>
      <c r="G32" s="61" t="s">
        <v>742</v>
      </c>
      <c r="H32" s="61"/>
      <c r="I32" s="61"/>
      <c r="J32" s="65" t="str">
        <f t="shared" si="1"/>
        <v>UYGUN</v>
      </c>
      <c r="K32" s="65" t="str">
        <f>IF($E32="","",$E32&amp;"|"&amp;COUNTIFS($E$7:$E32,$E32))</f>
        <v>ÖMER KARTAL|25</v>
      </c>
      <c r="L32" s="65" t="str">
        <f>IF($D32="","",$D32&amp;"|"&amp;COUNTIFS($D$7:$D32,$D32))</f>
        <v>MERKEZ KASA|25</v>
      </c>
      <c r="M32" s="65" t="str">
        <f>IF(AND($E32&lt;&gt;"",COUNTIF($G32,"KÂR PAYI / AVANS*")&gt;0),$E32&amp;"|"&amp;COUNTIFS($E$7:$E32,$E32,$G$7:$G32,"KÂR PAYI / AVANS*"),"")</f>
        <v/>
      </c>
    </row>
    <row r="33" spans="1:13" ht="18" customHeight="1" x14ac:dyDescent="0.3">
      <c r="A33" s="2"/>
      <c r="B33" s="65" t="str">
        <f t="shared" si="0"/>
        <v>V00027</v>
      </c>
      <c r="C33" s="66"/>
      <c r="D33" s="60"/>
      <c r="E33" s="60"/>
      <c r="F33" s="67"/>
      <c r="G33" s="61"/>
      <c r="H33" s="61"/>
      <c r="I33" s="61"/>
      <c r="J33" s="65" t="str">
        <f t="shared" si="1"/>
        <v>UYGUN</v>
      </c>
      <c r="K33" s="65" t="str">
        <f>IF($E33="","",$E33&amp;"|"&amp;COUNTIFS($E$7:$E33,$E33))</f>
        <v>ÖMER KARTAL|26</v>
      </c>
      <c r="L33" s="65" t="str">
        <f>IF($D33="","",$D33&amp;"|"&amp;COUNTIFS($D$7:$D33,$D33))</f>
        <v>MERKEZ KASA|26</v>
      </c>
      <c r="M33" s="65" t="str">
        <f>IF(AND($E33&lt;&gt;"",COUNTIF($G33,"KÂR PAYI / AVANS*")&gt;0),$E33&amp;"|"&amp;COUNTIFS($E$7:$E33,$E33,$G$7:$G33,"KÂR PAYI / AVANS*"),"")</f>
        <v/>
      </c>
    </row>
    <row r="34" spans="1:13" ht="18" customHeight="1" x14ac:dyDescent="0.3">
      <c r="A34" s="2"/>
      <c r="B34" s="65" t="str">
        <f t="shared" si="0"/>
        <v>V00028</v>
      </c>
      <c r="C34" s="66">
        <v>46235</v>
      </c>
      <c r="D34" s="60" t="s">
        <v>717</v>
      </c>
      <c r="E34" s="60" t="s">
        <v>723</v>
      </c>
      <c r="F34" s="67">
        <v>5000</v>
      </c>
      <c r="G34" s="61" t="s">
        <v>742</v>
      </c>
      <c r="H34" s="61"/>
      <c r="I34" s="61"/>
      <c r="J34" s="65" t="str">
        <f t="shared" si="1"/>
        <v>UYGUN</v>
      </c>
      <c r="K34" s="65" t="str">
        <f>IF($E34="","",$E34&amp;"|"&amp;COUNTIFS($E$7:$E34,$E34))</f>
        <v>ÖMER KARTAL|27</v>
      </c>
      <c r="L34" s="65" t="str">
        <f>IF($D34="","",$D34&amp;"|"&amp;COUNTIFS($D$7:$D34,$D34))</f>
        <v>MERKEZ KASA|27</v>
      </c>
      <c r="M34" s="65" t="str">
        <f>IF(AND($E34&lt;&gt;"",COUNTIF($G34,"KÂR PAYI / AVANS*")&gt;0),$E34&amp;"|"&amp;COUNTIFS($E$7:$E34,$E34,$G$7:$G34,"KÂR PAYI / AVANS*"),"")</f>
        <v/>
      </c>
    </row>
    <row r="35" spans="1:13" ht="18" customHeight="1" x14ac:dyDescent="0.3">
      <c r="A35" s="2"/>
      <c r="B35" s="65" t="str">
        <f t="shared" si="0"/>
        <v>V00029</v>
      </c>
      <c r="C35" s="66">
        <v>46243</v>
      </c>
      <c r="D35" s="60" t="s">
        <v>717</v>
      </c>
      <c r="E35" s="60" t="s">
        <v>723</v>
      </c>
      <c r="F35" s="67">
        <v>9400</v>
      </c>
      <c r="G35" s="61" t="s">
        <v>969</v>
      </c>
      <c r="H35" s="61"/>
      <c r="I35" s="61"/>
      <c r="J35" s="65" t="str">
        <f t="shared" si="1"/>
        <v>UYGUN</v>
      </c>
      <c r="K35" s="65" t="str">
        <f>IF($E35="","",$E35&amp;"|"&amp;COUNTIFS($E$7:$E35,$E35))</f>
        <v>ÖMER KARTAL|28</v>
      </c>
      <c r="L35" s="65" t="str">
        <f>IF($D35="","",$D35&amp;"|"&amp;COUNTIFS($D$7:$D35,$D35))</f>
        <v>MERKEZ KASA|28</v>
      </c>
      <c r="M35" s="65" t="str">
        <f>IF(AND($E35&lt;&gt;"",COUNTIF($G35,"KÂR PAYI / AVANS*")&gt;0),$E35&amp;"|"&amp;COUNTIFS($E$7:$E35,$E35,$G$7:$G35,"KÂR PAYI / AVANS*"),"")</f>
        <v/>
      </c>
    </row>
    <row r="36" spans="1:13" ht="18" customHeight="1" x14ac:dyDescent="0.3">
      <c r="A36" s="2"/>
      <c r="B36" s="65" t="str">
        <f t="shared" si="0"/>
        <v>V00030</v>
      </c>
      <c r="C36" s="66"/>
      <c r="D36" s="60"/>
      <c r="E36" s="60"/>
      <c r="F36" s="67"/>
      <c r="G36" s="61"/>
      <c r="H36" s="61"/>
      <c r="I36" s="61"/>
      <c r="J36" s="65" t="str">
        <f t="shared" si="1"/>
        <v>UYGUN</v>
      </c>
      <c r="K36" s="65" t="str">
        <f>IF($E36="","",$E36&amp;"|"&amp;COUNTIFS($E$7:$E36,$E36))</f>
        <v>ÖMER KARTAL|29</v>
      </c>
      <c r="L36" s="65" t="str">
        <f>IF($D36="","",$D36&amp;"|"&amp;COUNTIFS($D$7:$D36,$D36))</f>
        <v>MERKEZ KASA|29</v>
      </c>
      <c r="M36" s="65" t="str">
        <f>IF(AND($E36&lt;&gt;"",COUNTIF($G36,"KÂR PAYI / AVANS*")&gt;0),$E36&amp;"|"&amp;COUNTIFS($E$7:$E36,$E36,$G$7:$G36,"KÂR PAYI / AVANS*"),"")</f>
        <v/>
      </c>
    </row>
    <row r="37" spans="1:13" ht="18" hidden="1" customHeight="1" x14ac:dyDescent="0.3">
      <c r="A37" s="2"/>
      <c r="B37" s="65" t="str">
        <f t="shared" si="0"/>
        <v>V00031</v>
      </c>
      <c r="C37" s="66">
        <v>46054</v>
      </c>
      <c r="D37" s="60" t="s">
        <v>723</v>
      </c>
      <c r="E37" s="60" t="s">
        <v>717</v>
      </c>
      <c r="F37" s="67">
        <v>32000</v>
      </c>
      <c r="G37" s="61" t="s">
        <v>970</v>
      </c>
      <c r="H37" s="61"/>
      <c r="I37" s="61"/>
      <c r="J37" s="65" t="str">
        <f t="shared" si="1"/>
        <v>UYGUN</v>
      </c>
      <c r="K37" s="65" t="str">
        <f>IF($E37="","",$E37&amp;"|"&amp;COUNTIFS($E$7:$E37,$E37))</f>
        <v>MERKEZ KASA|2</v>
      </c>
      <c r="L37" s="65" t="str">
        <f>IF($D37="","",$D37&amp;"|"&amp;COUNTIFS($D$7:$D37,$D37))</f>
        <v>ÖMER KARTAL|2</v>
      </c>
      <c r="M37" s="65" t="str">
        <f>IF(AND($E37&lt;&gt;"",COUNTIF($G37,"KÂR PAYI / AVANS*")&gt;0),$E37&amp;"|"&amp;COUNTIFS($E$7:$E37,$E37,$G$7:$G37,"KÂR PAYI / AVANS*"),"")</f>
        <v/>
      </c>
    </row>
    <row r="38" spans="1:13" ht="18" customHeight="1" x14ac:dyDescent="0.3">
      <c r="A38" s="2"/>
      <c r="B38" s="65" t="str">
        <f t="shared" si="0"/>
        <v>V00032</v>
      </c>
      <c r="C38" s="66">
        <v>46053</v>
      </c>
      <c r="D38" s="60" t="s">
        <v>717</v>
      </c>
      <c r="E38" s="60" t="s">
        <v>723</v>
      </c>
      <c r="F38" s="67">
        <v>127783.09</v>
      </c>
      <c r="G38" s="61" t="s">
        <v>971</v>
      </c>
      <c r="H38" s="61"/>
      <c r="I38" s="61"/>
      <c r="J38" s="65" t="str">
        <f t="shared" si="1"/>
        <v>UYGUN</v>
      </c>
      <c r="K38" s="65" t="str">
        <f>IF($E38="","",$E38&amp;"|"&amp;COUNTIFS($E$7:$E38,$E38))</f>
        <v>ÖMER KARTAL|30</v>
      </c>
      <c r="L38" s="65" t="str">
        <f>IF($D38="","",$D38&amp;"|"&amp;COUNTIFS($D$7:$D38,$D38))</f>
        <v>MERKEZ KASA|30</v>
      </c>
      <c r="M38" s="65" t="str">
        <f>IF(AND($E38&lt;&gt;"",COUNTIF($G38,"KÂR PAYI / AVANS*")&gt;0),$E38&amp;"|"&amp;COUNTIFS($E$7:$E38,$E38,$G$7:$G38,"KÂR PAYI / AVANS*"),"")</f>
        <v>ÖMER KARTAL|1</v>
      </c>
    </row>
    <row r="39" spans="1:13" ht="18" customHeight="1" x14ac:dyDescent="0.3">
      <c r="A39" s="2"/>
      <c r="B39" s="65" t="str">
        <f t="shared" si="0"/>
        <v>V00033</v>
      </c>
      <c r="C39" s="66">
        <v>46053</v>
      </c>
      <c r="D39" s="60" t="s">
        <v>717</v>
      </c>
      <c r="E39" s="60" t="s">
        <v>972</v>
      </c>
      <c r="F39" s="67">
        <v>127783.09</v>
      </c>
      <c r="G39" s="61" t="s">
        <v>973</v>
      </c>
      <c r="H39" s="61"/>
      <c r="I39" s="61"/>
      <c r="J39" s="65" t="str">
        <f t="shared" si="1"/>
        <v>UYGUN</v>
      </c>
      <c r="K39" s="65" t="str">
        <f>IF($E39="","",$E39&amp;"|"&amp;COUNTIFS($E$7:$E39,$E39))</f>
        <v>ALİ KILIÇ|1</v>
      </c>
      <c r="L39" s="65" t="str">
        <f>IF($D39="","",$D39&amp;"|"&amp;COUNTIFS($D$7:$D39,$D39))</f>
        <v>MERKEZ KASA|31</v>
      </c>
      <c r="M39" s="65" t="str">
        <f>IF(AND($E39&lt;&gt;"",COUNTIF($G39,"KÂR PAYI / AVANS*")&gt;0),$E39&amp;"|"&amp;COUNTIFS($E$7:$E39,$E39,$G$7:$G39,"KÂR PAYI / AVANS*"),"")</f>
        <v>ALİ KILIÇ|1</v>
      </c>
    </row>
    <row r="40" spans="1:13" ht="18" customHeight="1" x14ac:dyDescent="0.3">
      <c r="A40" s="2"/>
      <c r="B40" s="65" t="str">
        <f t="shared" si="0"/>
        <v>V00034</v>
      </c>
      <c r="C40" s="66">
        <v>46081</v>
      </c>
      <c r="D40" s="60" t="s">
        <v>717</v>
      </c>
      <c r="E40" s="60" t="s">
        <v>723</v>
      </c>
      <c r="F40" s="67">
        <v>10310.91</v>
      </c>
      <c r="G40" s="61" t="s">
        <v>974</v>
      </c>
      <c r="H40" s="61"/>
      <c r="I40" s="61"/>
      <c r="J40" s="65" t="str">
        <f t="shared" si="1"/>
        <v>UYGUN</v>
      </c>
      <c r="K40" s="65" t="str">
        <f>IF($E40="","",$E40&amp;"|"&amp;COUNTIFS($E$7:$E40,$E40))</f>
        <v>ÖMER KARTAL|31</v>
      </c>
      <c r="L40" s="65" t="str">
        <f>IF($D40="","",$D40&amp;"|"&amp;COUNTIFS($D$7:$D40,$D40))</f>
        <v>MERKEZ KASA|32</v>
      </c>
      <c r="M40" s="65" t="str">
        <f>IF(AND($E40&lt;&gt;"",COUNTIF($G40,"KÂR PAYI / AVANS*")&gt;0),$E40&amp;"|"&amp;COUNTIFS($E$7:$E40,$E40,$G$7:$G40,"KÂR PAYI / AVANS*"),"")</f>
        <v>ÖMER KARTAL|2</v>
      </c>
    </row>
    <row r="41" spans="1:13" ht="18" customHeight="1" x14ac:dyDescent="0.3">
      <c r="A41" s="2"/>
      <c r="B41" s="65" t="str">
        <f t="shared" si="0"/>
        <v>V00035</v>
      </c>
      <c r="C41" s="66">
        <v>46081</v>
      </c>
      <c r="D41" s="60" t="s">
        <v>717</v>
      </c>
      <c r="E41" s="60" t="s">
        <v>972</v>
      </c>
      <c r="F41" s="67">
        <v>10310.91</v>
      </c>
      <c r="G41" s="61" t="s">
        <v>975</v>
      </c>
      <c r="H41" s="61"/>
      <c r="I41" s="61"/>
      <c r="J41" s="65" t="str">
        <f t="shared" si="1"/>
        <v>UYGUN</v>
      </c>
      <c r="K41" s="65" t="str">
        <f>IF($E41="","",$E41&amp;"|"&amp;COUNTIFS($E$7:$E41,$E41))</f>
        <v>ALİ KILIÇ|2</v>
      </c>
      <c r="L41" s="65" t="str">
        <f>IF($D41="","",$D41&amp;"|"&amp;COUNTIFS($D$7:$D41,$D41))</f>
        <v>MERKEZ KASA|33</v>
      </c>
      <c r="M41" s="65" t="str">
        <f>IF(AND($E41&lt;&gt;"",COUNTIF($G41,"KÂR PAYI / AVANS*")&gt;0),$E41&amp;"|"&amp;COUNTIFS($E$7:$E41,$E41,$G$7:$G41,"KÂR PAYI / AVANS*"),"")</f>
        <v>ALİ KILIÇ|2</v>
      </c>
    </row>
    <row r="42" spans="1:13" ht="18" customHeight="1" x14ac:dyDescent="0.3">
      <c r="A42" s="2"/>
      <c r="B42" s="65" t="str">
        <f t="shared" si="0"/>
        <v>V00036</v>
      </c>
      <c r="C42" s="66">
        <v>46112</v>
      </c>
      <c r="D42" s="60" t="s">
        <v>717</v>
      </c>
      <c r="E42" s="60" t="s">
        <v>723</v>
      </c>
      <c r="F42" s="67">
        <v>77421.02</v>
      </c>
      <c r="G42" s="61" t="s">
        <v>976</v>
      </c>
      <c r="H42" s="61"/>
      <c r="I42" s="61"/>
      <c r="J42" s="65" t="str">
        <f t="shared" si="1"/>
        <v>UYGUN</v>
      </c>
      <c r="K42" s="65" t="str">
        <f>IF($E42="","",$E42&amp;"|"&amp;COUNTIFS($E$7:$E42,$E42))</f>
        <v>ÖMER KARTAL|32</v>
      </c>
      <c r="L42" s="65" t="str">
        <f>IF($D42="","",$D42&amp;"|"&amp;COUNTIFS($D$7:$D42,$D42))</f>
        <v>MERKEZ KASA|34</v>
      </c>
      <c r="M42" s="65" t="str">
        <f>IF(AND($E42&lt;&gt;"",COUNTIF($G42,"KÂR PAYI / AVANS*")&gt;0),$E42&amp;"|"&amp;COUNTIFS($E$7:$E42,$E42,$G$7:$G42,"KÂR PAYI / AVANS*"),"")</f>
        <v>ÖMER KARTAL|3</v>
      </c>
    </row>
    <row r="43" spans="1:13" ht="18" customHeight="1" x14ac:dyDescent="0.3">
      <c r="A43" s="2"/>
      <c r="B43" s="65" t="str">
        <f t="shared" si="0"/>
        <v>V00037</v>
      </c>
      <c r="C43" s="66">
        <v>46112</v>
      </c>
      <c r="D43" s="60" t="s">
        <v>717</v>
      </c>
      <c r="E43" s="60" t="s">
        <v>972</v>
      </c>
      <c r="F43" s="67">
        <v>77421.02</v>
      </c>
      <c r="G43" s="61" t="s">
        <v>977</v>
      </c>
      <c r="H43" s="61"/>
      <c r="I43" s="61"/>
      <c r="J43" s="65" t="str">
        <f t="shared" si="1"/>
        <v>UYGUN</v>
      </c>
      <c r="K43" s="65" t="str">
        <f>IF($E43="","",$E43&amp;"|"&amp;COUNTIFS($E$7:$E43,$E43))</f>
        <v>ALİ KILIÇ|3</v>
      </c>
      <c r="L43" s="65" t="str">
        <f>IF($D43="","",$D43&amp;"|"&amp;COUNTIFS($D$7:$D43,$D43))</f>
        <v>MERKEZ KASA|35</v>
      </c>
      <c r="M43" s="65" t="str">
        <f>IF(AND($E43&lt;&gt;"",COUNTIF($G43,"KÂR PAYI / AVANS*")&gt;0),$E43&amp;"|"&amp;COUNTIFS($E$7:$E43,$E43,$G$7:$G43,"KÂR PAYI / AVANS*"),"")</f>
        <v>ALİ KILIÇ|3</v>
      </c>
    </row>
    <row r="44" spans="1:13" ht="18" customHeight="1" x14ac:dyDescent="0.3">
      <c r="A44" s="2"/>
      <c r="B44" s="65" t="str">
        <f t="shared" si="0"/>
        <v>V00038</v>
      </c>
      <c r="C44" s="66">
        <v>46142</v>
      </c>
      <c r="D44" s="60" t="s">
        <v>717</v>
      </c>
      <c r="E44" s="60" t="s">
        <v>723</v>
      </c>
      <c r="F44" s="67">
        <v>137353</v>
      </c>
      <c r="G44" s="61" t="s">
        <v>978</v>
      </c>
      <c r="H44" s="61"/>
      <c r="I44" s="61"/>
      <c r="J44" s="65" t="str">
        <f t="shared" si="1"/>
        <v>UYGUN</v>
      </c>
      <c r="K44" s="65" t="str">
        <f>IF($E44="","",$E44&amp;"|"&amp;COUNTIFS($E$7:$E44,$E44))</f>
        <v>ÖMER KARTAL|33</v>
      </c>
      <c r="L44" s="65" t="str">
        <f>IF($D44="","",$D44&amp;"|"&amp;COUNTIFS($D$7:$D44,$D44))</f>
        <v>MERKEZ KASA|36</v>
      </c>
      <c r="M44" s="65" t="str">
        <f>IF(AND($E44&lt;&gt;"",COUNTIF($G44,"KÂR PAYI / AVANS*")&gt;0),$E44&amp;"|"&amp;COUNTIFS($E$7:$E44,$E44,$G$7:$G44,"KÂR PAYI / AVANS*"),"")</f>
        <v>ÖMER KARTAL|4</v>
      </c>
    </row>
    <row r="45" spans="1:13" ht="18" customHeight="1" x14ac:dyDescent="0.3">
      <c r="A45" s="2"/>
      <c r="B45" s="65" t="str">
        <f t="shared" si="0"/>
        <v>V00039</v>
      </c>
      <c r="C45" s="66">
        <v>46142</v>
      </c>
      <c r="D45" s="60" t="s">
        <v>717</v>
      </c>
      <c r="E45" s="60" t="s">
        <v>972</v>
      </c>
      <c r="F45" s="67">
        <v>137353</v>
      </c>
      <c r="G45" s="61" t="s">
        <v>979</v>
      </c>
      <c r="H45" s="61"/>
      <c r="I45" s="61"/>
      <c r="J45" s="65" t="str">
        <f t="shared" si="1"/>
        <v>UYGUN</v>
      </c>
      <c r="K45" s="65" t="str">
        <f>IF($E45="","",$E45&amp;"|"&amp;COUNTIFS($E$7:$E45,$E45))</f>
        <v>ALİ KILIÇ|4</v>
      </c>
      <c r="L45" s="65" t="str">
        <f>IF($D45="","",$D45&amp;"|"&amp;COUNTIFS($D$7:$D45,$D45))</f>
        <v>MERKEZ KASA|37</v>
      </c>
      <c r="M45" s="65" t="str">
        <f>IF(AND($E45&lt;&gt;"",COUNTIF($G45,"KÂR PAYI / AVANS*")&gt;0),$E45&amp;"|"&amp;COUNTIFS($E$7:$E45,$E45,$G$7:$G45,"KÂR PAYI / AVANS*"),"")</f>
        <v>ALİ KILIÇ|4</v>
      </c>
    </row>
    <row r="46" spans="1:13" ht="18" customHeight="1" x14ac:dyDescent="0.3">
      <c r="A46" s="2"/>
      <c r="B46" s="65" t="str">
        <f t="shared" si="0"/>
        <v>V00040</v>
      </c>
      <c r="C46" s="66">
        <v>46173</v>
      </c>
      <c r="D46" s="60" t="s">
        <v>717</v>
      </c>
      <c r="E46" s="60" t="s">
        <v>723</v>
      </c>
      <c r="F46" s="67">
        <v>109773</v>
      </c>
      <c r="G46" s="61" t="s">
        <v>980</v>
      </c>
      <c r="H46" s="61"/>
      <c r="I46" s="61"/>
      <c r="J46" s="65" t="str">
        <f t="shared" si="1"/>
        <v>UYGUN</v>
      </c>
      <c r="K46" s="65" t="str">
        <f>IF($E46="","",$E46&amp;"|"&amp;COUNTIFS($E$7:$E46,$E46))</f>
        <v>ÖMER KARTAL|34</v>
      </c>
      <c r="L46" s="65" t="str">
        <f>IF($D46="","",$D46&amp;"|"&amp;COUNTIFS($D$7:$D46,$D46))</f>
        <v>MERKEZ KASA|38</v>
      </c>
      <c r="M46" s="65" t="str">
        <f>IF(AND($E46&lt;&gt;"",COUNTIF($G46,"KÂR PAYI / AVANS*")&gt;0),$E46&amp;"|"&amp;COUNTIFS($E$7:$E46,$E46,$G$7:$G46,"KÂR PAYI / AVANS*"),"")</f>
        <v>ÖMER KARTAL|5</v>
      </c>
    </row>
    <row r="47" spans="1:13" ht="18" customHeight="1" x14ac:dyDescent="0.3">
      <c r="A47" s="2"/>
      <c r="B47" s="65" t="str">
        <f t="shared" si="0"/>
        <v>V00041</v>
      </c>
      <c r="C47" s="66">
        <v>46173</v>
      </c>
      <c r="D47" s="60" t="s">
        <v>717</v>
      </c>
      <c r="E47" s="60" t="s">
        <v>972</v>
      </c>
      <c r="F47" s="67">
        <v>109773</v>
      </c>
      <c r="G47" s="61" t="s">
        <v>981</v>
      </c>
      <c r="H47" s="61"/>
      <c r="I47" s="61"/>
      <c r="J47" s="65" t="str">
        <f t="shared" si="1"/>
        <v>UYGUN</v>
      </c>
      <c r="K47" s="65" t="str">
        <f>IF($E47="","",$E47&amp;"|"&amp;COUNTIFS($E$7:$E47,$E47))</f>
        <v>ALİ KILIÇ|5</v>
      </c>
      <c r="L47" s="65" t="str">
        <f>IF($D47="","",$D47&amp;"|"&amp;COUNTIFS($D$7:$D47,$D47))</f>
        <v>MERKEZ KASA|39</v>
      </c>
      <c r="M47" s="65" t="str">
        <f>IF(AND($E47&lt;&gt;"",COUNTIF($G47,"KÂR PAYI / AVANS*")&gt;0),$E47&amp;"|"&amp;COUNTIFS($E$7:$E47,$E47,$G$7:$G47,"KÂR PAYI / AVANS*"),"")</f>
        <v>ALİ KILIÇ|5</v>
      </c>
    </row>
    <row r="48" spans="1:13" ht="18" customHeight="1" x14ac:dyDescent="0.3">
      <c r="A48" s="2"/>
      <c r="B48" s="65" t="str">
        <f t="shared" si="0"/>
        <v>V00042</v>
      </c>
      <c r="C48" s="66">
        <v>46203</v>
      </c>
      <c r="D48" s="60" t="s">
        <v>717</v>
      </c>
      <c r="E48" s="60" t="s">
        <v>723</v>
      </c>
      <c r="F48" s="67">
        <v>113720</v>
      </c>
      <c r="G48" s="61" t="s">
        <v>982</v>
      </c>
      <c r="H48" s="61"/>
      <c r="I48" s="61"/>
      <c r="J48" s="65" t="str">
        <f t="shared" si="1"/>
        <v>UYGUN</v>
      </c>
      <c r="K48" s="65" t="str">
        <f>IF($E48="","",$E48&amp;"|"&amp;COUNTIFS($E$7:$E48,$E48))</f>
        <v>ÖMER KARTAL|35</v>
      </c>
      <c r="L48" s="65" t="str">
        <f>IF($D48="","",$D48&amp;"|"&amp;COUNTIFS($D$7:$D48,$D48))</f>
        <v>MERKEZ KASA|40</v>
      </c>
      <c r="M48" s="65" t="str">
        <f>IF(AND($E48&lt;&gt;"",COUNTIF($G48,"KÂR PAYI / AVANS*")&gt;0),$E48&amp;"|"&amp;COUNTIFS($E$7:$E48,$E48,$G$7:$G48,"KÂR PAYI / AVANS*"),"")</f>
        <v>ÖMER KARTAL|6</v>
      </c>
    </row>
    <row r="49" spans="1:13" ht="18" customHeight="1" x14ac:dyDescent="0.3">
      <c r="A49" s="2"/>
      <c r="B49" s="65" t="str">
        <f t="shared" si="0"/>
        <v>V00043</v>
      </c>
      <c r="C49" s="66">
        <v>46203</v>
      </c>
      <c r="D49" s="60" t="s">
        <v>717</v>
      </c>
      <c r="E49" s="60" t="s">
        <v>972</v>
      </c>
      <c r="F49" s="67">
        <v>113720</v>
      </c>
      <c r="G49" s="61" t="s">
        <v>983</v>
      </c>
      <c r="H49" s="61"/>
      <c r="I49" s="61"/>
      <c r="J49" s="65" t="str">
        <f t="shared" si="1"/>
        <v>UYGUN</v>
      </c>
      <c r="K49" s="65" t="str">
        <f>IF($E49="","",$E49&amp;"|"&amp;COUNTIFS($E$7:$E49,$E49))</f>
        <v>ALİ KILIÇ|6</v>
      </c>
      <c r="L49" s="65" t="str">
        <f>IF($D49="","",$D49&amp;"|"&amp;COUNTIFS($D$7:$D49,$D49))</f>
        <v>MERKEZ KASA|41</v>
      </c>
      <c r="M49" s="65" t="str">
        <f>IF(AND($E49&lt;&gt;"",COUNTIF($G49,"KÂR PAYI / AVANS*")&gt;0),$E49&amp;"|"&amp;COUNTIFS($E$7:$E49,$E49,$G$7:$G49,"KÂR PAYI / AVANS*"),"")</f>
        <v>ALİ KILIÇ|6</v>
      </c>
    </row>
    <row r="50" spans="1:13" ht="18" customHeight="1" x14ac:dyDescent="0.3">
      <c r="A50" s="2"/>
      <c r="B50" s="65" t="str">
        <f t="shared" si="0"/>
        <v>V00044</v>
      </c>
      <c r="C50" s="66">
        <v>46234</v>
      </c>
      <c r="D50" s="60" t="s">
        <v>717</v>
      </c>
      <c r="E50" s="60" t="s">
        <v>723</v>
      </c>
      <c r="F50" s="67">
        <v>58370</v>
      </c>
      <c r="G50" s="61" t="s">
        <v>984</v>
      </c>
      <c r="H50" s="61"/>
      <c r="I50" s="61"/>
      <c r="J50" s="65" t="str">
        <f t="shared" si="1"/>
        <v>UYGUN</v>
      </c>
      <c r="K50" s="65" t="str">
        <f>IF($E50="","",$E50&amp;"|"&amp;COUNTIFS($E$7:$E50,$E50))</f>
        <v>ÖMER KARTAL|36</v>
      </c>
      <c r="L50" s="65" t="str">
        <f>IF($D50="","",$D50&amp;"|"&amp;COUNTIFS($D$7:$D50,$D50))</f>
        <v>MERKEZ KASA|42</v>
      </c>
      <c r="M50" s="65" t="str">
        <f>IF(AND($E50&lt;&gt;"",COUNTIF($G50,"KÂR PAYI / AVANS*")&gt;0),$E50&amp;"|"&amp;COUNTIFS($E$7:$E50,$E50,$G$7:$G50,"KÂR PAYI / AVANS*"),"")</f>
        <v>ÖMER KARTAL|7</v>
      </c>
    </row>
    <row r="51" spans="1:13" ht="18" customHeight="1" x14ac:dyDescent="0.3">
      <c r="A51" s="2"/>
      <c r="B51" s="65" t="str">
        <f t="shared" si="0"/>
        <v>V00045</v>
      </c>
      <c r="C51" s="66">
        <v>46234</v>
      </c>
      <c r="D51" s="60" t="s">
        <v>717</v>
      </c>
      <c r="E51" s="60" t="s">
        <v>972</v>
      </c>
      <c r="F51" s="67">
        <v>58370</v>
      </c>
      <c r="G51" s="61" t="s">
        <v>985</v>
      </c>
      <c r="H51" s="61"/>
      <c r="I51" s="61"/>
      <c r="J51" s="65" t="str">
        <f t="shared" si="1"/>
        <v>UYGUN</v>
      </c>
      <c r="K51" s="65" t="str">
        <f>IF($E51="","",$E51&amp;"|"&amp;COUNTIFS($E$7:$E51,$E51))</f>
        <v>ALİ KILIÇ|7</v>
      </c>
      <c r="L51" s="65" t="str">
        <f>IF($D51="","",$D51&amp;"|"&amp;COUNTIFS($D$7:$D51,$D51))</f>
        <v>MERKEZ KASA|43</v>
      </c>
      <c r="M51" s="65" t="str">
        <f>IF(AND($E51&lt;&gt;"",COUNTIF($G51,"KÂR PAYI / AVANS*")&gt;0),$E51&amp;"|"&amp;COUNTIFS($E$7:$E51,$E51,$G$7:$G51,"KÂR PAYI / AVANS*"),"")</f>
        <v>ALİ KILIÇ|7</v>
      </c>
    </row>
    <row r="52" spans="1:13" ht="18" hidden="1" customHeight="1" x14ac:dyDescent="0.3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65" t="str">
        <f>IF($E52="","",$E52&amp;"|"&amp;COUNTIFS($E$7:$E52,$E52))</f>
        <v/>
      </c>
      <c r="L52" s="65" t="str">
        <f>IF($D52="","",$D52&amp;"|"&amp;COUNTIFS($D$7:$D52,$D52))</f>
        <v/>
      </c>
      <c r="M52" s="65" t="str">
        <f>IF(AND($E52&lt;&gt;"",COUNTIF($G52,"KÂR PAYI / AVANS*")&gt;0),$E52&amp;"|"&amp;COUNTIFS($E$7:$E52,$E52,$G$7:$G52,"KÂR PAYI / AVANS*"),"")</f>
        <v/>
      </c>
    </row>
    <row r="53" spans="1:13" ht="18" hidden="1" customHeight="1" x14ac:dyDescent="0.3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65" t="str">
        <f>IF($E53="","",$E53&amp;"|"&amp;COUNTIFS($E$7:$E53,$E53))</f>
        <v/>
      </c>
      <c r="L53" s="65" t="str">
        <f>IF($D53="","",$D53&amp;"|"&amp;COUNTIFS($D$7:$D53,$D53))</f>
        <v/>
      </c>
      <c r="M53" s="65" t="str">
        <f>IF(AND($E53&lt;&gt;"",COUNTIF($G53,"KÂR PAYI / AVANS*")&gt;0),$E53&amp;"|"&amp;COUNTIFS($E$7:$E53,$E53,$G$7:$G53,"KÂR PAYI / AVANS*"),"")</f>
        <v/>
      </c>
    </row>
    <row r="54" spans="1:13" ht="18" hidden="1" customHeight="1" x14ac:dyDescent="0.3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65" t="str">
        <f>IF($E54="","",$E54&amp;"|"&amp;COUNTIFS($E$7:$E54,$E54))</f>
        <v/>
      </c>
      <c r="L54" s="65" t="str">
        <f>IF($D54="","",$D54&amp;"|"&amp;COUNTIFS($D$7:$D54,$D54))</f>
        <v/>
      </c>
      <c r="M54" s="65" t="str">
        <f>IF(AND($E54&lt;&gt;"",COUNTIF($G54,"KÂR PAYI / AVANS*")&gt;0),$E54&amp;"|"&amp;COUNTIFS($E$7:$E54,$E54,$G$7:$G54,"KÂR PAYI / AVANS*"),"")</f>
        <v/>
      </c>
    </row>
    <row r="55" spans="1:13" ht="18" hidden="1" customHeight="1" x14ac:dyDescent="0.3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65" t="str">
        <f>IF($E55="","",$E55&amp;"|"&amp;COUNTIFS($E$7:$E55,$E55))</f>
        <v/>
      </c>
      <c r="L55" s="65" t="str">
        <f>IF($D55="","",$D55&amp;"|"&amp;COUNTIFS($D$7:$D55,$D55))</f>
        <v/>
      </c>
      <c r="M55" s="65" t="str">
        <f>IF(AND($E55&lt;&gt;"",COUNTIF($G55,"KÂR PAYI / AVANS*")&gt;0),$E55&amp;"|"&amp;COUNTIFS($E$7:$E55,$E55,$G$7:$G55,"KÂR PAYI / AVANS*"),"")</f>
        <v/>
      </c>
    </row>
    <row r="56" spans="1:13" ht="18" hidden="1" customHeight="1" x14ac:dyDescent="0.3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65" t="str">
        <f>IF($E56="","",$E56&amp;"|"&amp;COUNTIFS($E$7:$E56,$E56))</f>
        <v/>
      </c>
      <c r="L56" s="65" t="str">
        <f>IF($D56="","",$D56&amp;"|"&amp;COUNTIFS($D$7:$D56,$D56))</f>
        <v/>
      </c>
      <c r="M56" s="65" t="str">
        <f>IF(AND($E56&lt;&gt;"",COUNTIF($G56,"KÂR PAYI / AVANS*")&gt;0),$E56&amp;"|"&amp;COUNTIFS($E$7:$E56,$E56,$G$7:$G56,"KÂR PAYI / AVANS*"),"")</f>
        <v/>
      </c>
    </row>
    <row r="57" spans="1:13" ht="18" hidden="1" customHeight="1" x14ac:dyDescent="0.3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65" t="str">
        <f>IF($E57="","",$E57&amp;"|"&amp;COUNTIFS($E$7:$E57,$E57))</f>
        <v/>
      </c>
      <c r="L57" s="65" t="str">
        <f>IF($D57="","",$D57&amp;"|"&amp;COUNTIFS($D$7:$D57,$D57))</f>
        <v/>
      </c>
      <c r="M57" s="65" t="str">
        <f>IF(AND($E57&lt;&gt;"",COUNTIF($G57,"KÂR PAYI / AVANS*")&gt;0),$E57&amp;"|"&amp;COUNTIFS($E$7:$E57,$E57,$G$7:$G57,"KÂR PAYI / AVANS*"),"")</f>
        <v/>
      </c>
    </row>
    <row r="58" spans="1:13" ht="18" hidden="1" customHeight="1" x14ac:dyDescent="0.3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65" t="str">
        <f>IF($E58="","",$E58&amp;"|"&amp;COUNTIFS($E$7:$E58,$E58))</f>
        <v/>
      </c>
      <c r="L58" s="65" t="str">
        <f>IF($D58="","",$D58&amp;"|"&amp;COUNTIFS($D$7:$D58,$D58))</f>
        <v/>
      </c>
      <c r="M58" s="65" t="str">
        <f>IF(AND($E58&lt;&gt;"",COUNTIF($G58,"KÂR PAYI / AVANS*")&gt;0),$E58&amp;"|"&amp;COUNTIFS($E$7:$E58,$E58,$G$7:$G58,"KÂR PAYI / AVANS*"),"")</f>
        <v/>
      </c>
    </row>
    <row r="59" spans="1:13" ht="18" hidden="1" customHeight="1" x14ac:dyDescent="0.3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65" t="str">
        <f>IF($E59="","",$E59&amp;"|"&amp;COUNTIFS($E$7:$E59,$E59))</f>
        <v/>
      </c>
      <c r="L59" s="65" t="str">
        <f>IF($D59="","",$D59&amp;"|"&amp;COUNTIFS($D$7:$D59,$D59))</f>
        <v/>
      </c>
      <c r="M59" s="65" t="str">
        <f>IF(AND($E59&lt;&gt;"",COUNTIF($G59,"KÂR PAYI / AVANS*")&gt;0),$E59&amp;"|"&amp;COUNTIFS($E$7:$E59,$E59,$G$7:$G59,"KÂR PAYI / AVANS*"),"")</f>
        <v/>
      </c>
    </row>
    <row r="60" spans="1:13" ht="18" hidden="1" customHeight="1" x14ac:dyDescent="0.3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65" t="str">
        <f>IF($E60="","",$E60&amp;"|"&amp;COUNTIFS($E$7:$E60,$E60))</f>
        <v/>
      </c>
      <c r="L60" s="65" t="str">
        <f>IF($D60="","",$D60&amp;"|"&amp;COUNTIFS($D$7:$D60,$D60))</f>
        <v/>
      </c>
      <c r="M60" s="65" t="str">
        <f>IF(AND($E60&lt;&gt;"",COUNTIF($G60,"KÂR PAYI / AVANS*")&gt;0),$E60&amp;"|"&amp;COUNTIFS($E$7:$E60,$E60,$G$7:$G60,"KÂR PAYI / AVANS*"),"")</f>
        <v/>
      </c>
    </row>
    <row r="61" spans="1:13" ht="18" hidden="1" customHeight="1" x14ac:dyDescent="0.3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65" t="str">
        <f>IF($E61="","",$E61&amp;"|"&amp;COUNTIFS($E$7:$E61,$E61))</f>
        <v/>
      </c>
      <c r="L61" s="65" t="str">
        <f>IF($D61="","",$D61&amp;"|"&amp;COUNTIFS($D$7:$D61,$D61))</f>
        <v/>
      </c>
      <c r="M61" s="65" t="str">
        <f>IF(AND($E61&lt;&gt;"",COUNTIF($G61,"KÂR PAYI / AVANS*")&gt;0),$E61&amp;"|"&amp;COUNTIFS($E$7:$E61,$E61,$G$7:$G61,"KÂR PAYI / AVANS*"),"")</f>
        <v/>
      </c>
    </row>
    <row r="62" spans="1:13" ht="18" hidden="1" customHeight="1" x14ac:dyDescent="0.3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65" t="str">
        <f>IF($E62="","",$E62&amp;"|"&amp;COUNTIFS($E$7:$E62,$E62))</f>
        <v/>
      </c>
      <c r="L62" s="65" t="str">
        <f>IF($D62="","",$D62&amp;"|"&amp;COUNTIFS($D$7:$D62,$D62))</f>
        <v/>
      </c>
      <c r="M62" s="65" t="str">
        <f>IF(AND($E62&lt;&gt;"",COUNTIF($G62,"KÂR PAYI / AVANS*")&gt;0),$E62&amp;"|"&amp;COUNTIFS($E$7:$E62,$E62,$G$7:$G62,"KÂR PAYI / AVANS*"),"")</f>
        <v/>
      </c>
    </row>
    <row r="63" spans="1:13" ht="18" hidden="1" customHeight="1" x14ac:dyDescent="0.3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65" t="str">
        <f>IF($E63="","",$E63&amp;"|"&amp;COUNTIFS($E$7:$E63,$E63))</f>
        <v/>
      </c>
      <c r="L63" s="65" t="str">
        <f>IF($D63="","",$D63&amp;"|"&amp;COUNTIFS($D$7:$D63,$D63))</f>
        <v/>
      </c>
      <c r="M63" s="65" t="str">
        <f>IF(AND($E63&lt;&gt;"",COUNTIF($G63,"KÂR PAYI / AVANS*")&gt;0),$E63&amp;"|"&amp;COUNTIFS($E$7:$E63,$E63,$G$7:$G63,"KÂR PAYI / AVANS*"),"")</f>
        <v/>
      </c>
    </row>
    <row r="64" spans="1:13" ht="18" hidden="1" customHeight="1" x14ac:dyDescent="0.3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65" t="str">
        <f>IF($E64="","",$E64&amp;"|"&amp;COUNTIFS($E$7:$E64,$E64))</f>
        <v/>
      </c>
      <c r="L64" s="65" t="str">
        <f>IF($D64="","",$D64&amp;"|"&amp;COUNTIFS($D$7:$D64,$D64))</f>
        <v/>
      </c>
      <c r="M64" s="65" t="str">
        <f>IF(AND($E64&lt;&gt;"",COUNTIF($G64,"KÂR PAYI / AVANS*")&gt;0),$E64&amp;"|"&amp;COUNTIFS($E$7:$E64,$E64,$G$7:$G64,"KÂR PAYI / AVANS*"),"")</f>
        <v/>
      </c>
    </row>
    <row r="65" spans="1:13" ht="18" hidden="1" customHeight="1" x14ac:dyDescent="0.3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65" t="str">
        <f>IF($E65="","",$E65&amp;"|"&amp;COUNTIFS($E$7:$E65,$E65))</f>
        <v/>
      </c>
      <c r="L65" s="65" t="str">
        <f>IF($D65="","",$D65&amp;"|"&amp;COUNTIFS($D$7:$D65,$D65))</f>
        <v/>
      </c>
      <c r="M65" s="65" t="str">
        <f>IF(AND($E65&lt;&gt;"",COUNTIF($G65,"KÂR PAYI / AVANS*")&gt;0),$E65&amp;"|"&amp;COUNTIFS($E$7:$E65,$E65,$G$7:$G65,"KÂR PAYI / AVANS*"),"")</f>
        <v/>
      </c>
    </row>
    <row r="66" spans="1:13" ht="18" hidden="1" customHeight="1" x14ac:dyDescent="0.3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65" t="str">
        <f>IF($E66="","",$E66&amp;"|"&amp;COUNTIFS($E$7:$E66,$E66))</f>
        <v/>
      </c>
      <c r="L66" s="65" t="str">
        <f>IF($D66="","",$D66&amp;"|"&amp;COUNTIFS($D$7:$D66,$D66))</f>
        <v/>
      </c>
      <c r="M66" s="65" t="str">
        <f>IF(AND($E66&lt;&gt;"",COUNTIF($G66,"KÂR PAYI / AVANS*")&gt;0),$E66&amp;"|"&amp;COUNTIFS($E$7:$E66,$E66,$G$7:$G66,"KÂR PAYI / AVANS*"),"")</f>
        <v/>
      </c>
    </row>
    <row r="67" spans="1:13" ht="18" hidden="1" customHeight="1" x14ac:dyDescent="0.3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65" t="str">
        <f>IF($E67="","",$E67&amp;"|"&amp;COUNTIFS($E$7:$E67,$E67))</f>
        <v/>
      </c>
      <c r="L67" s="65" t="str">
        <f>IF($D67="","",$D67&amp;"|"&amp;COUNTIFS($D$7:$D67,$D67))</f>
        <v/>
      </c>
      <c r="M67" s="65" t="str">
        <f>IF(AND($E67&lt;&gt;"",COUNTIF($G67,"KÂR PAYI / AVANS*")&gt;0),$E67&amp;"|"&amp;COUNTIFS($E$7:$E67,$E67,$G$7:$G67,"KÂR PAYI / AVANS*"),"")</f>
        <v/>
      </c>
    </row>
    <row r="68" spans="1:13" ht="18" hidden="1" customHeight="1" x14ac:dyDescent="0.3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65" t="str">
        <f>IF($E68="","",$E68&amp;"|"&amp;COUNTIFS($E$7:$E68,$E68))</f>
        <v/>
      </c>
      <c r="L68" s="65" t="str">
        <f>IF($D68="","",$D68&amp;"|"&amp;COUNTIFS($D$7:$D68,$D68))</f>
        <v/>
      </c>
      <c r="M68" s="65" t="str">
        <f>IF(AND($E68&lt;&gt;"",COUNTIF($G68,"KÂR PAYI / AVANS*")&gt;0),$E68&amp;"|"&amp;COUNTIFS($E$7:$E68,$E68,$G$7:$G68,"KÂR PAYI / AVANS*"),"")</f>
        <v/>
      </c>
    </row>
    <row r="69" spans="1:13" ht="18" hidden="1" customHeight="1" x14ac:dyDescent="0.3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65" t="str">
        <f>IF($E69="","",$E69&amp;"|"&amp;COUNTIFS($E$7:$E69,$E69))</f>
        <v/>
      </c>
      <c r="L69" s="65" t="str">
        <f>IF($D69="","",$D69&amp;"|"&amp;COUNTIFS($D$7:$D69,$D69))</f>
        <v/>
      </c>
      <c r="M69" s="65" t="str">
        <f>IF(AND($E69&lt;&gt;"",COUNTIF($G69,"KÂR PAYI / AVANS*")&gt;0),$E69&amp;"|"&amp;COUNTIFS($E$7:$E69,$E69,$G$7:$G69,"KÂR PAYI / AVANS*"),"")</f>
        <v/>
      </c>
    </row>
    <row r="70" spans="1:13" ht="18" hidden="1" customHeight="1" x14ac:dyDescent="0.3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65" t="str">
        <f>IF($E70="","",$E70&amp;"|"&amp;COUNTIFS($E$7:$E70,$E70))</f>
        <v/>
      </c>
      <c r="L70" s="65" t="str">
        <f>IF($D70="","",$D70&amp;"|"&amp;COUNTIFS($D$7:$D70,$D70))</f>
        <v/>
      </c>
      <c r="M70" s="65" t="str">
        <f>IF(AND($E70&lt;&gt;"",COUNTIF($G70,"KÂR PAYI / AVANS*")&gt;0),$E70&amp;"|"&amp;COUNTIFS($E$7:$E70,$E70,$G$7:$G70,"KÂR PAYI / AVANS*"),"")</f>
        <v/>
      </c>
    </row>
    <row r="71" spans="1:13" ht="18" hidden="1" customHeight="1" x14ac:dyDescent="0.3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65" t="str">
        <f>IF($E71="","",$E71&amp;"|"&amp;COUNTIFS($E$7:$E71,$E71))</f>
        <v/>
      </c>
      <c r="L71" s="65" t="str">
        <f>IF($D71="","",$D71&amp;"|"&amp;COUNTIFS($D$7:$D71,$D71))</f>
        <v/>
      </c>
      <c r="M71" s="65" t="str">
        <f>IF(AND($E71&lt;&gt;"",COUNTIF($G71,"KÂR PAYI / AVANS*")&gt;0),$E71&amp;"|"&amp;COUNTIFS($E$7:$E71,$E71,$G$7:$G71,"KÂR PAYI / AVANS*"),"")</f>
        <v/>
      </c>
    </row>
    <row r="72" spans="1:13" ht="18" hidden="1" customHeight="1" x14ac:dyDescent="0.3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65" t="str">
        <f>IF($E72="","",$E72&amp;"|"&amp;COUNTIFS($E$7:$E72,$E72))</f>
        <v/>
      </c>
      <c r="L72" s="65" t="str">
        <f>IF($D72="","",$D72&amp;"|"&amp;COUNTIFS($D$7:$D72,$D72))</f>
        <v/>
      </c>
      <c r="M72" s="65" t="str">
        <f>IF(AND($E72&lt;&gt;"",COUNTIF($G72,"KÂR PAYI / AVANS*")&gt;0),$E72&amp;"|"&amp;COUNTIFS($E$7:$E72,$E72,$G$7:$G72,"KÂR PAYI / AVANS*"),"")</f>
        <v/>
      </c>
    </row>
    <row r="73" spans="1:13" ht="18" hidden="1" customHeight="1" x14ac:dyDescent="0.3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65" t="str">
        <f>IF($E73="","",$E73&amp;"|"&amp;COUNTIFS($E$7:$E73,$E73))</f>
        <v/>
      </c>
      <c r="L73" s="65" t="str">
        <f>IF($D73="","",$D73&amp;"|"&amp;COUNTIFS($D$7:$D73,$D73))</f>
        <v/>
      </c>
      <c r="M73" s="65" t="str">
        <f>IF(AND($E73&lt;&gt;"",COUNTIF($G73,"KÂR PAYI / AVANS*")&gt;0),$E73&amp;"|"&amp;COUNTIFS($E$7:$E73,$E73,$G$7:$G73,"KÂR PAYI / AVANS*"),"")</f>
        <v/>
      </c>
    </row>
    <row r="74" spans="1:13" ht="18" hidden="1" customHeight="1" x14ac:dyDescent="0.3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65" t="str">
        <f>IF($E74="","",$E74&amp;"|"&amp;COUNTIFS($E$7:$E74,$E74))</f>
        <v/>
      </c>
      <c r="L74" s="65" t="str">
        <f>IF($D74="","",$D74&amp;"|"&amp;COUNTIFS($D$7:$D74,$D74))</f>
        <v/>
      </c>
      <c r="M74" s="65" t="str">
        <f>IF(AND($E74&lt;&gt;"",COUNTIF($G74,"KÂR PAYI / AVANS*")&gt;0),$E74&amp;"|"&amp;COUNTIFS($E$7:$E74,$E74,$G$7:$G74,"KÂR PAYI / AVANS*"),"")</f>
        <v/>
      </c>
    </row>
    <row r="75" spans="1:13" ht="18" hidden="1" customHeight="1" x14ac:dyDescent="0.3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65" t="str">
        <f>IF($E75="","",$E75&amp;"|"&amp;COUNTIFS($E$7:$E75,$E75))</f>
        <v/>
      </c>
      <c r="L75" s="65" t="str">
        <f>IF($D75="","",$D75&amp;"|"&amp;COUNTIFS($D$7:$D75,$D75))</f>
        <v/>
      </c>
      <c r="M75" s="65" t="str">
        <f>IF(AND($E75&lt;&gt;"",COUNTIF($G75,"KÂR PAYI / AVANS*")&gt;0),$E75&amp;"|"&amp;COUNTIFS($E$7:$E75,$E75,$G$7:$G75,"KÂR PAYI / AVANS*"),"")</f>
        <v/>
      </c>
    </row>
    <row r="76" spans="1:13" ht="18" hidden="1" customHeight="1" x14ac:dyDescent="0.3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65" t="str">
        <f>IF($E76="","",$E76&amp;"|"&amp;COUNTIFS($E$7:$E76,$E76))</f>
        <v/>
      </c>
      <c r="L76" s="65" t="str">
        <f>IF($D76="","",$D76&amp;"|"&amp;COUNTIFS($D$7:$D76,$D76))</f>
        <v/>
      </c>
      <c r="M76" s="65" t="str">
        <f>IF(AND($E76&lt;&gt;"",COUNTIF($G76,"KÂR PAYI / AVANS*")&gt;0),$E76&amp;"|"&amp;COUNTIFS($E$7:$E76,$E76,$G$7:$G76,"KÂR PAYI / AVANS*"),"")</f>
        <v/>
      </c>
    </row>
    <row r="77" spans="1:13" ht="18" hidden="1" customHeight="1" x14ac:dyDescent="0.3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65" t="str">
        <f>IF($E77="","",$E77&amp;"|"&amp;COUNTIFS($E$7:$E77,$E77))</f>
        <v/>
      </c>
      <c r="L77" s="65" t="str">
        <f>IF($D77="","",$D77&amp;"|"&amp;COUNTIFS($D$7:$D77,$D77))</f>
        <v/>
      </c>
      <c r="M77" s="65" t="str">
        <f>IF(AND($E77&lt;&gt;"",COUNTIF($G77,"KÂR PAYI / AVANS*")&gt;0),$E77&amp;"|"&amp;COUNTIFS($E$7:$E77,$E77,$G$7:$G77,"KÂR PAYI / AVANS*"),"")</f>
        <v/>
      </c>
    </row>
    <row r="78" spans="1:13" ht="18" hidden="1" customHeight="1" x14ac:dyDescent="0.3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65" t="str">
        <f>IF($E78="","",$E78&amp;"|"&amp;COUNTIFS($E$7:$E78,$E78))</f>
        <v/>
      </c>
      <c r="L78" s="65" t="str">
        <f>IF($D78="","",$D78&amp;"|"&amp;COUNTIFS($D$7:$D78,$D78))</f>
        <v/>
      </c>
      <c r="M78" s="65" t="str">
        <f>IF(AND($E78&lt;&gt;"",COUNTIF($G78,"KÂR PAYI / AVANS*")&gt;0),$E78&amp;"|"&amp;COUNTIFS($E$7:$E78,$E78,$G$7:$G78,"KÂR PAYI / AVANS*"),"")</f>
        <v/>
      </c>
    </row>
    <row r="79" spans="1:13" ht="18" hidden="1" customHeight="1" x14ac:dyDescent="0.3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65" t="str">
        <f>IF($E79="","",$E79&amp;"|"&amp;COUNTIFS($E$7:$E79,$E79))</f>
        <v/>
      </c>
      <c r="L79" s="65" t="str">
        <f>IF($D79="","",$D79&amp;"|"&amp;COUNTIFS($D$7:$D79,$D79))</f>
        <v/>
      </c>
      <c r="M79" s="65" t="str">
        <f>IF(AND($E79&lt;&gt;"",COUNTIF($G79,"KÂR PAYI / AVANS*")&gt;0),$E79&amp;"|"&amp;COUNTIFS($E$7:$E79,$E79,$G$7:$G79,"KÂR PAYI / AVANS*"),"")</f>
        <v/>
      </c>
    </row>
    <row r="80" spans="1:13" ht="18" hidden="1" customHeight="1" x14ac:dyDescent="0.3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65" t="str">
        <f>IF($E80="","",$E80&amp;"|"&amp;COUNTIFS($E$7:$E80,$E80))</f>
        <v/>
      </c>
      <c r="L80" s="65" t="str">
        <f>IF($D80="","",$D80&amp;"|"&amp;COUNTIFS($D$7:$D80,$D80))</f>
        <v/>
      </c>
      <c r="M80" s="65" t="str">
        <f>IF(AND($E80&lt;&gt;"",COUNTIF($G80,"KÂR PAYI / AVANS*")&gt;0),$E80&amp;"|"&amp;COUNTIFS($E$7:$E80,$E80,$G$7:$G80,"KÂR PAYI / AVANS*"),"")</f>
        <v/>
      </c>
    </row>
    <row r="81" spans="1:13" ht="18" hidden="1" customHeight="1" x14ac:dyDescent="0.3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65" t="str">
        <f>IF($E81="","",$E81&amp;"|"&amp;COUNTIFS($E$7:$E81,$E81))</f>
        <v/>
      </c>
      <c r="L81" s="65" t="str">
        <f>IF($D81="","",$D81&amp;"|"&amp;COUNTIFS($D$7:$D81,$D81))</f>
        <v/>
      </c>
      <c r="M81" s="65" t="str">
        <f>IF(AND($E81&lt;&gt;"",COUNTIF($G81,"KÂR PAYI / AVANS*")&gt;0),$E81&amp;"|"&amp;COUNTIFS($E$7:$E81,$E81,$G$7:$G81,"KÂR PAYI / AVANS*"),"")</f>
        <v/>
      </c>
    </row>
    <row r="82" spans="1:13" ht="18" hidden="1" customHeight="1" x14ac:dyDescent="0.3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65" t="str">
        <f>IF($E82="","",$E82&amp;"|"&amp;COUNTIFS($E$7:$E82,$E82))</f>
        <v/>
      </c>
      <c r="L82" s="65" t="str">
        <f>IF($D82="","",$D82&amp;"|"&amp;COUNTIFS($D$7:$D82,$D82))</f>
        <v/>
      </c>
      <c r="M82" s="65" t="str">
        <f>IF(AND($E82&lt;&gt;"",COUNTIF($G82,"KÂR PAYI / AVANS*")&gt;0),$E82&amp;"|"&amp;COUNTIFS($E$7:$E82,$E82,$G$7:$G82,"KÂR PAYI / AVANS*"),"")</f>
        <v/>
      </c>
    </row>
    <row r="83" spans="1:13" ht="18" hidden="1" customHeight="1" x14ac:dyDescent="0.3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65" t="str">
        <f>IF($E83="","",$E83&amp;"|"&amp;COUNTIFS($E$7:$E83,$E83))</f>
        <v/>
      </c>
      <c r="L83" s="65" t="str">
        <f>IF($D83="","",$D83&amp;"|"&amp;COUNTIFS($D$7:$D83,$D83))</f>
        <v/>
      </c>
      <c r="M83" s="65" t="str">
        <f>IF(AND($E83&lt;&gt;"",COUNTIF($G83,"KÂR PAYI / AVANS*")&gt;0),$E83&amp;"|"&amp;COUNTIFS($E$7:$E83,$E83,$G$7:$G83,"KÂR PAYI / AVANS*"),"")</f>
        <v/>
      </c>
    </row>
    <row r="84" spans="1:13" ht="18" hidden="1" customHeight="1" x14ac:dyDescent="0.3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65" t="str">
        <f>IF($E84="","",$E84&amp;"|"&amp;COUNTIFS($E$7:$E84,$E84))</f>
        <v/>
      </c>
      <c r="L84" s="65" t="str">
        <f>IF($D84="","",$D84&amp;"|"&amp;COUNTIFS($D$7:$D84,$D84))</f>
        <v/>
      </c>
      <c r="M84" s="65" t="str">
        <f>IF(AND($E84&lt;&gt;"",COUNTIF($G84,"KÂR PAYI / AVANS*")&gt;0),$E84&amp;"|"&amp;COUNTIFS($E$7:$E84,$E84,$G$7:$G84,"KÂR PAYI / AVANS*"),"")</f>
        <v/>
      </c>
    </row>
    <row r="85" spans="1:13" ht="18" hidden="1" customHeight="1" x14ac:dyDescent="0.3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65" t="str">
        <f>IF($E85="","",$E85&amp;"|"&amp;COUNTIFS($E$7:$E85,$E85))</f>
        <v/>
      </c>
      <c r="L85" s="65" t="str">
        <f>IF($D85="","",$D85&amp;"|"&amp;COUNTIFS($D$7:$D85,$D85))</f>
        <v/>
      </c>
      <c r="M85" s="65" t="str">
        <f>IF(AND($E85&lt;&gt;"",COUNTIF($G85,"KÂR PAYI / AVANS*")&gt;0),$E85&amp;"|"&amp;COUNTIFS($E$7:$E85,$E85,$G$7:$G85,"KÂR PAYI / AVANS*"),"")</f>
        <v/>
      </c>
    </row>
    <row r="86" spans="1:13" ht="18" hidden="1" customHeight="1" x14ac:dyDescent="0.3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65" t="str">
        <f>IF($E86="","",$E86&amp;"|"&amp;COUNTIFS($E$7:$E86,$E86))</f>
        <v/>
      </c>
      <c r="L86" s="65" t="str">
        <f>IF($D86="","",$D86&amp;"|"&amp;COUNTIFS($D$7:$D86,$D86))</f>
        <v/>
      </c>
      <c r="M86" s="65" t="str">
        <f>IF(AND($E86&lt;&gt;"",COUNTIF($G86,"KÂR PAYI / AVANS*")&gt;0),$E86&amp;"|"&amp;COUNTIFS($E$7:$E86,$E86,$G$7:$G86,"KÂR PAYI / AVANS*"),"")</f>
        <v/>
      </c>
    </row>
    <row r="87" spans="1:13" ht="18" hidden="1" customHeight="1" x14ac:dyDescent="0.3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65" t="str">
        <f>IF($E87="","",$E87&amp;"|"&amp;COUNTIFS($E$7:$E87,$E87))</f>
        <v/>
      </c>
      <c r="L87" s="65" t="str">
        <f>IF($D87="","",$D87&amp;"|"&amp;COUNTIFS($D$7:$D87,$D87))</f>
        <v/>
      </c>
      <c r="M87" s="65" t="str">
        <f>IF(AND($E87&lt;&gt;"",COUNTIF($G87,"KÂR PAYI / AVANS*")&gt;0),$E87&amp;"|"&amp;COUNTIFS($E$7:$E87,$E87,$G$7:$G87,"KÂR PAYI / AVANS*"),"")</f>
        <v/>
      </c>
    </row>
    <row r="88" spans="1:13" ht="18" hidden="1" customHeight="1" x14ac:dyDescent="0.3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65" t="str">
        <f>IF($E88="","",$E88&amp;"|"&amp;COUNTIFS($E$7:$E88,$E88))</f>
        <v/>
      </c>
      <c r="L88" s="65" t="str">
        <f>IF($D88="","",$D88&amp;"|"&amp;COUNTIFS($D$7:$D88,$D88))</f>
        <v/>
      </c>
      <c r="M88" s="65" t="str">
        <f>IF(AND($E88&lt;&gt;"",COUNTIF($G88,"KÂR PAYI / AVANS*")&gt;0),$E88&amp;"|"&amp;COUNTIFS($E$7:$E88,$E88,$G$7:$G88,"KÂR PAYI / AVANS*"),"")</f>
        <v/>
      </c>
    </row>
    <row r="89" spans="1:13" ht="18" hidden="1" customHeight="1" x14ac:dyDescent="0.3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65" t="str">
        <f>IF($E89="","",$E89&amp;"|"&amp;COUNTIFS($E$7:$E89,$E89))</f>
        <v/>
      </c>
      <c r="L89" s="65" t="str">
        <f>IF($D89="","",$D89&amp;"|"&amp;COUNTIFS($D$7:$D89,$D89))</f>
        <v/>
      </c>
      <c r="M89" s="65" t="str">
        <f>IF(AND($E89&lt;&gt;"",COUNTIF($G89,"KÂR PAYI / AVANS*")&gt;0),$E89&amp;"|"&amp;COUNTIFS($E$7:$E89,$E89,$G$7:$G89,"KÂR PAYI / AVANS*"),"")</f>
        <v/>
      </c>
    </row>
    <row r="90" spans="1:13" ht="18" hidden="1" customHeight="1" x14ac:dyDescent="0.3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65" t="str">
        <f>IF($E90="","",$E90&amp;"|"&amp;COUNTIFS($E$7:$E90,$E90))</f>
        <v/>
      </c>
      <c r="L90" s="65" t="str">
        <f>IF($D90="","",$D90&amp;"|"&amp;COUNTIFS($D$7:$D90,$D90))</f>
        <v/>
      </c>
      <c r="M90" s="65" t="str">
        <f>IF(AND($E90&lt;&gt;"",COUNTIF($G90,"KÂR PAYI / AVANS*")&gt;0),$E90&amp;"|"&amp;COUNTIFS($E$7:$E90,$E90,$G$7:$G90,"KÂR PAYI / AVANS*"),"")</f>
        <v/>
      </c>
    </row>
    <row r="91" spans="1:13" ht="18" hidden="1" customHeight="1" x14ac:dyDescent="0.3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65" t="str">
        <f>IF($E91="","",$E91&amp;"|"&amp;COUNTIFS($E$7:$E91,$E91))</f>
        <v/>
      </c>
      <c r="L91" s="65" t="str">
        <f>IF($D91="","",$D91&amp;"|"&amp;COUNTIFS($D$7:$D91,$D91))</f>
        <v/>
      </c>
      <c r="M91" s="65" t="str">
        <f>IF(AND($E91&lt;&gt;"",COUNTIF($G91,"KÂR PAYI / AVANS*")&gt;0),$E91&amp;"|"&amp;COUNTIFS($E$7:$E91,$E91,$G$7:$G91,"KÂR PAYI / AVANS*"),"")</f>
        <v/>
      </c>
    </row>
    <row r="92" spans="1:13" ht="18" hidden="1" customHeight="1" x14ac:dyDescent="0.3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65" t="str">
        <f>IF($E92="","",$E92&amp;"|"&amp;COUNTIFS($E$7:$E92,$E92))</f>
        <v/>
      </c>
      <c r="L92" s="65" t="str">
        <f>IF($D92="","",$D92&amp;"|"&amp;COUNTIFS($D$7:$D92,$D92))</f>
        <v/>
      </c>
      <c r="M92" s="65" t="str">
        <f>IF(AND($E92&lt;&gt;"",COUNTIF($G92,"KÂR PAYI / AVANS*")&gt;0),$E92&amp;"|"&amp;COUNTIFS($E$7:$E92,$E92,$G$7:$G92,"KÂR PAYI / AVANS*"),"")</f>
        <v/>
      </c>
    </row>
    <row r="93" spans="1:13" ht="18" hidden="1" customHeight="1" x14ac:dyDescent="0.3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65" t="str">
        <f>IF($E93="","",$E93&amp;"|"&amp;COUNTIFS($E$7:$E93,$E93))</f>
        <v/>
      </c>
      <c r="L93" s="65" t="str">
        <f>IF($D93="","",$D93&amp;"|"&amp;COUNTIFS($D$7:$D93,$D93))</f>
        <v/>
      </c>
      <c r="M93" s="65" t="str">
        <f>IF(AND($E93&lt;&gt;"",COUNTIF($G93,"KÂR PAYI / AVANS*")&gt;0),$E93&amp;"|"&amp;COUNTIFS($E$7:$E93,$E93,$G$7:$G93,"KÂR PAYI / AVANS*"),"")</f>
        <v/>
      </c>
    </row>
    <row r="94" spans="1:13" ht="18" hidden="1" customHeight="1" x14ac:dyDescent="0.3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65" t="str">
        <f>IF($E94="","",$E94&amp;"|"&amp;COUNTIFS($E$7:$E94,$E94))</f>
        <v/>
      </c>
      <c r="L94" s="65" t="str">
        <f>IF($D94="","",$D94&amp;"|"&amp;COUNTIFS($D$7:$D94,$D94))</f>
        <v/>
      </c>
      <c r="M94" s="65" t="str">
        <f>IF(AND($E94&lt;&gt;"",COUNTIF($G94,"KÂR PAYI / AVANS*")&gt;0),$E94&amp;"|"&amp;COUNTIFS($E$7:$E94,$E94,$G$7:$G94,"KÂR PAYI / AVANS*"),"")</f>
        <v/>
      </c>
    </row>
    <row r="95" spans="1:13" ht="18" hidden="1" customHeight="1" x14ac:dyDescent="0.3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65" t="str">
        <f>IF($E95="","",$E95&amp;"|"&amp;COUNTIFS($E$7:$E95,$E95))</f>
        <v/>
      </c>
      <c r="L95" s="65" t="str">
        <f>IF($D95="","",$D95&amp;"|"&amp;COUNTIFS($D$7:$D95,$D95))</f>
        <v/>
      </c>
      <c r="M95" s="65" t="str">
        <f>IF(AND($E95&lt;&gt;"",COUNTIF($G95,"KÂR PAYI / AVANS*")&gt;0),$E95&amp;"|"&amp;COUNTIFS($E$7:$E95,$E95,$G$7:$G95,"KÂR PAYI / AVANS*"),"")</f>
        <v/>
      </c>
    </row>
    <row r="96" spans="1:13" ht="18" hidden="1" customHeight="1" x14ac:dyDescent="0.3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65" t="str">
        <f>IF($E96="","",$E96&amp;"|"&amp;COUNTIFS($E$7:$E96,$E96))</f>
        <v/>
      </c>
      <c r="L96" s="65" t="str">
        <f>IF($D96="","",$D96&amp;"|"&amp;COUNTIFS($D$7:$D96,$D96))</f>
        <v/>
      </c>
      <c r="M96" s="65" t="str">
        <f>IF(AND($E96&lt;&gt;"",COUNTIF($G96,"KÂR PAYI / AVANS*")&gt;0),$E96&amp;"|"&amp;COUNTIFS($E$7:$E96,$E96,$G$7:$G96,"KÂR PAYI / AVANS*"),"")</f>
        <v/>
      </c>
    </row>
    <row r="97" spans="1:13" ht="18" hidden="1" customHeight="1" x14ac:dyDescent="0.3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65" t="str">
        <f>IF($E97="","",$E97&amp;"|"&amp;COUNTIFS($E$7:$E97,$E97))</f>
        <v/>
      </c>
      <c r="L97" s="65" t="str">
        <f>IF($D97="","",$D97&amp;"|"&amp;COUNTIFS($D$7:$D97,$D97))</f>
        <v/>
      </c>
      <c r="M97" s="65" t="str">
        <f>IF(AND($E97&lt;&gt;"",COUNTIF($G97,"KÂR PAYI / AVANS*")&gt;0),$E97&amp;"|"&amp;COUNTIFS($E$7:$E97,$E97,$G$7:$G97,"KÂR PAYI / AVANS*"),"")</f>
        <v/>
      </c>
    </row>
    <row r="98" spans="1:13" ht="18" hidden="1" customHeight="1" x14ac:dyDescent="0.3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65" t="str">
        <f>IF($E98="","",$E98&amp;"|"&amp;COUNTIFS($E$7:$E98,$E98))</f>
        <v/>
      </c>
      <c r="L98" s="65" t="str">
        <f>IF($D98="","",$D98&amp;"|"&amp;COUNTIFS($D$7:$D98,$D98))</f>
        <v/>
      </c>
      <c r="M98" s="65" t="str">
        <f>IF(AND($E98&lt;&gt;"",COUNTIF($G98,"KÂR PAYI / AVANS*")&gt;0),$E98&amp;"|"&amp;COUNTIFS($E$7:$E98,$E98,$G$7:$G98,"KÂR PAYI / AVANS*"),"")</f>
        <v/>
      </c>
    </row>
    <row r="99" spans="1:13" ht="18" hidden="1" customHeight="1" x14ac:dyDescent="0.3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65" t="str">
        <f>IF($E99="","",$E99&amp;"|"&amp;COUNTIFS($E$7:$E99,$E99))</f>
        <v/>
      </c>
      <c r="L99" s="65" t="str">
        <f>IF($D99="","",$D99&amp;"|"&amp;COUNTIFS($D$7:$D99,$D99))</f>
        <v/>
      </c>
      <c r="M99" s="65" t="str">
        <f>IF(AND($E99&lt;&gt;"",COUNTIF($G99,"KÂR PAYI / AVANS*")&gt;0),$E99&amp;"|"&amp;COUNTIFS($E$7:$E99,$E99,$G$7:$G99,"KÂR PAYI / AVANS*"),"")</f>
        <v/>
      </c>
    </row>
    <row r="100" spans="1:13" ht="18" hidden="1" customHeight="1" x14ac:dyDescent="0.3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65" t="str">
        <f>IF($E100="","",$E100&amp;"|"&amp;COUNTIFS($E$7:$E100,$E100))</f>
        <v/>
      </c>
      <c r="L100" s="65" t="str">
        <f>IF($D100="","",$D100&amp;"|"&amp;COUNTIFS($D$7:$D100,$D100))</f>
        <v/>
      </c>
      <c r="M100" s="65" t="str">
        <f>IF(AND($E100&lt;&gt;"",COUNTIF($G100,"KÂR PAYI / AVANS*")&gt;0),$E100&amp;"|"&amp;COUNTIFS($E$7:$E100,$E100,$G$7:$G100,"KÂR PAYI / AVANS*"),"")</f>
        <v/>
      </c>
    </row>
    <row r="101" spans="1:13" ht="18" hidden="1" customHeight="1" x14ac:dyDescent="0.3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65" t="str">
        <f>IF($E101="","",$E101&amp;"|"&amp;COUNTIFS($E$7:$E101,$E101))</f>
        <v/>
      </c>
      <c r="L101" s="65" t="str">
        <f>IF($D101="","",$D101&amp;"|"&amp;COUNTIFS($D$7:$D101,$D101))</f>
        <v/>
      </c>
      <c r="M101" s="65" t="str">
        <f>IF(AND($E101&lt;&gt;"",COUNTIF($G101,"KÂR PAYI / AVANS*")&gt;0),$E101&amp;"|"&amp;COUNTIFS($E$7:$E101,$E101,$G$7:$G101,"KÂR PAYI / AVANS*"),"")</f>
        <v/>
      </c>
    </row>
    <row r="102" spans="1:13" ht="18" hidden="1" customHeight="1" x14ac:dyDescent="0.3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65" t="str">
        <f>IF($E102="","",$E102&amp;"|"&amp;COUNTIFS($E$7:$E102,$E102))</f>
        <v/>
      </c>
      <c r="L102" s="65" t="str">
        <f>IF($D102="","",$D102&amp;"|"&amp;COUNTIFS($D$7:$D102,$D102))</f>
        <v/>
      </c>
      <c r="M102" s="65" t="str">
        <f>IF(AND($E102&lt;&gt;"",COUNTIF($G102,"KÂR PAYI / AVANS*")&gt;0),$E102&amp;"|"&amp;COUNTIFS($E$7:$E102,$E102,$G$7:$G102,"KÂR PAYI / AVANS*"),"")</f>
        <v/>
      </c>
    </row>
    <row r="103" spans="1:13" ht="18" hidden="1" customHeight="1" x14ac:dyDescent="0.3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65" t="str">
        <f>IF($E103="","",$E103&amp;"|"&amp;COUNTIFS($E$7:$E103,$E103))</f>
        <v/>
      </c>
      <c r="L103" s="65" t="str">
        <f>IF($D103="","",$D103&amp;"|"&amp;COUNTIFS($D$7:$D103,$D103))</f>
        <v/>
      </c>
      <c r="M103" s="65" t="str">
        <f>IF(AND($E103&lt;&gt;"",COUNTIF($G103,"KÂR PAYI / AVANS*")&gt;0),$E103&amp;"|"&amp;COUNTIFS($E$7:$E103,$E103,$G$7:$G103,"KÂR PAYI / AVANS*"),"")</f>
        <v/>
      </c>
    </row>
    <row r="104" spans="1:13" ht="18" hidden="1" customHeight="1" x14ac:dyDescent="0.3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65" t="str">
        <f>IF($E104="","",$E104&amp;"|"&amp;COUNTIFS($E$7:$E104,$E104))</f>
        <v/>
      </c>
      <c r="L104" s="65" t="str">
        <f>IF($D104="","",$D104&amp;"|"&amp;COUNTIFS($D$7:$D104,$D104))</f>
        <v/>
      </c>
      <c r="M104" s="65" t="str">
        <f>IF(AND($E104&lt;&gt;"",COUNTIF($G104,"KÂR PAYI / AVANS*")&gt;0),$E104&amp;"|"&amp;COUNTIFS($E$7:$E104,$E104,$G$7:$G104,"KÂR PAYI / AVANS*"),"")</f>
        <v/>
      </c>
    </row>
    <row r="105" spans="1:13" ht="18" hidden="1" customHeight="1" x14ac:dyDescent="0.3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65" t="str">
        <f>IF($E105="","",$E105&amp;"|"&amp;COUNTIFS($E$7:$E105,$E105))</f>
        <v/>
      </c>
      <c r="L105" s="65" t="str">
        <f>IF($D105="","",$D105&amp;"|"&amp;COUNTIFS($D$7:$D105,$D105))</f>
        <v/>
      </c>
      <c r="M105" s="65" t="str">
        <f>IF(AND($E105&lt;&gt;"",COUNTIF($G105,"KÂR PAYI / AVANS*")&gt;0),$E105&amp;"|"&amp;COUNTIFS($E$7:$E105,$E105,$G$7:$G105,"KÂR PAYI / AVANS*"),"")</f>
        <v/>
      </c>
    </row>
    <row r="106" spans="1:13" ht="18" hidden="1" customHeight="1" x14ac:dyDescent="0.3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65" t="str">
        <f>IF($E106="","",$E106&amp;"|"&amp;COUNTIFS($E$7:$E106,$E106))</f>
        <v/>
      </c>
      <c r="L106" s="65" t="str">
        <f>IF($D106="","",$D106&amp;"|"&amp;COUNTIFS($D$7:$D106,$D106))</f>
        <v/>
      </c>
      <c r="M106" s="65" t="str">
        <f>IF(AND($E106&lt;&gt;"",COUNTIF($G106,"KÂR PAYI / AVANS*")&gt;0),$E106&amp;"|"&amp;COUNTIFS($E$7:$E106,$E106,$G$7:$G106,"KÂR PAYI / AVANS*"),"")</f>
        <v/>
      </c>
    </row>
    <row r="107" spans="1:13" ht="18" hidden="1" customHeight="1" x14ac:dyDescent="0.3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65" t="str">
        <f>IF($E107="","",$E107&amp;"|"&amp;COUNTIFS($E$7:$E107,$E107))</f>
        <v/>
      </c>
      <c r="L107" s="65" t="str">
        <f>IF($D107="","",$D107&amp;"|"&amp;COUNTIFS($D$7:$D107,$D107))</f>
        <v/>
      </c>
      <c r="M107" s="65" t="str">
        <f>IF(AND($E107&lt;&gt;"",COUNTIF($G107,"KÂR PAYI / AVANS*")&gt;0),$E107&amp;"|"&amp;COUNTIFS($E$7:$E107,$E107,$G$7:$G107,"KÂR PAYI / AVANS*"),"")</f>
        <v/>
      </c>
    </row>
    <row r="108" spans="1:13" ht="18" hidden="1" customHeight="1" x14ac:dyDescent="0.3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65" t="str">
        <f>IF($E108="","",$E108&amp;"|"&amp;COUNTIFS($E$7:$E108,$E108))</f>
        <v/>
      </c>
      <c r="L108" s="65" t="str">
        <f>IF($D108="","",$D108&amp;"|"&amp;COUNTIFS($D$7:$D108,$D108))</f>
        <v/>
      </c>
      <c r="M108" s="65" t="str">
        <f>IF(AND($E108&lt;&gt;"",COUNTIF($G108,"KÂR PAYI / AVANS*")&gt;0),$E108&amp;"|"&amp;COUNTIFS($E$7:$E108,$E108,$G$7:$G108,"KÂR PAYI / AVANS*"),"")</f>
        <v/>
      </c>
    </row>
    <row r="109" spans="1:13" ht="18" hidden="1" customHeight="1" x14ac:dyDescent="0.3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65" t="str">
        <f>IF($E109="","",$E109&amp;"|"&amp;COUNTIFS($E$7:$E109,$E109))</f>
        <v/>
      </c>
      <c r="L109" s="65" t="str">
        <f>IF($D109="","",$D109&amp;"|"&amp;COUNTIFS($D$7:$D109,$D109))</f>
        <v/>
      </c>
      <c r="M109" s="65" t="str">
        <f>IF(AND($E109&lt;&gt;"",COUNTIF($G109,"KÂR PAYI / AVANS*")&gt;0),$E109&amp;"|"&amp;COUNTIFS($E$7:$E109,$E109,$G$7:$G109,"KÂR PAYI / AVANS*"),"")</f>
        <v/>
      </c>
    </row>
    <row r="110" spans="1:13" ht="18" hidden="1" customHeight="1" x14ac:dyDescent="0.3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65" t="str">
        <f>IF($E110="","",$E110&amp;"|"&amp;COUNTIFS($E$7:$E110,$E110))</f>
        <v/>
      </c>
      <c r="L110" s="65" t="str">
        <f>IF($D110="","",$D110&amp;"|"&amp;COUNTIFS($D$7:$D110,$D110))</f>
        <v/>
      </c>
      <c r="M110" s="65" t="str">
        <f>IF(AND($E110&lt;&gt;"",COUNTIF($G110,"KÂR PAYI / AVANS*")&gt;0),$E110&amp;"|"&amp;COUNTIFS($E$7:$E110,$E110,$G$7:$G110,"KÂR PAYI / AVANS*"),"")</f>
        <v/>
      </c>
    </row>
    <row r="111" spans="1:13" ht="18" hidden="1" customHeight="1" x14ac:dyDescent="0.3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65" t="str">
        <f>IF($E111="","",$E111&amp;"|"&amp;COUNTIFS($E$7:$E111,$E111))</f>
        <v/>
      </c>
      <c r="L111" s="65" t="str">
        <f>IF($D111="","",$D111&amp;"|"&amp;COUNTIFS($D$7:$D111,$D111))</f>
        <v/>
      </c>
      <c r="M111" s="65" t="str">
        <f>IF(AND($E111&lt;&gt;"",COUNTIF($G111,"KÂR PAYI / AVANS*")&gt;0),$E111&amp;"|"&amp;COUNTIFS($E$7:$E111,$E111,$G$7:$G111,"KÂR PAYI / AVANS*"),"")</f>
        <v/>
      </c>
    </row>
    <row r="112" spans="1:13" ht="18" hidden="1" customHeight="1" x14ac:dyDescent="0.3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65" t="str">
        <f>IF($E112="","",$E112&amp;"|"&amp;COUNTIFS($E$7:$E112,$E112))</f>
        <v/>
      </c>
      <c r="L112" s="65" t="str">
        <f>IF($D112="","",$D112&amp;"|"&amp;COUNTIFS($D$7:$D112,$D112))</f>
        <v/>
      </c>
      <c r="M112" s="65" t="str">
        <f>IF(AND($E112&lt;&gt;"",COUNTIF($G112,"KÂR PAYI / AVANS*")&gt;0),$E112&amp;"|"&amp;COUNTIFS($E$7:$E112,$E112,$G$7:$G112,"KÂR PAYI / AVANS*"),"")</f>
        <v/>
      </c>
    </row>
    <row r="113" spans="1:13" ht="18" hidden="1" customHeight="1" x14ac:dyDescent="0.3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65" t="str">
        <f>IF($E113="","",$E113&amp;"|"&amp;COUNTIFS($E$7:$E113,$E113))</f>
        <v/>
      </c>
      <c r="L113" s="65" t="str">
        <f>IF($D113="","",$D113&amp;"|"&amp;COUNTIFS($D$7:$D113,$D113))</f>
        <v/>
      </c>
      <c r="M113" s="65" t="str">
        <f>IF(AND($E113&lt;&gt;"",COUNTIF($G113,"KÂR PAYI / AVANS*")&gt;0),$E113&amp;"|"&amp;COUNTIFS($E$7:$E113,$E113,$G$7:$G113,"KÂR PAYI / AVANS*"),"")</f>
        <v/>
      </c>
    </row>
    <row r="114" spans="1:13" ht="18" hidden="1" customHeight="1" x14ac:dyDescent="0.3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65" t="str">
        <f>IF($E114="","",$E114&amp;"|"&amp;COUNTIFS($E$7:$E114,$E114))</f>
        <v/>
      </c>
      <c r="L114" s="65" t="str">
        <f>IF($D114="","",$D114&amp;"|"&amp;COUNTIFS($D$7:$D114,$D114))</f>
        <v/>
      </c>
      <c r="M114" s="65" t="str">
        <f>IF(AND($E114&lt;&gt;"",COUNTIF($G114,"KÂR PAYI / AVANS*")&gt;0),$E114&amp;"|"&amp;COUNTIFS($E$7:$E114,$E114,$G$7:$G114,"KÂR PAYI / AVANS*"),"")</f>
        <v/>
      </c>
    </row>
    <row r="115" spans="1:13" ht="18" hidden="1" customHeight="1" x14ac:dyDescent="0.3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65" t="str">
        <f>IF($E115="","",$E115&amp;"|"&amp;COUNTIFS($E$7:$E115,$E115))</f>
        <v/>
      </c>
      <c r="L115" s="65" t="str">
        <f>IF($D115="","",$D115&amp;"|"&amp;COUNTIFS($D$7:$D115,$D115))</f>
        <v/>
      </c>
      <c r="M115" s="65" t="str">
        <f>IF(AND($E115&lt;&gt;"",COUNTIF($G115,"KÂR PAYI / AVANS*")&gt;0),$E115&amp;"|"&amp;COUNTIFS($E$7:$E115,$E115,$G$7:$G115,"KÂR PAYI / AVANS*"),"")</f>
        <v/>
      </c>
    </row>
    <row r="116" spans="1:13" ht="18" hidden="1" customHeight="1" x14ac:dyDescent="0.3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65" t="str">
        <f>IF($E116="","",$E116&amp;"|"&amp;COUNTIFS($E$7:$E116,$E116))</f>
        <v/>
      </c>
      <c r="L116" s="65" t="str">
        <f>IF($D116="","",$D116&amp;"|"&amp;COUNTIFS($D$7:$D116,$D116))</f>
        <v/>
      </c>
      <c r="M116" s="65" t="str">
        <f>IF(AND($E116&lt;&gt;"",COUNTIF($G116,"KÂR PAYI / AVANS*")&gt;0),$E116&amp;"|"&amp;COUNTIFS($E$7:$E116,$E116,$G$7:$G116,"KÂR PAYI / AVANS*"),"")</f>
        <v/>
      </c>
    </row>
    <row r="117" spans="1:13" ht="18" hidden="1" customHeight="1" x14ac:dyDescent="0.3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65" t="str">
        <f>IF($E117="","",$E117&amp;"|"&amp;COUNTIFS($E$7:$E117,$E117))</f>
        <v/>
      </c>
      <c r="L117" s="65" t="str">
        <f>IF($D117="","",$D117&amp;"|"&amp;COUNTIFS($D$7:$D117,$D117))</f>
        <v/>
      </c>
      <c r="M117" s="65" t="str">
        <f>IF(AND($E117&lt;&gt;"",COUNTIF($G117,"KÂR PAYI / AVANS*")&gt;0),$E117&amp;"|"&amp;COUNTIFS($E$7:$E117,$E117,$G$7:$G117,"KÂR PAYI / AVANS*"),"")</f>
        <v/>
      </c>
    </row>
    <row r="118" spans="1:13" ht="18" hidden="1" customHeight="1" x14ac:dyDescent="0.3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65" t="str">
        <f>IF($E118="","",$E118&amp;"|"&amp;COUNTIFS($E$7:$E118,$E118))</f>
        <v/>
      </c>
      <c r="L118" s="65" t="str">
        <f>IF($D118="","",$D118&amp;"|"&amp;COUNTIFS($D$7:$D118,$D118))</f>
        <v/>
      </c>
      <c r="M118" s="65" t="str">
        <f>IF(AND($E118&lt;&gt;"",COUNTIF($G118,"KÂR PAYI / AVANS*")&gt;0),$E118&amp;"|"&amp;COUNTIFS($E$7:$E118,$E118,$G$7:$G118,"KÂR PAYI / AVANS*"),"")</f>
        <v/>
      </c>
    </row>
    <row r="119" spans="1:13" ht="18" hidden="1" customHeight="1" x14ac:dyDescent="0.3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65" t="str">
        <f>IF($E119="","",$E119&amp;"|"&amp;COUNTIFS($E$7:$E119,$E119))</f>
        <v/>
      </c>
      <c r="L119" s="65" t="str">
        <f>IF($D119="","",$D119&amp;"|"&amp;COUNTIFS($D$7:$D119,$D119))</f>
        <v/>
      </c>
      <c r="M119" s="65" t="str">
        <f>IF(AND($E119&lt;&gt;"",COUNTIF($G119,"KÂR PAYI / AVANS*")&gt;0),$E119&amp;"|"&amp;COUNTIFS($E$7:$E119,$E119,$G$7:$G119,"KÂR PAYI / AVANS*"),"")</f>
        <v/>
      </c>
    </row>
    <row r="120" spans="1:13" ht="18" hidden="1" customHeight="1" x14ac:dyDescent="0.3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65" t="str">
        <f>IF($E120="","",$E120&amp;"|"&amp;COUNTIFS($E$7:$E120,$E120))</f>
        <v/>
      </c>
      <c r="L120" s="65" t="str">
        <f>IF($D120="","",$D120&amp;"|"&amp;COUNTIFS($D$7:$D120,$D120))</f>
        <v/>
      </c>
      <c r="M120" s="65" t="str">
        <f>IF(AND($E120&lt;&gt;"",COUNTIF($G120,"KÂR PAYI / AVANS*")&gt;0),$E120&amp;"|"&amp;COUNTIFS($E$7:$E120,$E120,$G$7:$G120,"KÂR PAYI / AVANS*"),"")</f>
        <v/>
      </c>
    </row>
    <row r="121" spans="1:13" ht="18" hidden="1" customHeight="1" x14ac:dyDescent="0.3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65" t="str">
        <f>IF($E121="","",$E121&amp;"|"&amp;COUNTIFS($E$7:$E121,$E121))</f>
        <v/>
      </c>
      <c r="L121" s="65" t="str">
        <f>IF($D121="","",$D121&amp;"|"&amp;COUNTIFS($D$7:$D121,$D121))</f>
        <v/>
      </c>
      <c r="M121" s="65" t="str">
        <f>IF(AND($E121&lt;&gt;"",COUNTIF($G121,"KÂR PAYI / AVANS*")&gt;0),$E121&amp;"|"&amp;COUNTIFS($E$7:$E121,$E121,$G$7:$G121,"KÂR PAYI / AVANS*"),"")</f>
        <v/>
      </c>
    </row>
    <row r="122" spans="1:13" ht="18" hidden="1" customHeight="1" x14ac:dyDescent="0.3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65" t="str">
        <f>IF($E122="","",$E122&amp;"|"&amp;COUNTIFS($E$7:$E122,$E122))</f>
        <v/>
      </c>
      <c r="L122" s="65" t="str">
        <f>IF($D122="","",$D122&amp;"|"&amp;COUNTIFS($D$7:$D122,$D122))</f>
        <v/>
      </c>
      <c r="M122" s="65" t="str">
        <f>IF(AND($E122&lt;&gt;"",COUNTIF($G122,"KÂR PAYI / AVANS*")&gt;0),$E122&amp;"|"&amp;COUNTIFS($E$7:$E122,$E122,$G$7:$G122,"KÂR PAYI / AVANS*"),"")</f>
        <v/>
      </c>
    </row>
    <row r="123" spans="1:13" ht="18" hidden="1" customHeight="1" x14ac:dyDescent="0.3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65" t="str">
        <f>IF($E123="","",$E123&amp;"|"&amp;COUNTIFS($E$7:$E123,$E123))</f>
        <v/>
      </c>
      <c r="L123" s="65" t="str">
        <f>IF($D123="","",$D123&amp;"|"&amp;COUNTIFS($D$7:$D123,$D123))</f>
        <v/>
      </c>
      <c r="M123" s="65" t="str">
        <f>IF(AND($E123&lt;&gt;"",COUNTIF($G123,"KÂR PAYI / AVANS*")&gt;0),$E123&amp;"|"&amp;COUNTIFS($E$7:$E123,$E123,$G$7:$G123,"KÂR PAYI / AVANS*"),"")</f>
        <v/>
      </c>
    </row>
    <row r="124" spans="1:13" ht="18" hidden="1" customHeight="1" x14ac:dyDescent="0.3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65" t="str">
        <f>IF($E124="","",$E124&amp;"|"&amp;COUNTIFS($E$7:$E124,$E124))</f>
        <v/>
      </c>
      <c r="L124" s="65" t="str">
        <f>IF($D124="","",$D124&amp;"|"&amp;COUNTIFS($D$7:$D124,$D124))</f>
        <v/>
      </c>
      <c r="M124" s="65" t="str">
        <f>IF(AND($E124&lt;&gt;"",COUNTIF($G124,"KÂR PAYI / AVANS*")&gt;0),$E124&amp;"|"&amp;COUNTIFS($E$7:$E124,$E124,$G$7:$G124,"KÂR PAYI / AVANS*"),"")</f>
        <v/>
      </c>
    </row>
    <row r="125" spans="1:13" ht="18" hidden="1" customHeight="1" x14ac:dyDescent="0.3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65" t="str">
        <f>IF($E125="","",$E125&amp;"|"&amp;COUNTIFS($E$7:$E125,$E125))</f>
        <v/>
      </c>
      <c r="L125" s="65" t="str">
        <f>IF($D125="","",$D125&amp;"|"&amp;COUNTIFS($D$7:$D125,$D125))</f>
        <v/>
      </c>
      <c r="M125" s="65" t="str">
        <f>IF(AND($E125&lt;&gt;"",COUNTIF($G125,"KÂR PAYI / AVANS*")&gt;0),$E125&amp;"|"&amp;COUNTIFS($E$7:$E125,$E125,$G$7:$G125,"KÂR PAYI / AVANS*"),"")</f>
        <v/>
      </c>
    </row>
    <row r="126" spans="1:13" ht="18" hidden="1" customHeight="1" x14ac:dyDescent="0.3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65" t="str">
        <f>IF($E126="","",$E126&amp;"|"&amp;COUNTIFS($E$7:$E126,$E126))</f>
        <v/>
      </c>
      <c r="L126" s="65" t="str">
        <f>IF($D126="","",$D126&amp;"|"&amp;COUNTIFS($D$7:$D126,$D126))</f>
        <v/>
      </c>
      <c r="M126" s="65" t="str">
        <f>IF(AND($E126&lt;&gt;"",COUNTIF($G126,"KÂR PAYI / AVANS*")&gt;0),$E126&amp;"|"&amp;COUNTIFS($E$7:$E126,$E126,$G$7:$G126,"KÂR PAYI / AVANS*"),"")</f>
        <v/>
      </c>
    </row>
    <row r="127" spans="1:13" ht="18" hidden="1" customHeight="1" x14ac:dyDescent="0.3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65" t="str">
        <f>IF($E127="","",$E127&amp;"|"&amp;COUNTIFS($E$7:$E127,$E127))</f>
        <v/>
      </c>
      <c r="L127" s="65" t="str">
        <f>IF($D127="","",$D127&amp;"|"&amp;COUNTIFS($D$7:$D127,$D127))</f>
        <v/>
      </c>
      <c r="M127" s="65" t="str">
        <f>IF(AND($E127&lt;&gt;"",COUNTIF($G127,"KÂR PAYI / AVANS*")&gt;0),$E127&amp;"|"&amp;COUNTIFS($E$7:$E127,$E127,$G$7:$G127,"KÂR PAYI / AVANS*"),"")</f>
        <v/>
      </c>
    </row>
    <row r="128" spans="1:13" ht="18" hidden="1" customHeight="1" x14ac:dyDescent="0.3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65" t="str">
        <f>IF($E128="","",$E128&amp;"|"&amp;COUNTIFS($E$7:$E128,$E128))</f>
        <v/>
      </c>
      <c r="L128" s="65" t="str">
        <f>IF($D128="","",$D128&amp;"|"&amp;COUNTIFS($D$7:$D128,$D128))</f>
        <v/>
      </c>
      <c r="M128" s="65" t="str">
        <f>IF(AND($E128&lt;&gt;"",COUNTIF($G128,"KÂR PAYI / AVANS*")&gt;0),$E128&amp;"|"&amp;COUNTIFS($E$7:$E128,$E128,$G$7:$G128,"KÂR PAYI / AVANS*"),"")</f>
        <v/>
      </c>
    </row>
    <row r="129" spans="1:13" ht="18" hidden="1" customHeight="1" x14ac:dyDescent="0.3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65" t="str">
        <f>IF($E129="","",$E129&amp;"|"&amp;COUNTIFS($E$7:$E129,$E129))</f>
        <v/>
      </c>
      <c r="L129" s="65" t="str">
        <f>IF($D129="","",$D129&amp;"|"&amp;COUNTIFS($D$7:$D129,$D129))</f>
        <v/>
      </c>
      <c r="M129" s="65" t="str">
        <f>IF(AND($E129&lt;&gt;"",COUNTIF($G129,"KÂR PAYI / AVANS*")&gt;0),$E129&amp;"|"&amp;COUNTIFS($E$7:$E129,$E129,$G$7:$G129,"KÂR PAYI / AVANS*"),"")</f>
        <v/>
      </c>
    </row>
    <row r="130" spans="1:13" ht="18" hidden="1" customHeight="1" x14ac:dyDescent="0.3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65" t="str">
        <f>IF($E130="","",$E130&amp;"|"&amp;COUNTIFS($E$7:$E130,$E130))</f>
        <v/>
      </c>
      <c r="L130" s="65" t="str">
        <f>IF($D130="","",$D130&amp;"|"&amp;COUNTIFS($D$7:$D130,$D130))</f>
        <v/>
      </c>
      <c r="M130" s="65" t="str">
        <f>IF(AND($E130&lt;&gt;"",COUNTIF($G130,"KÂR PAYI / AVANS*")&gt;0),$E130&amp;"|"&amp;COUNTIFS($E$7:$E130,$E130,$G$7:$G130,"KÂR PAYI / AVANS*"),"")</f>
        <v/>
      </c>
    </row>
    <row r="131" spans="1:13" ht="18" hidden="1" customHeight="1" x14ac:dyDescent="0.3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65" t="str">
        <f>IF($E131="","",$E131&amp;"|"&amp;COUNTIFS($E$7:$E131,$E131))</f>
        <v/>
      </c>
      <c r="L131" s="65" t="str">
        <f>IF($D131="","",$D131&amp;"|"&amp;COUNTIFS($D$7:$D131,$D131))</f>
        <v/>
      </c>
      <c r="M131" s="65" t="str">
        <f>IF(AND($E131&lt;&gt;"",COUNTIF($G131,"KÂR PAYI / AVANS*")&gt;0),$E131&amp;"|"&amp;COUNTIFS($E$7:$E131,$E131,$G$7:$G131,"KÂR PAYI / AVANS*"),"")</f>
        <v/>
      </c>
    </row>
    <row r="132" spans="1:13" ht="18" hidden="1" customHeight="1" x14ac:dyDescent="0.3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65" t="str">
        <f>IF($E132="","",$E132&amp;"|"&amp;COUNTIFS($E$7:$E132,$E132))</f>
        <v/>
      </c>
      <c r="L132" s="65" t="str">
        <f>IF($D132="","",$D132&amp;"|"&amp;COUNTIFS($D$7:$D132,$D132))</f>
        <v/>
      </c>
      <c r="M132" s="65" t="str">
        <f>IF(AND($E132&lt;&gt;"",COUNTIF($G132,"KÂR PAYI / AVANS*")&gt;0),$E132&amp;"|"&amp;COUNTIFS($E$7:$E132,$E132,$G$7:$G132,"KÂR PAYI / AVANS*"),"")</f>
        <v/>
      </c>
    </row>
    <row r="133" spans="1:13" ht="18" hidden="1" customHeight="1" x14ac:dyDescent="0.3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65" t="str">
        <f>IF($E133="","",$E133&amp;"|"&amp;COUNTIFS($E$7:$E133,$E133))</f>
        <v/>
      </c>
      <c r="L133" s="65" t="str">
        <f>IF($D133="","",$D133&amp;"|"&amp;COUNTIFS($D$7:$D133,$D133))</f>
        <v/>
      </c>
      <c r="M133" s="65" t="str">
        <f>IF(AND($E133&lt;&gt;"",COUNTIF($G133,"KÂR PAYI / AVANS*")&gt;0),$E133&amp;"|"&amp;COUNTIFS($E$7:$E133,$E133,$G$7:$G133,"KÂR PAYI / AVANS*"),"")</f>
        <v/>
      </c>
    </row>
    <row r="134" spans="1:13" ht="18" hidden="1" customHeight="1" x14ac:dyDescent="0.3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65" t="str">
        <f>IF($E134="","",$E134&amp;"|"&amp;COUNTIFS($E$7:$E134,$E134))</f>
        <v/>
      </c>
      <c r="L134" s="65" t="str">
        <f>IF($D134="","",$D134&amp;"|"&amp;COUNTIFS($D$7:$D134,$D134))</f>
        <v/>
      </c>
      <c r="M134" s="65" t="str">
        <f>IF(AND($E134&lt;&gt;"",COUNTIF($G134,"KÂR PAYI / AVANS*")&gt;0),$E134&amp;"|"&amp;COUNTIFS($E$7:$E134,$E134,$G$7:$G134,"KÂR PAYI / AVANS*"),"")</f>
        <v/>
      </c>
    </row>
    <row r="135" spans="1:13" ht="18" hidden="1" customHeight="1" x14ac:dyDescent="0.3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65" t="str">
        <f>IF($E135="","",$E135&amp;"|"&amp;COUNTIFS($E$7:$E135,$E135))</f>
        <v/>
      </c>
      <c r="L135" s="65" t="str">
        <f>IF($D135="","",$D135&amp;"|"&amp;COUNTIFS($D$7:$D135,$D135))</f>
        <v/>
      </c>
      <c r="M135" s="65" t="str">
        <f>IF(AND($E135&lt;&gt;"",COUNTIF($G135,"KÂR PAYI / AVANS*")&gt;0),$E135&amp;"|"&amp;COUNTIFS($E$7:$E135,$E135,$G$7:$G135,"KÂR PAYI / AVANS*"),"")</f>
        <v/>
      </c>
    </row>
    <row r="136" spans="1:13" ht="18" hidden="1" customHeight="1" x14ac:dyDescent="0.3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65" t="str">
        <f>IF($E136="","",$E136&amp;"|"&amp;COUNTIFS($E$7:$E136,$E136))</f>
        <v/>
      </c>
      <c r="L136" s="65" t="str">
        <f>IF($D136="","",$D136&amp;"|"&amp;COUNTIFS($D$7:$D136,$D136))</f>
        <v/>
      </c>
      <c r="M136" s="65" t="str">
        <f>IF(AND($E136&lt;&gt;"",COUNTIF($G136,"KÂR PAYI / AVANS*")&gt;0),$E136&amp;"|"&amp;COUNTIFS($E$7:$E136,$E136,$G$7:$G136,"KÂR PAYI / AVANS*"),"")</f>
        <v/>
      </c>
    </row>
    <row r="137" spans="1:13" ht="18" hidden="1" customHeight="1" x14ac:dyDescent="0.3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65" t="str">
        <f>IF($E137="","",$E137&amp;"|"&amp;COUNTIFS($E$7:$E137,$E137))</f>
        <v/>
      </c>
      <c r="L137" s="65" t="str">
        <f>IF($D137="","",$D137&amp;"|"&amp;COUNTIFS($D$7:$D137,$D137))</f>
        <v/>
      </c>
      <c r="M137" s="65" t="str">
        <f>IF(AND($E137&lt;&gt;"",COUNTIF($G137,"KÂR PAYI / AVANS*")&gt;0),$E137&amp;"|"&amp;COUNTIFS($E$7:$E137,$E137,$G$7:$G137,"KÂR PAYI / AVANS*"),"")</f>
        <v/>
      </c>
    </row>
    <row r="138" spans="1:13" ht="18" hidden="1" customHeight="1" x14ac:dyDescent="0.3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65" t="str">
        <f>IF($E138="","",$E138&amp;"|"&amp;COUNTIFS($E$7:$E138,$E138))</f>
        <v/>
      </c>
      <c r="L138" s="65" t="str">
        <f>IF($D138="","",$D138&amp;"|"&amp;COUNTIFS($D$7:$D138,$D138))</f>
        <v/>
      </c>
      <c r="M138" s="65" t="str">
        <f>IF(AND($E138&lt;&gt;"",COUNTIF($G138,"KÂR PAYI / AVANS*")&gt;0),$E138&amp;"|"&amp;COUNTIFS($E$7:$E138,$E138,$G$7:$G138,"KÂR PAYI / AVANS*"),"")</f>
        <v/>
      </c>
    </row>
    <row r="139" spans="1:13" ht="18" hidden="1" customHeight="1" x14ac:dyDescent="0.3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65" t="str">
        <f>IF($E139="","",$E139&amp;"|"&amp;COUNTIFS($E$7:$E139,$E139))</f>
        <v/>
      </c>
      <c r="L139" s="65" t="str">
        <f>IF($D139="","",$D139&amp;"|"&amp;COUNTIFS($D$7:$D139,$D139))</f>
        <v/>
      </c>
      <c r="M139" s="65" t="str">
        <f>IF(AND($E139&lt;&gt;"",COUNTIF($G139,"KÂR PAYI / AVANS*")&gt;0),$E139&amp;"|"&amp;COUNTIFS($E$7:$E139,$E139,$G$7:$G139,"KÂR PAYI / AVANS*"),"")</f>
        <v/>
      </c>
    </row>
    <row r="140" spans="1:13" ht="18" hidden="1" customHeight="1" x14ac:dyDescent="0.3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65" t="str">
        <f>IF($E140="","",$E140&amp;"|"&amp;COUNTIFS($E$7:$E140,$E140))</f>
        <v/>
      </c>
      <c r="L140" s="65" t="str">
        <f>IF($D140="","",$D140&amp;"|"&amp;COUNTIFS($D$7:$D140,$D140))</f>
        <v/>
      </c>
      <c r="M140" s="65" t="str">
        <f>IF(AND($E140&lt;&gt;"",COUNTIF($G140,"KÂR PAYI / AVANS*")&gt;0),$E140&amp;"|"&amp;COUNTIFS($E$7:$E140,$E140,$G$7:$G140,"KÂR PAYI / AVANS*"),"")</f>
        <v/>
      </c>
    </row>
    <row r="141" spans="1:13" ht="18" hidden="1" customHeight="1" x14ac:dyDescent="0.3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65" t="str">
        <f>IF($E141="","",$E141&amp;"|"&amp;COUNTIFS($E$7:$E141,$E141))</f>
        <v/>
      </c>
      <c r="L141" s="65" t="str">
        <f>IF($D141="","",$D141&amp;"|"&amp;COUNTIFS($D$7:$D141,$D141))</f>
        <v/>
      </c>
      <c r="M141" s="65" t="str">
        <f>IF(AND($E141&lt;&gt;"",COUNTIF($G141,"KÂR PAYI / AVANS*")&gt;0),$E141&amp;"|"&amp;COUNTIFS($E$7:$E141,$E141,$G$7:$G141,"KÂR PAYI / AVANS*"),"")</f>
        <v/>
      </c>
    </row>
    <row r="142" spans="1:13" ht="18" hidden="1" customHeight="1" x14ac:dyDescent="0.3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65" t="str">
        <f>IF($E142="","",$E142&amp;"|"&amp;COUNTIFS($E$7:$E142,$E142))</f>
        <v/>
      </c>
      <c r="L142" s="65" t="str">
        <f>IF($D142="","",$D142&amp;"|"&amp;COUNTIFS($D$7:$D142,$D142))</f>
        <v/>
      </c>
      <c r="M142" s="65" t="str">
        <f>IF(AND($E142&lt;&gt;"",COUNTIF($G142,"KÂR PAYI / AVANS*")&gt;0),$E142&amp;"|"&amp;COUNTIFS($E$7:$E142,$E142,$G$7:$G142,"KÂR PAYI / AVANS*"),"")</f>
        <v/>
      </c>
    </row>
    <row r="143" spans="1:13" ht="18" hidden="1" customHeight="1" x14ac:dyDescent="0.3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65" t="str">
        <f>IF($E143="","",$E143&amp;"|"&amp;COUNTIFS($E$7:$E143,$E143))</f>
        <v/>
      </c>
      <c r="L143" s="65" t="str">
        <f>IF($D143="","",$D143&amp;"|"&amp;COUNTIFS($D$7:$D143,$D143))</f>
        <v/>
      </c>
      <c r="M143" s="65" t="str">
        <f>IF(AND($E143&lt;&gt;"",COUNTIF($G143,"KÂR PAYI / AVANS*")&gt;0),$E143&amp;"|"&amp;COUNTIFS($E$7:$E143,$E143,$G$7:$G143,"KÂR PAYI / AVANS*"),"")</f>
        <v/>
      </c>
    </row>
    <row r="144" spans="1:13" ht="18" hidden="1" customHeight="1" x14ac:dyDescent="0.3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65" t="str">
        <f>IF($E144="","",$E144&amp;"|"&amp;COUNTIFS($E$7:$E144,$E144))</f>
        <v/>
      </c>
      <c r="L144" s="65" t="str">
        <f>IF($D144="","",$D144&amp;"|"&amp;COUNTIFS($D$7:$D144,$D144))</f>
        <v/>
      </c>
      <c r="M144" s="65" t="str">
        <f>IF(AND($E144&lt;&gt;"",COUNTIF($G144,"KÂR PAYI / AVANS*")&gt;0),$E144&amp;"|"&amp;COUNTIFS($E$7:$E144,$E144,$G$7:$G144,"KÂR PAYI / AVANS*"),"")</f>
        <v/>
      </c>
    </row>
    <row r="145" spans="1:13" ht="18" hidden="1" customHeight="1" x14ac:dyDescent="0.3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65" t="str">
        <f>IF($E145="","",$E145&amp;"|"&amp;COUNTIFS($E$7:$E145,$E145))</f>
        <v/>
      </c>
      <c r="L145" s="65" t="str">
        <f>IF($D145="","",$D145&amp;"|"&amp;COUNTIFS($D$7:$D145,$D145))</f>
        <v/>
      </c>
      <c r="M145" s="65" t="str">
        <f>IF(AND($E145&lt;&gt;"",COUNTIF($G145,"KÂR PAYI / AVANS*")&gt;0),$E145&amp;"|"&amp;COUNTIFS($E$7:$E145,$E145,$G$7:$G145,"KÂR PAYI / AVANS*"),"")</f>
        <v/>
      </c>
    </row>
    <row r="146" spans="1:13" ht="18" hidden="1" customHeight="1" x14ac:dyDescent="0.3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65" t="str">
        <f>IF($E146="","",$E146&amp;"|"&amp;COUNTIFS($E$7:$E146,$E146))</f>
        <v/>
      </c>
      <c r="L146" s="65" t="str">
        <f>IF($D146="","",$D146&amp;"|"&amp;COUNTIFS($D$7:$D146,$D146))</f>
        <v/>
      </c>
      <c r="M146" s="65" t="str">
        <f>IF(AND($E146&lt;&gt;"",COUNTIF($G146,"KÂR PAYI / AVANS*")&gt;0),$E146&amp;"|"&amp;COUNTIFS($E$7:$E146,$E146,$G$7:$G146,"KÂR PAYI / AVANS*"),"")</f>
        <v/>
      </c>
    </row>
    <row r="147" spans="1:13" ht="18" hidden="1" customHeight="1" x14ac:dyDescent="0.3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65" t="str">
        <f>IF($E147="","",$E147&amp;"|"&amp;COUNTIFS($E$7:$E147,$E147))</f>
        <v/>
      </c>
      <c r="L147" s="65" t="str">
        <f>IF($D147="","",$D147&amp;"|"&amp;COUNTIFS($D$7:$D147,$D147))</f>
        <v/>
      </c>
      <c r="M147" s="65" t="str">
        <f>IF(AND($E147&lt;&gt;"",COUNTIF($G147,"KÂR PAYI / AVANS*")&gt;0),$E147&amp;"|"&amp;COUNTIFS($E$7:$E147,$E147,$G$7:$G147,"KÂR PAYI / AVANS*"),"")</f>
        <v/>
      </c>
    </row>
    <row r="148" spans="1:13" ht="18" hidden="1" customHeight="1" x14ac:dyDescent="0.3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65" t="str">
        <f>IF($E148="","",$E148&amp;"|"&amp;COUNTIFS($E$7:$E148,$E148))</f>
        <v/>
      </c>
      <c r="L148" s="65" t="str">
        <f>IF($D148="","",$D148&amp;"|"&amp;COUNTIFS($D$7:$D148,$D148))</f>
        <v/>
      </c>
      <c r="M148" s="65" t="str">
        <f>IF(AND($E148&lt;&gt;"",COUNTIF($G148,"KÂR PAYI / AVANS*")&gt;0),$E148&amp;"|"&amp;COUNTIFS($E$7:$E148,$E148,$G$7:$G148,"KÂR PAYI / AVANS*"),"")</f>
        <v/>
      </c>
    </row>
    <row r="149" spans="1:13" ht="18" hidden="1" customHeight="1" x14ac:dyDescent="0.3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65" t="str">
        <f>IF($E149="","",$E149&amp;"|"&amp;COUNTIFS($E$7:$E149,$E149))</f>
        <v/>
      </c>
      <c r="L149" s="65" t="str">
        <f>IF($D149="","",$D149&amp;"|"&amp;COUNTIFS($D$7:$D149,$D149))</f>
        <v/>
      </c>
      <c r="M149" s="65" t="str">
        <f>IF(AND($E149&lt;&gt;"",COUNTIF($G149,"KÂR PAYI / AVANS*")&gt;0),$E149&amp;"|"&amp;COUNTIFS($E$7:$E149,$E149,$G$7:$G149,"KÂR PAYI / AVANS*"),"")</f>
        <v/>
      </c>
    </row>
    <row r="150" spans="1:13" ht="18" hidden="1" customHeight="1" x14ac:dyDescent="0.3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65" t="str">
        <f>IF($E150="","",$E150&amp;"|"&amp;COUNTIFS($E$7:$E150,$E150))</f>
        <v/>
      </c>
      <c r="L150" s="65" t="str">
        <f>IF($D150="","",$D150&amp;"|"&amp;COUNTIFS($D$7:$D150,$D150))</f>
        <v/>
      </c>
      <c r="M150" s="65" t="str">
        <f>IF(AND($E150&lt;&gt;"",COUNTIF($G150,"KÂR PAYI / AVANS*")&gt;0),$E150&amp;"|"&amp;COUNTIFS($E$7:$E150,$E150,$G$7:$G150,"KÂR PAYI / AVANS*"),"")</f>
        <v/>
      </c>
    </row>
    <row r="151" spans="1:13" ht="18" hidden="1" customHeight="1" x14ac:dyDescent="0.3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65" t="str">
        <f>IF($E151="","",$E151&amp;"|"&amp;COUNTIFS($E$7:$E151,$E151))</f>
        <v/>
      </c>
      <c r="L151" s="65" t="str">
        <f>IF($D151="","",$D151&amp;"|"&amp;COUNTIFS($D$7:$D151,$D151))</f>
        <v/>
      </c>
      <c r="M151" s="65" t="str">
        <f>IF(AND($E151&lt;&gt;"",COUNTIF($G151,"KÂR PAYI / AVANS*")&gt;0),$E151&amp;"|"&amp;COUNTIFS($E$7:$E151,$E151,$G$7:$G151,"KÂR PAYI / AVANS*"),"")</f>
        <v/>
      </c>
    </row>
    <row r="152" spans="1:13" ht="18" hidden="1" customHeight="1" x14ac:dyDescent="0.3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65" t="str">
        <f>IF($E152="","",$E152&amp;"|"&amp;COUNTIFS($E$7:$E152,$E152))</f>
        <v/>
      </c>
      <c r="L152" s="65" t="str">
        <f>IF($D152="","",$D152&amp;"|"&amp;COUNTIFS($D$7:$D152,$D152))</f>
        <v/>
      </c>
      <c r="M152" s="65" t="str">
        <f>IF(AND($E152&lt;&gt;"",COUNTIF($G152,"KÂR PAYI / AVANS*")&gt;0),$E152&amp;"|"&amp;COUNTIFS($E$7:$E152,$E152,$G$7:$G152,"KÂR PAYI / AVANS*"),"")</f>
        <v/>
      </c>
    </row>
    <row r="153" spans="1:13" ht="18" hidden="1" customHeight="1" x14ac:dyDescent="0.3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65" t="str">
        <f>IF($E153="","",$E153&amp;"|"&amp;COUNTIFS($E$7:$E153,$E153))</f>
        <v/>
      </c>
      <c r="L153" s="65" t="str">
        <f>IF($D153="","",$D153&amp;"|"&amp;COUNTIFS($D$7:$D153,$D153))</f>
        <v/>
      </c>
      <c r="M153" s="65" t="str">
        <f>IF(AND($E153&lt;&gt;"",COUNTIF($G153,"KÂR PAYI / AVANS*")&gt;0),$E153&amp;"|"&amp;COUNTIFS($E$7:$E153,$E153,$G$7:$G153,"KÂR PAYI / AVANS*"),"")</f>
        <v/>
      </c>
    </row>
    <row r="154" spans="1:13" ht="18" hidden="1" customHeight="1" x14ac:dyDescent="0.3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65" t="str">
        <f>IF($E154="","",$E154&amp;"|"&amp;COUNTIFS($E$7:$E154,$E154))</f>
        <v/>
      </c>
      <c r="L154" s="65" t="str">
        <f>IF($D154="","",$D154&amp;"|"&amp;COUNTIFS($D$7:$D154,$D154))</f>
        <v/>
      </c>
      <c r="M154" s="65" t="str">
        <f>IF(AND($E154&lt;&gt;"",COUNTIF($G154,"KÂR PAYI / AVANS*")&gt;0),$E154&amp;"|"&amp;COUNTIFS($E$7:$E154,$E154,$G$7:$G154,"KÂR PAYI / AVANS*"),"")</f>
        <v/>
      </c>
    </row>
    <row r="155" spans="1:13" ht="18" hidden="1" customHeight="1" x14ac:dyDescent="0.3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65" t="str">
        <f>IF($E155="","",$E155&amp;"|"&amp;COUNTIFS($E$7:$E155,$E155))</f>
        <v/>
      </c>
      <c r="L155" s="65" t="str">
        <f>IF($D155="","",$D155&amp;"|"&amp;COUNTIFS($D$7:$D155,$D155))</f>
        <v/>
      </c>
      <c r="M155" s="65" t="str">
        <f>IF(AND($E155&lt;&gt;"",COUNTIF($G155,"KÂR PAYI / AVANS*")&gt;0),$E155&amp;"|"&amp;COUNTIFS($E$7:$E155,$E155,$G$7:$G155,"KÂR PAYI / AVANS*"),"")</f>
        <v/>
      </c>
    </row>
    <row r="156" spans="1:13" ht="18" hidden="1" customHeight="1" x14ac:dyDescent="0.3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65" t="str">
        <f>IF($E156="","",$E156&amp;"|"&amp;COUNTIFS($E$7:$E156,$E156))</f>
        <v/>
      </c>
      <c r="L156" s="65" t="str">
        <f>IF($D156="","",$D156&amp;"|"&amp;COUNTIFS($D$7:$D156,$D156))</f>
        <v/>
      </c>
      <c r="M156" s="65" t="str">
        <f>IF(AND($E156&lt;&gt;"",COUNTIF($G156,"KÂR PAYI / AVANS*")&gt;0),$E156&amp;"|"&amp;COUNTIFS($E$7:$E156,$E156,$G$7:$G156,"KÂR PAYI / AVANS*"),"")</f>
        <v/>
      </c>
    </row>
    <row r="157" spans="1:13" ht="18" hidden="1" customHeight="1" x14ac:dyDescent="0.3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65" t="str">
        <f>IF($E157="","",$E157&amp;"|"&amp;COUNTIFS($E$7:$E157,$E157))</f>
        <v/>
      </c>
      <c r="L157" s="65" t="str">
        <f>IF($D157="","",$D157&amp;"|"&amp;COUNTIFS($D$7:$D157,$D157))</f>
        <v/>
      </c>
      <c r="M157" s="65" t="str">
        <f>IF(AND($E157&lt;&gt;"",COUNTIF($G157,"KÂR PAYI / AVANS*")&gt;0),$E157&amp;"|"&amp;COUNTIFS($E$7:$E157,$E157,$G$7:$G157,"KÂR PAYI / AVANS*"),"")</f>
        <v/>
      </c>
    </row>
    <row r="158" spans="1:13" ht="18" hidden="1" customHeight="1" x14ac:dyDescent="0.3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65" t="str">
        <f>IF($E158="","",$E158&amp;"|"&amp;COUNTIFS($E$7:$E158,$E158))</f>
        <v/>
      </c>
      <c r="L158" s="65" t="str">
        <f>IF($D158="","",$D158&amp;"|"&amp;COUNTIFS($D$7:$D158,$D158))</f>
        <v/>
      </c>
      <c r="M158" s="65" t="str">
        <f>IF(AND($E158&lt;&gt;"",COUNTIF($G158,"KÂR PAYI / AVANS*")&gt;0),$E158&amp;"|"&amp;COUNTIFS($E$7:$E158,$E158,$G$7:$G158,"KÂR PAYI / AVANS*"),"")</f>
        <v/>
      </c>
    </row>
    <row r="159" spans="1:13" ht="18" hidden="1" customHeight="1" x14ac:dyDescent="0.3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65" t="str">
        <f>IF($E159="","",$E159&amp;"|"&amp;COUNTIFS($E$7:$E159,$E159))</f>
        <v/>
      </c>
      <c r="L159" s="65" t="str">
        <f>IF($D159="","",$D159&amp;"|"&amp;COUNTIFS($D$7:$D159,$D159))</f>
        <v/>
      </c>
      <c r="M159" s="65" t="str">
        <f>IF(AND($E159&lt;&gt;"",COUNTIF($G159,"KÂR PAYI / AVANS*")&gt;0),$E159&amp;"|"&amp;COUNTIFS($E$7:$E159,$E159,$G$7:$G159,"KÂR PAYI / AVANS*"),"")</f>
        <v/>
      </c>
    </row>
    <row r="160" spans="1:13" ht="18" hidden="1" customHeight="1" x14ac:dyDescent="0.3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65" t="str">
        <f>IF($E160="","",$E160&amp;"|"&amp;COUNTIFS($E$7:$E160,$E160))</f>
        <v/>
      </c>
      <c r="L160" s="65" t="str">
        <f>IF($D160="","",$D160&amp;"|"&amp;COUNTIFS($D$7:$D160,$D160))</f>
        <v/>
      </c>
      <c r="M160" s="65" t="str">
        <f>IF(AND($E160&lt;&gt;"",COUNTIF($G160,"KÂR PAYI / AVANS*")&gt;0),$E160&amp;"|"&amp;COUNTIFS($E$7:$E160,$E160,$G$7:$G160,"KÂR PAYI / AVANS*"),"")</f>
        <v/>
      </c>
    </row>
    <row r="161" spans="1:13" ht="18" hidden="1" customHeight="1" x14ac:dyDescent="0.3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65" t="str">
        <f>IF($E161="","",$E161&amp;"|"&amp;COUNTIFS($E$7:$E161,$E161))</f>
        <v/>
      </c>
      <c r="L161" s="65" t="str">
        <f>IF($D161="","",$D161&amp;"|"&amp;COUNTIFS($D$7:$D161,$D161))</f>
        <v/>
      </c>
      <c r="M161" s="65" t="str">
        <f>IF(AND($E161&lt;&gt;"",COUNTIF($G161,"KÂR PAYI / AVANS*")&gt;0),$E161&amp;"|"&amp;COUNTIFS($E$7:$E161,$E161,$G$7:$G161,"KÂR PAYI / AVANS*"),"")</f>
        <v/>
      </c>
    </row>
    <row r="162" spans="1:13" ht="18" hidden="1" customHeight="1" x14ac:dyDescent="0.3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65" t="str">
        <f>IF($E162="","",$E162&amp;"|"&amp;COUNTIFS($E$7:$E162,$E162))</f>
        <v/>
      </c>
      <c r="L162" s="65" t="str">
        <f>IF($D162="","",$D162&amp;"|"&amp;COUNTIFS($D$7:$D162,$D162))</f>
        <v/>
      </c>
      <c r="M162" s="65" t="str">
        <f>IF(AND($E162&lt;&gt;"",COUNTIF($G162,"KÂR PAYI / AVANS*")&gt;0),$E162&amp;"|"&amp;COUNTIFS($E$7:$E162,$E162,$G$7:$G162,"KÂR PAYI / AVANS*"),"")</f>
        <v/>
      </c>
    </row>
    <row r="163" spans="1:13" ht="18" hidden="1" customHeight="1" x14ac:dyDescent="0.3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65" t="str">
        <f>IF($E163="","",$E163&amp;"|"&amp;COUNTIFS($E$7:$E163,$E163))</f>
        <v/>
      </c>
      <c r="L163" s="65" t="str">
        <f>IF($D163="","",$D163&amp;"|"&amp;COUNTIFS($D$7:$D163,$D163))</f>
        <v/>
      </c>
      <c r="M163" s="65" t="str">
        <f>IF(AND($E163&lt;&gt;"",COUNTIF($G163,"KÂR PAYI / AVANS*")&gt;0),$E163&amp;"|"&amp;COUNTIFS($E$7:$E163,$E163,$G$7:$G163,"KÂR PAYI / AVANS*"),"")</f>
        <v/>
      </c>
    </row>
    <row r="164" spans="1:13" ht="18" hidden="1" customHeight="1" x14ac:dyDescent="0.3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65" t="str">
        <f>IF($E164="","",$E164&amp;"|"&amp;COUNTIFS($E$7:$E164,$E164))</f>
        <v/>
      </c>
      <c r="L164" s="65" t="str">
        <f>IF($D164="","",$D164&amp;"|"&amp;COUNTIFS($D$7:$D164,$D164))</f>
        <v/>
      </c>
      <c r="M164" s="65" t="str">
        <f>IF(AND($E164&lt;&gt;"",COUNTIF($G164,"KÂR PAYI / AVANS*")&gt;0),$E164&amp;"|"&amp;COUNTIFS($E$7:$E164,$E164,$G$7:$G164,"KÂR PAYI / AVANS*"),"")</f>
        <v/>
      </c>
    </row>
    <row r="165" spans="1:13" ht="18" hidden="1" customHeight="1" x14ac:dyDescent="0.3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65" t="str">
        <f>IF($E165="","",$E165&amp;"|"&amp;COUNTIFS($E$7:$E165,$E165))</f>
        <v/>
      </c>
      <c r="L165" s="65" t="str">
        <f>IF($D165="","",$D165&amp;"|"&amp;COUNTIFS($D$7:$D165,$D165))</f>
        <v/>
      </c>
      <c r="M165" s="65" t="str">
        <f>IF(AND($E165&lt;&gt;"",COUNTIF($G165,"KÂR PAYI / AVANS*")&gt;0),$E165&amp;"|"&amp;COUNTIFS($E$7:$E165,$E165,$G$7:$G165,"KÂR PAYI / AVANS*"),"")</f>
        <v/>
      </c>
    </row>
    <row r="166" spans="1:13" ht="18" hidden="1" customHeight="1" x14ac:dyDescent="0.3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65" t="str">
        <f>IF($E166="","",$E166&amp;"|"&amp;COUNTIFS($E$7:$E166,$E166))</f>
        <v/>
      </c>
      <c r="L166" s="65" t="str">
        <f>IF($D166="","",$D166&amp;"|"&amp;COUNTIFS($D$7:$D166,$D166))</f>
        <v/>
      </c>
      <c r="M166" s="65" t="str">
        <f>IF(AND($E166&lt;&gt;"",COUNTIF($G166,"KÂR PAYI / AVANS*")&gt;0),$E166&amp;"|"&amp;COUNTIFS($E$7:$E166,$E166,$G$7:$G166,"KÂR PAYI / AVANS*"),"")</f>
        <v/>
      </c>
    </row>
    <row r="167" spans="1:13" ht="18" hidden="1" customHeight="1" x14ac:dyDescent="0.3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65" t="str">
        <f>IF($E167="","",$E167&amp;"|"&amp;COUNTIFS($E$7:$E167,$E167))</f>
        <v/>
      </c>
      <c r="L167" s="65" t="str">
        <f>IF($D167="","",$D167&amp;"|"&amp;COUNTIFS($D$7:$D167,$D167))</f>
        <v/>
      </c>
      <c r="M167" s="65" t="str">
        <f>IF(AND($E167&lt;&gt;"",COUNTIF($G167,"KÂR PAYI / AVANS*")&gt;0),$E167&amp;"|"&amp;COUNTIFS($E$7:$E167,$E167,$G$7:$G167,"KÂR PAYI / AVANS*"),"")</f>
        <v/>
      </c>
    </row>
    <row r="168" spans="1:13" ht="18" hidden="1" customHeight="1" x14ac:dyDescent="0.3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65" t="str">
        <f>IF($E168="","",$E168&amp;"|"&amp;COUNTIFS($E$7:$E168,$E168))</f>
        <v/>
      </c>
      <c r="L168" s="65" t="str">
        <f>IF($D168="","",$D168&amp;"|"&amp;COUNTIFS($D$7:$D168,$D168))</f>
        <v/>
      </c>
      <c r="M168" s="65" t="str">
        <f>IF(AND($E168&lt;&gt;"",COUNTIF($G168,"KÂR PAYI / AVANS*")&gt;0),$E168&amp;"|"&amp;COUNTIFS($E$7:$E168,$E168,$G$7:$G168,"KÂR PAYI / AVANS*"),"")</f>
        <v/>
      </c>
    </row>
    <row r="169" spans="1:13" ht="18" hidden="1" customHeight="1" x14ac:dyDescent="0.3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65" t="str">
        <f>IF($E169="","",$E169&amp;"|"&amp;COUNTIFS($E$7:$E169,$E169))</f>
        <v/>
      </c>
      <c r="L169" s="65" t="str">
        <f>IF($D169="","",$D169&amp;"|"&amp;COUNTIFS($D$7:$D169,$D169))</f>
        <v/>
      </c>
      <c r="M169" s="65" t="str">
        <f>IF(AND($E169&lt;&gt;"",COUNTIF($G169,"KÂR PAYI / AVANS*")&gt;0),$E169&amp;"|"&amp;COUNTIFS($E$7:$E169,$E169,$G$7:$G169,"KÂR PAYI / AVANS*"),"")</f>
        <v/>
      </c>
    </row>
    <row r="170" spans="1:13" ht="18" hidden="1" customHeight="1" x14ac:dyDescent="0.3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65" t="str">
        <f>IF($E170="","",$E170&amp;"|"&amp;COUNTIFS($E$7:$E170,$E170))</f>
        <v/>
      </c>
      <c r="L170" s="65" t="str">
        <f>IF($D170="","",$D170&amp;"|"&amp;COUNTIFS($D$7:$D170,$D170))</f>
        <v/>
      </c>
      <c r="M170" s="65" t="str">
        <f>IF(AND($E170&lt;&gt;"",COUNTIF($G170,"KÂR PAYI / AVANS*")&gt;0),$E170&amp;"|"&amp;COUNTIFS($E$7:$E170,$E170,$G$7:$G170,"KÂR PAYI / AVANS*"),"")</f>
        <v/>
      </c>
    </row>
    <row r="171" spans="1:13" ht="18" hidden="1" customHeight="1" x14ac:dyDescent="0.3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65" t="str">
        <f>IF($E171="","",$E171&amp;"|"&amp;COUNTIFS($E$7:$E171,$E171))</f>
        <v/>
      </c>
      <c r="L171" s="65" t="str">
        <f>IF($D171="","",$D171&amp;"|"&amp;COUNTIFS($D$7:$D171,$D171))</f>
        <v/>
      </c>
      <c r="M171" s="65" t="str">
        <f>IF(AND($E171&lt;&gt;"",COUNTIF($G171,"KÂR PAYI / AVANS*")&gt;0),$E171&amp;"|"&amp;COUNTIFS($E$7:$E171,$E171,$G$7:$G171,"KÂR PAYI / AVANS*"),"")</f>
        <v/>
      </c>
    </row>
    <row r="172" spans="1:13" ht="18" hidden="1" customHeight="1" x14ac:dyDescent="0.3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65" t="str">
        <f>IF($E172="","",$E172&amp;"|"&amp;COUNTIFS($E$7:$E172,$E172))</f>
        <v/>
      </c>
      <c r="L172" s="65" t="str">
        <f>IF($D172="","",$D172&amp;"|"&amp;COUNTIFS($D$7:$D172,$D172))</f>
        <v/>
      </c>
      <c r="M172" s="65" t="str">
        <f>IF(AND($E172&lt;&gt;"",COUNTIF($G172,"KÂR PAYI / AVANS*")&gt;0),$E172&amp;"|"&amp;COUNTIFS($E$7:$E172,$E172,$G$7:$G172,"KÂR PAYI / AVANS*"),"")</f>
        <v/>
      </c>
    </row>
    <row r="173" spans="1:13" ht="18" hidden="1" customHeight="1" x14ac:dyDescent="0.3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65" t="str">
        <f>IF($E173="","",$E173&amp;"|"&amp;COUNTIFS($E$7:$E173,$E173))</f>
        <v/>
      </c>
      <c r="L173" s="65" t="str">
        <f>IF($D173="","",$D173&amp;"|"&amp;COUNTIFS($D$7:$D173,$D173))</f>
        <v/>
      </c>
      <c r="M173" s="65" t="str">
        <f>IF(AND($E173&lt;&gt;"",COUNTIF($G173,"KÂR PAYI / AVANS*")&gt;0),$E173&amp;"|"&amp;COUNTIFS($E$7:$E173,$E173,$G$7:$G173,"KÂR PAYI / AVANS*"),"")</f>
        <v/>
      </c>
    </row>
    <row r="174" spans="1:13" ht="18" hidden="1" customHeight="1" x14ac:dyDescent="0.3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65" t="str">
        <f>IF($E174="","",$E174&amp;"|"&amp;COUNTIFS($E$7:$E174,$E174))</f>
        <v/>
      </c>
      <c r="L174" s="65" t="str">
        <f>IF($D174="","",$D174&amp;"|"&amp;COUNTIFS($D$7:$D174,$D174))</f>
        <v/>
      </c>
      <c r="M174" s="65" t="str">
        <f>IF(AND($E174&lt;&gt;"",COUNTIF($G174,"KÂR PAYI / AVANS*")&gt;0),$E174&amp;"|"&amp;COUNTIFS($E$7:$E174,$E174,$G$7:$G174,"KÂR PAYI / AVANS*"),"")</f>
        <v/>
      </c>
    </row>
    <row r="175" spans="1:13" ht="18" hidden="1" customHeight="1" x14ac:dyDescent="0.3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65" t="str">
        <f>IF($E175="","",$E175&amp;"|"&amp;COUNTIFS($E$7:$E175,$E175))</f>
        <v/>
      </c>
      <c r="L175" s="65" t="str">
        <f>IF($D175="","",$D175&amp;"|"&amp;COUNTIFS($D$7:$D175,$D175))</f>
        <v/>
      </c>
      <c r="M175" s="65" t="str">
        <f>IF(AND($E175&lt;&gt;"",COUNTIF($G175,"KÂR PAYI / AVANS*")&gt;0),$E175&amp;"|"&amp;COUNTIFS($E$7:$E175,$E175,$G$7:$G175,"KÂR PAYI / AVANS*"),"")</f>
        <v/>
      </c>
    </row>
    <row r="176" spans="1:13" ht="18" hidden="1" customHeight="1" x14ac:dyDescent="0.3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65" t="str">
        <f>IF($E176="","",$E176&amp;"|"&amp;COUNTIFS($E$7:$E176,$E176))</f>
        <v/>
      </c>
      <c r="L176" s="65" t="str">
        <f>IF($D176="","",$D176&amp;"|"&amp;COUNTIFS($D$7:$D176,$D176))</f>
        <v/>
      </c>
      <c r="M176" s="65" t="str">
        <f>IF(AND($E176&lt;&gt;"",COUNTIF($G176,"KÂR PAYI / AVANS*")&gt;0),$E176&amp;"|"&amp;COUNTIFS($E$7:$E176,$E176,$G$7:$G176,"KÂR PAYI / AVANS*"),"")</f>
        <v/>
      </c>
    </row>
    <row r="177" spans="1:13" ht="18" hidden="1" customHeight="1" x14ac:dyDescent="0.3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65" t="str">
        <f>IF($E177="","",$E177&amp;"|"&amp;COUNTIFS($E$7:$E177,$E177))</f>
        <v/>
      </c>
      <c r="L177" s="65" t="str">
        <f>IF($D177="","",$D177&amp;"|"&amp;COUNTIFS($D$7:$D177,$D177))</f>
        <v/>
      </c>
      <c r="M177" s="65" t="str">
        <f>IF(AND($E177&lt;&gt;"",COUNTIF($G177,"KÂR PAYI / AVANS*")&gt;0),$E177&amp;"|"&amp;COUNTIFS($E$7:$E177,$E177,$G$7:$G177,"KÂR PAYI / AVANS*"),"")</f>
        <v/>
      </c>
    </row>
    <row r="178" spans="1:13" ht="18" hidden="1" customHeight="1" x14ac:dyDescent="0.3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65" t="str">
        <f>IF($E178="","",$E178&amp;"|"&amp;COUNTIFS($E$7:$E178,$E178))</f>
        <v/>
      </c>
      <c r="L178" s="65" t="str">
        <f>IF($D178="","",$D178&amp;"|"&amp;COUNTIFS($D$7:$D178,$D178))</f>
        <v/>
      </c>
      <c r="M178" s="65" t="str">
        <f>IF(AND($E178&lt;&gt;"",COUNTIF($G178,"KÂR PAYI / AVANS*")&gt;0),$E178&amp;"|"&amp;COUNTIFS($E$7:$E178,$E178,$G$7:$G178,"KÂR PAYI / AVANS*"),"")</f>
        <v/>
      </c>
    </row>
    <row r="179" spans="1:13" ht="18" hidden="1" customHeight="1" x14ac:dyDescent="0.3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65" t="str">
        <f>IF($E179="","",$E179&amp;"|"&amp;COUNTIFS($E$7:$E179,$E179))</f>
        <v/>
      </c>
      <c r="L179" s="65" t="str">
        <f>IF($D179="","",$D179&amp;"|"&amp;COUNTIFS($D$7:$D179,$D179))</f>
        <v/>
      </c>
      <c r="M179" s="65" t="str">
        <f>IF(AND($E179&lt;&gt;"",COUNTIF($G179,"KÂR PAYI / AVANS*")&gt;0),$E179&amp;"|"&amp;COUNTIFS($E$7:$E179,$E179,$G$7:$G179,"KÂR PAYI / AVANS*"),"")</f>
        <v/>
      </c>
    </row>
    <row r="180" spans="1:13" ht="18" hidden="1" customHeight="1" x14ac:dyDescent="0.3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65" t="str">
        <f>IF($E180="","",$E180&amp;"|"&amp;COUNTIFS($E$7:$E180,$E180))</f>
        <v/>
      </c>
      <c r="L180" s="65" t="str">
        <f>IF($D180="","",$D180&amp;"|"&amp;COUNTIFS($D$7:$D180,$D180))</f>
        <v/>
      </c>
      <c r="M180" s="65" t="str">
        <f>IF(AND($E180&lt;&gt;"",COUNTIF($G180,"KÂR PAYI / AVANS*")&gt;0),$E180&amp;"|"&amp;COUNTIFS($E$7:$E180,$E180,$G$7:$G180,"KÂR PAYI / AVANS*"),"")</f>
        <v/>
      </c>
    </row>
    <row r="181" spans="1:13" ht="18" hidden="1" customHeight="1" x14ac:dyDescent="0.3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65" t="str">
        <f>IF($E181="","",$E181&amp;"|"&amp;COUNTIFS($E$7:$E181,$E181))</f>
        <v/>
      </c>
      <c r="L181" s="65" t="str">
        <f>IF($D181="","",$D181&amp;"|"&amp;COUNTIFS($D$7:$D181,$D181))</f>
        <v/>
      </c>
      <c r="M181" s="65" t="str">
        <f>IF(AND($E181&lt;&gt;"",COUNTIF($G181,"KÂR PAYI / AVANS*")&gt;0),$E181&amp;"|"&amp;COUNTIFS($E$7:$E181,$E181,$G$7:$G181,"KÂR PAYI / AVANS*"),"")</f>
        <v/>
      </c>
    </row>
    <row r="182" spans="1:13" ht="18" hidden="1" customHeight="1" x14ac:dyDescent="0.3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65" t="str">
        <f>IF($E182="","",$E182&amp;"|"&amp;COUNTIFS($E$7:$E182,$E182))</f>
        <v/>
      </c>
      <c r="L182" s="65" t="str">
        <f>IF($D182="","",$D182&amp;"|"&amp;COUNTIFS($D$7:$D182,$D182))</f>
        <v/>
      </c>
      <c r="M182" s="65" t="str">
        <f>IF(AND($E182&lt;&gt;"",COUNTIF($G182,"KÂR PAYI / AVANS*")&gt;0),$E182&amp;"|"&amp;COUNTIFS($E$7:$E182,$E182,$G$7:$G182,"KÂR PAYI / AVANS*"),"")</f>
        <v/>
      </c>
    </row>
    <row r="183" spans="1:13" ht="18" hidden="1" customHeight="1" x14ac:dyDescent="0.3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65" t="str">
        <f>IF($E183="","",$E183&amp;"|"&amp;COUNTIFS($E$7:$E183,$E183))</f>
        <v/>
      </c>
      <c r="L183" s="65" t="str">
        <f>IF($D183="","",$D183&amp;"|"&amp;COUNTIFS($D$7:$D183,$D183))</f>
        <v/>
      </c>
      <c r="M183" s="65" t="str">
        <f>IF(AND($E183&lt;&gt;"",COUNTIF($G183,"KÂR PAYI / AVANS*")&gt;0),$E183&amp;"|"&amp;COUNTIFS($E$7:$E183,$E183,$G$7:$G183,"KÂR PAYI / AVANS*"),"")</f>
        <v/>
      </c>
    </row>
    <row r="184" spans="1:13" ht="18" hidden="1" customHeight="1" x14ac:dyDescent="0.3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65" t="str">
        <f>IF($E184="","",$E184&amp;"|"&amp;COUNTIFS($E$7:$E184,$E184))</f>
        <v/>
      </c>
      <c r="L184" s="65" t="str">
        <f>IF($D184="","",$D184&amp;"|"&amp;COUNTIFS($D$7:$D184,$D184))</f>
        <v/>
      </c>
      <c r="M184" s="65" t="str">
        <f>IF(AND($E184&lt;&gt;"",COUNTIF($G184,"KÂR PAYI / AVANS*")&gt;0),$E184&amp;"|"&amp;COUNTIFS($E$7:$E184,$E184,$G$7:$G184,"KÂR PAYI / AVANS*"),"")</f>
        <v/>
      </c>
    </row>
    <row r="185" spans="1:13" ht="18" hidden="1" customHeight="1" x14ac:dyDescent="0.3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65" t="str">
        <f>IF($E185="","",$E185&amp;"|"&amp;COUNTIFS($E$7:$E185,$E185))</f>
        <v/>
      </c>
      <c r="L185" s="65" t="str">
        <f>IF($D185="","",$D185&amp;"|"&amp;COUNTIFS($D$7:$D185,$D185))</f>
        <v/>
      </c>
      <c r="M185" s="65" t="str">
        <f>IF(AND($E185&lt;&gt;"",COUNTIF($G185,"KÂR PAYI / AVANS*")&gt;0),$E185&amp;"|"&amp;COUNTIFS($E$7:$E185,$E185,$G$7:$G185,"KÂR PAYI / AVANS*"),"")</f>
        <v/>
      </c>
    </row>
    <row r="186" spans="1:13" ht="18" hidden="1" customHeight="1" x14ac:dyDescent="0.3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65" t="str">
        <f>IF($E186="","",$E186&amp;"|"&amp;COUNTIFS($E$7:$E186,$E186))</f>
        <v/>
      </c>
      <c r="L186" s="65" t="str">
        <f>IF($D186="","",$D186&amp;"|"&amp;COUNTIFS($D$7:$D186,$D186))</f>
        <v/>
      </c>
      <c r="M186" s="65" t="str">
        <f>IF(AND($E186&lt;&gt;"",COUNTIF($G186,"KÂR PAYI / AVANS*")&gt;0),$E186&amp;"|"&amp;COUNTIFS($E$7:$E186,$E186,$G$7:$G186,"KÂR PAYI / AVANS*"),"")</f>
        <v/>
      </c>
    </row>
    <row r="187" spans="1:13" ht="18" hidden="1" customHeight="1" x14ac:dyDescent="0.3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65" t="str">
        <f>IF($E187="","",$E187&amp;"|"&amp;COUNTIFS($E$7:$E187,$E187))</f>
        <v/>
      </c>
      <c r="L187" s="65" t="str">
        <f>IF($D187="","",$D187&amp;"|"&amp;COUNTIFS($D$7:$D187,$D187))</f>
        <v/>
      </c>
      <c r="M187" s="65" t="str">
        <f>IF(AND($E187&lt;&gt;"",COUNTIF($G187,"KÂR PAYI / AVANS*")&gt;0),$E187&amp;"|"&amp;COUNTIFS($E$7:$E187,$E187,$G$7:$G187,"KÂR PAYI / AVANS*"),"")</f>
        <v/>
      </c>
    </row>
    <row r="188" spans="1:13" ht="18" hidden="1" customHeight="1" x14ac:dyDescent="0.3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65" t="str">
        <f>IF($E188="","",$E188&amp;"|"&amp;COUNTIFS($E$7:$E188,$E188))</f>
        <v/>
      </c>
      <c r="L188" s="65" t="str">
        <f>IF($D188="","",$D188&amp;"|"&amp;COUNTIFS($D$7:$D188,$D188))</f>
        <v/>
      </c>
      <c r="M188" s="65" t="str">
        <f>IF(AND($E188&lt;&gt;"",COUNTIF($G188,"KÂR PAYI / AVANS*")&gt;0),$E188&amp;"|"&amp;COUNTIFS($E$7:$E188,$E188,$G$7:$G188,"KÂR PAYI / AVANS*"),"")</f>
        <v/>
      </c>
    </row>
    <row r="189" spans="1:13" ht="18" hidden="1" customHeight="1" x14ac:dyDescent="0.3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65" t="str">
        <f>IF($E189="","",$E189&amp;"|"&amp;COUNTIFS($E$7:$E189,$E189))</f>
        <v/>
      </c>
      <c r="L189" s="65" t="str">
        <f>IF($D189="","",$D189&amp;"|"&amp;COUNTIFS($D$7:$D189,$D189))</f>
        <v/>
      </c>
      <c r="M189" s="65" t="str">
        <f>IF(AND($E189&lt;&gt;"",COUNTIF($G189,"KÂR PAYI / AVANS*")&gt;0),$E189&amp;"|"&amp;COUNTIFS($E$7:$E189,$E189,$G$7:$G189,"KÂR PAYI / AVANS*"),"")</f>
        <v/>
      </c>
    </row>
    <row r="190" spans="1:13" ht="18" hidden="1" customHeight="1" x14ac:dyDescent="0.3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65" t="str">
        <f>IF($E190="","",$E190&amp;"|"&amp;COUNTIFS($E$7:$E190,$E190))</f>
        <v/>
      </c>
      <c r="L190" s="65" t="str">
        <f>IF($D190="","",$D190&amp;"|"&amp;COUNTIFS($D$7:$D190,$D190))</f>
        <v/>
      </c>
      <c r="M190" s="65" t="str">
        <f>IF(AND($E190&lt;&gt;"",COUNTIF($G190,"KÂR PAYI / AVANS*")&gt;0),$E190&amp;"|"&amp;COUNTIFS($E$7:$E190,$E190,$G$7:$G190,"KÂR PAYI / AVANS*"),"")</f>
        <v/>
      </c>
    </row>
    <row r="191" spans="1:13" ht="18" hidden="1" customHeight="1" x14ac:dyDescent="0.3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65" t="str">
        <f>IF($E191="","",$E191&amp;"|"&amp;COUNTIFS($E$7:$E191,$E191))</f>
        <v/>
      </c>
      <c r="L191" s="65" t="str">
        <f>IF($D191="","",$D191&amp;"|"&amp;COUNTIFS($D$7:$D191,$D191))</f>
        <v/>
      </c>
      <c r="M191" s="65" t="str">
        <f>IF(AND($E191&lt;&gt;"",COUNTIF($G191,"KÂR PAYI / AVANS*")&gt;0),$E191&amp;"|"&amp;COUNTIFS($E$7:$E191,$E191,$G$7:$G191,"KÂR PAYI / AVANS*"),"")</f>
        <v/>
      </c>
    </row>
    <row r="192" spans="1:13" ht="18" hidden="1" customHeight="1" x14ac:dyDescent="0.3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65" t="str">
        <f>IF($E192="","",$E192&amp;"|"&amp;COUNTIFS($E$7:$E192,$E192))</f>
        <v/>
      </c>
      <c r="L192" s="65" t="str">
        <f>IF($D192="","",$D192&amp;"|"&amp;COUNTIFS($D$7:$D192,$D192))</f>
        <v/>
      </c>
      <c r="M192" s="65" t="str">
        <f>IF(AND($E192&lt;&gt;"",COUNTIF($G192,"KÂR PAYI / AVANS*")&gt;0),$E192&amp;"|"&amp;COUNTIFS($E$7:$E192,$E192,$G$7:$G192,"KÂR PAYI / AVANS*"),"")</f>
        <v/>
      </c>
    </row>
    <row r="193" spans="1:13" ht="18" hidden="1" customHeight="1" x14ac:dyDescent="0.3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65" t="str">
        <f>IF($E193="","",$E193&amp;"|"&amp;COUNTIFS($E$7:$E193,$E193))</f>
        <v/>
      </c>
      <c r="L193" s="65" t="str">
        <f>IF($D193="","",$D193&amp;"|"&amp;COUNTIFS($D$7:$D193,$D193))</f>
        <v/>
      </c>
      <c r="M193" s="65" t="str">
        <f>IF(AND($E193&lt;&gt;"",COUNTIF($G193,"KÂR PAYI / AVANS*")&gt;0),$E193&amp;"|"&amp;COUNTIFS($E$7:$E193,$E193,$G$7:$G193,"KÂR PAYI / AVANS*"),"")</f>
        <v/>
      </c>
    </row>
    <row r="194" spans="1:13" ht="18" hidden="1" customHeight="1" x14ac:dyDescent="0.3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65" t="str">
        <f>IF($E194="","",$E194&amp;"|"&amp;COUNTIFS($E$7:$E194,$E194))</f>
        <v/>
      </c>
      <c r="L194" s="65" t="str">
        <f>IF($D194="","",$D194&amp;"|"&amp;COUNTIFS($D$7:$D194,$D194))</f>
        <v/>
      </c>
      <c r="M194" s="65" t="str">
        <f>IF(AND($E194&lt;&gt;"",COUNTIF($G194,"KÂR PAYI / AVANS*")&gt;0),$E194&amp;"|"&amp;COUNTIFS($E$7:$E194,$E194,$G$7:$G194,"KÂR PAYI / AVANS*"),"")</f>
        <v/>
      </c>
    </row>
    <row r="195" spans="1:13" ht="18" hidden="1" customHeight="1" x14ac:dyDescent="0.3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65" t="str">
        <f>IF($E195="","",$E195&amp;"|"&amp;COUNTIFS($E$7:$E195,$E195))</f>
        <v/>
      </c>
      <c r="L195" s="65" t="str">
        <f>IF($D195="","",$D195&amp;"|"&amp;COUNTIFS($D$7:$D195,$D195))</f>
        <v/>
      </c>
      <c r="M195" s="65" t="str">
        <f>IF(AND($E195&lt;&gt;"",COUNTIF($G195,"KÂR PAYI / AVANS*")&gt;0),$E195&amp;"|"&amp;COUNTIFS($E$7:$E195,$E195,$G$7:$G195,"KÂR PAYI / AVANS*"),"")</f>
        <v/>
      </c>
    </row>
    <row r="196" spans="1:13" ht="18" hidden="1" customHeight="1" x14ac:dyDescent="0.3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65" t="str">
        <f>IF($E196="","",$E196&amp;"|"&amp;COUNTIFS($E$7:$E196,$E196))</f>
        <v/>
      </c>
      <c r="L196" s="65" t="str">
        <f>IF($D196="","",$D196&amp;"|"&amp;COUNTIFS($D$7:$D196,$D196))</f>
        <v/>
      </c>
      <c r="M196" s="65" t="str">
        <f>IF(AND($E196&lt;&gt;"",COUNTIF($G196,"KÂR PAYI / AVANS*")&gt;0),$E196&amp;"|"&amp;COUNTIFS($E$7:$E196,$E196,$G$7:$G196,"KÂR PAYI / AVANS*"),"")</f>
        <v/>
      </c>
    </row>
    <row r="197" spans="1:13" ht="18" hidden="1" customHeight="1" x14ac:dyDescent="0.3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65" t="str">
        <f>IF($E197="","",$E197&amp;"|"&amp;COUNTIFS($E$7:$E197,$E197))</f>
        <v/>
      </c>
      <c r="L197" s="65" t="str">
        <f>IF($D197="","",$D197&amp;"|"&amp;COUNTIFS($D$7:$D197,$D197))</f>
        <v/>
      </c>
      <c r="M197" s="65" t="str">
        <f>IF(AND($E197&lt;&gt;"",COUNTIF($G197,"KÂR PAYI / AVANS*")&gt;0),$E197&amp;"|"&amp;COUNTIFS($E$7:$E197,$E197,$G$7:$G197,"KÂR PAYI / AVANS*"),"")</f>
        <v/>
      </c>
    </row>
    <row r="198" spans="1:13" ht="18" hidden="1" customHeight="1" x14ac:dyDescent="0.3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65" t="str">
        <f>IF($E198="","",$E198&amp;"|"&amp;COUNTIFS($E$7:$E198,$E198))</f>
        <v/>
      </c>
      <c r="L198" s="65" t="str">
        <f>IF($D198="","",$D198&amp;"|"&amp;COUNTIFS($D$7:$D198,$D198))</f>
        <v/>
      </c>
      <c r="M198" s="65" t="str">
        <f>IF(AND($E198&lt;&gt;"",COUNTIF($G198,"KÂR PAYI / AVANS*")&gt;0),$E198&amp;"|"&amp;COUNTIFS($E$7:$E198,$E198,$G$7:$G198,"KÂR PAYI / AVANS*"),"")</f>
        <v/>
      </c>
    </row>
    <row r="199" spans="1:13" ht="18" hidden="1" customHeight="1" x14ac:dyDescent="0.3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65" t="str">
        <f>IF($E199="","",$E199&amp;"|"&amp;COUNTIFS($E$7:$E199,$E199))</f>
        <v/>
      </c>
      <c r="L199" s="65" t="str">
        <f>IF($D199="","",$D199&amp;"|"&amp;COUNTIFS($D$7:$D199,$D199))</f>
        <v/>
      </c>
      <c r="M199" s="65" t="str">
        <f>IF(AND($E199&lt;&gt;"",COUNTIF($G199,"KÂR PAYI / AVANS*")&gt;0),$E199&amp;"|"&amp;COUNTIFS($E$7:$E199,$E199,$G$7:$G199,"KÂR PAYI / AVANS*"),"")</f>
        <v/>
      </c>
    </row>
    <row r="200" spans="1:13" ht="18" hidden="1" customHeight="1" x14ac:dyDescent="0.3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65" t="str">
        <f>IF($E200="","",$E200&amp;"|"&amp;COUNTIFS($E$7:$E200,$E200))</f>
        <v/>
      </c>
      <c r="L200" s="65" t="str">
        <f>IF($D200="","",$D200&amp;"|"&amp;COUNTIFS($D$7:$D200,$D200))</f>
        <v/>
      </c>
      <c r="M200" s="65" t="str">
        <f>IF(AND($E200&lt;&gt;"",COUNTIF($G200,"KÂR PAYI / AVANS*")&gt;0),$E200&amp;"|"&amp;COUNTIFS($E$7:$E200,$E200,$G$7:$G200,"KÂR PAYI / AVANS*"),"")</f>
        <v/>
      </c>
    </row>
    <row r="201" spans="1:13" ht="18" hidden="1" customHeight="1" x14ac:dyDescent="0.3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65" t="str">
        <f>IF($E201="","",$E201&amp;"|"&amp;COUNTIFS($E$7:$E201,$E201))</f>
        <v/>
      </c>
      <c r="L201" s="65" t="str">
        <f>IF($D201="","",$D201&amp;"|"&amp;COUNTIFS($D$7:$D201,$D201))</f>
        <v/>
      </c>
      <c r="M201" s="65" t="str">
        <f>IF(AND($E201&lt;&gt;"",COUNTIF($G201,"KÂR PAYI / AVANS*")&gt;0),$E201&amp;"|"&amp;COUNTIFS($E$7:$E201,$E201,$G$7:$G201,"KÂR PAYI / AVANS*"),"")</f>
        <v/>
      </c>
    </row>
    <row r="202" spans="1:13" ht="18" hidden="1" customHeight="1" x14ac:dyDescent="0.3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65" t="str">
        <f>IF($E202="","",$E202&amp;"|"&amp;COUNTIFS($E$7:$E202,$E202))</f>
        <v/>
      </c>
      <c r="L202" s="65" t="str">
        <f>IF($D202="","",$D202&amp;"|"&amp;COUNTIFS($D$7:$D202,$D202))</f>
        <v/>
      </c>
      <c r="M202" s="65" t="str">
        <f>IF(AND($E202&lt;&gt;"",COUNTIF($G202,"KÂR PAYI / AVANS*")&gt;0),$E202&amp;"|"&amp;COUNTIFS($E$7:$E202,$E202,$G$7:$G202,"KÂR PAYI / AVANS*"),"")</f>
        <v/>
      </c>
    </row>
    <row r="203" spans="1:13" ht="18" hidden="1" customHeight="1" x14ac:dyDescent="0.3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65" t="str">
        <f>IF($E203="","",$E203&amp;"|"&amp;COUNTIFS($E$7:$E203,$E203))</f>
        <v/>
      </c>
      <c r="L203" s="65" t="str">
        <f>IF($D203="","",$D203&amp;"|"&amp;COUNTIFS($D$7:$D203,$D203))</f>
        <v/>
      </c>
      <c r="M203" s="65" t="str">
        <f>IF(AND($E203&lt;&gt;"",COUNTIF($G203,"KÂR PAYI / AVANS*")&gt;0),$E203&amp;"|"&amp;COUNTIFS($E$7:$E203,$E203,$G$7:$G203,"KÂR PAYI / AVANS*"),"")</f>
        <v/>
      </c>
    </row>
    <row r="204" spans="1:13" ht="18" hidden="1" customHeight="1" x14ac:dyDescent="0.3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65" t="str">
        <f>IF($E204="","",$E204&amp;"|"&amp;COUNTIFS($E$7:$E204,$E204))</f>
        <v/>
      </c>
      <c r="L204" s="65" t="str">
        <f>IF($D204="","",$D204&amp;"|"&amp;COUNTIFS($D$7:$D204,$D204))</f>
        <v/>
      </c>
      <c r="M204" s="65" t="str">
        <f>IF(AND($E204&lt;&gt;"",COUNTIF($G204,"KÂR PAYI / AVANS*")&gt;0),$E204&amp;"|"&amp;COUNTIFS($E$7:$E204,$E204,$G$7:$G204,"KÂR PAYI / AVANS*"),"")</f>
        <v/>
      </c>
    </row>
    <row r="205" spans="1:13" ht="18" hidden="1" customHeight="1" x14ac:dyDescent="0.3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65" t="str">
        <f>IF($E205="","",$E205&amp;"|"&amp;COUNTIFS($E$7:$E205,$E205))</f>
        <v/>
      </c>
      <c r="L205" s="65" t="str">
        <f>IF($D205="","",$D205&amp;"|"&amp;COUNTIFS($D$7:$D205,$D205))</f>
        <v/>
      </c>
      <c r="M205" s="65" t="str">
        <f>IF(AND($E205&lt;&gt;"",COUNTIF($G205,"KÂR PAYI / AVANS*")&gt;0),$E205&amp;"|"&amp;COUNTIFS($E$7:$E205,$E205,$G$7:$G205,"KÂR PAYI / AVANS*"),"")</f>
        <v/>
      </c>
    </row>
    <row r="206" spans="1:13" ht="18" hidden="1" customHeight="1" x14ac:dyDescent="0.3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65" t="str">
        <f>IF($E206="","",$E206&amp;"|"&amp;COUNTIFS($E$7:$E206,$E206))</f>
        <v/>
      </c>
      <c r="L206" s="65" t="str">
        <f>IF($D206="","",$D206&amp;"|"&amp;COUNTIFS($D$7:$D206,$D206))</f>
        <v/>
      </c>
      <c r="M206" s="65" t="str">
        <f>IF(AND($E206&lt;&gt;"",COUNTIF($G206,"KÂR PAYI / AVANS*")&gt;0),$E206&amp;"|"&amp;COUNTIFS($E$7:$E206,$E206,$G$7:$G206,"KÂR PAYI / AVANS*"),"")</f>
        <v/>
      </c>
    </row>
    <row r="207" spans="1:13" ht="18" hidden="1" customHeight="1" x14ac:dyDescent="0.3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65" t="str">
        <f>IF($E207="","",$E207&amp;"|"&amp;COUNTIFS($E$7:$E207,$E207))</f>
        <v/>
      </c>
      <c r="L207" s="65" t="str">
        <f>IF($D207="","",$D207&amp;"|"&amp;COUNTIFS($D$7:$D207,$D207))</f>
        <v/>
      </c>
      <c r="M207" s="65" t="str">
        <f>IF(AND($E207&lt;&gt;"",COUNTIF($G207,"KÂR PAYI / AVANS*")&gt;0),$E207&amp;"|"&amp;COUNTIFS($E$7:$E207,$E207,$G$7:$G207,"KÂR PAYI / AVANS*"),"")</f>
        <v/>
      </c>
    </row>
    <row r="208" spans="1:13" ht="18" hidden="1" customHeight="1" x14ac:dyDescent="0.3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65" t="str">
        <f>IF($E208="","",$E208&amp;"|"&amp;COUNTIFS($E$7:$E208,$E208))</f>
        <v/>
      </c>
      <c r="L208" s="65" t="str">
        <f>IF($D208="","",$D208&amp;"|"&amp;COUNTIFS($D$7:$D208,$D208))</f>
        <v/>
      </c>
      <c r="M208" s="65" t="str">
        <f>IF(AND($E208&lt;&gt;"",COUNTIF($G208,"KÂR PAYI / AVANS*")&gt;0),$E208&amp;"|"&amp;COUNTIFS($E$7:$E208,$E208,$G$7:$G208,"KÂR PAYI / AVANS*"),"")</f>
        <v/>
      </c>
    </row>
    <row r="209" spans="1:13" ht="18" hidden="1" customHeight="1" x14ac:dyDescent="0.3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65" t="str">
        <f>IF($E209="","",$E209&amp;"|"&amp;COUNTIFS($E$7:$E209,$E209))</f>
        <v/>
      </c>
      <c r="L209" s="65" t="str">
        <f>IF($D209="","",$D209&amp;"|"&amp;COUNTIFS($D$7:$D209,$D209))</f>
        <v/>
      </c>
      <c r="M209" s="65" t="str">
        <f>IF(AND($E209&lt;&gt;"",COUNTIF($G209,"KÂR PAYI / AVANS*")&gt;0),$E209&amp;"|"&amp;COUNTIFS($E$7:$E209,$E209,$G$7:$G209,"KÂR PAYI / AVANS*"),"")</f>
        <v/>
      </c>
    </row>
    <row r="210" spans="1:13" ht="18" hidden="1" customHeight="1" x14ac:dyDescent="0.3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65" t="str">
        <f>IF($E210="","",$E210&amp;"|"&amp;COUNTIFS($E$7:$E210,$E210))</f>
        <v/>
      </c>
      <c r="L210" s="65" t="str">
        <f>IF($D210="","",$D210&amp;"|"&amp;COUNTIFS($D$7:$D210,$D210))</f>
        <v/>
      </c>
      <c r="M210" s="65" t="str">
        <f>IF(AND($E210&lt;&gt;"",COUNTIF($G210,"KÂR PAYI / AVANS*")&gt;0),$E210&amp;"|"&amp;COUNTIFS($E$7:$E210,$E210,$G$7:$G210,"KÂR PAYI / AVANS*"),"")</f>
        <v/>
      </c>
    </row>
    <row r="211" spans="1:13" ht="18" hidden="1" customHeight="1" x14ac:dyDescent="0.3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65" t="str">
        <f>IF($E211="","",$E211&amp;"|"&amp;COUNTIFS($E$7:$E211,$E211))</f>
        <v/>
      </c>
      <c r="L211" s="65" t="str">
        <f>IF($D211="","",$D211&amp;"|"&amp;COUNTIFS($D$7:$D211,$D211))</f>
        <v/>
      </c>
      <c r="M211" s="65" t="str">
        <f>IF(AND($E211&lt;&gt;"",COUNTIF($G211,"KÂR PAYI / AVANS*")&gt;0),$E211&amp;"|"&amp;COUNTIFS($E$7:$E211,$E211,$G$7:$G211,"KÂR PAYI / AVANS*"),"")</f>
        <v/>
      </c>
    </row>
    <row r="212" spans="1:13" ht="18" hidden="1" customHeight="1" x14ac:dyDescent="0.3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65" t="str">
        <f>IF($E212="","",$E212&amp;"|"&amp;COUNTIFS($E$7:$E212,$E212))</f>
        <v/>
      </c>
      <c r="L212" s="65" t="str">
        <f>IF($D212="","",$D212&amp;"|"&amp;COUNTIFS($D$7:$D212,$D212))</f>
        <v/>
      </c>
      <c r="M212" s="65" t="str">
        <f>IF(AND($E212&lt;&gt;"",COUNTIF($G212,"KÂR PAYI / AVANS*")&gt;0),$E212&amp;"|"&amp;COUNTIFS($E$7:$E212,$E212,$G$7:$G212,"KÂR PAYI / AVANS*"),"")</f>
        <v/>
      </c>
    </row>
    <row r="213" spans="1:13" ht="18" hidden="1" customHeight="1" x14ac:dyDescent="0.3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65" t="str">
        <f>IF($E213="","",$E213&amp;"|"&amp;COUNTIFS($E$7:$E213,$E213))</f>
        <v/>
      </c>
      <c r="L213" s="65" t="str">
        <f>IF($D213="","",$D213&amp;"|"&amp;COUNTIFS($D$7:$D213,$D213))</f>
        <v/>
      </c>
      <c r="M213" s="65" t="str">
        <f>IF(AND($E213&lt;&gt;"",COUNTIF($G213,"KÂR PAYI / AVANS*")&gt;0),$E213&amp;"|"&amp;COUNTIFS($E$7:$E213,$E213,$G$7:$G213,"KÂR PAYI / AVANS*"),"")</f>
        <v/>
      </c>
    </row>
    <row r="214" spans="1:13" ht="18" hidden="1" customHeight="1" x14ac:dyDescent="0.3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65" t="str">
        <f>IF($E214="","",$E214&amp;"|"&amp;COUNTIFS($E$7:$E214,$E214))</f>
        <v/>
      </c>
      <c r="L214" s="65" t="str">
        <f>IF($D214="","",$D214&amp;"|"&amp;COUNTIFS($D$7:$D214,$D214))</f>
        <v/>
      </c>
      <c r="M214" s="65" t="str">
        <f>IF(AND($E214&lt;&gt;"",COUNTIF($G214,"KÂR PAYI / AVANS*")&gt;0),$E214&amp;"|"&amp;COUNTIFS($E$7:$E214,$E214,$G$7:$G214,"KÂR PAYI / AVANS*"),"")</f>
        <v/>
      </c>
    </row>
    <row r="215" spans="1:13" ht="18" hidden="1" customHeight="1" x14ac:dyDescent="0.3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65" t="str">
        <f>IF($E215="","",$E215&amp;"|"&amp;COUNTIFS($E$7:$E215,$E215))</f>
        <v/>
      </c>
      <c r="L215" s="65" t="str">
        <f>IF($D215="","",$D215&amp;"|"&amp;COUNTIFS($D$7:$D215,$D215))</f>
        <v/>
      </c>
      <c r="M215" s="65" t="str">
        <f>IF(AND($E215&lt;&gt;"",COUNTIF($G215,"KÂR PAYI / AVANS*")&gt;0),$E215&amp;"|"&amp;COUNTIFS($E$7:$E215,$E215,$G$7:$G215,"KÂR PAYI / AVANS*"),"")</f>
        <v/>
      </c>
    </row>
    <row r="216" spans="1:13" ht="18" hidden="1" customHeight="1" x14ac:dyDescent="0.3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65" t="str">
        <f>IF($E216="","",$E216&amp;"|"&amp;COUNTIFS($E$7:$E216,$E216))</f>
        <v/>
      </c>
      <c r="L216" s="65" t="str">
        <f>IF($D216="","",$D216&amp;"|"&amp;COUNTIFS($D$7:$D216,$D216))</f>
        <v/>
      </c>
      <c r="M216" s="65" t="str">
        <f>IF(AND($E216&lt;&gt;"",COUNTIF($G216,"KÂR PAYI / AVANS*")&gt;0),$E216&amp;"|"&amp;COUNTIFS($E$7:$E216,$E216,$G$7:$G216,"KÂR PAYI / AVANS*"),"")</f>
        <v/>
      </c>
    </row>
    <row r="217" spans="1:13" ht="18" hidden="1" customHeight="1" x14ac:dyDescent="0.3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65" t="str">
        <f>IF($E217="","",$E217&amp;"|"&amp;COUNTIFS($E$7:$E217,$E217))</f>
        <v/>
      </c>
      <c r="L217" s="65" t="str">
        <f>IF($D217="","",$D217&amp;"|"&amp;COUNTIFS($D$7:$D217,$D217))</f>
        <v/>
      </c>
      <c r="M217" s="65" t="str">
        <f>IF(AND($E217&lt;&gt;"",COUNTIF($G217,"KÂR PAYI / AVANS*")&gt;0),$E217&amp;"|"&amp;COUNTIFS($E$7:$E217,$E217,$G$7:$G217,"KÂR PAYI / AVANS*"),"")</f>
        <v/>
      </c>
    </row>
    <row r="218" spans="1:13" ht="18" hidden="1" customHeight="1" x14ac:dyDescent="0.3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65" t="str">
        <f>IF($E218="","",$E218&amp;"|"&amp;COUNTIFS($E$7:$E218,$E218))</f>
        <v/>
      </c>
      <c r="L218" s="65" t="str">
        <f>IF($D218="","",$D218&amp;"|"&amp;COUNTIFS($D$7:$D218,$D218))</f>
        <v/>
      </c>
      <c r="M218" s="65" t="str">
        <f>IF(AND($E218&lt;&gt;"",COUNTIF($G218,"KÂR PAYI / AVANS*")&gt;0),$E218&amp;"|"&amp;COUNTIFS($E$7:$E218,$E218,$G$7:$G218,"KÂR PAYI / AVANS*"),"")</f>
        <v/>
      </c>
    </row>
    <row r="219" spans="1:13" ht="18" hidden="1" customHeight="1" x14ac:dyDescent="0.3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65" t="str">
        <f>IF($E219="","",$E219&amp;"|"&amp;COUNTIFS($E$7:$E219,$E219))</f>
        <v/>
      </c>
      <c r="L219" s="65" t="str">
        <f>IF($D219="","",$D219&amp;"|"&amp;COUNTIFS($D$7:$D219,$D219))</f>
        <v/>
      </c>
      <c r="M219" s="65" t="str">
        <f>IF(AND($E219&lt;&gt;"",COUNTIF($G219,"KÂR PAYI / AVANS*")&gt;0),$E219&amp;"|"&amp;COUNTIFS($E$7:$E219,$E219,$G$7:$G219,"KÂR PAYI / AVANS*"),"")</f>
        <v/>
      </c>
    </row>
    <row r="220" spans="1:13" ht="18" hidden="1" customHeight="1" x14ac:dyDescent="0.3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65" t="str">
        <f>IF($E220="","",$E220&amp;"|"&amp;COUNTIFS($E$7:$E220,$E220))</f>
        <v/>
      </c>
      <c r="L220" s="65" t="str">
        <f>IF($D220="","",$D220&amp;"|"&amp;COUNTIFS($D$7:$D220,$D220))</f>
        <v/>
      </c>
      <c r="M220" s="65" t="str">
        <f>IF(AND($E220&lt;&gt;"",COUNTIF($G220,"KÂR PAYI / AVANS*")&gt;0),$E220&amp;"|"&amp;COUNTIFS($E$7:$E220,$E220,$G$7:$G220,"KÂR PAYI / AVANS*"),"")</f>
        <v/>
      </c>
    </row>
    <row r="221" spans="1:13" ht="18" hidden="1" customHeight="1" x14ac:dyDescent="0.3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65" t="str">
        <f>IF($E221="","",$E221&amp;"|"&amp;COUNTIFS($E$7:$E221,$E221))</f>
        <v/>
      </c>
      <c r="L221" s="65" t="str">
        <f>IF($D221="","",$D221&amp;"|"&amp;COUNTIFS($D$7:$D221,$D221))</f>
        <v/>
      </c>
      <c r="M221" s="65" t="str">
        <f>IF(AND($E221&lt;&gt;"",COUNTIF($G221,"KÂR PAYI / AVANS*")&gt;0),$E221&amp;"|"&amp;COUNTIFS($E$7:$E221,$E221,$G$7:$G221,"KÂR PAYI / AVANS*"),"")</f>
        <v/>
      </c>
    </row>
    <row r="222" spans="1:13" ht="18" hidden="1" customHeight="1" x14ac:dyDescent="0.3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65" t="str">
        <f>IF($E222="","",$E222&amp;"|"&amp;COUNTIFS($E$7:$E222,$E222))</f>
        <v/>
      </c>
      <c r="L222" s="65" t="str">
        <f>IF($D222="","",$D222&amp;"|"&amp;COUNTIFS($D$7:$D222,$D222))</f>
        <v/>
      </c>
      <c r="M222" s="65" t="str">
        <f>IF(AND($E222&lt;&gt;"",COUNTIF($G222,"KÂR PAYI / AVANS*")&gt;0),$E222&amp;"|"&amp;COUNTIFS($E$7:$E222,$E222,$G$7:$G222,"KÂR PAYI / AVANS*"),"")</f>
        <v/>
      </c>
    </row>
    <row r="223" spans="1:13" ht="18" hidden="1" customHeight="1" x14ac:dyDescent="0.3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65" t="str">
        <f>IF($E223="","",$E223&amp;"|"&amp;COUNTIFS($E$7:$E223,$E223))</f>
        <v/>
      </c>
      <c r="L223" s="65" t="str">
        <f>IF($D223="","",$D223&amp;"|"&amp;COUNTIFS($D$7:$D223,$D223))</f>
        <v/>
      </c>
      <c r="M223" s="65" t="str">
        <f>IF(AND($E223&lt;&gt;"",COUNTIF($G223,"KÂR PAYI / AVANS*")&gt;0),$E223&amp;"|"&amp;COUNTIFS($E$7:$E223,$E223,$G$7:$G223,"KÂR PAYI / AVANS*"),"")</f>
        <v/>
      </c>
    </row>
    <row r="224" spans="1:13" ht="18" hidden="1" customHeight="1" x14ac:dyDescent="0.3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65" t="str">
        <f>IF($E224="","",$E224&amp;"|"&amp;COUNTIFS($E$7:$E224,$E224))</f>
        <v/>
      </c>
      <c r="L224" s="65" t="str">
        <f>IF($D224="","",$D224&amp;"|"&amp;COUNTIFS($D$7:$D224,$D224))</f>
        <v/>
      </c>
      <c r="M224" s="65" t="str">
        <f>IF(AND($E224&lt;&gt;"",COUNTIF($G224,"KÂR PAYI / AVANS*")&gt;0),$E224&amp;"|"&amp;COUNTIFS($E$7:$E224,$E224,$G$7:$G224,"KÂR PAYI / AVANS*"),"")</f>
        <v/>
      </c>
    </row>
    <row r="225" spans="1:13" ht="18" hidden="1" customHeight="1" x14ac:dyDescent="0.3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65" t="str">
        <f>IF($E225="","",$E225&amp;"|"&amp;COUNTIFS($E$7:$E225,$E225))</f>
        <v/>
      </c>
      <c r="L225" s="65" t="str">
        <f>IF($D225="","",$D225&amp;"|"&amp;COUNTIFS($D$7:$D225,$D225))</f>
        <v/>
      </c>
      <c r="M225" s="65" t="str">
        <f>IF(AND($E225&lt;&gt;"",COUNTIF($G225,"KÂR PAYI / AVANS*")&gt;0),$E225&amp;"|"&amp;COUNTIFS($E$7:$E225,$E225,$G$7:$G225,"KÂR PAYI / AVANS*"),"")</f>
        <v/>
      </c>
    </row>
    <row r="226" spans="1:13" ht="18" hidden="1" customHeight="1" x14ac:dyDescent="0.3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65" t="str">
        <f>IF($E226="","",$E226&amp;"|"&amp;COUNTIFS($E$7:$E226,$E226))</f>
        <v/>
      </c>
      <c r="L226" s="65" t="str">
        <f>IF($D226="","",$D226&amp;"|"&amp;COUNTIFS($D$7:$D226,$D226))</f>
        <v/>
      </c>
      <c r="M226" s="65" t="str">
        <f>IF(AND($E226&lt;&gt;"",COUNTIF($G226,"KÂR PAYI / AVANS*")&gt;0),$E226&amp;"|"&amp;COUNTIFS($E$7:$E226,$E226,$G$7:$G226,"KÂR PAYI / AVANS*"),"")</f>
        <v/>
      </c>
    </row>
    <row r="227" spans="1:13" ht="18" hidden="1" customHeight="1" x14ac:dyDescent="0.3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65" t="str">
        <f>IF($E227="","",$E227&amp;"|"&amp;COUNTIFS($E$7:$E227,$E227))</f>
        <v/>
      </c>
      <c r="L227" s="65" t="str">
        <f>IF($D227="","",$D227&amp;"|"&amp;COUNTIFS($D$7:$D227,$D227))</f>
        <v/>
      </c>
      <c r="M227" s="65" t="str">
        <f>IF(AND($E227&lt;&gt;"",COUNTIF($G227,"KÂR PAYI / AVANS*")&gt;0),$E227&amp;"|"&amp;COUNTIFS($E$7:$E227,$E227,$G$7:$G227,"KÂR PAYI / AVANS*"),"")</f>
        <v/>
      </c>
    </row>
    <row r="228" spans="1:13" ht="18" hidden="1" customHeight="1" x14ac:dyDescent="0.3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65" t="str">
        <f>IF($E228="","",$E228&amp;"|"&amp;COUNTIFS($E$7:$E228,$E228))</f>
        <v/>
      </c>
      <c r="L228" s="65" t="str">
        <f>IF($D228="","",$D228&amp;"|"&amp;COUNTIFS($D$7:$D228,$D228))</f>
        <v/>
      </c>
      <c r="M228" s="65" t="str">
        <f>IF(AND($E228&lt;&gt;"",COUNTIF($G228,"KÂR PAYI / AVANS*")&gt;0),$E228&amp;"|"&amp;COUNTIFS($E$7:$E228,$E228,$G$7:$G228,"KÂR PAYI / AVANS*"),"")</f>
        <v/>
      </c>
    </row>
    <row r="229" spans="1:13" ht="18" hidden="1" customHeight="1" x14ac:dyDescent="0.3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65" t="str">
        <f>IF($E229="","",$E229&amp;"|"&amp;COUNTIFS($E$7:$E229,$E229))</f>
        <v/>
      </c>
      <c r="L229" s="65" t="str">
        <f>IF($D229="","",$D229&amp;"|"&amp;COUNTIFS($D$7:$D229,$D229))</f>
        <v/>
      </c>
      <c r="M229" s="65" t="str">
        <f>IF(AND($E229&lt;&gt;"",COUNTIF($G229,"KÂR PAYI / AVANS*")&gt;0),$E229&amp;"|"&amp;COUNTIFS($E$7:$E229,$E229,$G$7:$G229,"KÂR PAYI / AVANS*"),"")</f>
        <v/>
      </c>
    </row>
    <row r="230" spans="1:13" ht="18" hidden="1" customHeight="1" x14ac:dyDescent="0.3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65" t="str">
        <f>IF($E230="","",$E230&amp;"|"&amp;COUNTIFS($E$7:$E230,$E230))</f>
        <v/>
      </c>
      <c r="L230" s="65" t="str">
        <f>IF($D230="","",$D230&amp;"|"&amp;COUNTIFS($D$7:$D230,$D230))</f>
        <v/>
      </c>
      <c r="M230" s="65" t="str">
        <f>IF(AND($E230&lt;&gt;"",COUNTIF($G230,"KÂR PAYI / AVANS*")&gt;0),$E230&amp;"|"&amp;COUNTIFS($E$7:$E230,$E230,$G$7:$G230,"KÂR PAYI / AVANS*"),"")</f>
        <v/>
      </c>
    </row>
    <row r="231" spans="1:13" ht="18" hidden="1" customHeight="1" x14ac:dyDescent="0.3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65" t="str">
        <f>IF($E231="","",$E231&amp;"|"&amp;COUNTIFS($E$7:$E231,$E231))</f>
        <v/>
      </c>
      <c r="L231" s="65" t="str">
        <f>IF($D231="","",$D231&amp;"|"&amp;COUNTIFS($D$7:$D231,$D231))</f>
        <v/>
      </c>
      <c r="M231" s="65" t="str">
        <f>IF(AND($E231&lt;&gt;"",COUNTIF($G231,"KÂR PAYI / AVANS*")&gt;0),$E231&amp;"|"&amp;COUNTIFS($E$7:$E231,$E231,$G$7:$G231,"KÂR PAYI / AVANS*"),"")</f>
        <v/>
      </c>
    </row>
    <row r="232" spans="1:13" ht="18" hidden="1" customHeight="1" x14ac:dyDescent="0.3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65" t="str">
        <f>IF($E232="","",$E232&amp;"|"&amp;COUNTIFS($E$7:$E232,$E232))</f>
        <v/>
      </c>
      <c r="L232" s="65" t="str">
        <f>IF($D232="","",$D232&amp;"|"&amp;COUNTIFS($D$7:$D232,$D232))</f>
        <v/>
      </c>
      <c r="M232" s="65" t="str">
        <f>IF(AND($E232&lt;&gt;"",COUNTIF($G232,"KÂR PAYI / AVANS*")&gt;0),$E232&amp;"|"&amp;COUNTIFS($E$7:$E232,$E232,$G$7:$G232,"KÂR PAYI / AVANS*"),"")</f>
        <v/>
      </c>
    </row>
    <row r="233" spans="1:13" ht="18" hidden="1" customHeight="1" x14ac:dyDescent="0.3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65" t="str">
        <f>IF($E233="","",$E233&amp;"|"&amp;COUNTIFS($E$7:$E233,$E233))</f>
        <v/>
      </c>
      <c r="L233" s="65" t="str">
        <f>IF($D233="","",$D233&amp;"|"&amp;COUNTIFS($D$7:$D233,$D233))</f>
        <v/>
      </c>
      <c r="M233" s="65" t="str">
        <f>IF(AND($E233&lt;&gt;"",COUNTIF($G233,"KÂR PAYI / AVANS*")&gt;0),$E233&amp;"|"&amp;COUNTIFS($E$7:$E233,$E233,$G$7:$G233,"KÂR PAYI / AVANS*"),"")</f>
        <v/>
      </c>
    </row>
    <row r="234" spans="1:13" ht="18" hidden="1" customHeight="1" x14ac:dyDescent="0.3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65" t="str">
        <f>IF($E234="","",$E234&amp;"|"&amp;COUNTIFS($E$7:$E234,$E234))</f>
        <v/>
      </c>
      <c r="L234" s="65" t="str">
        <f>IF($D234="","",$D234&amp;"|"&amp;COUNTIFS($D$7:$D234,$D234))</f>
        <v/>
      </c>
      <c r="M234" s="65" t="str">
        <f>IF(AND($E234&lt;&gt;"",COUNTIF($G234,"KÂR PAYI / AVANS*")&gt;0),$E234&amp;"|"&amp;COUNTIFS($E$7:$E234,$E234,$G$7:$G234,"KÂR PAYI / AVANS*"),"")</f>
        <v/>
      </c>
    </row>
    <row r="235" spans="1:13" ht="18" hidden="1" customHeight="1" x14ac:dyDescent="0.3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65" t="str">
        <f>IF($E235="","",$E235&amp;"|"&amp;COUNTIFS($E$7:$E235,$E235))</f>
        <v/>
      </c>
      <c r="L235" s="65" t="str">
        <f>IF($D235="","",$D235&amp;"|"&amp;COUNTIFS($D$7:$D235,$D235))</f>
        <v/>
      </c>
      <c r="M235" s="65" t="str">
        <f>IF(AND($E235&lt;&gt;"",COUNTIF($G235,"KÂR PAYI / AVANS*")&gt;0),$E235&amp;"|"&amp;COUNTIFS($E$7:$E235,$E235,$G$7:$G235,"KÂR PAYI / AVANS*"),"")</f>
        <v/>
      </c>
    </row>
    <row r="236" spans="1:13" ht="18" hidden="1" customHeight="1" x14ac:dyDescent="0.3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65" t="str">
        <f>IF($E236="","",$E236&amp;"|"&amp;COUNTIFS($E$7:$E236,$E236))</f>
        <v/>
      </c>
      <c r="L236" s="65" t="str">
        <f>IF($D236="","",$D236&amp;"|"&amp;COUNTIFS($D$7:$D236,$D236))</f>
        <v/>
      </c>
      <c r="M236" s="65" t="str">
        <f>IF(AND($E236&lt;&gt;"",COUNTIF($G236,"KÂR PAYI / AVANS*")&gt;0),$E236&amp;"|"&amp;COUNTIFS($E$7:$E236,$E236,$G$7:$G236,"KÂR PAYI / AVANS*"),"")</f>
        <v/>
      </c>
    </row>
    <row r="237" spans="1:13" ht="18" hidden="1" customHeight="1" x14ac:dyDescent="0.3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65" t="str">
        <f>IF($E237="","",$E237&amp;"|"&amp;COUNTIFS($E$7:$E237,$E237))</f>
        <v/>
      </c>
      <c r="L237" s="65" t="str">
        <f>IF($D237="","",$D237&amp;"|"&amp;COUNTIFS($D$7:$D237,$D237))</f>
        <v/>
      </c>
      <c r="M237" s="65" t="str">
        <f>IF(AND($E237&lt;&gt;"",COUNTIF($G237,"KÂR PAYI / AVANS*")&gt;0),$E237&amp;"|"&amp;COUNTIFS($E$7:$E237,$E237,$G$7:$G237,"KÂR PAYI / AVANS*"),"")</f>
        <v/>
      </c>
    </row>
    <row r="238" spans="1:13" ht="18" hidden="1" customHeight="1" x14ac:dyDescent="0.3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65" t="str">
        <f>IF($E238="","",$E238&amp;"|"&amp;COUNTIFS($E$7:$E238,$E238))</f>
        <v/>
      </c>
      <c r="L238" s="65" t="str">
        <f>IF($D238="","",$D238&amp;"|"&amp;COUNTIFS($D$7:$D238,$D238))</f>
        <v/>
      </c>
      <c r="M238" s="65" t="str">
        <f>IF(AND($E238&lt;&gt;"",COUNTIF($G238,"KÂR PAYI / AVANS*")&gt;0),$E238&amp;"|"&amp;COUNTIFS($E$7:$E238,$E238,$G$7:$G238,"KÂR PAYI / AVANS*"),"")</f>
        <v/>
      </c>
    </row>
    <row r="239" spans="1:13" ht="18" hidden="1" customHeight="1" x14ac:dyDescent="0.3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65" t="str">
        <f>IF($E239="","",$E239&amp;"|"&amp;COUNTIFS($E$7:$E239,$E239))</f>
        <v/>
      </c>
      <c r="L239" s="65" t="str">
        <f>IF($D239="","",$D239&amp;"|"&amp;COUNTIFS($D$7:$D239,$D239))</f>
        <v/>
      </c>
      <c r="M239" s="65" t="str">
        <f>IF(AND($E239&lt;&gt;"",COUNTIF($G239,"KÂR PAYI / AVANS*")&gt;0),$E239&amp;"|"&amp;COUNTIFS($E$7:$E239,$E239,$G$7:$G239,"KÂR PAYI / AVANS*"),"")</f>
        <v/>
      </c>
    </row>
    <row r="240" spans="1:13" ht="18" hidden="1" customHeight="1" x14ac:dyDescent="0.3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65" t="str">
        <f>IF($E240="","",$E240&amp;"|"&amp;COUNTIFS($E$7:$E240,$E240))</f>
        <v/>
      </c>
      <c r="L240" s="65" t="str">
        <f>IF($D240="","",$D240&amp;"|"&amp;COUNTIFS($D$7:$D240,$D240))</f>
        <v/>
      </c>
      <c r="M240" s="65" t="str">
        <f>IF(AND($E240&lt;&gt;"",COUNTIF($G240,"KÂR PAYI / AVANS*")&gt;0),$E240&amp;"|"&amp;COUNTIFS($E$7:$E240,$E240,$G$7:$G240,"KÂR PAYI / AVANS*"),"")</f>
        <v/>
      </c>
    </row>
    <row r="241" spans="1:13" ht="18" hidden="1" customHeight="1" x14ac:dyDescent="0.3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65" t="str">
        <f>IF($E241="","",$E241&amp;"|"&amp;COUNTIFS($E$7:$E241,$E241))</f>
        <v/>
      </c>
      <c r="L241" s="65" t="str">
        <f>IF($D241="","",$D241&amp;"|"&amp;COUNTIFS($D$7:$D241,$D241))</f>
        <v/>
      </c>
      <c r="M241" s="65" t="str">
        <f>IF(AND($E241&lt;&gt;"",COUNTIF($G241,"KÂR PAYI / AVANS*")&gt;0),$E241&amp;"|"&amp;COUNTIFS($E$7:$E241,$E241,$G$7:$G241,"KÂR PAYI / AVANS*"),"")</f>
        <v/>
      </c>
    </row>
    <row r="242" spans="1:13" ht="18" hidden="1" customHeight="1" x14ac:dyDescent="0.3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65" t="str">
        <f>IF($E242="","",$E242&amp;"|"&amp;COUNTIFS($E$7:$E242,$E242))</f>
        <v/>
      </c>
      <c r="L242" s="65" t="str">
        <f>IF($D242="","",$D242&amp;"|"&amp;COUNTIFS($D$7:$D242,$D242))</f>
        <v/>
      </c>
      <c r="M242" s="65" t="str">
        <f>IF(AND($E242&lt;&gt;"",COUNTIF($G242,"KÂR PAYI / AVANS*")&gt;0),$E242&amp;"|"&amp;COUNTIFS($E$7:$E242,$E242,$G$7:$G242,"KÂR PAYI / AVANS*"),"")</f>
        <v/>
      </c>
    </row>
    <row r="243" spans="1:13" ht="18" hidden="1" customHeight="1" x14ac:dyDescent="0.3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65" t="str">
        <f>IF($E243="","",$E243&amp;"|"&amp;COUNTIFS($E$7:$E243,$E243))</f>
        <v/>
      </c>
      <c r="L243" s="65" t="str">
        <f>IF($D243="","",$D243&amp;"|"&amp;COUNTIFS($D$7:$D243,$D243))</f>
        <v/>
      </c>
      <c r="M243" s="65" t="str">
        <f>IF(AND($E243&lt;&gt;"",COUNTIF($G243,"KÂR PAYI / AVANS*")&gt;0),$E243&amp;"|"&amp;COUNTIFS($E$7:$E243,$E243,$G$7:$G243,"KÂR PAYI / AVANS*"),"")</f>
        <v/>
      </c>
    </row>
    <row r="244" spans="1:13" ht="18" hidden="1" customHeight="1" x14ac:dyDescent="0.3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65" t="str">
        <f>IF($E244="","",$E244&amp;"|"&amp;COUNTIFS($E$7:$E244,$E244))</f>
        <v/>
      </c>
      <c r="L244" s="65" t="str">
        <f>IF($D244="","",$D244&amp;"|"&amp;COUNTIFS($D$7:$D244,$D244))</f>
        <v/>
      </c>
      <c r="M244" s="65" t="str">
        <f>IF(AND($E244&lt;&gt;"",COUNTIF($G244,"KÂR PAYI / AVANS*")&gt;0),$E244&amp;"|"&amp;COUNTIFS($E$7:$E244,$E244,$G$7:$G244,"KÂR PAYI / AVANS*"),"")</f>
        <v/>
      </c>
    </row>
    <row r="245" spans="1:13" ht="18" hidden="1" customHeight="1" x14ac:dyDescent="0.3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65" t="str">
        <f>IF($E245="","",$E245&amp;"|"&amp;COUNTIFS($E$7:$E245,$E245))</f>
        <v/>
      </c>
      <c r="L245" s="65" t="str">
        <f>IF($D245="","",$D245&amp;"|"&amp;COUNTIFS($D$7:$D245,$D245))</f>
        <v/>
      </c>
      <c r="M245" s="65" t="str">
        <f>IF(AND($E245&lt;&gt;"",COUNTIF($G245,"KÂR PAYI / AVANS*")&gt;0),$E245&amp;"|"&amp;COUNTIFS($E$7:$E245,$E245,$G$7:$G245,"KÂR PAYI / AVANS*"),"")</f>
        <v/>
      </c>
    </row>
    <row r="246" spans="1:13" ht="18" hidden="1" customHeight="1" x14ac:dyDescent="0.3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65" t="str">
        <f>IF($E246="","",$E246&amp;"|"&amp;COUNTIFS($E$7:$E246,$E246))</f>
        <v/>
      </c>
      <c r="L246" s="65" t="str">
        <f>IF($D246="","",$D246&amp;"|"&amp;COUNTIFS($D$7:$D246,$D246))</f>
        <v/>
      </c>
      <c r="M246" s="65" t="str">
        <f>IF(AND($E246&lt;&gt;"",COUNTIF($G246,"KÂR PAYI / AVANS*")&gt;0),$E246&amp;"|"&amp;COUNTIFS($E$7:$E246,$E246,$G$7:$G246,"KÂR PAYI / AVANS*"),"")</f>
        <v/>
      </c>
    </row>
    <row r="247" spans="1:13" ht="18" hidden="1" customHeight="1" x14ac:dyDescent="0.3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65" t="str">
        <f>IF($E247="","",$E247&amp;"|"&amp;COUNTIFS($E$7:$E247,$E247))</f>
        <v/>
      </c>
      <c r="L247" s="65" t="str">
        <f>IF($D247="","",$D247&amp;"|"&amp;COUNTIFS($D$7:$D247,$D247))</f>
        <v/>
      </c>
      <c r="M247" s="65" t="str">
        <f>IF(AND($E247&lt;&gt;"",COUNTIF($G247,"KÂR PAYI / AVANS*")&gt;0),$E247&amp;"|"&amp;COUNTIFS($E$7:$E247,$E247,$G$7:$G247,"KÂR PAYI / AVANS*"),"")</f>
        <v/>
      </c>
    </row>
    <row r="248" spans="1:13" ht="18" hidden="1" customHeight="1" x14ac:dyDescent="0.3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65" t="str">
        <f>IF($E248="","",$E248&amp;"|"&amp;COUNTIFS($E$7:$E248,$E248))</f>
        <v/>
      </c>
      <c r="L248" s="65" t="str">
        <f>IF($D248="","",$D248&amp;"|"&amp;COUNTIFS($D$7:$D248,$D248))</f>
        <v/>
      </c>
      <c r="M248" s="65" t="str">
        <f>IF(AND($E248&lt;&gt;"",COUNTIF($G248,"KÂR PAYI / AVANS*")&gt;0),$E248&amp;"|"&amp;COUNTIFS($E$7:$E248,$E248,$G$7:$G248,"KÂR PAYI / AVANS*"),"")</f>
        <v/>
      </c>
    </row>
    <row r="249" spans="1:13" ht="18" hidden="1" customHeight="1" x14ac:dyDescent="0.3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65" t="str">
        <f>IF($E249="","",$E249&amp;"|"&amp;COUNTIFS($E$7:$E249,$E249))</f>
        <v/>
      </c>
      <c r="L249" s="65" t="str">
        <f>IF($D249="","",$D249&amp;"|"&amp;COUNTIFS($D$7:$D249,$D249))</f>
        <v/>
      </c>
      <c r="M249" s="65" t="str">
        <f>IF(AND($E249&lt;&gt;"",COUNTIF($G249,"KÂR PAYI / AVANS*")&gt;0),$E249&amp;"|"&amp;COUNTIFS($E$7:$E249,$E249,$G$7:$G249,"KÂR PAYI / AVANS*"),"")</f>
        <v/>
      </c>
    </row>
    <row r="250" spans="1:13" ht="18" hidden="1" customHeight="1" x14ac:dyDescent="0.3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65" t="str">
        <f>IF($E250="","",$E250&amp;"|"&amp;COUNTIFS($E$7:$E250,$E250))</f>
        <v/>
      </c>
      <c r="L250" s="65" t="str">
        <f>IF($D250="","",$D250&amp;"|"&amp;COUNTIFS($D$7:$D250,$D250))</f>
        <v/>
      </c>
      <c r="M250" s="65" t="str">
        <f>IF(AND($E250&lt;&gt;"",COUNTIF($G250,"KÂR PAYI / AVANS*")&gt;0),$E250&amp;"|"&amp;COUNTIFS($E$7:$E250,$E250,$G$7:$G250,"KÂR PAYI / AVANS*"),"")</f>
        <v/>
      </c>
    </row>
    <row r="251" spans="1:13" ht="18" hidden="1" customHeight="1" x14ac:dyDescent="0.3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65" t="str">
        <f>IF($E251="","",$E251&amp;"|"&amp;COUNTIFS($E$7:$E251,$E251))</f>
        <v/>
      </c>
      <c r="L251" s="65" t="str">
        <f>IF($D251="","",$D251&amp;"|"&amp;COUNTIFS($D$7:$D251,$D251))</f>
        <v/>
      </c>
      <c r="M251" s="65" t="str">
        <f>IF(AND($E251&lt;&gt;"",COUNTIF($G251,"KÂR PAYI / AVANS*")&gt;0),$E251&amp;"|"&amp;COUNTIFS($E$7:$E251,$E251,$G$7:$G251,"KÂR PAYI / AVANS*"),"")</f>
        <v/>
      </c>
    </row>
    <row r="252" spans="1:13" ht="18" hidden="1" customHeight="1" x14ac:dyDescent="0.3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65" t="str">
        <f>IF($E252="","",$E252&amp;"|"&amp;COUNTIFS($E$7:$E252,$E252))</f>
        <v/>
      </c>
      <c r="L252" s="65" t="str">
        <f>IF($D252="","",$D252&amp;"|"&amp;COUNTIFS($D$7:$D252,$D252))</f>
        <v/>
      </c>
      <c r="M252" s="65" t="str">
        <f>IF(AND($E252&lt;&gt;"",COUNTIF($G252,"KÂR PAYI / AVANS*")&gt;0),$E252&amp;"|"&amp;COUNTIFS($E$7:$E252,$E252,$G$7:$G252,"KÂR PAYI / AVANS*"),"")</f>
        <v/>
      </c>
    </row>
    <row r="253" spans="1:13" ht="18" hidden="1" customHeight="1" x14ac:dyDescent="0.3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65" t="str">
        <f>IF($E253="","",$E253&amp;"|"&amp;COUNTIFS($E$7:$E253,$E253))</f>
        <v/>
      </c>
      <c r="L253" s="65" t="str">
        <f>IF($D253="","",$D253&amp;"|"&amp;COUNTIFS($D$7:$D253,$D253))</f>
        <v/>
      </c>
      <c r="M253" s="65" t="str">
        <f>IF(AND($E253&lt;&gt;"",COUNTIF($G253,"KÂR PAYI / AVANS*")&gt;0),$E253&amp;"|"&amp;COUNTIFS($E$7:$E253,$E253,$G$7:$G253,"KÂR PAYI / AVANS*"),"")</f>
        <v/>
      </c>
    </row>
    <row r="254" spans="1:13" ht="18" hidden="1" customHeight="1" x14ac:dyDescent="0.3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65" t="str">
        <f>IF($E254="","",$E254&amp;"|"&amp;COUNTIFS($E$7:$E254,$E254))</f>
        <v/>
      </c>
      <c r="L254" s="65" t="str">
        <f>IF($D254="","",$D254&amp;"|"&amp;COUNTIFS($D$7:$D254,$D254))</f>
        <v/>
      </c>
      <c r="M254" s="65" t="str">
        <f>IF(AND($E254&lt;&gt;"",COUNTIF($G254,"KÂR PAYI / AVANS*")&gt;0),$E254&amp;"|"&amp;COUNTIFS($E$7:$E254,$E254,$G$7:$G254,"KÂR PAYI / AVANS*"),"")</f>
        <v/>
      </c>
    </row>
    <row r="255" spans="1:13" ht="18" hidden="1" customHeight="1" x14ac:dyDescent="0.3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65" t="str">
        <f>IF($E255="","",$E255&amp;"|"&amp;COUNTIFS($E$7:$E255,$E255))</f>
        <v/>
      </c>
      <c r="L255" s="65" t="str">
        <f>IF($D255="","",$D255&amp;"|"&amp;COUNTIFS($D$7:$D255,$D255))</f>
        <v/>
      </c>
      <c r="M255" s="65" t="str">
        <f>IF(AND($E255&lt;&gt;"",COUNTIF($G255,"KÂR PAYI / AVANS*")&gt;0),$E255&amp;"|"&amp;COUNTIFS($E$7:$E255,$E255,$G$7:$G255,"KÂR PAYI / AVANS*"),"")</f>
        <v/>
      </c>
    </row>
    <row r="256" spans="1:13" ht="18" hidden="1" customHeight="1" x14ac:dyDescent="0.3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65" t="str">
        <f>IF($E256="","",$E256&amp;"|"&amp;COUNTIFS($E$7:$E256,$E256))</f>
        <v/>
      </c>
      <c r="L256" s="65" t="str">
        <f>IF($D256="","",$D256&amp;"|"&amp;COUNTIFS($D$7:$D256,$D256))</f>
        <v/>
      </c>
      <c r="M256" s="65" t="str">
        <f>IF(AND($E256&lt;&gt;"",COUNTIF($G256,"KÂR PAYI / AVANS*")&gt;0),$E256&amp;"|"&amp;COUNTIFS($E$7:$E256,$E256,$G$7:$G256,"KÂR PAYI / AVANS*"),"")</f>
        <v/>
      </c>
    </row>
    <row r="257" spans="1:13" ht="18" hidden="1" customHeight="1" x14ac:dyDescent="0.3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65" t="str">
        <f>IF($E257="","",$E257&amp;"|"&amp;COUNTIFS($E$7:$E257,$E257))</f>
        <v/>
      </c>
      <c r="L257" s="65" t="str">
        <f>IF($D257="","",$D257&amp;"|"&amp;COUNTIFS($D$7:$D257,$D257))</f>
        <v/>
      </c>
      <c r="M257" s="65" t="str">
        <f>IF(AND($E257&lt;&gt;"",COUNTIF($G257,"KÂR PAYI / AVANS*")&gt;0),$E257&amp;"|"&amp;COUNTIFS($E$7:$E257,$E257,$G$7:$G257,"KÂR PAYI / AVANS*"),"")</f>
        <v/>
      </c>
    </row>
    <row r="258" spans="1:13" ht="18" hidden="1" customHeight="1" x14ac:dyDescent="0.3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65" t="str">
        <f>IF($E258="","",$E258&amp;"|"&amp;COUNTIFS($E$7:$E258,$E258))</f>
        <v/>
      </c>
      <c r="L258" s="65" t="str">
        <f>IF($D258="","",$D258&amp;"|"&amp;COUNTIFS($D$7:$D258,$D258))</f>
        <v/>
      </c>
      <c r="M258" s="65" t="str">
        <f>IF(AND($E258&lt;&gt;"",COUNTIF($G258,"KÂR PAYI / AVANS*")&gt;0),$E258&amp;"|"&amp;COUNTIFS($E$7:$E258,$E258,$G$7:$G258,"KÂR PAYI / AVANS*"),"")</f>
        <v/>
      </c>
    </row>
    <row r="259" spans="1:13" ht="18" hidden="1" customHeight="1" x14ac:dyDescent="0.3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65" t="str">
        <f>IF($E259="","",$E259&amp;"|"&amp;COUNTIFS($E$7:$E259,$E259))</f>
        <v/>
      </c>
      <c r="L259" s="65" t="str">
        <f>IF($D259="","",$D259&amp;"|"&amp;COUNTIFS($D$7:$D259,$D259))</f>
        <v/>
      </c>
      <c r="M259" s="65" t="str">
        <f>IF(AND($E259&lt;&gt;"",COUNTIF($G259,"KÂR PAYI / AVANS*")&gt;0),$E259&amp;"|"&amp;COUNTIFS($E$7:$E259,$E259,$G$7:$G259,"KÂR PAYI / AVANS*"),"")</f>
        <v/>
      </c>
    </row>
    <row r="260" spans="1:13" ht="18" hidden="1" customHeight="1" x14ac:dyDescent="0.3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65" t="str">
        <f>IF($E260="","",$E260&amp;"|"&amp;COUNTIFS($E$7:$E260,$E260))</f>
        <v/>
      </c>
      <c r="L260" s="65" t="str">
        <f>IF($D260="","",$D260&amp;"|"&amp;COUNTIFS($D$7:$D260,$D260))</f>
        <v/>
      </c>
      <c r="M260" s="65" t="str">
        <f>IF(AND($E260&lt;&gt;"",COUNTIF($G260,"KÂR PAYI / AVANS*")&gt;0),$E260&amp;"|"&amp;COUNTIFS($E$7:$E260,$E260,$G$7:$G260,"KÂR PAYI / AVANS*"),"")</f>
        <v/>
      </c>
    </row>
    <row r="261" spans="1:13" ht="18" hidden="1" customHeight="1" x14ac:dyDescent="0.3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65" t="str">
        <f>IF($E261="","",$E261&amp;"|"&amp;COUNTIFS($E$7:$E261,$E261))</f>
        <v/>
      </c>
      <c r="L261" s="65" t="str">
        <f>IF($D261="","",$D261&amp;"|"&amp;COUNTIFS($D$7:$D261,$D261))</f>
        <v/>
      </c>
      <c r="M261" s="65" t="str">
        <f>IF(AND($E261&lt;&gt;"",COUNTIF($G261,"KÂR PAYI / AVANS*")&gt;0),$E261&amp;"|"&amp;COUNTIFS($E$7:$E261,$E261,$G$7:$G261,"KÂR PAYI / AVANS*"),"")</f>
        <v/>
      </c>
    </row>
    <row r="262" spans="1:13" ht="18" hidden="1" customHeight="1" x14ac:dyDescent="0.3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65" t="str">
        <f>IF($E262="","",$E262&amp;"|"&amp;COUNTIFS($E$7:$E262,$E262))</f>
        <v/>
      </c>
      <c r="L262" s="65" t="str">
        <f>IF($D262="","",$D262&amp;"|"&amp;COUNTIFS($D$7:$D262,$D262))</f>
        <v/>
      </c>
      <c r="M262" s="65" t="str">
        <f>IF(AND($E262&lt;&gt;"",COUNTIF($G262,"KÂR PAYI / AVANS*")&gt;0),$E262&amp;"|"&amp;COUNTIFS($E$7:$E262,$E262,$G$7:$G262,"KÂR PAYI / AVANS*"),"")</f>
        <v/>
      </c>
    </row>
    <row r="263" spans="1:13" ht="18" hidden="1" customHeight="1" x14ac:dyDescent="0.3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65" t="str">
        <f>IF($E263="","",$E263&amp;"|"&amp;COUNTIFS($E$7:$E263,$E263))</f>
        <v/>
      </c>
      <c r="L263" s="65" t="str">
        <f>IF($D263="","",$D263&amp;"|"&amp;COUNTIFS($D$7:$D263,$D263))</f>
        <v/>
      </c>
      <c r="M263" s="65" t="str">
        <f>IF(AND($E263&lt;&gt;"",COUNTIF($G263,"KÂR PAYI / AVANS*")&gt;0),$E263&amp;"|"&amp;COUNTIFS($E$7:$E263,$E263,$G$7:$G263,"KÂR PAYI / AVANS*"),"")</f>
        <v/>
      </c>
    </row>
    <row r="264" spans="1:13" ht="18" hidden="1" customHeight="1" x14ac:dyDescent="0.3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65" t="str">
        <f>IF($E264="","",$E264&amp;"|"&amp;COUNTIFS($E$7:$E264,$E264))</f>
        <v/>
      </c>
      <c r="L264" s="65" t="str">
        <f>IF($D264="","",$D264&amp;"|"&amp;COUNTIFS($D$7:$D264,$D264))</f>
        <v/>
      </c>
      <c r="M264" s="65" t="str">
        <f>IF(AND($E264&lt;&gt;"",COUNTIF($G264,"KÂR PAYI / AVANS*")&gt;0),$E264&amp;"|"&amp;COUNTIFS($E$7:$E264,$E264,$G$7:$G264,"KÂR PAYI / AVANS*"),"")</f>
        <v/>
      </c>
    </row>
    <row r="265" spans="1:13" ht="18" hidden="1" customHeight="1" x14ac:dyDescent="0.3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65" t="str">
        <f>IF($E265="","",$E265&amp;"|"&amp;COUNTIFS($E$7:$E265,$E265))</f>
        <v/>
      </c>
      <c r="L265" s="65" t="str">
        <f>IF($D265="","",$D265&amp;"|"&amp;COUNTIFS($D$7:$D265,$D265))</f>
        <v/>
      </c>
      <c r="M265" s="65" t="str">
        <f>IF(AND($E265&lt;&gt;"",COUNTIF($G265,"KÂR PAYI / AVANS*")&gt;0),$E265&amp;"|"&amp;COUNTIFS($E$7:$E265,$E265,$G$7:$G265,"KÂR PAYI / AVANS*"),"")</f>
        <v/>
      </c>
    </row>
    <row r="266" spans="1:13" ht="18" hidden="1" customHeight="1" x14ac:dyDescent="0.3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65" t="str">
        <f>IF($E266="","",$E266&amp;"|"&amp;COUNTIFS($E$7:$E266,$E266))</f>
        <v/>
      </c>
      <c r="L266" s="65" t="str">
        <f>IF($D266="","",$D266&amp;"|"&amp;COUNTIFS($D$7:$D266,$D266))</f>
        <v/>
      </c>
      <c r="M266" s="65" t="str">
        <f>IF(AND($E266&lt;&gt;"",COUNTIF($G266,"KÂR PAYI / AVANS*")&gt;0),$E266&amp;"|"&amp;COUNTIFS($E$7:$E266,$E266,$G$7:$G266,"KÂR PAYI / AVANS*"),"")</f>
        <v/>
      </c>
    </row>
    <row r="267" spans="1:13" ht="18" hidden="1" customHeight="1" x14ac:dyDescent="0.3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65" t="str">
        <f>IF($E267="","",$E267&amp;"|"&amp;COUNTIFS($E$7:$E267,$E267))</f>
        <v/>
      </c>
      <c r="L267" s="65" t="str">
        <f>IF($D267="","",$D267&amp;"|"&amp;COUNTIFS($D$7:$D267,$D267))</f>
        <v/>
      </c>
      <c r="M267" s="65" t="str">
        <f>IF(AND($E267&lt;&gt;"",COUNTIF($G267,"KÂR PAYI / AVANS*")&gt;0),$E267&amp;"|"&amp;COUNTIFS($E$7:$E267,$E267,$G$7:$G267,"KÂR PAYI / AVANS*"),"")</f>
        <v/>
      </c>
    </row>
    <row r="268" spans="1:13" ht="18" hidden="1" customHeight="1" x14ac:dyDescent="0.3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65" t="str">
        <f>IF($E268="","",$E268&amp;"|"&amp;COUNTIFS($E$7:$E268,$E268))</f>
        <v/>
      </c>
      <c r="L268" s="65" t="str">
        <f>IF($D268="","",$D268&amp;"|"&amp;COUNTIFS($D$7:$D268,$D268))</f>
        <v/>
      </c>
      <c r="M268" s="65" t="str">
        <f>IF(AND($E268&lt;&gt;"",COUNTIF($G268,"KÂR PAYI / AVANS*")&gt;0),$E268&amp;"|"&amp;COUNTIFS($E$7:$E268,$E268,$G$7:$G268,"KÂR PAYI / AVANS*"),"")</f>
        <v/>
      </c>
    </row>
    <row r="269" spans="1:13" ht="18" hidden="1" customHeight="1" x14ac:dyDescent="0.3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65" t="str">
        <f>IF($E269="","",$E269&amp;"|"&amp;COUNTIFS($E$7:$E269,$E269))</f>
        <v/>
      </c>
      <c r="L269" s="65" t="str">
        <f>IF($D269="","",$D269&amp;"|"&amp;COUNTIFS($D$7:$D269,$D269))</f>
        <v/>
      </c>
      <c r="M269" s="65" t="str">
        <f>IF(AND($E269&lt;&gt;"",COUNTIF($G269,"KÂR PAYI / AVANS*")&gt;0),$E269&amp;"|"&amp;COUNTIFS($E$7:$E269,$E269,$G$7:$G269,"KÂR PAYI / AVANS*"),"")</f>
        <v/>
      </c>
    </row>
    <row r="270" spans="1:13" ht="18" hidden="1" customHeight="1" x14ac:dyDescent="0.3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65" t="str">
        <f>IF($E270="","",$E270&amp;"|"&amp;COUNTIFS($E$7:$E270,$E270))</f>
        <v/>
      </c>
      <c r="L270" s="65" t="str">
        <f>IF($D270="","",$D270&amp;"|"&amp;COUNTIFS($D$7:$D270,$D270))</f>
        <v/>
      </c>
      <c r="M270" s="65" t="str">
        <f>IF(AND($E270&lt;&gt;"",COUNTIF($G270,"KÂR PAYI / AVANS*")&gt;0),$E270&amp;"|"&amp;COUNTIFS($E$7:$E270,$E270,$G$7:$G270,"KÂR PAYI / AVANS*"),"")</f>
        <v/>
      </c>
    </row>
    <row r="271" spans="1:13" ht="18" hidden="1" customHeight="1" x14ac:dyDescent="0.3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65" t="str">
        <f>IF($E271="","",$E271&amp;"|"&amp;COUNTIFS($E$7:$E271,$E271))</f>
        <v/>
      </c>
      <c r="L271" s="65" t="str">
        <f>IF($D271="","",$D271&amp;"|"&amp;COUNTIFS($D$7:$D271,$D271))</f>
        <v/>
      </c>
      <c r="M271" s="65" t="str">
        <f>IF(AND($E271&lt;&gt;"",COUNTIF($G271,"KÂR PAYI / AVANS*")&gt;0),$E271&amp;"|"&amp;COUNTIFS($E$7:$E271,$E271,$G$7:$G271,"KÂR PAYI / AVANS*"),"")</f>
        <v/>
      </c>
    </row>
    <row r="272" spans="1:13" ht="18" hidden="1" customHeight="1" x14ac:dyDescent="0.3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65" t="str">
        <f>IF($E272="","",$E272&amp;"|"&amp;COUNTIFS($E$7:$E272,$E272))</f>
        <v/>
      </c>
      <c r="L272" s="65" t="str">
        <f>IF($D272="","",$D272&amp;"|"&amp;COUNTIFS($D$7:$D272,$D272))</f>
        <v/>
      </c>
      <c r="M272" s="65" t="str">
        <f>IF(AND($E272&lt;&gt;"",COUNTIF($G272,"KÂR PAYI / AVANS*")&gt;0),$E272&amp;"|"&amp;COUNTIFS($E$7:$E272,$E272,$G$7:$G272,"KÂR PAYI / AVANS*"),"")</f>
        <v/>
      </c>
    </row>
    <row r="273" spans="1:13" ht="18" hidden="1" customHeight="1" x14ac:dyDescent="0.3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65" t="str">
        <f>IF($E273="","",$E273&amp;"|"&amp;COUNTIFS($E$7:$E273,$E273))</f>
        <v/>
      </c>
      <c r="L273" s="65" t="str">
        <f>IF($D273="","",$D273&amp;"|"&amp;COUNTIFS($D$7:$D273,$D273))</f>
        <v/>
      </c>
      <c r="M273" s="65" t="str">
        <f>IF(AND($E273&lt;&gt;"",COUNTIF($G273,"KÂR PAYI / AVANS*")&gt;0),$E273&amp;"|"&amp;COUNTIFS($E$7:$E273,$E273,$G$7:$G273,"KÂR PAYI / AVANS*"),"")</f>
        <v/>
      </c>
    </row>
    <row r="274" spans="1:13" ht="18" hidden="1" customHeight="1" x14ac:dyDescent="0.3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65" t="str">
        <f>IF($E274="","",$E274&amp;"|"&amp;COUNTIFS($E$7:$E274,$E274))</f>
        <v/>
      </c>
      <c r="L274" s="65" t="str">
        <f>IF($D274="","",$D274&amp;"|"&amp;COUNTIFS($D$7:$D274,$D274))</f>
        <v/>
      </c>
      <c r="M274" s="65" t="str">
        <f>IF(AND($E274&lt;&gt;"",COUNTIF($G274,"KÂR PAYI / AVANS*")&gt;0),$E274&amp;"|"&amp;COUNTIFS($E$7:$E274,$E274,$G$7:$G274,"KÂR PAYI / AVANS*"),"")</f>
        <v/>
      </c>
    </row>
    <row r="275" spans="1:13" ht="18" hidden="1" customHeight="1" x14ac:dyDescent="0.3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65" t="str">
        <f>IF($E275="","",$E275&amp;"|"&amp;COUNTIFS($E$7:$E275,$E275))</f>
        <v/>
      </c>
      <c r="L275" s="65" t="str">
        <f>IF($D275="","",$D275&amp;"|"&amp;COUNTIFS($D$7:$D275,$D275))</f>
        <v/>
      </c>
      <c r="M275" s="65" t="str">
        <f>IF(AND($E275&lt;&gt;"",COUNTIF($G275,"KÂR PAYI / AVANS*")&gt;0),$E275&amp;"|"&amp;COUNTIFS($E$7:$E275,$E275,$G$7:$G275,"KÂR PAYI / AVANS*"),"")</f>
        <v/>
      </c>
    </row>
    <row r="276" spans="1:13" ht="18" hidden="1" customHeight="1" x14ac:dyDescent="0.3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65" t="str">
        <f>IF($E276="","",$E276&amp;"|"&amp;COUNTIFS($E$7:$E276,$E276))</f>
        <v/>
      </c>
      <c r="L276" s="65" t="str">
        <f>IF($D276="","",$D276&amp;"|"&amp;COUNTIFS($D$7:$D276,$D276))</f>
        <v/>
      </c>
      <c r="M276" s="65" t="str">
        <f>IF(AND($E276&lt;&gt;"",COUNTIF($G276,"KÂR PAYI / AVANS*")&gt;0),$E276&amp;"|"&amp;COUNTIFS($E$7:$E276,$E276,$G$7:$G276,"KÂR PAYI / AVANS*"),"")</f>
        <v/>
      </c>
    </row>
    <row r="277" spans="1:13" ht="18" hidden="1" customHeight="1" x14ac:dyDescent="0.3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65" t="str">
        <f>IF($E277="","",$E277&amp;"|"&amp;COUNTIFS($E$7:$E277,$E277))</f>
        <v/>
      </c>
      <c r="L277" s="65" t="str">
        <f>IF($D277="","",$D277&amp;"|"&amp;COUNTIFS($D$7:$D277,$D277))</f>
        <v/>
      </c>
      <c r="M277" s="65" t="str">
        <f>IF(AND($E277&lt;&gt;"",COUNTIF($G277,"KÂR PAYI / AVANS*")&gt;0),$E277&amp;"|"&amp;COUNTIFS($E$7:$E277,$E277,$G$7:$G277,"KÂR PAYI / AVANS*"),"")</f>
        <v/>
      </c>
    </row>
    <row r="278" spans="1:13" ht="18" hidden="1" customHeight="1" x14ac:dyDescent="0.3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65" t="str">
        <f>IF($E278="","",$E278&amp;"|"&amp;COUNTIFS($E$7:$E278,$E278))</f>
        <v/>
      </c>
      <c r="L278" s="65" t="str">
        <f>IF($D278="","",$D278&amp;"|"&amp;COUNTIFS($D$7:$D278,$D278))</f>
        <v/>
      </c>
      <c r="M278" s="65" t="str">
        <f>IF(AND($E278&lt;&gt;"",COUNTIF($G278,"KÂR PAYI / AVANS*")&gt;0),$E278&amp;"|"&amp;COUNTIFS($E$7:$E278,$E278,$G$7:$G278,"KÂR PAYI / AVANS*"),"")</f>
        <v/>
      </c>
    </row>
    <row r="279" spans="1:13" ht="18" hidden="1" customHeight="1" x14ac:dyDescent="0.3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65" t="str">
        <f>IF($E279="","",$E279&amp;"|"&amp;COUNTIFS($E$7:$E279,$E279))</f>
        <v/>
      </c>
      <c r="L279" s="65" t="str">
        <f>IF($D279="","",$D279&amp;"|"&amp;COUNTIFS($D$7:$D279,$D279))</f>
        <v/>
      </c>
      <c r="M279" s="65" t="str">
        <f>IF(AND($E279&lt;&gt;"",COUNTIF($G279,"KÂR PAYI / AVANS*")&gt;0),$E279&amp;"|"&amp;COUNTIFS($E$7:$E279,$E279,$G$7:$G279,"KÂR PAYI / AVANS*"),"")</f>
        <v/>
      </c>
    </row>
    <row r="280" spans="1:13" ht="18" hidden="1" customHeight="1" x14ac:dyDescent="0.3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65" t="str">
        <f>IF($E280="","",$E280&amp;"|"&amp;COUNTIFS($E$7:$E280,$E280))</f>
        <v/>
      </c>
      <c r="L280" s="65" t="str">
        <f>IF($D280="","",$D280&amp;"|"&amp;COUNTIFS($D$7:$D280,$D280))</f>
        <v/>
      </c>
      <c r="M280" s="65" t="str">
        <f>IF(AND($E280&lt;&gt;"",COUNTIF($G280,"KÂR PAYI / AVANS*")&gt;0),$E280&amp;"|"&amp;COUNTIFS($E$7:$E280,$E280,$G$7:$G280,"KÂR PAYI / AVANS*"),"")</f>
        <v/>
      </c>
    </row>
    <row r="281" spans="1:13" ht="18" hidden="1" customHeight="1" x14ac:dyDescent="0.3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65" t="str">
        <f>IF($E281="","",$E281&amp;"|"&amp;COUNTIFS($E$7:$E281,$E281))</f>
        <v/>
      </c>
      <c r="L281" s="65" t="str">
        <f>IF($D281="","",$D281&amp;"|"&amp;COUNTIFS($D$7:$D281,$D281))</f>
        <v/>
      </c>
      <c r="M281" s="65" t="str">
        <f>IF(AND($E281&lt;&gt;"",COUNTIF($G281,"KÂR PAYI / AVANS*")&gt;0),$E281&amp;"|"&amp;COUNTIFS($E$7:$E281,$E281,$G$7:$G281,"KÂR PAYI / AVANS*"),"")</f>
        <v/>
      </c>
    </row>
    <row r="282" spans="1:13" ht="18" hidden="1" customHeight="1" x14ac:dyDescent="0.3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65" t="str">
        <f>IF($E282="","",$E282&amp;"|"&amp;COUNTIFS($E$7:$E282,$E282))</f>
        <v/>
      </c>
      <c r="L282" s="65" t="str">
        <f>IF($D282="","",$D282&amp;"|"&amp;COUNTIFS($D$7:$D282,$D282))</f>
        <v/>
      </c>
      <c r="M282" s="65" t="str">
        <f>IF(AND($E282&lt;&gt;"",COUNTIF($G282,"KÂR PAYI / AVANS*")&gt;0),$E282&amp;"|"&amp;COUNTIFS($E$7:$E282,$E282,$G$7:$G282,"KÂR PAYI / AVANS*"),"")</f>
        <v/>
      </c>
    </row>
    <row r="283" spans="1:13" ht="18" hidden="1" customHeight="1" x14ac:dyDescent="0.3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65" t="str">
        <f>IF($E283="","",$E283&amp;"|"&amp;COUNTIFS($E$7:$E283,$E283))</f>
        <v/>
      </c>
      <c r="L283" s="65" t="str">
        <f>IF($D283="","",$D283&amp;"|"&amp;COUNTIFS($D$7:$D283,$D283))</f>
        <v/>
      </c>
      <c r="M283" s="65" t="str">
        <f>IF(AND($E283&lt;&gt;"",COUNTIF($G283,"KÂR PAYI / AVANS*")&gt;0),$E283&amp;"|"&amp;COUNTIFS($E$7:$E283,$E283,$G$7:$G283,"KÂR PAYI / AVANS*"),"")</f>
        <v/>
      </c>
    </row>
    <row r="284" spans="1:13" ht="18" hidden="1" customHeight="1" x14ac:dyDescent="0.3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65" t="str">
        <f>IF($E284="","",$E284&amp;"|"&amp;COUNTIFS($E$7:$E284,$E284))</f>
        <v/>
      </c>
      <c r="L284" s="65" t="str">
        <f>IF($D284="","",$D284&amp;"|"&amp;COUNTIFS($D$7:$D284,$D284))</f>
        <v/>
      </c>
      <c r="M284" s="65" t="str">
        <f>IF(AND($E284&lt;&gt;"",COUNTIF($G284,"KÂR PAYI / AVANS*")&gt;0),$E284&amp;"|"&amp;COUNTIFS($E$7:$E284,$E284,$G$7:$G284,"KÂR PAYI / AVANS*"),"")</f>
        <v/>
      </c>
    </row>
    <row r="285" spans="1:13" ht="18" hidden="1" customHeight="1" x14ac:dyDescent="0.3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65" t="str">
        <f>IF($E285="","",$E285&amp;"|"&amp;COUNTIFS($E$7:$E285,$E285))</f>
        <v/>
      </c>
      <c r="L285" s="65" t="str">
        <f>IF($D285="","",$D285&amp;"|"&amp;COUNTIFS($D$7:$D285,$D285))</f>
        <v/>
      </c>
      <c r="M285" s="65" t="str">
        <f>IF(AND($E285&lt;&gt;"",COUNTIF($G285,"KÂR PAYI / AVANS*")&gt;0),$E285&amp;"|"&amp;COUNTIFS($E$7:$E285,$E285,$G$7:$G285,"KÂR PAYI / AVANS*"),"")</f>
        <v/>
      </c>
    </row>
    <row r="286" spans="1:13" ht="18" hidden="1" customHeight="1" x14ac:dyDescent="0.3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65" t="str">
        <f>IF($E286="","",$E286&amp;"|"&amp;COUNTIFS($E$7:$E286,$E286))</f>
        <v/>
      </c>
      <c r="L286" s="65" t="str">
        <f>IF($D286="","",$D286&amp;"|"&amp;COUNTIFS($D$7:$D286,$D286))</f>
        <v/>
      </c>
      <c r="M286" s="65" t="str">
        <f>IF(AND($E286&lt;&gt;"",COUNTIF($G286,"KÂR PAYI / AVANS*")&gt;0),$E286&amp;"|"&amp;COUNTIFS($E$7:$E286,$E286,$G$7:$G286,"KÂR PAYI / AVANS*"),"")</f>
        <v/>
      </c>
    </row>
    <row r="287" spans="1:13" ht="18" hidden="1" customHeight="1" x14ac:dyDescent="0.3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65" t="str">
        <f>IF($E287="","",$E287&amp;"|"&amp;COUNTIFS($E$7:$E287,$E287))</f>
        <v/>
      </c>
      <c r="L287" s="65" t="str">
        <f>IF($D287="","",$D287&amp;"|"&amp;COUNTIFS($D$7:$D287,$D287))</f>
        <v/>
      </c>
      <c r="M287" s="65" t="str">
        <f>IF(AND($E287&lt;&gt;"",COUNTIF($G287,"KÂR PAYI / AVANS*")&gt;0),$E287&amp;"|"&amp;COUNTIFS($E$7:$E287,$E287,$G$7:$G287,"KÂR PAYI / AVANS*"),"")</f>
        <v/>
      </c>
    </row>
    <row r="288" spans="1:13" ht="18" hidden="1" customHeight="1" x14ac:dyDescent="0.3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65" t="str">
        <f>IF($E288="","",$E288&amp;"|"&amp;COUNTIFS($E$7:$E288,$E288))</f>
        <v/>
      </c>
      <c r="L288" s="65" t="str">
        <f>IF($D288="","",$D288&amp;"|"&amp;COUNTIFS($D$7:$D288,$D288))</f>
        <v/>
      </c>
      <c r="M288" s="65" t="str">
        <f>IF(AND($E288&lt;&gt;"",COUNTIF($G288,"KÂR PAYI / AVANS*")&gt;0),$E288&amp;"|"&amp;COUNTIFS($E$7:$E288,$E288,$G$7:$G288,"KÂR PAYI / AVANS*"),"")</f>
        <v/>
      </c>
    </row>
    <row r="289" spans="1:13" ht="18" hidden="1" customHeight="1" x14ac:dyDescent="0.3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65" t="str">
        <f>IF($E289="","",$E289&amp;"|"&amp;COUNTIFS($E$7:$E289,$E289))</f>
        <v/>
      </c>
      <c r="L289" s="65" t="str">
        <f>IF($D289="","",$D289&amp;"|"&amp;COUNTIFS($D$7:$D289,$D289))</f>
        <v/>
      </c>
      <c r="M289" s="65" t="str">
        <f>IF(AND($E289&lt;&gt;"",COUNTIF($G289,"KÂR PAYI / AVANS*")&gt;0),$E289&amp;"|"&amp;COUNTIFS($E$7:$E289,$E289,$G$7:$G289,"KÂR PAYI / AVANS*"),"")</f>
        <v/>
      </c>
    </row>
    <row r="290" spans="1:13" ht="18" hidden="1" customHeight="1" x14ac:dyDescent="0.3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65" t="str">
        <f>IF($E290="","",$E290&amp;"|"&amp;COUNTIFS($E$7:$E290,$E290))</f>
        <v/>
      </c>
      <c r="L290" s="65" t="str">
        <f>IF($D290="","",$D290&amp;"|"&amp;COUNTIFS($D$7:$D290,$D290))</f>
        <v/>
      </c>
      <c r="M290" s="65" t="str">
        <f>IF(AND($E290&lt;&gt;"",COUNTIF($G290,"KÂR PAYI / AVANS*")&gt;0),$E290&amp;"|"&amp;COUNTIFS($E$7:$E290,$E290,$G$7:$G290,"KÂR PAYI / AVANS*"),"")</f>
        <v/>
      </c>
    </row>
    <row r="291" spans="1:13" ht="18" hidden="1" customHeight="1" x14ac:dyDescent="0.3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65" t="str">
        <f>IF($E291="","",$E291&amp;"|"&amp;COUNTIFS($E$7:$E291,$E291))</f>
        <v/>
      </c>
      <c r="L291" s="65" t="str">
        <f>IF($D291="","",$D291&amp;"|"&amp;COUNTIFS($D$7:$D291,$D291))</f>
        <v/>
      </c>
      <c r="M291" s="65" t="str">
        <f>IF(AND($E291&lt;&gt;"",COUNTIF($G291,"KÂR PAYI / AVANS*")&gt;0),$E291&amp;"|"&amp;COUNTIFS($E$7:$E291,$E291,$G$7:$G291,"KÂR PAYI / AVANS*"),"")</f>
        <v/>
      </c>
    </row>
    <row r="292" spans="1:13" ht="18" hidden="1" customHeight="1" x14ac:dyDescent="0.3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65" t="str">
        <f>IF($E292="","",$E292&amp;"|"&amp;COUNTIFS($E$7:$E292,$E292))</f>
        <v/>
      </c>
      <c r="L292" s="65" t="str">
        <f>IF($D292="","",$D292&amp;"|"&amp;COUNTIFS($D$7:$D292,$D292))</f>
        <v/>
      </c>
      <c r="M292" s="65" t="str">
        <f>IF(AND($E292&lt;&gt;"",COUNTIF($G292,"KÂR PAYI / AVANS*")&gt;0),$E292&amp;"|"&amp;COUNTIFS($E$7:$E292,$E292,$G$7:$G292,"KÂR PAYI / AVANS*"),"")</f>
        <v/>
      </c>
    </row>
    <row r="293" spans="1:13" ht="18" hidden="1" customHeight="1" x14ac:dyDescent="0.3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65" t="str">
        <f>IF($E293="","",$E293&amp;"|"&amp;COUNTIFS($E$7:$E293,$E293))</f>
        <v/>
      </c>
      <c r="L293" s="65" t="str">
        <f>IF($D293="","",$D293&amp;"|"&amp;COUNTIFS($D$7:$D293,$D293))</f>
        <v/>
      </c>
      <c r="M293" s="65" t="str">
        <f>IF(AND($E293&lt;&gt;"",COUNTIF($G293,"KÂR PAYI / AVANS*")&gt;0),$E293&amp;"|"&amp;COUNTIFS($E$7:$E293,$E293,$G$7:$G293,"KÂR PAYI / AVANS*"),"")</f>
        <v/>
      </c>
    </row>
    <row r="294" spans="1:13" ht="18" hidden="1" customHeight="1" x14ac:dyDescent="0.3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65" t="str">
        <f>IF($E294="","",$E294&amp;"|"&amp;COUNTIFS($E$7:$E294,$E294))</f>
        <v/>
      </c>
      <c r="L294" s="65" t="str">
        <f>IF($D294="","",$D294&amp;"|"&amp;COUNTIFS($D$7:$D294,$D294))</f>
        <v/>
      </c>
      <c r="M294" s="65" t="str">
        <f>IF(AND($E294&lt;&gt;"",COUNTIF($G294,"KÂR PAYI / AVANS*")&gt;0),$E294&amp;"|"&amp;COUNTIFS($E$7:$E294,$E294,$G$7:$G294,"KÂR PAYI / AVANS*"),"")</f>
        <v/>
      </c>
    </row>
    <row r="295" spans="1:13" ht="18" hidden="1" customHeight="1" x14ac:dyDescent="0.3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65" t="str">
        <f>IF($E295="","",$E295&amp;"|"&amp;COUNTIFS($E$7:$E295,$E295))</f>
        <v/>
      </c>
      <c r="L295" s="65" t="str">
        <f>IF($D295="","",$D295&amp;"|"&amp;COUNTIFS($D$7:$D295,$D295))</f>
        <v/>
      </c>
      <c r="M295" s="65" t="str">
        <f>IF(AND($E295&lt;&gt;"",COUNTIF($G295,"KÂR PAYI / AVANS*")&gt;0),$E295&amp;"|"&amp;COUNTIFS($E$7:$E295,$E295,$G$7:$G295,"KÂR PAYI / AVANS*"),"")</f>
        <v/>
      </c>
    </row>
    <row r="296" spans="1:13" ht="18" hidden="1" customHeight="1" x14ac:dyDescent="0.3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65" t="str">
        <f>IF($E296="","",$E296&amp;"|"&amp;COUNTIFS($E$7:$E296,$E296))</f>
        <v/>
      </c>
      <c r="L296" s="65" t="str">
        <f>IF($D296="","",$D296&amp;"|"&amp;COUNTIFS($D$7:$D296,$D296))</f>
        <v/>
      </c>
      <c r="M296" s="65" t="str">
        <f>IF(AND($E296&lt;&gt;"",COUNTIF($G296,"KÂR PAYI / AVANS*")&gt;0),$E296&amp;"|"&amp;COUNTIFS($E$7:$E296,$E296,$G$7:$G296,"KÂR PAYI / AVANS*"),"")</f>
        <v/>
      </c>
    </row>
    <row r="297" spans="1:13" ht="18" hidden="1" customHeight="1" x14ac:dyDescent="0.3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65" t="str">
        <f>IF($E297="","",$E297&amp;"|"&amp;COUNTIFS($E$7:$E297,$E297))</f>
        <v/>
      </c>
      <c r="L297" s="65" t="str">
        <f>IF($D297="","",$D297&amp;"|"&amp;COUNTIFS($D$7:$D297,$D297))</f>
        <v/>
      </c>
      <c r="M297" s="65" t="str">
        <f>IF(AND($E297&lt;&gt;"",COUNTIF($G297,"KÂR PAYI / AVANS*")&gt;0),$E297&amp;"|"&amp;COUNTIFS($E$7:$E297,$E297,$G$7:$G297,"KÂR PAYI / AVANS*"),"")</f>
        <v/>
      </c>
    </row>
    <row r="298" spans="1:13" ht="18" hidden="1" customHeight="1" x14ac:dyDescent="0.3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65" t="str">
        <f>IF($E298="","",$E298&amp;"|"&amp;COUNTIFS($E$7:$E298,$E298))</f>
        <v/>
      </c>
      <c r="L298" s="65" t="str">
        <f>IF($D298="","",$D298&amp;"|"&amp;COUNTIFS($D$7:$D298,$D298))</f>
        <v/>
      </c>
      <c r="M298" s="65" t="str">
        <f>IF(AND($E298&lt;&gt;"",COUNTIF($G298,"KÂR PAYI / AVANS*")&gt;0),$E298&amp;"|"&amp;COUNTIFS($E$7:$E298,$E298,$G$7:$G298,"KÂR PAYI / AVANS*"),"")</f>
        <v/>
      </c>
    </row>
    <row r="299" spans="1:13" ht="18" hidden="1" customHeight="1" x14ac:dyDescent="0.3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65" t="str">
        <f>IF($E299="","",$E299&amp;"|"&amp;COUNTIFS($E$7:$E299,$E299))</f>
        <v/>
      </c>
      <c r="L299" s="65" t="str">
        <f>IF($D299="","",$D299&amp;"|"&amp;COUNTIFS($D$7:$D299,$D299))</f>
        <v/>
      </c>
      <c r="M299" s="65" t="str">
        <f>IF(AND($E299&lt;&gt;"",COUNTIF($G299,"KÂR PAYI / AVANS*")&gt;0),$E299&amp;"|"&amp;COUNTIFS($E$7:$E299,$E299,$G$7:$G299,"KÂR PAYI / AVANS*"),"")</f>
        <v/>
      </c>
    </row>
    <row r="300" spans="1:13" ht="18" hidden="1" customHeight="1" x14ac:dyDescent="0.3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65" t="str">
        <f>IF($E300="","",$E300&amp;"|"&amp;COUNTIFS($E$7:$E300,$E300))</f>
        <v/>
      </c>
      <c r="L300" s="65" t="str">
        <f>IF($D300="","",$D300&amp;"|"&amp;COUNTIFS($D$7:$D300,$D300))</f>
        <v/>
      </c>
      <c r="M300" s="65" t="str">
        <f>IF(AND($E300&lt;&gt;"",COUNTIF($G300,"KÂR PAYI / AVANS*")&gt;0),$E300&amp;"|"&amp;COUNTIFS($E$7:$E300,$E300,$G$7:$G300,"KÂR PAYI / AVANS*"),"")</f>
        <v/>
      </c>
    </row>
    <row r="301" spans="1:13" ht="18" hidden="1" customHeight="1" x14ac:dyDescent="0.3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65" t="str">
        <f>IF($E301="","",$E301&amp;"|"&amp;COUNTIFS($E$7:$E301,$E301))</f>
        <v/>
      </c>
      <c r="L301" s="65" t="str">
        <f>IF($D301="","",$D301&amp;"|"&amp;COUNTIFS($D$7:$D301,$D301))</f>
        <v/>
      </c>
      <c r="M301" s="65" t="str">
        <f>IF(AND($E301&lt;&gt;"",COUNTIF($G301,"KÂR PAYI / AVANS*")&gt;0),$E301&amp;"|"&amp;COUNTIFS($E$7:$E301,$E301,$G$7:$G301,"KÂR PAYI / AVANS*"),"")</f>
        <v/>
      </c>
    </row>
    <row r="302" spans="1:13" ht="18" hidden="1" customHeight="1" x14ac:dyDescent="0.3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65" t="str">
        <f>IF($E302="","",$E302&amp;"|"&amp;COUNTIFS($E$7:$E302,$E302))</f>
        <v/>
      </c>
      <c r="L302" s="65" t="str">
        <f>IF($D302="","",$D302&amp;"|"&amp;COUNTIFS($D$7:$D302,$D302))</f>
        <v/>
      </c>
      <c r="M302" s="65" t="str">
        <f>IF(AND($E302&lt;&gt;"",COUNTIF($G302,"KÂR PAYI / AVANS*")&gt;0),$E302&amp;"|"&amp;COUNTIFS($E$7:$E302,$E302,$G$7:$G302,"KÂR PAYI / AVANS*"),"")</f>
        <v/>
      </c>
    </row>
    <row r="303" spans="1:13" ht="18" hidden="1" customHeight="1" x14ac:dyDescent="0.3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65" t="str">
        <f>IF($E303="","",$E303&amp;"|"&amp;COUNTIFS($E$7:$E303,$E303))</f>
        <v/>
      </c>
      <c r="L303" s="65" t="str">
        <f>IF($D303="","",$D303&amp;"|"&amp;COUNTIFS($D$7:$D303,$D303))</f>
        <v/>
      </c>
      <c r="M303" s="65" t="str">
        <f>IF(AND($E303&lt;&gt;"",COUNTIF($G303,"KÂR PAYI / AVANS*")&gt;0),$E303&amp;"|"&amp;COUNTIFS($E$7:$E303,$E303,$G$7:$G303,"KÂR PAYI / AVANS*"),"")</f>
        <v/>
      </c>
    </row>
    <row r="304" spans="1:13" ht="18" hidden="1" customHeight="1" x14ac:dyDescent="0.3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65" t="str">
        <f>IF($E304="","",$E304&amp;"|"&amp;COUNTIFS($E$7:$E304,$E304))</f>
        <v/>
      </c>
      <c r="L304" s="65" t="str">
        <f>IF($D304="","",$D304&amp;"|"&amp;COUNTIFS($D$7:$D304,$D304))</f>
        <v/>
      </c>
      <c r="M304" s="65" t="str">
        <f>IF(AND($E304&lt;&gt;"",COUNTIF($G304,"KÂR PAYI / AVANS*")&gt;0),$E304&amp;"|"&amp;COUNTIFS($E$7:$E304,$E304,$G$7:$G304,"KÂR PAYI / AVANS*"),"")</f>
        <v/>
      </c>
    </row>
    <row r="305" spans="1:13" ht="18" hidden="1" customHeight="1" x14ac:dyDescent="0.3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65" t="str">
        <f>IF($E305="","",$E305&amp;"|"&amp;COUNTIFS($E$7:$E305,$E305))</f>
        <v/>
      </c>
      <c r="L305" s="65" t="str">
        <f>IF($D305="","",$D305&amp;"|"&amp;COUNTIFS($D$7:$D305,$D305))</f>
        <v/>
      </c>
      <c r="M305" s="65" t="str">
        <f>IF(AND($E305&lt;&gt;"",COUNTIF($G305,"KÂR PAYI / AVANS*")&gt;0),$E305&amp;"|"&amp;COUNTIFS($E$7:$E305,$E305,$G$7:$G305,"KÂR PAYI / AVANS*"),"")</f>
        <v/>
      </c>
    </row>
    <row r="306" spans="1:13" ht="18" hidden="1" customHeight="1" x14ac:dyDescent="0.3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65" t="str">
        <f>IF($E306="","",$E306&amp;"|"&amp;COUNTIFS($E$7:$E306,$E306))</f>
        <v/>
      </c>
      <c r="L306" s="65" t="str">
        <f>IF($D306="","",$D306&amp;"|"&amp;COUNTIFS($D$7:$D306,$D306))</f>
        <v/>
      </c>
      <c r="M306" s="65" t="str">
        <f>IF(AND($E306&lt;&gt;"",COUNTIF($G306,"KÂR PAYI / AVANS*")&gt;0),$E306&amp;"|"&amp;COUNTIFS($E$7:$E306,$E306,$G$7:$G306,"KÂR PAYI / AVANS*"),"")</f>
        <v/>
      </c>
    </row>
    <row r="307" spans="1:13" ht="18" hidden="1" customHeight="1" x14ac:dyDescent="0.3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65" t="str">
        <f>IF($E307="","",$E307&amp;"|"&amp;COUNTIFS($E$7:$E307,$E307))</f>
        <v/>
      </c>
      <c r="L307" s="65" t="str">
        <f>IF($D307="","",$D307&amp;"|"&amp;COUNTIFS($D$7:$D307,$D307))</f>
        <v/>
      </c>
      <c r="M307" s="65" t="str">
        <f>IF(AND($E307&lt;&gt;"",COUNTIF($G307,"KÂR PAYI / AVANS*")&gt;0),$E307&amp;"|"&amp;COUNTIFS($E$7:$E307,$E307,$G$7:$G307,"KÂR PAYI / AVANS*"),"")</f>
        <v/>
      </c>
    </row>
    <row r="308" spans="1:13" ht="18" hidden="1" customHeight="1" x14ac:dyDescent="0.3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65" t="str">
        <f>IF($E308="","",$E308&amp;"|"&amp;COUNTIFS($E$7:$E308,$E308))</f>
        <v/>
      </c>
      <c r="L308" s="65" t="str">
        <f>IF($D308="","",$D308&amp;"|"&amp;COUNTIFS($D$7:$D308,$D308))</f>
        <v/>
      </c>
      <c r="M308" s="65" t="str">
        <f>IF(AND($E308&lt;&gt;"",COUNTIF($G308,"KÂR PAYI / AVANS*")&gt;0),$E308&amp;"|"&amp;COUNTIFS($E$7:$E308,$E308,$G$7:$G308,"KÂR PAYI / AVANS*"),"")</f>
        <v/>
      </c>
    </row>
    <row r="309" spans="1:13" ht="18" hidden="1" customHeight="1" x14ac:dyDescent="0.3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65" t="str">
        <f>IF($E309="","",$E309&amp;"|"&amp;COUNTIFS($E$7:$E309,$E309))</f>
        <v/>
      </c>
      <c r="L309" s="65" t="str">
        <f>IF($D309="","",$D309&amp;"|"&amp;COUNTIFS($D$7:$D309,$D309))</f>
        <v/>
      </c>
      <c r="M309" s="65" t="str">
        <f>IF(AND($E309&lt;&gt;"",COUNTIF($G309,"KÂR PAYI / AVANS*")&gt;0),$E309&amp;"|"&amp;COUNTIFS($E$7:$E309,$E309,$G$7:$G309,"KÂR PAYI / AVANS*"),"")</f>
        <v/>
      </c>
    </row>
    <row r="310" spans="1:13" ht="18" hidden="1" customHeight="1" x14ac:dyDescent="0.3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65" t="str">
        <f>IF($E310="","",$E310&amp;"|"&amp;COUNTIFS($E$7:$E310,$E310))</f>
        <v/>
      </c>
      <c r="L310" s="65" t="str">
        <f>IF($D310="","",$D310&amp;"|"&amp;COUNTIFS($D$7:$D310,$D310))</f>
        <v/>
      </c>
      <c r="M310" s="65" t="str">
        <f>IF(AND($E310&lt;&gt;"",COUNTIF($G310,"KÂR PAYI / AVANS*")&gt;0),$E310&amp;"|"&amp;COUNTIFS($E$7:$E310,$E310,$G$7:$G310,"KÂR PAYI / AVANS*"),"")</f>
        <v/>
      </c>
    </row>
    <row r="311" spans="1:13" ht="18" hidden="1" customHeight="1" x14ac:dyDescent="0.3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65" t="str">
        <f>IF($E311="","",$E311&amp;"|"&amp;COUNTIFS($E$7:$E311,$E311))</f>
        <v/>
      </c>
      <c r="L311" s="65" t="str">
        <f>IF($D311="","",$D311&amp;"|"&amp;COUNTIFS($D$7:$D311,$D311))</f>
        <v/>
      </c>
      <c r="M311" s="65" t="str">
        <f>IF(AND($E311&lt;&gt;"",COUNTIF($G311,"KÂR PAYI / AVANS*")&gt;0),$E311&amp;"|"&amp;COUNTIFS($E$7:$E311,$E311,$G$7:$G311,"KÂR PAYI / AVANS*"),"")</f>
        <v/>
      </c>
    </row>
    <row r="312" spans="1:13" ht="18" hidden="1" customHeight="1" x14ac:dyDescent="0.3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65" t="str">
        <f>IF($E312="","",$E312&amp;"|"&amp;COUNTIFS($E$7:$E312,$E312))</f>
        <v/>
      </c>
      <c r="L312" s="65" t="str">
        <f>IF($D312="","",$D312&amp;"|"&amp;COUNTIFS($D$7:$D312,$D312))</f>
        <v/>
      </c>
      <c r="M312" s="65" t="str">
        <f>IF(AND($E312&lt;&gt;"",COUNTIF($G312,"KÂR PAYI / AVANS*")&gt;0),$E312&amp;"|"&amp;COUNTIFS($E$7:$E312,$E312,$G$7:$G312,"KÂR PAYI / AVANS*"),"")</f>
        <v/>
      </c>
    </row>
    <row r="313" spans="1:13" ht="18" hidden="1" customHeight="1" x14ac:dyDescent="0.3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65" t="str">
        <f>IF($E313="","",$E313&amp;"|"&amp;COUNTIFS($E$7:$E313,$E313))</f>
        <v/>
      </c>
      <c r="L313" s="65" t="str">
        <f>IF($D313="","",$D313&amp;"|"&amp;COUNTIFS($D$7:$D313,$D313))</f>
        <v/>
      </c>
      <c r="M313" s="65" t="str">
        <f>IF(AND($E313&lt;&gt;"",COUNTIF($G313,"KÂR PAYI / AVANS*")&gt;0),$E313&amp;"|"&amp;COUNTIFS($E$7:$E313,$E313,$G$7:$G313,"KÂR PAYI / AVANS*"),"")</f>
        <v/>
      </c>
    </row>
    <row r="314" spans="1:13" ht="18" hidden="1" customHeight="1" x14ac:dyDescent="0.3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65" t="str">
        <f>IF($E314="","",$E314&amp;"|"&amp;COUNTIFS($E$7:$E314,$E314))</f>
        <v/>
      </c>
      <c r="L314" s="65" t="str">
        <f>IF($D314="","",$D314&amp;"|"&amp;COUNTIFS($D$7:$D314,$D314))</f>
        <v/>
      </c>
      <c r="M314" s="65" t="str">
        <f>IF(AND($E314&lt;&gt;"",COUNTIF($G314,"KÂR PAYI / AVANS*")&gt;0),$E314&amp;"|"&amp;COUNTIFS($E$7:$E314,$E314,$G$7:$G314,"KÂR PAYI / AVANS*"),"")</f>
        <v/>
      </c>
    </row>
    <row r="315" spans="1:13" ht="18" hidden="1" customHeight="1" x14ac:dyDescent="0.3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65" t="str">
        <f>IF($E315="","",$E315&amp;"|"&amp;COUNTIFS($E$7:$E315,$E315))</f>
        <v/>
      </c>
      <c r="L315" s="65" t="str">
        <f>IF($D315="","",$D315&amp;"|"&amp;COUNTIFS($D$7:$D315,$D315))</f>
        <v/>
      </c>
      <c r="M315" s="65" t="str">
        <f>IF(AND($E315&lt;&gt;"",COUNTIF($G315,"KÂR PAYI / AVANS*")&gt;0),$E315&amp;"|"&amp;COUNTIFS($E$7:$E315,$E315,$G$7:$G315,"KÂR PAYI / AVANS*"),"")</f>
        <v/>
      </c>
    </row>
    <row r="316" spans="1:13" ht="18" hidden="1" customHeight="1" x14ac:dyDescent="0.3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65" t="str">
        <f>IF($E316="","",$E316&amp;"|"&amp;COUNTIFS($E$7:$E316,$E316))</f>
        <v/>
      </c>
      <c r="L316" s="65" t="str">
        <f>IF($D316="","",$D316&amp;"|"&amp;COUNTIFS($D$7:$D316,$D316))</f>
        <v/>
      </c>
      <c r="M316" s="65" t="str">
        <f>IF(AND($E316&lt;&gt;"",COUNTIF($G316,"KÂR PAYI / AVANS*")&gt;0),$E316&amp;"|"&amp;COUNTIFS($E$7:$E316,$E316,$G$7:$G316,"KÂR PAYI / AVANS*"),"")</f>
        <v/>
      </c>
    </row>
    <row r="317" spans="1:13" ht="18" hidden="1" customHeight="1" x14ac:dyDescent="0.3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65" t="str">
        <f>IF($E317="","",$E317&amp;"|"&amp;COUNTIFS($E$7:$E317,$E317))</f>
        <v/>
      </c>
      <c r="L317" s="65" t="str">
        <f>IF($D317="","",$D317&amp;"|"&amp;COUNTIFS($D$7:$D317,$D317))</f>
        <v/>
      </c>
      <c r="M317" s="65" t="str">
        <f>IF(AND($E317&lt;&gt;"",COUNTIF($G317,"KÂR PAYI / AVANS*")&gt;0),$E317&amp;"|"&amp;COUNTIFS($E$7:$E317,$E317,$G$7:$G317,"KÂR PAYI / AVANS*"),"")</f>
        <v/>
      </c>
    </row>
    <row r="318" spans="1:13" ht="18" hidden="1" customHeight="1" x14ac:dyDescent="0.3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65" t="str">
        <f>IF($E318="","",$E318&amp;"|"&amp;COUNTIFS($E$7:$E318,$E318))</f>
        <v/>
      </c>
      <c r="L318" s="65" t="str">
        <f>IF($D318="","",$D318&amp;"|"&amp;COUNTIFS($D$7:$D318,$D318))</f>
        <v/>
      </c>
      <c r="M318" s="65" t="str">
        <f>IF(AND($E318&lt;&gt;"",COUNTIF($G318,"KÂR PAYI / AVANS*")&gt;0),$E318&amp;"|"&amp;COUNTIFS($E$7:$E318,$E318,$G$7:$G318,"KÂR PAYI / AVANS*"),"")</f>
        <v/>
      </c>
    </row>
    <row r="319" spans="1:13" ht="18" hidden="1" customHeight="1" x14ac:dyDescent="0.3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65" t="str">
        <f>IF($E319="","",$E319&amp;"|"&amp;COUNTIFS($E$7:$E319,$E319))</f>
        <v/>
      </c>
      <c r="L319" s="65" t="str">
        <f>IF($D319="","",$D319&amp;"|"&amp;COUNTIFS($D$7:$D319,$D319))</f>
        <v/>
      </c>
      <c r="M319" s="65" t="str">
        <f>IF(AND($E319&lt;&gt;"",COUNTIF($G319,"KÂR PAYI / AVANS*")&gt;0),$E319&amp;"|"&amp;COUNTIFS($E$7:$E319,$E319,$G$7:$G319,"KÂR PAYI / AVANS*"),"")</f>
        <v/>
      </c>
    </row>
    <row r="320" spans="1:13" ht="18" hidden="1" customHeight="1" x14ac:dyDescent="0.3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65" t="str">
        <f>IF($E320="","",$E320&amp;"|"&amp;COUNTIFS($E$7:$E320,$E320))</f>
        <v/>
      </c>
      <c r="L320" s="65" t="str">
        <f>IF($D320="","",$D320&amp;"|"&amp;COUNTIFS($D$7:$D320,$D320))</f>
        <v/>
      </c>
      <c r="M320" s="65" t="str">
        <f>IF(AND($E320&lt;&gt;"",COUNTIF($G320,"KÂR PAYI / AVANS*")&gt;0),$E320&amp;"|"&amp;COUNTIFS($E$7:$E320,$E320,$G$7:$G320,"KÂR PAYI / AVANS*"),"")</f>
        <v/>
      </c>
    </row>
    <row r="321" spans="1:13" ht="18" hidden="1" customHeight="1" x14ac:dyDescent="0.3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65" t="str">
        <f>IF($E321="","",$E321&amp;"|"&amp;COUNTIFS($E$7:$E321,$E321))</f>
        <v/>
      </c>
      <c r="L321" s="65" t="str">
        <f>IF($D321="","",$D321&amp;"|"&amp;COUNTIFS($D$7:$D321,$D321))</f>
        <v/>
      </c>
      <c r="M321" s="65" t="str">
        <f>IF(AND($E321&lt;&gt;"",COUNTIF($G321,"KÂR PAYI / AVANS*")&gt;0),$E321&amp;"|"&amp;COUNTIFS($E$7:$E321,$E321,$G$7:$G321,"KÂR PAYI / AVANS*"),"")</f>
        <v/>
      </c>
    </row>
    <row r="322" spans="1:13" ht="18" hidden="1" customHeight="1" x14ac:dyDescent="0.3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65" t="str">
        <f>IF($E322="","",$E322&amp;"|"&amp;COUNTIFS($E$7:$E322,$E322))</f>
        <v/>
      </c>
      <c r="L322" s="65" t="str">
        <f>IF($D322="","",$D322&amp;"|"&amp;COUNTIFS($D$7:$D322,$D322))</f>
        <v/>
      </c>
      <c r="M322" s="65" t="str">
        <f>IF(AND($E322&lt;&gt;"",COUNTIF($G322,"KÂR PAYI / AVANS*")&gt;0),$E322&amp;"|"&amp;COUNTIFS($E$7:$E322,$E322,$G$7:$G322,"KÂR PAYI / AVANS*"),"")</f>
        <v/>
      </c>
    </row>
    <row r="323" spans="1:13" ht="18" hidden="1" customHeight="1" x14ac:dyDescent="0.3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65" t="str">
        <f>IF($E323="","",$E323&amp;"|"&amp;COUNTIFS($E$7:$E323,$E323))</f>
        <v/>
      </c>
      <c r="L323" s="65" t="str">
        <f>IF($D323="","",$D323&amp;"|"&amp;COUNTIFS($D$7:$D323,$D323))</f>
        <v/>
      </c>
      <c r="M323" s="65" t="str">
        <f>IF(AND($E323&lt;&gt;"",COUNTIF($G323,"KÂR PAYI / AVANS*")&gt;0),$E323&amp;"|"&amp;COUNTIFS($E$7:$E323,$E323,$G$7:$G323,"KÂR PAYI / AVANS*"),"")</f>
        <v/>
      </c>
    </row>
    <row r="324" spans="1:13" ht="18" hidden="1" customHeight="1" x14ac:dyDescent="0.3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65" t="str">
        <f>IF($E324="","",$E324&amp;"|"&amp;COUNTIFS($E$7:$E324,$E324))</f>
        <v/>
      </c>
      <c r="L324" s="65" t="str">
        <f>IF($D324="","",$D324&amp;"|"&amp;COUNTIFS($D$7:$D324,$D324))</f>
        <v/>
      </c>
      <c r="M324" s="65" t="str">
        <f>IF(AND($E324&lt;&gt;"",COUNTIF($G324,"KÂR PAYI / AVANS*")&gt;0),$E324&amp;"|"&amp;COUNTIFS($E$7:$E324,$E324,$G$7:$G324,"KÂR PAYI / AVANS*"),"")</f>
        <v/>
      </c>
    </row>
    <row r="325" spans="1:13" ht="18" hidden="1" customHeight="1" x14ac:dyDescent="0.3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65" t="str">
        <f>IF($E325="","",$E325&amp;"|"&amp;COUNTIFS($E$7:$E325,$E325))</f>
        <v/>
      </c>
      <c r="L325" s="65" t="str">
        <f>IF($D325="","",$D325&amp;"|"&amp;COUNTIFS($D$7:$D325,$D325))</f>
        <v/>
      </c>
      <c r="M325" s="65" t="str">
        <f>IF(AND($E325&lt;&gt;"",COUNTIF($G325,"KÂR PAYI / AVANS*")&gt;0),$E325&amp;"|"&amp;COUNTIFS($E$7:$E325,$E325,$G$7:$G325,"KÂR PAYI / AVANS*"),"")</f>
        <v/>
      </c>
    </row>
    <row r="326" spans="1:13" ht="18" hidden="1" customHeight="1" x14ac:dyDescent="0.3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65" t="str">
        <f>IF($E326="","",$E326&amp;"|"&amp;COUNTIFS($E$7:$E326,$E326))</f>
        <v/>
      </c>
      <c r="L326" s="65" t="str">
        <f>IF($D326="","",$D326&amp;"|"&amp;COUNTIFS($D$7:$D326,$D326))</f>
        <v/>
      </c>
      <c r="M326" s="65" t="str">
        <f>IF(AND($E326&lt;&gt;"",COUNTIF($G326,"KÂR PAYI / AVANS*")&gt;0),$E326&amp;"|"&amp;COUNTIFS($E$7:$E326,$E326,$G$7:$G326,"KÂR PAYI / AVANS*"),"")</f>
        <v/>
      </c>
    </row>
    <row r="327" spans="1:13" ht="18" hidden="1" customHeight="1" x14ac:dyDescent="0.3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65" t="str">
        <f>IF($E327="","",$E327&amp;"|"&amp;COUNTIFS($E$7:$E327,$E327))</f>
        <v/>
      </c>
      <c r="L327" s="65" t="str">
        <f>IF($D327="","",$D327&amp;"|"&amp;COUNTIFS($D$7:$D327,$D327))</f>
        <v/>
      </c>
      <c r="M327" s="65" t="str">
        <f>IF(AND($E327&lt;&gt;"",COUNTIF($G327,"KÂR PAYI / AVANS*")&gt;0),$E327&amp;"|"&amp;COUNTIFS($E$7:$E327,$E327,$G$7:$G327,"KÂR PAYI / AVANS*"),"")</f>
        <v/>
      </c>
    </row>
    <row r="328" spans="1:13" ht="18" hidden="1" customHeight="1" x14ac:dyDescent="0.3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65" t="str">
        <f>IF($E328="","",$E328&amp;"|"&amp;COUNTIFS($E$7:$E328,$E328))</f>
        <v/>
      </c>
      <c r="L328" s="65" t="str">
        <f>IF($D328="","",$D328&amp;"|"&amp;COUNTIFS($D$7:$D328,$D328))</f>
        <v/>
      </c>
      <c r="M328" s="65" t="str">
        <f>IF(AND($E328&lt;&gt;"",COUNTIF($G328,"KÂR PAYI / AVANS*")&gt;0),$E328&amp;"|"&amp;COUNTIFS($E$7:$E328,$E328,$G$7:$G328,"KÂR PAYI / AVANS*"),"")</f>
        <v/>
      </c>
    </row>
    <row r="329" spans="1:13" ht="18" hidden="1" customHeight="1" x14ac:dyDescent="0.3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65" t="str">
        <f>IF($E329="","",$E329&amp;"|"&amp;COUNTIFS($E$7:$E329,$E329))</f>
        <v/>
      </c>
      <c r="L329" s="65" t="str">
        <f>IF($D329="","",$D329&amp;"|"&amp;COUNTIFS($D$7:$D329,$D329))</f>
        <v/>
      </c>
      <c r="M329" s="65" t="str">
        <f>IF(AND($E329&lt;&gt;"",COUNTIF($G329,"KÂR PAYI / AVANS*")&gt;0),$E329&amp;"|"&amp;COUNTIFS($E$7:$E329,$E329,$G$7:$G329,"KÂR PAYI / AVANS*"),"")</f>
        <v/>
      </c>
    </row>
    <row r="330" spans="1:13" ht="18" hidden="1" customHeight="1" x14ac:dyDescent="0.3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65" t="str">
        <f>IF($E330="","",$E330&amp;"|"&amp;COUNTIFS($E$7:$E330,$E330))</f>
        <v/>
      </c>
      <c r="L330" s="65" t="str">
        <f>IF($D330="","",$D330&amp;"|"&amp;COUNTIFS($D$7:$D330,$D330))</f>
        <v/>
      </c>
      <c r="M330" s="65" t="str">
        <f>IF(AND($E330&lt;&gt;"",COUNTIF($G330,"KÂR PAYI / AVANS*")&gt;0),$E330&amp;"|"&amp;COUNTIFS($E$7:$E330,$E330,$G$7:$G330,"KÂR PAYI / AVANS*"),"")</f>
        <v/>
      </c>
    </row>
    <row r="331" spans="1:13" ht="18" hidden="1" customHeight="1" x14ac:dyDescent="0.3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65" t="str">
        <f>IF($E331="","",$E331&amp;"|"&amp;COUNTIFS($E$7:$E331,$E331))</f>
        <v/>
      </c>
      <c r="L331" s="65" t="str">
        <f>IF($D331="","",$D331&amp;"|"&amp;COUNTIFS($D$7:$D331,$D331))</f>
        <v/>
      </c>
      <c r="M331" s="65" t="str">
        <f>IF(AND($E331&lt;&gt;"",COUNTIF($G331,"KÂR PAYI / AVANS*")&gt;0),$E331&amp;"|"&amp;COUNTIFS($E$7:$E331,$E331,$G$7:$G331,"KÂR PAYI / AVANS*"),"")</f>
        <v/>
      </c>
    </row>
    <row r="332" spans="1:13" ht="18" hidden="1" customHeight="1" x14ac:dyDescent="0.3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65" t="str">
        <f>IF($E332="","",$E332&amp;"|"&amp;COUNTIFS($E$7:$E332,$E332))</f>
        <v/>
      </c>
      <c r="L332" s="65" t="str">
        <f>IF($D332="","",$D332&amp;"|"&amp;COUNTIFS($D$7:$D332,$D332))</f>
        <v/>
      </c>
      <c r="M332" s="65" t="str">
        <f>IF(AND($E332&lt;&gt;"",COUNTIF($G332,"KÂR PAYI / AVANS*")&gt;0),$E332&amp;"|"&amp;COUNTIFS($E$7:$E332,$E332,$G$7:$G332,"KÂR PAYI / AVANS*"),"")</f>
        <v/>
      </c>
    </row>
    <row r="333" spans="1:13" ht="18" hidden="1" customHeight="1" x14ac:dyDescent="0.3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65" t="str">
        <f>IF($E333="","",$E333&amp;"|"&amp;COUNTIFS($E$7:$E333,$E333))</f>
        <v/>
      </c>
      <c r="L333" s="65" t="str">
        <f>IF($D333="","",$D333&amp;"|"&amp;COUNTIFS($D$7:$D333,$D333))</f>
        <v/>
      </c>
      <c r="M333" s="65" t="str">
        <f>IF(AND($E333&lt;&gt;"",COUNTIF($G333,"KÂR PAYI / AVANS*")&gt;0),$E333&amp;"|"&amp;COUNTIFS($E$7:$E333,$E333,$G$7:$G333,"KÂR PAYI / AVANS*"),"")</f>
        <v/>
      </c>
    </row>
    <row r="334" spans="1:13" ht="18" hidden="1" customHeight="1" x14ac:dyDescent="0.3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65" t="str">
        <f>IF($E334="","",$E334&amp;"|"&amp;COUNTIFS($E$7:$E334,$E334))</f>
        <v/>
      </c>
      <c r="L334" s="65" t="str">
        <f>IF($D334="","",$D334&amp;"|"&amp;COUNTIFS($D$7:$D334,$D334))</f>
        <v/>
      </c>
      <c r="M334" s="65" t="str">
        <f>IF(AND($E334&lt;&gt;"",COUNTIF($G334,"KÂR PAYI / AVANS*")&gt;0),$E334&amp;"|"&amp;COUNTIFS($E$7:$E334,$E334,$G$7:$G334,"KÂR PAYI / AVANS*"),"")</f>
        <v/>
      </c>
    </row>
    <row r="335" spans="1:13" ht="18" hidden="1" customHeight="1" x14ac:dyDescent="0.3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65" t="str">
        <f>IF($E335="","",$E335&amp;"|"&amp;COUNTIFS($E$7:$E335,$E335))</f>
        <v/>
      </c>
      <c r="L335" s="65" t="str">
        <f>IF($D335="","",$D335&amp;"|"&amp;COUNTIFS($D$7:$D335,$D335))</f>
        <v/>
      </c>
      <c r="M335" s="65" t="str">
        <f>IF(AND($E335&lt;&gt;"",COUNTIF($G335,"KÂR PAYI / AVANS*")&gt;0),$E335&amp;"|"&amp;COUNTIFS($E$7:$E335,$E335,$G$7:$G335,"KÂR PAYI / AVANS*"),"")</f>
        <v/>
      </c>
    </row>
    <row r="336" spans="1:13" ht="18" hidden="1" customHeight="1" x14ac:dyDescent="0.3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65" t="str">
        <f>IF($E336="","",$E336&amp;"|"&amp;COUNTIFS($E$7:$E336,$E336))</f>
        <v/>
      </c>
      <c r="L336" s="65" t="str">
        <f>IF($D336="","",$D336&amp;"|"&amp;COUNTIFS($D$7:$D336,$D336))</f>
        <v/>
      </c>
      <c r="M336" s="65" t="str">
        <f>IF(AND($E336&lt;&gt;"",COUNTIF($G336,"KÂR PAYI / AVANS*")&gt;0),$E336&amp;"|"&amp;COUNTIFS($E$7:$E336,$E336,$G$7:$G336,"KÂR PAYI / AVANS*"),"")</f>
        <v/>
      </c>
    </row>
    <row r="337" spans="1:13" ht="18" hidden="1" customHeight="1" x14ac:dyDescent="0.3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65" t="str">
        <f>IF($E337="","",$E337&amp;"|"&amp;COUNTIFS($E$7:$E337,$E337))</f>
        <v/>
      </c>
      <c r="L337" s="65" t="str">
        <f>IF($D337="","",$D337&amp;"|"&amp;COUNTIFS($D$7:$D337,$D337))</f>
        <v/>
      </c>
      <c r="M337" s="65" t="str">
        <f>IF(AND($E337&lt;&gt;"",COUNTIF($G337,"KÂR PAYI / AVANS*")&gt;0),$E337&amp;"|"&amp;COUNTIFS($E$7:$E337,$E337,$G$7:$G337,"KÂR PAYI / AVANS*"),"")</f>
        <v/>
      </c>
    </row>
    <row r="338" spans="1:13" ht="18" hidden="1" customHeight="1" x14ac:dyDescent="0.3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65" t="str">
        <f>IF($E338="","",$E338&amp;"|"&amp;COUNTIFS($E$7:$E338,$E338))</f>
        <v/>
      </c>
      <c r="L338" s="65" t="str">
        <f>IF($D338="","",$D338&amp;"|"&amp;COUNTIFS($D$7:$D338,$D338))</f>
        <v/>
      </c>
      <c r="M338" s="65" t="str">
        <f>IF(AND($E338&lt;&gt;"",COUNTIF($G338,"KÂR PAYI / AVANS*")&gt;0),$E338&amp;"|"&amp;COUNTIFS($E$7:$E338,$E338,$G$7:$G338,"KÂR PAYI / AVANS*"),"")</f>
        <v/>
      </c>
    </row>
    <row r="339" spans="1:13" ht="18" hidden="1" customHeight="1" x14ac:dyDescent="0.3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65" t="str">
        <f>IF($E339="","",$E339&amp;"|"&amp;COUNTIFS($E$7:$E339,$E339))</f>
        <v/>
      </c>
      <c r="L339" s="65" t="str">
        <f>IF($D339="","",$D339&amp;"|"&amp;COUNTIFS($D$7:$D339,$D339))</f>
        <v/>
      </c>
      <c r="M339" s="65" t="str">
        <f>IF(AND($E339&lt;&gt;"",COUNTIF($G339,"KÂR PAYI / AVANS*")&gt;0),$E339&amp;"|"&amp;COUNTIFS($E$7:$E339,$E339,$G$7:$G339,"KÂR PAYI / AVANS*"),"")</f>
        <v/>
      </c>
    </row>
    <row r="340" spans="1:13" ht="18" hidden="1" customHeight="1" x14ac:dyDescent="0.3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65" t="str">
        <f>IF($E340="","",$E340&amp;"|"&amp;COUNTIFS($E$7:$E340,$E340))</f>
        <v/>
      </c>
      <c r="L340" s="65" t="str">
        <f>IF($D340="","",$D340&amp;"|"&amp;COUNTIFS($D$7:$D340,$D340))</f>
        <v/>
      </c>
      <c r="M340" s="65" t="str">
        <f>IF(AND($E340&lt;&gt;"",COUNTIF($G340,"KÂR PAYI / AVANS*")&gt;0),$E340&amp;"|"&amp;COUNTIFS($E$7:$E340,$E340,$G$7:$G340,"KÂR PAYI / AVANS*"),"")</f>
        <v/>
      </c>
    </row>
    <row r="341" spans="1:13" ht="18" hidden="1" customHeight="1" x14ac:dyDescent="0.3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65" t="str">
        <f>IF($E341="","",$E341&amp;"|"&amp;COUNTIFS($E$7:$E341,$E341))</f>
        <v/>
      </c>
      <c r="L341" s="65" t="str">
        <f>IF($D341="","",$D341&amp;"|"&amp;COUNTIFS($D$7:$D341,$D341))</f>
        <v/>
      </c>
      <c r="M341" s="65" t="str">
        <f>IF(AND($E341&lt;&gt;"",COUNTIF($G341,"KÂR PAYI / AVANS*")&gt;0),$E341&amp;"|"&amp;COUNTIFS($E$7:$E341,$E341,$G$7:$G341,"KÂR PAYI / AVANS*"),"")</f>
        <v/>
      </c>
    </row>
    <row r="342" spans="1:13" ht="18" hidden="1" customHeight="1" x14ac:dyDescent="0.3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65" t="str">
        <f>IF($E342="","",$E342&amp;"|"&amp;COUNTIFS($E$7:$E342,$E342))</f>
        <v/>
      </c>
      <c r="L342" s="65" t="str">
        <f>IF($D342="","",$D342&amp;"|"&amp;COUNTIFS($D$7:$D342,$D342))</f>
        <v/>
      </c>
      <c r="M342" s="65" t="str">
        <f>IF(AND($E342&lt;&gt;"",COUNTIF($G342,"KÂR PAYI / AVANS*")&gt;0),$E342&amp;"|"&amp;COUNTIFS($E$7:$E342,$E342,$G$7:$G342,"KÂR PAYI / AVANS*"),"")</f>
        <v/>
      </c>
    </row>
    <row r="343" spans="1:13" ht="18" hidden="1" customHeight="1" x14ac:dyDescent="0.3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65" t="str">
        <f>IF($E343="","",$E343&amp;"|"&amp;COUNTIFS($E$7:$E343,$E343))</f>
        <v/>
      </c>
      <c r="L343" s="65" t="str">
        <f>IF($D343="","",$D343&amp;"|"&amp;COUNTIFS($D$7:$D343,$D343))</f>
        <v/>
      </c>
      <c r="M343" s="65" t="str">
        <f>IF(AND($E343&lt;&gt;"",COUNTIF($G343,"KÂR PAYI / AVANS*")&gt;0),$E343&amp;"|"&amp;COUNTIFS($E$7:$E343,$E343,$G$7:$G343,"KÂR PAYI / AVANS*"),"")</f>
        <v/>
      </c>
    </row>
    <row r="344" spans="1:13" ht="18" hidden="1" customHeight="1" x14ac:dyDescent="0.3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65" t="str">
        <f>IF($E344="","",$E344&amp;"|"&amp;COUNTIFS($E$7:$E344,$E344))</f>
        <v/>
      </c>
      <c r="L344" s="65" t="str">
        <f>IF($D344="","",$D344&amp;"|"&amp;COUNTIFS($D$7:$D344,$D344))</f>
        <v/>
      </c>
      <c r="M344" s="65" t="str">
        <f>IF(AND($E344&lt;&gt;"",COUNTIF($G344,"KÂR PAYI / AVANS*")&gt;0),$E344&amp;"|"&amp;COUNTIFS($E$7:$E344,$E344,$G$7:$G344,"KÂR PAYI / AVANS*"),"")</f>
        <v/>
      </c>
    </row>
    <row r="345" spans="1:13" ht="18" hidden="1" customHeight="1" x14ac:dyDescent="0.3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65" t="str">
        <f>IF($E345="","",$E345&amp;"|"&amp;COUNTIFS($E$7:$E345,$E345))</f>
        <v/>
      </c>
      <c r="L345" s="65" t="str">
        <f>IF($D345="","",$D345&amp;"|"&amp;COUNTIFS($D$7:$D345,$D345))</f>
        <v/>
      </c>
      <c r="M345" s="65" t="str">
        <f>IF(AND($E345&lt;&gt;"",COUNTIF($G345,"KÂR PAYI / AVANS*")&gt;0),$E345&amp;"|"&amp;COUNTIFS($E$7:$E345,$E345,$G$7:$G345,"KÂR PAYI / AVANS*"),"")</f>
        <v/>
      </c>
    </row>
    <row r="346" spans="1:13" ht="18" hidden="1" customHeight="1" x14ac:dyDescent="0.3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65" t="str">
        <f>IF($E346="","",$E346&amp;"|"&amp;COUNTIFS($E$7:$E346,$E346))</f>
        <v/>
      </c>
      <c r="L346" s="65" t="str">
        <f>IF($D346="","",$D346&amp;"|"&amp;COUNTIFS($D$7:$D346,$D346))</f>
        <v/>
      </c>
      <c r="M346" s="65" t="str">
        <f>IF(AND($E346&lt;&gt;"",COUNTIF($G346,"KÂR PAYI / AVANS*")&gt;0),$E346&amp;"|"&amp;COUNTIFS($E$7:$E346,$E346,$G$7:$G346,"KÂR PAYI / AVANS*"),"")</f>
        <v/>
      </c>
    </row>
    <row r="347" spans="1:13" ht="18" hidden="1" customHeight="1" x14ac:dyDescent="0.3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65" t="str">
        <f>IF($E347="","",$E347&amp;"|"&amp;COUNTIFS($E$7:$E347,$E347))</f>
        <v/>
      </c>
      <c r="L347" s="65" t="str">
        <f>IF($D347="","",$D347&amp;"|"&amp;COUNTIFS($D$7:$D347,$D347))</f>
        <v/>
      </c>
      <c r="M347" s="65" t="str">
        <f>IF(AND($E347&lt;&gt;"",COUNTIF($G347,"KÂR PAYI / AVANS*")&gt;0),$E347&amp;"|"&amp;COUNTIFS($E$7:$E347,$E347,$G$7:$G347,"KÂR PAYI / AVANS*"),"")</f>
        <v/>
      </c>
    </row>
    <row r="348" spans="1:13" ht="18" hidden="1" customHeight="1" x14ac:dyDescent="0.3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65" t="str">
        <f>IF($E348="","",$E348&amp;"|"&amp;COUNTIFS($E$7:$E348,$E348))</f>
        <v/>
      </c>
      <c r="L348" s="65" t="str">
        <f>IF($D348="","",$D348&amp;"|"&amp;COUNTIFS($D$7:$D348,$D348))</f>
        <v/>
      </c>
      <c r="M348" s="65" t="str">
        <f>IF(AND($E348&lt;&gt;"",COUNTIF($G348,"KÂR PAYI / AVANS*")&gt;0),$E348&amp;"|"&amp;COUNTIFS($E$7:$E348,$E348,$G$7:$G348,"KÂR PAYI / AVANS*"),"")</f>
        <v/>
      </c>
    </row>
    <row r="349" spans="1:13" ht="18" hidden="1" customHeight="1" x14ac:dyDescent="0.3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65" t="str">
        <f>IF($E349="","",$E349&amp;"|"&amp;COUNTIFS($E$7:$E349,$E349))</f>
        <v/>
      </c>
      <c r="L349" s="65" t="str">
        <f>IF($D349="","",$D349&amp;"|"&amp;COUNTIFS($D$7:$D349,$D349))</f>
        <v/>
      </c>
      <c r="M349" s="65" t="str">
        <f>IF(AND($E349&lt;&gt;"",COUNTIF($G349,"KÂR PAYI / AVANS*")&gt;0),$E349&amp;"|"&amp;COUNTIFS($E$7:$E349,$E349,$G$7:$G349,"KÂR PAYI / AVANS*"),"")</f>
        <v/>
      </c>
    </row>
    <row r="350" spans="1:13" ht="18" hidden="1" customHeight="1" x14ac:dyDescent="0.3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65" t="str">
        <f>IF($E350="","",$E350&amp;"|"&amp;COUNTIFS($E$7:$E350,$E350))</f>
        <v/>
      </c>
      <c r="L350" s="65" t="str">
        <f>IF($D350="","",$D350&amp;"|"&amp;COUNTIFS($D$7:$D350,$D350))</f>
        <v/>
      </c>
      <c r="M350" s="65" t="str">
        <f>IF(AND($E350&lt;&gt;"",COUNTIF($G350,"KÂR PAYI / AVANS*")&gt;0),$E350&amp;"|"&amp;COUNTIFS($E$7:$E350,$E350,$G$7:$G350,"KÂR PAYI / AVANS*"),"")</f>
        <v/>
      </c>
    </row>
    <row r="351" spans="1:13" ht="18" hidden="1" customHeight="1" x14ac:dyDescent="0.3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65" t="str">
        <f>IF($E351="","",$E351&amp;"|"&amp;COUNTIFS($E$7:$E351,$E351))</f>
        <v/>
      </c>
      <c r="L351" s="65" t="str">
        <f>IF($D351="","",$D351&amp;"|"&amp;COUNTIFS($D$7:$D351,$D351))</f>
        <v/>
      </c>
      <c r="M351" s="65" t="str">
        <f>IF(AND($E351&lt;&gt;"",COUNTIF($G351,"KÂR PAYI / AVANS*")&gt;0),$E351&amp;"|"&amp;COUNTIFS($E$7:$E351,$E351,$G$7:$G351,"KÂR PAYI / AVANS*"),"")</f>
        <v/>
      </c>
    </row>
    <row r="352" spans="1:13" ht="18" hidden="1" customHeight="1" x14ac:dyDescent="0.3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65" t="str">
        <f>IF($E352="","",$E352&amp;"|"&amp;COUNTIFS($E$7:$E352,$E352))</f>
        <v/>
      </c>
      <c r="L352" s="65" t="str">
        <f>IF($D352="","",$D352&amp;"|"&amp;COUNTIFS($D$7:$D352,$D352))</f>
        <v/>
      </c>
      <c r="M352" s="65" t="str">
        <f>IF(AND($E352&lt;&gt;"",COUNTIF($G352,"KÂR PAYI / AVANS*")&gt;0),$E352&amp;"|"&amp;COUNTIFS($E$7:$E352,$E352,$G$7:$G352,"KÂR PAYI / AVANS*"),"")</f>
        <v/>
      </c>
    </row>
    <row r="353" spans="1:13" ht="18" hidden="1" customHeight="1" x14ac:dyDescent="0.3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65" t="str">
        <f>IF($E353="","",$E353&amp;"|"&amp;COUNTIFS($E$7:$E353,$E353))</f>
        <v/>
      </c>
      <c r="L353" s="65" t="str">
        <f>IF($D353="","",$D353&amp;"|"&amp;COUNTIFS($D$7:$D353,$D353))</f>
        <v/>
      </c>
      <c r="M353" s="65" t="str">
        <f>IF(AND($E353&lt;&gt;"",COUNTIF($G353,"KÂR PAYI / AVANS*")&gt;0),$E353&amp;"|"&amp;COUNTIFS($E$7:$E353,$E353,$G$7:$G353,"KÂR PAYI / AVANS*"),"")</f>
        <v/>
      </c>
    </row>
    <row r="354" spans="1:13" ht="18" hidden="1" customHeight="1" x14ac:dyDescent="0.3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65" t="str">
        <f>IF($E354="","",$E354&amp;"|"&amp;COUNTIFS($E$7:$E354,$E354))</f>
        <v/>
      </c>
      <c r="L354" s="65" t="str">
        <f>IF($D354="","",$D354&amp;"|"&amp;COUNTIFS($D$7:$D354,$D354))</f>
        <v/>
      </c>
      <c r="M354" s="65" t="str">
        <f>IF(AND($E354&lt;&gt;"",COUNTIF($G354,"KÂR PAYI / AVANS*")&gt;0),$E354&amp;"|"&amp;COUNTIFS($E$7:$E354,$E354,$G$7:$G354,"KÂR PAYI / AVANS*"),"")</f>
        <v/>
      </c>
    </row>
    <row r="355" spans="1:13" ht="18" hidden="1" customHeight="1" x14ac:dyDescent="0.3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65" t="str">
        <f>IF($E355="","",$E355&amp;"|"&amp;COUNTIFS($E$7:$E355,$E355))</f>
        <v/>
      </c>
      <c r="L355" s="65" t="str">
        <f>IF($D355="","",$D355&amp;"|"&amp;COUNTIFS($D$7:$D355,$D355))</f>
        <v/>
      </c>
      <c r="M355" s="65" t="str">
        <f>IF(AND($E355&lt;&gt;"",COUNTIF($G355,"KÂR PAYI / AVANS*")&gt;0),$E355&amp;"|"&amp;COUNTIFS($E$7:$E355,$E355,$G$7:$G355,"KÂR PAYI / AVANS*"),"")</f>
        <v/>
      </c>
    </row>
    <row r="356" spans="1:13" ht="18" hidden="1" customHeight="1" x14ac:dyDescent="0.3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65" t="str">
        <f>IF($E356="","",$E356&amp;"|"&amp;COUNTIFS($E$7:$E356,$E356))</f>
        <v/>
      </c>
      <c r="L356" s="65" t="str">
        <f>IF($D356="","",$D356&amp;"|"&amp;COUNTIFS($D$7:$D356,$D356))</f>
        <v/>
      </c>
      <c r="M356" s="65" t="str">
        <f>IF(AND($E356&lt;&gt;"",COUNTIF($G356,"KÂR PAYI / AVANS*")&gt;0),$E356&amp;"|"&amp;COUNTIFS($E$7:$E356,$E356,$G$7:$G356,"KÂR PAYI / AVANS*"),"")</f>
        <v/>
      </c>
    </row>
    <row r="357" spans="1:13" ht="18" hidden="1" customHeight="1" x14ac:dyDescent="0.3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65" t="str">
        <f>IF($E357="","",$E357&amp;"|"&amp;COUNTIFS($E$7:$E357,$E357))</f>
        <v/>
      </c>
      <c r="L357" s="65" t="str">
        <f>IF($D357="","",$D357&amp;"|"&amp;COUNTIFS($D$7:$D357,$D357))</f>
        <v/>
      </c>
      <c r="M357" s="65" t="str">
        <f>IF(AND($E357&lt;&gt;"",COUNTIF($G357,"KÂR PAYI / AVANS*")&gt;0),$E357&amp;"|"&amp;COUNTIFS($E$7:$E357,$E357,$G$7:$G357,"KÂR PAYI / AVANS*"),"")</f>
        <v/>
      </c>
    </row>
    <row r="358" spans="1:13" ht="18" hidden="1" customHeight="1" x14ac:dyDescent="0.3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65" t="str">
        <f>IF($E358="","",$E358&amp;"|"&amp;COUNTIFS($E$7:$E358,$E358))</f>
        <v/>
      </c>
      <c r="L358" s="65" t="str">
        <f>IF($D358="","",$D358&amp;"|"&amp;COUNTIFS($D$7:$D358,$D358))</f>
        <v/>
      </c>
      <c r="M358" s="65" t="str">
        <f>IF(AND($E358&lt;&gt;"",COUNTIF($G358,"KÂR PAYI / AVANS*")&gt;0),$E358&amp;"|"&amp;COUNTIFS($E$7:$E358,$E358,$G$7:$G358,"KÂR PAYI / AVANS*"),"")</f>
        <v/>
      </c>
    </row>
    <row r="359" spans="1:13" ht="18" hidden="1" customHeight="1" x14ac:dyDescent="0.3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65" t="str">
        <f>IF($E359="","",$E359&amp;"|"&amp;COUNTIFS($E$7:$E359,$E359))</f>
        <v/>
      </c>
      <c r="L359" s="65" t="str">
        <f>IF($D359="","",$D359&amp;"|"&amp;COUNTIFS($D$7:$D359,$D359))</f>
        <v/>
      </c>
      <c r="M359" s="65" t="str">
        <f>IF(AND($E359&lt;&gt;"",COUNTIF($G359,"KÂR PAYI / AVANS*")&gt;0),$E359&amp;"|"&amp;COUNTIFS($E$7:$E359,$E359,$G$7:$G359,"KÂR PAYI / AVANS*"),"")</f>
        <v/>
      </c>
    </row>
    <row r="360" spans="1:13" ht="18" hidden="1" customHeight="1" x14ac:dyDescent="0.3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65" t="str">
        <f>IF($E360="","",$E360&amp;"|"&amp;COUNTIFS($E$7:$E360,$E360))</f>
        <v/>
      </c>
      <c r="L360" s="65" t="str">
        <f>IF($D360="","",$D360&amp;"|"&amp;COUNTIFS($D$7:$D360,$D360))</f>
        <v/>
      </c>
      <c r="M360" s="65" t="str">
        <f>IF(AND($E360&lt;&gt;"",COUNTIF($G360,"KÂR PAYI / AVANS*")&gt;0),$E360&amp;"|"&amp;COUNTIFS($E$7:$E360,$E360,$G$7:$G360,"KÂR PAYI / AVANS*"),"")</f>
        <v/>
      </c>
    </row>
    <row r="361" spans="1:13" ht="18" hidden="1" customHeight="1" x14ac:dyDescent="0.3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65" t="str">
        <f>IF($E361="","",$E361&amp;"|"&amp;COUNTIFS($E$7:$E361,$E361))</f>
        <v/>
      </c>
      <c r="L361" s="65" t="str">
        <f>IF($D361="","",$D361&amp;"|"&amp;COUNTIFS($D$7:$D361,$D361))</f>
        <v/>
      </c>
      <c r="M361" s="65" t="str">
        <f>IF(AND($E361&lt;&gt;"",COUNTIF($G361,"KÂR PAYI / AVANS*")&gt;0),$E361&amp;"|"&amp;COUNTIFS($E$7:$E361,$E361,$G$7:$G361,"KÂR PAYI / AVANS*"),"")</f>
        <v/>
      </c>
    </row>
    <row r="362" spans="1:13" ht="18" hidden="1" customHeight="1" x14ac:dyDescent="0.3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65" t="str">
        <f>IF($E362="","",$E362&amp;"|"&amp;COUNTIFS($E$7:$E362,$E362))</f>
        <v/>
      </c>
      <c r="L362" s="65" t="str">
        <f>IF($D362="","",$D362&amp;"|"&amp;COUNTIFS($D$7:$D362,$D362))</f>
        <v/>
      </c>
      <c r="M362" s="65" t="str">
        <f>IF(AND($E362&lt;&gt;"",COUNTIF($G362,"KÂR PAYI / AVANS*")&gt;0),$E362&amp;"|"&amp;COUNTIFS($E$7:$E362,$E362,$G$7:$G362,"KÂR PAYI / AVANS*"),"")</f>
        <v/>
      </c>
    </row>
    <row r="363" spans="1:13" ht="18" hidden="1" customHeight="1" x14ac:dyDescent="0.3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65" t="str">
        <f>IF($E363="","",$E363&amp;"|"&amp;COUNTIFS($E$7:$E363,$E363))</f>
        <v/>
      </c>
      <c r="L363" s="65" t="str">
        <f>IF($D363="","",$D363&amp;"|"&amp;COUNTIFS($D$7:$D363,$D363))</f>
        <v/>
      </c>
      <c r="M363" s="65" t="str">
        <f>IF(AND($E363&lt;&gt;"",COUNTIF($G363,"KÂR PAYI / AVANS*")&gt;0),$E363&amp;"|"&amp;COUNTIFS($E$7:$E363,$E363,$G$7:$G363,"KÂR PAYI / AVANS*"),"")</f>
        <v/>
      </c>
    </row>
    <row r="364" spans="1:13" ht="18" hidden="1" customHeight="1" x14ac:dyDescent="0.3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65" t="str">
        <f>IF($E364="","",$E364&amp;"|"&amp;COUNTIFS($E$7:$E364,$E364))</f>
        <v/>
      </c>
      <c r="L364" s="65" t="str">
        <f>IF($D364="","",$D364&amp;"|"&amp;COUNTIFS($D$7:$D364,$D364))</f>
        <v/>
      </c>
      <c r="M364" s="65" t="str">
        <f>IF(AND($E364&lt;&gt;"",COUNTIF($G364,"KÂR PAYI / AVANS*")&gt;0),$E364&amp;"|"&amp;COUNTIFS($E$7:$E364,$E364,$G$7:$G364,"KÂR PAYI / AVANS*"),"")</f>
        <v/>
      </c>
    </row>
    <row r="365" spans="1:13" ht="18" hidden="1" customHeight="1" x14ac:dyDescent="0.3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65" t="str">
        <f>IF($E365="","",$E365&amp;"|"&amp;COUNTIFS($E$7:$E365,$E365))</f>
        <v/>
      </c>
      <c r="L365" s="65" t="str">
        <f>IF($D365="","",$D365&amp;"|"&amp;COUNTIFS($D$7:$D365,$D365))</f>
        <v/>
      </c>
      <c r="M365" s="65" t="str">
        <f>IF(AND($E365&lt;&gt;"",COUNTIF($G365,"KÂR PAYI / AVANS*")&gt;0),$E365&amp;"|"&amp;COUNTIFS($E$7:$E365,$E365,$G$7:$G365,"KÂR PAYI / AVANS*"),"")</f>
        <v/>
      </c>
    </row>
    <row r="366" spans="1:13" ht="18" hidden="1" customHeight="1" x14ac:dyDescent="0.3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65" t="str">
        <f>IF($E366="","",$E366&amp;"|"&amp;COUNTIFS($E$7:$E366,$E366))</f>
        <v/>
      </c>
      <c r="L366" s="65" t="str">
        <f>IF($D366="","",$D366&amp;"|"&amp;COUNTIFS($D$7:$D366,$D366))</f>
        <v/>
      </c>
      <c r="M366" s="65" t="str">
        <f>IF(AND($E366&lt;&gt;"",COUNTIF($G366,"KÂR PAYI / AVANS*")&gt;0),$E366&amp;"|"&amp;COUNTIFS($E$7:$E366,$E366,$G$7:$G366,"KÂR PAYI / AVANS*"),"")</f>
        <v/>
      </c>
    </row>
    <row r="367" spans="1:13" ht="18" hidden="1" customHeight="1" x14ac:dyDescent="0.3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65" t="str">
        <f>IF($E367="","",$E367&amp;"|"&amp;COUNTIFS($E$7:$E367,$E367))</f>
        <v/>
      </c>
      <c r="L367" s="65" t="str">
        <f>IF($D367="","",$D367&amp;"|"&amp;COUNTIFS($D$7:$D367,$D367))</f>
        <v/>
      </c>
      <c r="M367" s="65" t="str">
        <f>IF(AND($E367&lt;&gt;"",COUNTIF($G367,"KÂR PAYI / AVANS*")&gt;0),$E367&amp;"|"&amp;COUNTIFS($E$7:$E367,$E367,$G$7:$G367,"KÂR PAYI / AVANS*"),"")</f>
        <v/>
      </c>
    </row>
    <row r="368" spans="1:13" ht="18" hidden="1" customHeight="1" x14ac:dyDescent="0.3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65" t="str">
        <f>IF($E368="","",$E368&amp;"|"&amp;COUNTIFS($E$7:$E368,$E368))</f>
        <v/>
      </c>
      <c r="L368" s="65" t="str">
        <f>IF($D368="","",$D368&amp;"|"&amp;COUNTIFS($D$7:$D368,$D368))</f>
        <v/>
      </c>
      <c r="M368" s="65" t="str">
        <f>IF(AND($E368&lt;&gt;"",COUNTIF($G368,"KÂR PAYI / AVANS*")&gt;0),$E368&amp;"|"&amp;COUNTIFS($E$7:$E368,$E368,$G$7:$G368,"KÂR PAYI / AVANS*"),"")</f>
        <v/>
      </c>
    </row>
    <row r="369" spans="1:13" ht="18" hidden="1" customHeight="1" x14ac:dyDescent="0.3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65" t="str">
        <f>IF($E369="","",$E369&amp;"|"&amp;COUNTIFS($E$7:$E369,$E369))</f>
        <v/>
      </c>
      <c r="L369" s="65" t="str">
        <f>IF($D369="","",$D369&amp;"|"&amp;COUNTIFS($D$7:$D369,$D369))</f>
        <v/>
      </c>
      <c r="M369" s="65" t="str">
        <f>IF(AND($E369&lt;&gt;"",COUNTIF($G369,"KÂR PAYI / AVANS*")&gt;0),$E369&amp;"|"&amp;COUNTIFS($E$7:$E369,$E369,$G$7:$G369,"KÂR PAYI / AVANS*"),"")</f>
        <v/>
      </c>
    </row>
    <row r="370" spans="1:13" ht="18" hidden="1" customHeight="1" x14ac:dyDescent="0.3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65" t="str">
        <f>IF($E370="","",$E370&amp;"|"&amp;COUNTIFS($E$7:$E370,$E370))</f>
        <v/>
      </c>
      <c r="L370" s="65" t="str">
        <f>IF($D370="","",$D370&amp;"|"&amp;COUNTIFS($D$7:$D370,$D370))</f>
        <v/>
      </c>
      <c r="M370" s="65" t="str">
        <f>IF(AND($E370&lt;&gt;"",COUNTIF($G370,"KÂR PAYI / AVANS*")&gt;0),$E370&amp;"|"&amp;COUNTIFS($E$7:$E370,$E370,$G$7:$G370,"KÂR PAYI / AVANS*"),"")</f>
        <v/>
      </c>
    </row>
    <row r="371" spans="1:13" ht="18" hidden="1" customHeight="1" x14ac:dyDescent="0.3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65" t="str">
        <f>IF($E371="","",$E371&amp;"|"&amp;COUNTIFS($E$7:$E371,$E371))</f>
        <v/>
      </c>
      <c r="L371" s="65" t="str">
        <f>IF($D371="","",$D371&amp;"|"&amp;COUNTIFS($D$7:$D371,$D371))</f>
        <v/>
      </c>
      <c r="M371" s="65" t="str">
        <f>IF(AND($E371&lt;&gt;"",COUNTIF($G371,"KÂR PAYI / AVANS*")&gt;0),$E371&amp;"|"&amp;COUNTIFS($E$7:$E371,$E371,$G$7:$G371,"KÂR PAYI / AVANS*"),"")</f>
        <v/>
      </c>
    </row>
    <row r="372" spans="1:13" ht="18" hidden="1" customHeight="1" x14ac:dyDescent="0.3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65" t="str">
        <f>IF($E372="","",$E372&amp;"|"&amp;COUNTIFS($E$7:$E372,$E372))</f>
        <v/>
      </c>
      <c r="L372" s="65" t="str">
        <f>IF($D372="","",$D372&amp;"|"&amp;COUNTIFS($D$7:$D372,$D372))</f>
        <v/>
      </c>
      <c r="M372" s="65" t="str">
        <f>IF(AND($E372&lt;&gt;"",COUNTIF($G372,"KÂR PAYI / AVANS*")&gt;0),$E372&amp;"|"&amp;COUNTIFS($E$7:$E372,$E372,$G$7:$G372,"KÂR PAYI / AVANS*"),"")</f>
        <v/>
      </c>
    </row>
    <row r="373" spans="1:13" ht="18" hidden="1" customHeight="1" x14ac:dyDescent="0.3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65" t="str">
        <f>IF($E373="","",$E373&amp;"|"&amp;COUNTIFS($E$7:$E373,$E373))</f>
        <v/>
      </c>
      <c r="L373" s="65" t="str">
        <f>IF($D373="","",$D373&amp;"|"&amp;COUNTIFS($D$7:$D373,$D373))</f>
        <v/>
      </c>
      <c r="M373" s="65" t="str">
        <f>IF(AND($E373&lt;&gt;"",COUNTIF($G373,"KÂR PAYI / AVANS*")&gt;0),$E373&amp;"|"&amp;COUNTIFS($E$7:$E373,$E373,$G$7:$G373,"KÂR PAYI / AVANS*"),"")</f>
        <v/>
      </c>
    </row>
    <row r="374" spans="1:13" ht="18" hidden="1" customHeight="1" x14ac:dyDescent="0.3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65" t="str">
        <f>IF($E374="","",$E374&amp;"|"&amp;COUNTIFS($E$7:$E374,$E374))</f>
        <v/>
      </c>
      <c r="L374" s="65" t="str">
        <f>IF($D374="","",$D374&amp;"|"&amp;COUNTIFS($D$7:$D374,$D374))</f>
        <v/>
      </c>
      <c r="M374" s="65" t="str">
        <f>IF(AND($E374&lt;&gt;"",COUNTIF($G374,"KÂR PAYI / AVANS*")&gt;0),$E374&amp;"|"&amp;COUNTIFS($E$7:$E374,$E374,$G$7:$G374,"KÂR PAYI / AVANS*"),"")</f>
        <v/>
      </c>
    </row>
    <row r="375" spans="1:13" ht="18" hidden="1" customHeight="1" x14ac:dyDescent="0.3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65" t="str">
        <f>IF($E375="","",$E375&amp;"|"&amp;COUNTIFS($E$7:$E375,$E375))</f>
        <v/>
      </c>
      <c r="L375" s="65" t="str">
        <f>IF($D375="","",$D375&amp;"|"&amp;COUNTIFS($D$7:$D375,$D375))</f>
        <v/>
      </c>
      <c r="M375" s="65" t="str">
        <f>IF(AND($E375&lt;&gt;"",COUNTIF($G375,"KÂR PAYI / AVANS*")&gt;0),$E375&amp;"|"&amp;COUNTIFS($E$7:$E375,$E375,$G$7:$G375,"KÂR PAYI / AVANS*"),"")</f>
        <v/>
      </c>
    </row>
    <row r="376" spans="1:13" ht="18" hidden="1" customHeight="1" x14ac:dyDescent="0.3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65" t="str">
        <f>IF($E376="","",$E376&amp;"|"&amp;COUNTIFS($E$7:$E376,$E376))</f>
        <v/>
      </c>
      <c r="L376" s="65" t="str">
        <f>IF($D376="","",$D376&amp;"|"&amp;COUNTIFS($D$7:$D376,$D376))</f>
        <v/>
      </c>
      <c r="M376" s="65" t="str">
        <f>IF(AND($E376&lt;&gt;"",COUNTIF($G376,"KÂR PAYI / AVANS*")&gt;0),$E376&amp;"|"&amp;COUNTIFS($E$7:$E376,$E376,$G$7:$G376,"KÂR PAYI / AVANS*"),"")</f>
        <v/>
      </c>
    </row>
    <row r="377" spans="1:13" ht="18" hidden="1" customHeight="1" x14ac:dyDescent="0.3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65" t="str">
        <f>IF($E377="","",$E377&amp;"|"&amp;COUNTIFS($E$7:$E377,$E377))</f>
        <v/>
      </c>
      <c r="L377" s="65" t="str">
        <f>IF($D377="","",$D377&amp;"|"&amp;COUNTIFS($D$7:$D377,$D377))</f>
        <v/>
      </c>
      <c r="M377" s="65" t="str">
        <f>IF(AND($E377&lt;&gt;"",COUNTIF($G377,"KÂR PAYI / AVANS*")&gt;0),$E377&amp;"|"&amp;COUNTIFS($E$7:$E377,$E377,$G$7:$G377,"KÂR PAYI / AVANS*"),"")</f>
        <v/>
      </c>
    </row>
    <row r="378" spans="1:13" ht="18" hidden="1" customHeight="1" x14ac:dyDescent="0.3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65" t="str">
        <f>IF($E378="","",$E378&amp;"|"&amp;COUNTIFS($E$7:$E378,$E378))</f>
        <v/>
      </c>
      <c r="L378" s="65" t="str">
        <f>IF($D378="","",$D378&amp;"|"&amp;COUNTIFS($D$7:$D378,$D378))</f>
        <v/>
      </c>
      <c r="M378" s="65" t="str">
        <f>IF(AND($E378&lt;&gt;"",COUNTIF($G378,"KÂR PAYI / AVANS*")&gt;0),$E378&amp;"|"&amp;COUNTIFS($E$7:$E378,$E378,$G$7:$G378,"KÂR PAYI / AVANS*"),"")</f>
        <v/>
      </c>
    </row>
    <row r="379" spans="1:13" ht="18" hidden="1" customHeight="1" x14ac:dyDescent="0.3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65" t="str">
        <f>IF($E379="","",$E379&amp;"|"&amp;COUNTIFS($E$7:$E379,$E379))</f>
        <v/>
      </c>
      <c r="L379" s="65" t="str">
        <f>IF($D379="","",$D379&amp;"|"&amp;COUNTIFS($D$7:$D379,$D379))</f>
        <v/>
      </c>
      <c r="M379" s="65" t="str">
        <f>IF(AND($E379&lt;&gt;"",COUNTIF($G379,"KÂR PAYI / AVANS*")&gt;0),$E379&amp;"|"&amp;COUNTIFS($E$7:$E379,$E379,$G$7:$G379,"KÂR PAYI / AVANS*"),"")</f>
        <v/>
      </c>
    </row>
    <row r="380" spans="1:13" ht="18" hidden="1" customHeight="1" x14ac:dyDescent="0.3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65" t="str">
        <f>IF($E380="","",$E380&amp;"|"&amp;COUNTIFS($E$7:$E380,$E380))</f>
        <v/>
      </c>
      <c r="L380" s="65" t="str">
        <f>IF($D380="","",$D380&amp;"|"&amp;COUNTIFS($D$7:$D380,$D380))</f>
        <v/>
      </c>
      <c r="M380" s="65" t="str">
        <f>IF(AND($E380&lt;&gt;"",COUNTIF($G380,"KÂR PAYI / AVANS*")&gt;0),$E380&amp;"|"&amp;COUNTIFS($E$7:$E380,$E380,$G$7:$G380,"KÂR PAYI / AVANS*"),"")</f>
        <v/>
      </c>
    </row>
    <row r="381" spans="1:13" ht="18" hidden="1" customHeight="1" x14ac:dyDescent="0.3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65" t="str">
        <f>IF($E381="","",$E381&amp;"|"&amp;COUNTIFS($E$7:$E381,$E381))</f>
        <v/>
      </c>
      <c r="L381" s="65" t="str">
        <f>IF($D381="","",$D381&amp;"|"&amp;COUNTIFS($D$7:$D381,$D381))</f>
        <v/>
      </c>
      <c r="M381" s="65" t="str">
        <f>IF(AND($E381&lt;&gt;"",COUNTIF($G381,"KÂR PAYI / AVANS*")&gt;0),$E381&amp;"|"&amp;COUNTIFS($E$7:$E381,$E381,$G$7:$G381,"KÂR PAYI / AVANS*"),"")</f>
        <v/>
      </c>
    </row>
    <row r="382" spans="1:13" ht="18" hidden="1" customHeight="1" x14ac:dyDescent="0.3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65" t="str">
        <f>IF($E382="","",$E382&amp;"|"&amp;COUNTIFS($E$7:$E382,$E382))</f>
        <v/>
      </c>
      <c r="L382" s="65" t="str">
        <f>IF($D382="","",$D382&amp;"|"&amp;COUNTIFS($D$7:$D382,$D382))</f>
        <v/>
      </c>
      <c r="M382" s="65" t="str">
        <f>IF(AND($E382&lt;&gt;"",COUNTIF($G382,"KÂR PAYI / AVANS*")&gt;0),$E382&amp;"|"&amp;COUNTIFS($E$7:$E382,$E382,$G$7:$G382,"KÂR PAYI / AVANS*"),"")</f>
        <v/>
      </c>
    </row>
    <row r="383" spans="1:13" ht="18" hidden="1" customHeight="1" x14ac:dyDescent="0.3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65" t="str">
        <f>IF($E383="","",$E383&amp;"|"&amp;COUNTIFS($E$7:$E383,$E383))</f>
        <v/>
      </c>
      <c r="L383" s="65" t="str">
        <f>IF($D383="","",$D383&amp;"|"&amp;COUNTIFS($D$7:$D383,$D383))</f>
        <v/>
      </c>
      <c r="M383" s="65" t="str">
        <f>IF(AND($E383&lt;&gt;"",COUNTIF($G383,"KÂR PAYI / AVANS*")&gt;0),$E383&amp;"|"&amp;COUNTIFS($E$7:$E383,$E383,$G$7:$G383,"KÂR PAYI / AVANS*"),"")</f>
        <v/>
      </c>
    </row>
    <row r="384" spans="1:13" ht="18" hidden="1" customHeight="1" x14ac:dyDescent="0.3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65" t="str">
        <f>IF($E384="","",$E384&amp;"|"&amp;COUNTIFS($E$7:$E384,$E384))</f>
        <v/>
      </c>
      <c r="L384" s="65" t="str">
        <f>IF($D384="","",$D384&amp;"|"&amp;COUNTIFS($D$7:$D384,$D384))</f>
        <v/>
      </c>
      <c r="M384" s="65" t="str">
        <f>IF(AND($E384&lt;&gt;"",COUNTIF($G384,"KÂR PAYI / AVANS*")&gt;0),$E384&amp;"|"&amp;COUNTIFS($E$7:$E384,$E384,$G$7:$G384,"KÂR PAYI / AVANS*"),"")</f>
        <v/>
      </c>
    </row>
    <row r="385" spans="1:13" ht="18" hidden="1" customHeight="1" x14ac:dyDescent="0.3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65" t="str">
        <f>IF($E385="","",$E385&amp;"|"&amp;COUNTIFS($E$7:$E385,$E385))</f>
        <v/>
      </c>
      <c r="L385" s="65" t="str">
        <f>IF($D385="","",$D385&amp;"|"&amp;COUNTIFS($D$7:$D385,$D385))</f>
        <v/>
      </c>
      <c r="M385" s="65" t="str">
        <f>IF(AND($E385&lt;&gt;"",COUNTIF($G385,"KÂR PAYI / AVANS*")&gt;0),$E385&amp;"|"&amp;COUNTIFS($E$7:$E385,$E385,$G$7:$G385,"KÂR PAYI / AVANS*"),"")</f>
        <v/>
      </c>
    </row>
    <row r="386" spans="1:13" ht="18" hidden="1" customHeight="1" x14ac:dyDescent="0.3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65" t="str">
        <f>IF($E386="","",$E386&amp;"|"&amp;COUNTIFS($E$7:$E386,$E386))</f>
        <v/>
      </c>
      <c r="L386" s="65" t="str">
        <f>IF($D386="","",$D386&amp;"|"&amp;COUNTIFS($D$7:$D386,$D386))</f>
        <v/>
      </c>
      <c r="M386" s="65" t="str">
        <f>IF(AND($E386&lt;&gt;"",COUNTIF($G386,"KÂR PAYI / AVANS*")&gt;0),$E386&amp;"|"&amp;COUNTIFS($E$7:$E386,$E386,$G$7:$G386,"KÂR PAYI / AVANS*"),"")</f>
        <v/>
      </c>
    </row>
    <row r="387" spans="1:13" ht="18" hidden="1" customHeight="1" x14ac:dyDescent="0.3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65" t="str">
        <f>IF($E387="","",$E387&amp;"|"&amp;COUNTIFS($E$7:$E387,$E387))</f>
        <v/>
      </c>
      <c r="L387" s="65" t="str">
        <f>IF($D387="","",$D387&amp;"|"&amp;COUNTIFS($D$7:$D387,$D387))</f>
        <v/>
      </c>
      <c r="M387" s="65" t="str">
        <f>IF(AND($E387&lt;&gt;"",COUNTIF($G387,"KÂR PAYI / AVANS*")&gt;0),$E387&amp;"|"&amp;COUNTIFS($E$7:$E387,$E387,$G$7:$G387,"KÂR PAYI / AVANS*"),"")</f>
        <v/>
      </c>
    </row>
    <row r="388" spans="1:13" ht="18" hidden="1" customHeight="1" x14ac:dyDescent="0.3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65" t="str">
        <f>IF($E388="","",$E388&amp;"|"&amp;COUNTIFS($E$7:$E388,$E388))</f>
        <v/>
      </c>
      <c r="L388" s="65" t="str">
        <f>IF($D388="","",$D388&amp;"|"&amp;COUNTIFS($D$7:$D388,$D388))</f>
        <v/>
      </c>
      <c r="M388" s="65" t="str">
        <f>IF(AND($E388&lt;&gt;"",COUNTIF($G388,"KÂR PAYI / AVANS*")&gt;0),$E388&amp;"|"&amp;COUNTIFS($E$7:$E388,$E388,$G$7:$G388,"KÂR PAYI / AVANS*"),"")</f>
        <v/>
      </c>
    </row>
    <row r="389" spans="1:13" ht="18" hidden="1" customHeight="1" x14ac:dyDescent="0.3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65" t="str">
        <f>IF($E389="","",$E389&amp;"|"&amp;COUNTIFS($E$7:$E389,$E389))</f>
        <v/>
      </c>
      <c r="L389" s="65" t="str">
        <f>IF($D389="","",$D389&amp;"|"&amp;COUNTIFS($D$7:$D389,$D389))</f>
        <v/>
      </c>
      <c r="M389" s="65" t="str">
        <f>IF(AND($E389&lt;&gt;"",COUNTIF($G389,"KÂR PAYI / AVANS*")&gt;0),$E389&amp;"|"&amp;COUNTIFS($E$7:$E389,$E389,$G$7:$G389,"KÂR PAYI / AVANS*"),"")</f>
        <v/>
      </c>
    </row>
    <row r="390" spans="1:13" ht="18" hidden="1" customHeight="1" x14ac:dyDescent="0.3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65" t="str">
        <f>IF($E390="","",$E390&amp;"|"&amp;COUNTIFS($E$7:$E390,$E390))</f>
        <v/>
      </c>
      <c r="L390" s="65" t="str">
        <f>IF($D390="","",$D390&amp;"|"&amp;COUNTIFS($D$7:$D390,$D390))</f>
        <v/>
      </c>
      <c r="M390" s="65" t="str">
        <f>IF(AND($E390&lt;&gt;"",COUNTIF($G390,"KÂR PAYI / AVANS*")&gt;0),$E390&amp;"|"&amp;COUNTIFS($E$7:$E390,$E390,$G$7:$G390,"KÂR PAYI / AVANS*"),"")</f>
        <v/>
      </c>
    </row>
    <row r="391" spans="1:13" ht="18" hidden="1" customHeight="1" x14ac:dyDescent="0.3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65" t="str">
        <f>IF($E391="","",$E391&amp;"|"&amp;COUNTIFS($E$7:$E391,$E391))</f>
        <v/>
      </c>
      <c r="L391" s="65" t="str">
        <f>IF($D391="","",$D391&amp;"|"&amp;COUNTIFS($D$7:$D391,$D391))</f>
        <v/>
      </c>
      <c r="M391" s="65" t="str">
        <f>IF(AND($E391&lt;&gt;"",COUNTIF($G391,"KÂR PAYI / AVANS*")&gt;0),$E391&amp;"|"&amp;COUNTIFS($E$7:$E391,$E391,$G$7:$G391,"KÂR PAYI / AVANS*"),"")</f>
        <v/>
      </c>
    </row>
    <row r="392" spans="1:13" ht="18" hidden="1" customHeight="1" x14ac:dyDescent="0.3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65" t="str">
        <f>IF($E392="","",$E392&amp;"|"&amp;COUNTIFS($E$7:$E392,$E392))</f>
        <v/>
      </c>
      <c r="L392" s="65" t="str">
        <f>IF($D392="","",$D392&amp;"|"&amp;COUNTIFS($D$7:$D392,$D392))</f>
        <v/>
      </c>
      <c r="M392" s="65" t="str">
        <f>IF(AND($E392&lt;&gt;"",COUNTIF($G392,"KÂR PAYI / AVANS*")&gt;0),$E392&amp;"|"&amp;COUNTIFS($E$7:$E392,$E392,$G$7:$G392,"KÂR PAYI / AVANS*"),"")</f>
        <v/>
      </c>
    </row>
    <row r="393" spans="1:13" ht="18" hidden="1" customHeight="1" x14ac:dyDescent="0.3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65" t="str">
        <f>IF($E393="","",$E393&amp;"|"&amp;COUNTIFS($E$7:$E393,$E393))</f>
        <v/>
      </c>
      <c r="L393" s="65" t="str">
        <f>IF($D393="","",$D393&amp;"|"&amp;COUNTIFS($D$7:$D393,$D393))</f>
        <v/>
      </c>
      <c r="M393" s="65" t="str">
        <f>IF(AND($E393&lt;&gt;"",COUNTIF($G393,"KÂR PAYI / AVANS*")&gt;0),$E393&amp;"|"&amp;COUNTIFS($E$7:$E393,$E393,$G$7:$G393,"KÂR PAYI / AVANS*"),"")</f>
        <v/>
      </c>
    </row>
    <row r="394" spans="1:13" ht="18" hidden="1" customHeight="1" x14ac:dyDescent="0.3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65" t="str">
        <f>IF($E394="","",$E394&amp;"|"&amp;COUNTIFS($E$7:$E394,$E394))</f>
        <v/>
      </c>
      <c r="L394" s="65" t="str">
        <f>IF($D394="","",$D394&amp;"|"&amp;COUNTIFS($D$7:$D394,$D394))</f>
        <v/>
      </c>
      <c r="M394" s="65" t="str">
        <f>IF(AND($E394&lt;&gt;"",COUNTIF($G394,"KÂR PAYI / AVANS*")&gt;0),$E394&amp;"|"&amp;COUNTIFS($E$7:$E394,$E394,$G$7:$G394,"KÂR PAYI / AVANS*"),"")</f>
        <v/>
      </c>
    </row>
    <row r="395" spans="1:13" ht="18" hidden="1" customHeight="1" x14ac:dyDescent="0.3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65" t="str">
        <f>IF($E395="","",$E395&amp;"|"&amp;COUNTIFS($E$7:$E395,$E395))</f>
        <v/>
      </c>
      <c r="L395" s="65" t="str">
        <f>IF($D395="","",$D395&amp;"|"&amp;COUNTIFS($D$7:$D395,$D395))</f>
        <v/>
      </c>
      <c r="M395" s="65" t="str">
        <f>IF(AND($E395&lt;&gt;"",COUNTIF($G395,"KÂR PAYI / AVANS*")&gt;0),$E395&amp;"|"&amp;COUNTIFS($E$7:$E395,$E395,$G$7:$G395,"KÂR PAYI / AVANS*"),"")</f>
        <v/>
      </c>
    </row>
    <row r="396" spans="1:13" ht="18" hidden="1" customHeight="1" x14ac:dyDescent="0.3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65" t="str">
        <f>IF($E396="","",$E396&amp;"|"&amp;COUNTIFS($E$7:$E396,$E396))</f>
        <v/>
      </c>
      <c r="L396" s="65" t="str">
        <f>IF($D396="","",$D396&amp;"|"&amp;COUNTIFS($D$7:$D396,$D396))</f>
        <v/>
      </c>
      <c r="M396" s="65" t="str">
        <f>IF(AND($E396&lt;&gt;"",COUNTIF($G396,"KÂR PAYI / AVANS*")&gt;0),$E396&amp;"|"&amp;COUNTIFS($E$7:$E396,$E396,$G$7:$G396,"KÂR PAYI / AVANS*"),"")</f>
        <v/>
      </c>
    </row>
    <row r="397" spans="1:13" ht="18" hidden="1" customHeight="1" x14ac:dyDescent="0.3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65" t="str">
        <f>IF($E397="","",$E397&amp;"|"&amp;COUNTIFS($E$7:$E397,$E397))</f>
        <v/>
      </c>
      <c r="L397" s="65" t="str">
        <f>IF($D397="","",$D397&amp;"|"&amp;COUNTIFS($D$7:$D397,$D397))</f>
        <v/>
      </c>
      <c r="M397" s="65" t="str">
        <f>IF(AND($E397&lt;&gt;"",COUNTIF($G397,"KÂR PAYI / AVANS*")&gt;0),$E397&amp;"|"&amp;COUNTIFS($E$7:$E397,$E397,$G$7:$G397,"KÂR PAYI / AVANS*"),"")</f>
        <v/>
      </c>
    </row>
    <row r="398" spans="1:13" ht="18" hidden="1" customHeight="1" x14ac:dyDescent="0.3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65" t="str">
        <f>IF($E398="","",$E398&amp;"|"&amp;COUNTIFS($E$7:$E398,$E398))</f>
        <v/>
      </c>
      <c r="L398" s="65" t="str">
        <f>IF($D398="","",$D398&amp;"|"&amp;COUNTIFS($D$7:$D398,$D398))</f>
        <v/>
      </c>
      <c r="M398" s="65" t="str">
        <f>IF(AND($E398&lt;&gt;"",COUNTIF($G398,"KÂR PAYI / AVANS*")&gt;0),$E398&amp;"|"&amp;COUNTIFS($E$7:$E398,$E398,$G$7:$G398,"KÂR PAYI / AVANS*"),"")</f>
        <v/>
      </c>
    </row>
    <row r="399" spans="1:13" ht="18" hidden="1" customHeight="1" x14ac:dyDescent="0.3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65" t="str">
        <f>IF($E399="","",$E399&amp;"|"&amp;COUNTIFS($E$7:$E399,$E399))</f>
        <v/>
      </c>
      <c r="L399" s="65" t="str">
        <f>IF($D399="","",$D399&amp;"|"&amp;COUNTIFS($D$7:$D399,$D399))</f>
        <v/>
      </c>
      <c r="M399" s="65" t="str">
        <f>IF(AND($E399&lt;&gt;"",COUNTIF($G399,"KÂR PAYI / AVANS*")&gt;0),$E399&amp;"|"&amp;COUNTIFS($E$7:$E399,$E399,$G$7:$G399,"KÂR PAYI / AVANS*"),"")</f>
        <v/>
      </c>
    </row>
    <row r="400" spans="1:13" ht="18" hidden="1" customHeight="1" x14ac:dyDescent="0.3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65" t="str">
        <f>IF($E400="","",$E400&amp;"|"&amp;COUNTIFS($E$7:$E400,$E400))</f>
        <v/>
      </c>
      <c r="L400" s="65" t="str">
        <f>IF($D400="","",$D400&amp;"|"&amp;COUNTIFS($D$7:$D400,$D400))</f>
        <v/>
      </c>
      <c r="M400" s="65" t="str">
        <f>IF(AND($E400&lt;&gt;"",COUNTIF($G400,"KÂR PAYI / AVANS*")&gt;0),$E400&amp;"|"&amp;COUNTIFS($E$7:$E400,$E400,$G$7:$G400,"KÂR PAYI / AVANS*"),"")</f>
        <v/>
      </c>
    </row>
    <row r="401" spans="1:13" ht="18" hidden="1" customHeight="1" x14ac:dyDescent="0.3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65" t="str">
        <f>IF($E401="","",$E401&amp;"|"&amp;COUNTIFS($E$7:$E401,$E401))</f>
        <v/>
      </c>
      <c r="L401" s="65" t="str">
        <f>IF($D401="","",$D401&amp;"|"&amp;COUNTIFS($D$7:$D401,$D401))</f>
        <v/>
      </c>
      <c r="M401" s="65" t="str">
        <f>IF(AND($E401&lt;&gt;"",COUNTIF($G401,"KÂR PAYI / AVANS*")&gt;0),$E401&amp;"|"&amp;COUNTIFS($E$7:$E401,$E401,$G$7:$G401,"KÂR PAYI / AVANS*"),"")</f>
        <v/>
      </c>
    </row>
    <row r="402" spans="1:13" ht="18" hidden="1" customHeight="1" x14ac:dyDescent="0.3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65" t="str">
        <f>IF($E402="","",$E402&amp;"|"&amp;COUNTIFS($E$7:$E402,$E402))</f>
        <v/>
      </c>
      <c r="L402" s="65" t="str">
        <f>IF($D402="","",$D402&amp;"|"&amp;COUNTIFS($D$7:$D402,$D402))</f>
        <v/>
      </c>
      <c r="M402" s="65" t="str">
        <f>IF(AND($E402&lt;&gt;"",COUNTIF($G402,"KÂR PAYI / AVANS*")&gt;0),$E402&amp;"|"&amp;COUNTIFS($E$7:$E402,$E402,$G$7:$G402,"KÂR PAYI / AVANS*"),"")</f>
        <v/>
      </c>
    </row>
    <row r="403" spans="1:13" ht="18" hidden="1" customHeight="1" x14ac:dyDescent="0.3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65" t="str">
        <f>IF($E403="","",$E403&amp;"|"&amp;COUNTIFS($E$7:$E403,$E403))</f>
        <v/>
      </c>
      <c r="L403" s="65" t="str">
        <f>IF($D403="","",$D403&amp;"|"&amp;COUNTIFS($D$7:$D403,$D403))</f>
        <v/>
      </c>
      <c r="M403" s="65" t="str">
        <f>IF(AND($E403&lt;&gt;"",COUNTIF($G403,"KÂR PAYI / AVANS*")&gt;0),$E403&amp;"|"&amp;COUNTIFS($E$7:$E403,$E403,$G$7:$G403,"KÂR PAYI / AVANS*"),"")</f>
        <v/>
      </c>
    </row>
    <row r="404" spans="1:13" ht="18" hidden="1" customHeight="1" x14ac:dyDescent="0.3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65" t="str">
        <f>IF($E404="","",$E404&amp;"|"&amp;COUNTIFS($E$7:$E404,$E404))</f>
        <v/>
      </c>
      <c r="L404" s="65" t="str">
        <f>IF($D404="","",$D404&amp;"|"&amp;COUNTIFS($D$7:$D404,$D404))</f>
        <v/>
      </c>
      <c r="M404" s="65" t="str">
        <f>IF(AND($E404&lt;&gt;"",COUNTIF($G404,"KÂR PAYI / AVANS*")&gt;0),$E404&amp;"|"&amp;COUNTIFS($E$7:$E404,$E404,$G$7:$G404,"KÂR PAYI / AVANS*"),"")</f>
        <v/>
      </c>
    </row>
    <row r="405" spans="1:13" ht="18" hidden="1" customHeight="1" x14ac:dyDescent="0.3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65" t="str">
        <f>IF($E405="","",$E405&amp;"|"&amp;COUNTIFS($E$7:$E405,$E405))</f>
        <v/>
      </c>
      <c r="L405" s="65" t="str">
        <f>IF($D405="","",$D405&amp;"|"&amp;COUNTIFS($D$7:$D405,$D405))</f>
        <v/>
      </c>
      <c r="M405" s="65" t="str">
        <f>IF(AND($E405&lt;&gt;"",COUNTIF($G405,"KÂR PAYI / AVANS*")&gt;0),$E405&amp;"|"&amp;COUNTIFS($E$7:$E405,$E405,$G$7:$G405,"KÂR PAYI / AVANS*"),"")</f>
        <v/>
      </c>
    </row>
    <row r="406" spans="1:13" ht="18" hidden="1" customHeight="1" x14ac:dyDescent="0.3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65" t="str">
        <f>IF($E406="","",$E406&amp;"|"&amp;COUNTIFS($E$7:$E406,$E406))</f>
        <v/>
      </c>
      <c r="L406" s="65" t="str">
        <f>IF($D406="","",$D406&amp;"|"&amp;COUNTIFS($D$7:$D406,$D406))</f>
        <v/>
      </c>
      <c r="M406" s="65" t="str">
        <f>IF(AND($E406&lt;&gt;"",COUNTIF($G406,"KÂR PAYI / AVANS*")&gt;0),$E406&amp;"|"&amp;COUNTIFS($E$7:$E406,$E406,$G$7:$G406,"KÂR PAYI / AVANS*"),"")</f>
        <v/>
      </c>
    </row>
    <row r="407" spans="1:13" ht="18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3" ht="18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>
    <filterColumn colId="2">
      <filters>
        <filter val="MERKEZ KASA"/>
      </filters>
    </filterColumn>
  </autoFilter>
  <mergeCells count="3">
    <mergeCell ref="A2:K2"/>
    <mergeCell ref="F1:K1"/>
    <mergeCell ref="A1:E1"/>
  </mergeCells>
  <conditionalFormatting sqref="J7:J406">
    <cfRule type="expression" dxfId="54" priority="2">
      <formula>EXACT($J7,"UYGUN")</formula>
    </cfRule>
    <cfRule type="expression" dxfId="53" priority="3">
      <formula>EXACT($J7,"EKSİK")</formula>
    </cfRule>
    <cfRule type="expression" dxfId="52" priority="4">
      <formula>EXACT($J7,"HATA")</formula>
    </cfRule>
    <cfRule type="expression" dxfId="51" priority="5">
      <formula>EXACT($J7,"İLERİ TARİH")</formula>
    </cfRule>
    <cfRule type="expression" dxfId="50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7E99"/>
    <pageSetUpPr fitToPage="1"/>
  </sheetPr>
  <dimension ref="A1:W953"/>
  <sheetViews>
    <sheetView showGridLines="0" zoomScaleNormal="100" workbookViewId="0">
      <pane xSplit="1" ySplit="12" topLeftCell="B177" activePane="bottomRight" state="frozen"/>
      <selection pane="topRight" activeCell="B1" sqref="B1"/>
      <selection pane="bottomLeft" activeCell="A13" sqref="A13"/>
      <selection pane="bottomRight" activeCell="F184" sqref="F184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66.140625" customWidth="1"/>
    <col min="6" max="6" width="29.7109375" customWidth="1"/>
    <col min="7" max="8" width="16.7109375" customWidth="1"/>
    <col min="9" max="9" width="18.5703125" customWidth="1"/>
    <col min="10" max="10" width="2.28515625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8" t="s">
        <v>0</v>
      </c>
      <c r="B1" s="171"/>
      <c r="C1" s="171"/>
      <c r="D1" s="171"/>
      <c r="E1" s="171"/>
      <c r="F1" s="208" t="s">
        <v>986</v>
      </c>
      <c r="G1" s="171"/>
      <c r="H1" s="171"/>
      <c r="I1" s="17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9" t="s">
        <v>987</v>
      </c>
      <c r="B2" s="139"/>
      <c r="C2" s="139"/>
      <c r="D2" s="139"/>
      <c r="E2" s="139"/>
      <c r="F2" s="139"/>
      <c r="G2" s="139"/>
      <c r="H2" s="139"/>
      <c r="I2" s="1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988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HYPERLINK("#ORTAKLAR!A1","Ortak Tanımları")</f>
        <v>Ortak Tanımları</v>
      </c>
      <c r="E4" s="76" t="str">
        <f>HYPERLINK("#VIRMAN!A1","Ortak Çekiş / Avans")</f>
        <v>Ortak Çekiş / Avans</v>
      </c>
      <c r="F4" s="77" t="str">
        <f>HYPERLINK("#AY_SONU!A1","Ay Sonu")</f>
        <v>Ay Sonu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IFERROR(MATCH($C$36,ORTAKLAR!$B$7:$B$10,0),0)</f>
        <v>2</v>
      </c>
      <c r="V4" s="1"/>
      <c r="W4" s="1"/>
    </row>
    <row r="5" spans="1:23" ht="27.75" hidden="1" customHeight="1" x14ac:dyDescent="0.3">
      <c r="A5" s="2"/>
      <c r="B5" s="182" t="s">
        <v>989</v>
      </c>
      <c r="C5" s="171"/>
      <c r="D5" s="171"/>
      <c r="E5" s="171"/>
      <c r="F5" s="171"/>
      <c r="G5" s="171"/>
      <c r="H5" s="171"/>
      <c r="I5" s="17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IF($C$36="","",IF($C$36=SISTEM!$C$9,"M",IF($C$36=SISTEM!$C$10,"N","")))</f>
        <v>N</v>
      </c>
      <c r="V5" s="1"/>
      <c r="W5" s="1"/>
    </row>
    <row r="6" spans="1:23" ht="33.75" hidden="1" customHeight="1" x14ac:dyDescent="0.3">
      <c r="A6" s="2"/>
      <c r="B6" s="57" t="s">
        <v>990</v>
      </c>
      <c r="C6" s="57" t="s">
        <v>991</v>
      </c>
      <c r="D6" s="57" t="s">
        <v>555</v>
      </c>
      <c r="E6" s="57" t="s">
        <v>992</v>
      </c>
      <c r="F6" s="57" t="s">
        <v>993</v>
      </c>
      <c r="G6" s="57" t="s">
        <v>994</v>
      </c>
      <c r="H6" s="57" t="s">
        <v>995</v>
      </c>
      <c r="I6" s="57" t="s">
        <v>996</v>
      </c>
      <c r="J6" s="57" t="s">
        <v>997</v>
      </c>
      <c r="K6" s="2"/>
      <c r="L6" s="78" t="s">
        <v>998</v>
      </c>
      <c r="M6" s="1"/>
      <c r="N6" s="1"/>
      <c r="O6" s="1"/>
      <c r="P6" s="1"/>
      <c r="Q6" s="1"/>
      <c r="R6" s="1"/>
      <c r="S6" s="1"/>
      <c r="T6" s="1"/>
      <c r="U6" s="79">
        <f>IFERROR(INDEX(ORTAKLAR!$F$7:$F$10,MATCH($C$36,ORTAKLAR!$B$7:$B$10,0)),"")</f>
        <v>879731.02</v>
      </c>
      <c r="V6" s="1"/>
      <c r="W6" s="1"/>
    </row>
    <row r="7" spans="1:23" ht="19.5" hidden="1" customHeight="1" x14ac:dyDescent="0.3">
      <c r="A7" s="2"/>
      <c r="B7" s="61" t="s">
        <v>972</v>
      </c>
      <c r="C7" s="60" t="s">
        <v>972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IF($B7="","",SUMIFS(VIRMAN!$F$7:$F$406,VIRMAN!$E$7:$E$406,$B7)+SUMIFS(GELIR_GIDER!$G$7:$G$3001,GELIR_GIDER!$D$7:$D$3001,"Gelir",GELIR_GIDER!$L$7:$L$3001,$B7,GELIR_GIDER!$I$7:$I$3001,"Hayır"))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IF($B7="","",SUMIFS(VIRMAN!$F$7:$F$406,VIRMAN!$E$7:$E$406,$B7,VIRMAN!$G$7:$G$406,"KÂR PAYI / AVANS*"))</f>
        <v>634731.02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hidden="1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IF($B8="","",SUMIFS(VIRMAN!$F$7:$F$406,VIRMAN!$E$7:$E$406,$B8)+SUMIFS(GELIR_GIDER!$G$7:$G$3001,GELIR_GIDER!$D$7:$D$3001,"Gelir",GELIR_GIDER!$L$7:$L$3001,$B8,GELIR_GIDER!$I$7:$I$3001,"Hayır"))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IF($B8="","",SUMIFS(VIRMAN!$F$7:$F$406,VIRMAN!$E$7:$E$406,$B8,VIRMAN!$G$7:$G$406,"KÂR PAYI / AVANS*"))</f>
        <v>634731.02</v>
      </c>
      <c r="K8" s="2"/>
      <c r="L8" s="80" t="str">
        <f>IF($B8="","",IF($I8&gt;0.01,"ORTAK BORÇLU",IF($I8&lt;-0.01,"ORTAK ALACAKLI","KAPALI")))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hidden="1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IF($B9="","",SUMIFS(VIRMAN!$F$7:$F$406,VIRMAN!$E$7:$E$406,$B9)+SUMIFS(GELIR_GIDER!$G$7:$G$3001,GELIR_GIDER!$D$7:$D$3001,"Gelir",GELIR_GIDER!$L$7:$L$3001,$B9,GELIR_GIDER!$I$7:$I$3001,"Hayır"))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IF($B9="","",SUMIFS(VIRMAN!$F$7:$F$406,VIRMAN!$E$7:$E$406,$B9,VIRMAN!$G$7:$G$406,"KÂR PAYI / AVANS*"))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hidden="1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IF($B10="","",SUMIFS(VIRMAN!$F$7:$F$406,VIRMAN!$E$7:$E$406,$B10)+SUMIFS(GELIR_GIDER!$G$7:$G$3001,GELIR_GIDER!$D$7:$D$3001,"Gelir",GELIR_GIDER!$L$7:$L$3001,$B10,GELIR_GIDER!$I$7:$I$3001,"Hayır"))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IF($B10="","",SUMIFS(VIRMAN!$F$7:$F$406,VIRMAN!$E$7:$E$406,$B10,VIRMAN!$G$7:$G$406,"KÂR PAYI / AVANS*"))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hidden="1" customHeight="1" x14ac:dyDescent="0.3">
      <c r="A11" s="2"/>
      <c r="B11" s="212" t="s">
        <v>999</v>
      </c>
      <c r="C11" s="139"/>
      <c r="D11" s="139"/>
      <c r="E11" s="139"/>
      <c r="F11" s="139"/>
      <c r="G11" s="139"/>
      <c r="H11" s="139"/>
      <c r="I11" s="139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hidden="1" customHeight="1" x14ac:dyDescent="0.3">
      <c r="A12" s="2"/>
      <c r="B12" s="182" t="s">
        <v>1000</v>
      </c>
      <c r="C12" s="171"/>
      <c r="D12" s="171"/>
      <c r="E12" s="171"/>
      <c r="F12" s="171"/>
      <c r="G12" s="171"/>
      <c r="H12" s="171"/>
      <c r="I12" s="17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hidden="1" customHeight="1" x14ac:dyDescent="0.3">
      <c r="A13" s="2"/>
      <c r="B13" s="57" t="s">
        <v>1001</v>
      </c>
      <c r="C13" s="57" t="s">
        <v>1002</v>
      </c>
      <c r="D13" s="57" t="s">
        <v>1003</v>
      </c>
      <c r="E13" s="57" t="s">
        <v>1004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hidden="1" customHeight="1" x14ac:dyDescent="0.3">
      <c r="A14" s="2"/>
      <c r="B14" s="61" t="s">
        <v>972</v>
      </c>
      <c r="C14" s="81">
        <v>46023</v>
      </c>
      <c r="D14" s="81"/>
      <c r="E14" s="82">
        <v>0.5</v>
      </c>
      <c r="F14" s="61" t="s">
        <v>1005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hidden="1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1005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hidden="1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hidden="1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hidden="1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hidden="1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hidden="1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hidden="1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hidden="1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hidden="1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hidden="1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hidden="1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hidden="1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hidden="1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hidden="1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hidden="1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hidden="1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hidden="1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hidden="1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hidden="1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hidden="1" customHeight="1" x14ac:dyDescent="0.3">
      <c r="A34" s="2"/>
      <c r="B34" s="212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39"/>
      <c r="D34" s="139"/>
      <c r="E34" s="139"/>
      <c r="F34" s="139"/>
      <c r="G34" s="139"/>
      <c r="H34" s="139"/>
      <c r="I34" s="139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2" t="s">
        <v>1006</v>
      </c>
      <c r="C35" s="171"/>
      <c r="D35" s="171"/>
      <c r="E35" s="171"/>
      <c r="F35" s="171"/>
      <c r="G35" s="171"/>
      <c r="H35" s="171"/>
      <c r="I35" s="17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1007</v>
      </c>
      <c r="C36" s="213" t="s">
        <v>723</v>
      </c>
      <c r="D36" s="214"/>
      <c r="E36" s="215"/>
      <c r="F36" s="216" t="str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>ÖMER KARTAL   │   BORÇ: 1416381 TL   │   ALACAK: 820531 TL   │   NET: 595850 TL</v>
      </c>
      <c r="G36" s="139"/>
      <c r="H36" s="139"/>
      <c r="I36" s="139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1008</v>
      </c>
      <c r="C37" s="57" t="s">
        <v>709</v>
      </c>
      <c r="D37" s="217" t="s">
        <v>54</v>
      </c>
      <c r="E37" s="171"/>
      <c r="F37" s="57" t="s">
        <v>1009</v>
      </c>
      <c r="G37" s="57" t="s">
        <v>1010</v>
      </c>
      <c r="H37" s="57" t="s">
        <v>1011</v>
      </c>
      <c r="I37" s="57" t="s">
        <v>1012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101" si="2">IF($C38="","",ROW()-37)</f>
        <v>1</v>
      </c>
      <c r="C38" s="70">
        <f t="shared" ref="C38:C101" si="3">IF($W38="","",IF(INDEX($N$38:$N$953,$W38)="","",INDEX($N$38:$N$953,$W38)))</f>
        <v>46025</v>
      </c>
      <c r="D38" s="201" t="str">
        <f t="shared" ref="D38:D101" si="4">IF($C38="","",INDEX($O$38:$O$953,$W38))</f>
        <v>ÖMER KARTAL – müşteriden tahsilat: EĞLENGÖR LTD.ŞTİ. – ÖMER KARTALA ÖDENEN</v>
      </c>
      <c r="E38" s="141"/>
      <c r="F38" s="65" t="str">
        <f t="shared" ref="F38:F101" si="5">IF($C38="","",INDEX($P$38:$P$953,$W38))</f>
        <v>MÜŞTERİDEN ALDI</v>
      </c>
      <c r="G38" s="68">
        <f t="shared" ref="G38:G101" si="6">IF($C38="","",INDEX($Q$38:$Q$953,$W38))</f>
        <v>3000</v>
      </c>
      <c r="H38" s="68">
        <f t="shared" ref="H38:H101" si="7">IF($C38="","",INDEX($R$38:$R$953,$W38))</f>
        <v>0</v>
      </c>
      <c r="I38" s="68">
        <f>IF($C38="","",0+$G38-$H38)</f>
        <v>3000</v>
      </c>
      <c r="J38" s="2"/>
      <c r="K38" s="2"/>
      <c r="L38" s="1"/>
      <c r="M38" s="1">
        <v>1</v>
      </c>
      <c r="N38" s="1">
        <f>IF($R38&lt;=0,"",EOMONTH(AY_SONU!$B7,0))</f>
        <v>46053</v>
      </c>
      <c r="O38" s="1" t="str">
        <f>IF($N38="","",$C$36&amp;" – "&amp;CHOOSE(MONTH(AY_SONU!$B7),"Ocak","Şubat","Mart","Nisan","Mayıs","Haziran","Temmuz","Ağustos","Eylül","Ekim","Kasım","Aralık")&amp;" "&amp;YEAR(AY_SONU!$B7)&amp;" kâr payı tahakkuku")</f>
        <v>ÖMER KARTAL – Ocak 2026 kâr payı tahakkuku</v>
      </c>
      <c r="P38" s="1" t="str">
        <f t="shared" ref="P38:P73" si="8">IF($N38="","","KÂR PAYI TAHAKKUKU")</f>
        <v>KÂR PAYI TAHAKKUKU</v>
      </c>
      <c r="Q38" s="79">
        <v>0</v>
      </c>
      <c r="R38" s="79">
        <f>IF($C$36="",0,IF($C$36=SISTEM!$C$9,AY_SONU!$M7,IF($C$36=SISTEM!$C$10,AY_SONU!$N7,0)))</f>
        <v>127783.09</v>
      </c>
      <c r="S38" s="1">
        <f t="shared" ref="S38:S101" si="9">IF($N38="",10000000000,$N38*100000+$M38)</f>
        <v>4605300001</v>
      </c>
      <c r="T38" s="1"/>
      <c r="U38" s="1"/>
      <c r="V38" s="1">
        <f t="shared" ref="V38:V101" si="10">IFERROR(SMALL($S$38:$S$953,ROW()-37),"")</f>
        <v>4602500037</v>
      </c>
      <c r="W38" s="1">
        <f t="shared" ref="W38:W101" si="11">IFERROR(MATCH($V38,$S$38:$S$953,0),"")</f>
        <v>37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46025</v>
      </c>
      <c r="D39" s="201" t="str">
        <f t="shared" si="4"/>
        <v>ÖMER KARTAL – müşteriden tahsilat: ÖZFİDANLAR LTD.ŞTİ. – ÖMER KARTALA ÖDENEN</v>
      </c>
      <c r="E39" s="141"/>
      <c r="F39" s="65" t="str">
        <f t="shared" si="5"/>
        <v>MÜŞTERİDEN ALDI</v>
      </c>
      <c r="G39" s="68">
        <f t="shared" si="6"/>
        <v>2000</v>
      </c>
      <c r="H39" s="68">
        <f t="shared" si="7"/>
        <v>0</v>
      </c>
      <c r="I39" s="68">
        <f t="shared" ref="I39:I102" si="12">IF($C39="","",N($I38)+$G39-$H39)</f>
        <v>5000</v>
      </c>
      <c r="J39" s="2"/>
      <c r="K39" s="2"/>
      <c r="L39" s="1"/>
      <c r="M39" s="1">
        <v>2</v>
      </c>
      <c r="N39" s="1">
        <f>IF($R39&lt;=0,"",EOMONTH(AY_SONU!$B8,0))</f>
        <v>46081</v>
      </c>
      <c r="O39" s="1" t="str">
        <f>IF($N39="","",$C$36&amp;" – "&amp;CHOOSE(MONTH(AY_SONU!$B8),"Ocak","Şubat","Mart","Nisan","Mayıs","Haziran","Temmuz","Ağustos","Eylül","Ekim","Kasım","Aralık")&amp;" "&amp;YEAR(AY_SONU!$B8)&amp;" kâr payı tahakkuku")</f>
        <v>ÖMER KARTAL – Şubat 2026 kâr payı tahakkuku</v>
      </c>
      <c r="P39" s="1" t="str">
        <f t="shared" si="8"/>
        <v>KÂR PAYI TAHAKKUKU</v>
      </c>
      <c r="Q39" s="79">
        <v>0</v>
      </c>
      <c r="R39" s="79">
        <f>IF($C$36="",0,IF($C$36=SISTEM!$C$9,AY_SONU!$M8,IF($C$36=SISTEM!$C$10,AY_SONU!$N8,0)))</f>
        <v>10310.90499999997</v>
      </c>
      <c r="S39" s="1">
        <f t="shared" si="9"/>
        <v>4608100002</v>
      </c>
      <c r="T39" s="1"/>
      <c r="U39" s="1"/>
      <c r="V39" s="1">
        <f t="shared" si="10"/>
        <v>4602500038</v>
      </c>
      <c r="W39" s="1">
        <f t="shared" si="11"/>
        <v>38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46025</v>
      </c>
      <c r="D40" s="201" t="str">
        <f t="shared" si="4"/>
        <v>ÖMER KARTAL – müşteriden tahsilat: PAKYILDIZ LTD.ŞTİ. – ÖMER KARTALA ÖDENEN</v>
      </c>
      <c r="E40" s="141"/>
      <c r="F40" s="65" t="str">
        <f t="shared" si="5"/>
        <v>MÜŞTERİDEN ALDI</v>
      </c>
      <c r="G40" s="68">
        <f t="shared" si="6"/>
        <v>2000</v>
      </c>
      <c r="H40" s="68">
        <f t="shared" si="7"/>
        <v>0</v>
      </c>
      <c r="I40" s="68">
        <f t="shared" si="12"/>
        <v>7000</v>
      </c>
      <c r="J40" s="2"/>
      <c r="K40" s="2"/>
      <c r="L40" s="1"/>
      <c r="M40" s="1">
        <v>3</v>
      </c>
      <c r="N40" s="1">
        <f>IF($R40&lt;=0,"",EOMONTH(AY_SONU!$B9,0))</f>
        <v>46112</v>
      </c>
      <c r="O40" s="1" t="str">
        <f>IF($N40="","",$C$36&amp;" – "&amp;CHOOSE(MONTH(AY_SONU!$B9),"Ocak","Şubat","Mart","Nisan","Mayıs","Haziran","Temmuz","Ağustos","Eylül","Ekim","Kasım","Aralık")&amp;" "&amp;YEAR(AY_SONU!$B9)&amp;" kâr payı tahakkuku")</f>
        <v>ÖMER KARTAL – Mart 2026 kâr payı tahakkuku</v>
      </c>
      <c r="P40" s="1" t="str">
        <f t="shared" si="8"/>
        <v>KÂR PAYI TAHAKKUKU</v>
      </c>
      <c r="Q40" s="79">
        <v>0</v>
      </c>
      <c r="R40" s="79">
        <f>IF($C$36="",0,IF($C$36=SISTEM!$C$9,AY_SONU!$M9,IF($C$36=SISTEM!$C$10,AY_SONU!$N9,0)))</f>
        <v>77421.014999999985</v>
      </c>
      <c r="S40" s="1">
        <f t="shared" si="9"/>
        <v>4611200003</v>
      </c>
      <c r="T40" s="1"/>
      <c r="U40" s="1"/>
      <c r="V40" s="1">
        <f t="shared" si="10"/>
        <v>4602500039</v>
      </c>
      <c r="W40" s="1">
        <f t="shared" si="11"/>
        <v>39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46025</v>
      </c>
      <c r="D41" s="201" t="str">
        <f t="shared" si="4"/>
        <v>ÖMER KARTAL – müşteriden tahsilat: ZÜMRÜT GRUP LTD.ŞTİ. – ÖMER KARTALA ÖDENEN</v>
      </c>
      <c r="E41" s="141"/>
      <c r="F41" s="65" t="str">
        <f t="shared" si="5"/>
        <v>MÜŞTERİDEN ALDI</v>
      </c>
      <c r="G41" s="68">
        <f t="shared" si="6"/>
        <v>1750</v>
      </c>
      <c r="H41" s="68">
        <f t="shared" si="7"/>
        <v>0</v>
      </c>
      <c r="I41" s="68">
        <f t="shared" si="12"/>
        <v>8750</v>
      </c>
      <c r="J41" s="2"/>
      <c r="K41" s="2"/>
      <c r="L41" s="1"/>
      <c r="M41" s="1">
        <v>4</v>
      </c>
      <c r="N41" s="1">
        <f>IF($R41&lt;=0,"",EOMONTH(AY_SONU!$B10,0))</f>
        <v>46142</v>
      </c>
      <c r="O41" s="1" t="str">
        <f>IF($N41="","",$C$36&amp;" – "&amp;CHOOSE(MONTH(AY_SONU!$B10),"Ocak","Şubat","Mart","Nisan","Mayıs","Haziran","Temmuz","Ağustos","Eylül","Ekim","Kasım","Aralık")&amp;" "&amp;YEAR(AY_SONU!$B10)&amp;" kâr payı tahakkuku")</f>
        <v>ÖMER KARTAL – Nisan 2026 kâr payı tahakkuku</v>
      </c>
      <c r="P41" s="1" t="str">
        <f t="shared" si="8"/>
        <v>KÂR PAYI TAHAKKUKU</v>
      </c>
      <c r="Q41" s="79">
        <v>0</v>
      </c>
      <c r="R41" s="79">
        <f>IF($C$36="",0,IF($C$36=SISTEM!$C$9,AY_SONU!$M10,IF($C$36=SISTEM!$C$10,AY_SONU!$N10,0)))</f>
        <v>137353</v>
      </c>
      <c r="S41" s="1">
        <f t="shared" si="9"/>
        <v>4614200004</v>
      </c>
      <c r="T41" s="1"/>
      <c r="U41" s="1"/>
      <c r="V41" s="1">
        <f t="shared" si="10"/>
        <v>4602500040</v>
      </c>
      <c r="W41" s="1">
        <f t="shared" si="11"/>
        <v>40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46032</v>
      </c>
      <c r="D42" s="201" t="str">
        <f t="shared" si="4"/>
        <v>ÖMER KARTAL – müşteriden tahsilat: ANKARA HAVANA LTD.ŞTİ. – ÖMER KARTALA ÖDENEN</v>
      </c>
      <c r="E42" s="141"/>
      <c r="F42" s="65" t="str">
        <f t="shared" si="5"/>
        <v>MÜŞTERİDEN ALDI</v>
      </c>
      <c r="G42" s="68">
        <f t="shared" si="6"/>
        <v>4000</v>
      </c>
      <c r="H42" s="68">
        <f t="shared" si="7"/>
        <v>0</v>
      </c>
      <c r="I42" s="68">
        <f t="shared" si="12"/>
        <v>12750</v>
      </c>
      <c r="J42" s="2"/>
      <c r="K42" s="2"/>
      <c r="L42" s="1"/>
      <c r="M42" s="1">
        <v>5</v>
      </c>
      <c r="N42" s="1">
        <f>IF($R42&lt;=0,"",EOMONTH(AY_SONU!$B11,0))</f>
        <v>46173</v>
      </c>
      <c r="O42" s="1" t="str">
        <f>IF($N42="","",$C$36&amp;" – "&amp;CHOOSE(MONTH(AY_SONU!$B11),"Ocak","Şubat","Mart","Nisan","Mayıs","Haziran","Temmuz","Ağustos","Eylül","Ekim","Kasım","Aralık")&amp;" "&amp;YEAR(AY_SONU!$B11)&amp;" kâr payı tahakkuku")</f>
        <v>ÖMER KARTAL – Mayıs 2026 kâr payı tahakkuku</v>
      </c>
      <c r="P42" s="1" t="str">
        <f t="shared" si="8"/>
        <v>KÂR PAYI TAHAKKUKU</v>
      </c>
      <c r="Q42" s="79">
        <v>0</v>
      </c>
      <c r="R42" s="79">
        <f>IF($C$36="",0,IF($C$36=SISTEM!$C$9,AY_SONU!$M11,IF($C$36=SISTEM!$C$10,AY_SONU!$N11,0)))</f>
        <v>109773</v>
      </c>
      <c r="S42" s="1">
        <f t="shared" si="9"/>
        <v>4617300005</v>
      </c>
      <c r="T42" s="1"/>
      <c r="U42" s="1"/>
      <c r="V42" s="1">
        <f t="shared" si="10"/>
        <v>4603200041</v>
      </c>
      <c r="W42" s="1">
        <f t="shared" si="11"/>
        <v>41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46032</v>
      </c>
      <c r="D43" s="201" t="str">
        <f t="shared" si="4"/>
        <v>ÖMER KARTAL – müşteriden tahsilat: EĞLENGÖR LTD.ŞTİ. – ÖMER KARTALA ÖDENEN</v>
      </c>
      <c r="E43" s="141"/>
      <c r="F43" s="65" t="str">
        <f t="shared" si="5"/>
        <v>MÜŞTERİDEN ALDI</v>
      </c>
      <c r="G43" s="68">
        <f t="shared" si="6"/>
        <v>3000</v>
      </c>
      <c r="H43" s="68">
        <f t="shared" si="7"/>
        <v>0</v>
      </c>
      <c r="I43" s="68">
        <f t="shared" si="12"/>
        <v>15750</v>
      </c>
      <c r="J43" s="2"/>
      <c r="K43" s="2"/>
      <c r="L43" s="1"/>
      <c r="M43" s="1">
        <v>6</v>
      </c>
      <c r="N43" s="1">
        <f>IF($R43&lt;=0,"",EOMONTH(AY_SONU!$B12,0))</f>
        <v>46203</v>
      </c>
      <c r="O43" s="1" t="str">
        <f>IF($N43="","",$C$36&amp;" – "&amp;CHOOSE(MONTH(AY_SONU!$B12),"Ocak","Şubat","Mart","Nisan","Mayıs","Haziran","Temmuz","Ağustos","Eylül","Ekim","Kasım","Aralık")&amp;" "&amp;YEAR(AY_SONU!$B12)&amp;" kâr payı tahakkuku")</f>
        <v>ÖMER KARTAL – Haziran 2026 kâr payı tahakkuku</v>
      </c>
      <c r="P43" s="1" t="str">
        <f t="shared" si="8"/>
        <v>KÂR PAYI TAHAKKUKU</v>
      </c>
      <c r="Q43" s="79">
        <v>0</v>
      </c>
      <c r="R43" s="79">
        <f>IF($C$36="",0,IF($C$36=SISTEM!$C$9,AY_SONU!$M12,IF($C$36=SISTEM!$C$10,AY_SONU!$N12,0)))</f>
        <v>113720.00000000006</v>
      </c>
      <c r="S43" s="1">
        <f t="shared" si="9"/>
        <v>4620300006</v>
      </c>
      <c r="T43" s="1"/>
      <c r="U43" s="1"/>
      <c r="V43" s="1">
        <f t="shared" si="10"/>
        <v>4603200042</v>
      </c>
      <c r="W43" s="1">
        <f t="shared" si="11"/>
        <v>42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46032</v>
      </c>
      <c r="D44" s="201" t="str">
        <f t="shared" si="4"/>
        <v>ÖMER KARTAL – müşteriden tahsilat: FİNAL SİYAH BEYAZ LTD.ŞTİ. – ÖMER KARTALA ÖDENEN</v>
      </c>
      <c r="E44" s="141"/>
      <c r="F44" s="65" t="str">
        <f t="shared" si="5"/>
        <v>MÜŞTERİDEN ALDI</v>
      </c>
      <c r="G44" s="68">
        <f t="shared" si="6"/>
        <v>4000</v>
      </c>
      <c r="H44" s="68">
        <f t="shared" si="7"/>
        <v>0</v>
      </c>
      <c r="I44" s="68">
        <f t="shared" si="12"/>
        <v>19750</v>
      </c>
      <c r="J44" s="2"/>
      <c r="K44" s="2"/>
      <c r="L44" s="1"/>
      <c r="M44" s="1">
        <v>7</v>
      </c>
      <c r="N44" s="1">
        <f>IF($R44&lt;=0,"",EOMONTH(AY_SONU!$B13,0))</f>
        <v>46234</v>
      </c>
      <c r="O44" s="1" t="str">
        <f>IF($N44="","",$C$36&amp;" – "&amp;CHOOSE(MONTH(AY_SONU!$B13),"Ocak","Şubat","Mart","Nisan","Mayıs","Haziran","Temmuz","Ağustos","Eylül","Ekim","Kasım","Aralık")&amp;" "&amp;YEAR(AY_SONU!$B13)&amp;" kâr payı tahakkuku")</f>
        <v>ÖMER KARTAL – Temmuz 2026 kâr payı tahakkuku</v>
      </c>
      <c r="P44" s="1" t="str">
        <f t="shared" si="8"/>
        <v>KÂR PAYI TAHAKKUKU</v>
      </c>
      <c r="Q44" s="79">
        <v>0</v>
      </c>
      <c r="R44" s="79">
        <f>IF($C$36="",0,IF($C$36=SISTEM!$C$9,AY_SONU!$M13,IF($C$36=SISTEM!$C$10,AY_SONU!$N13,0)))</f>
        <v>58370</v>
      </c>
      <c r="S44" s="1">
        <f t="shared" si="9"/>
        <v>4623400007</v>
      </c>
      <c r="T44" s="1"/>
      <c r="U44" s="1"/>
      <c r="V44" s="1">
        <f t="shared" si="10"/>
        <v>4603200043</v>
      </c>
      <c r="W44" s="1">
        <f t="shared" si="11"/>
        <v>43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46032</v>
      </c>
      <c r="D45" s="201" t="str">
        <f t="shared" si="4"/>
        <v>ÖMER KARTAL – müşteriden tahsilat: İLDEŞ LTD.ŞTİ. – ÖMER KARTALA ÖDENEN</v>
      </c>
      <c r="E45" s="141"/>
      <c r="F45" s="65" t="str">
        <f t="shared" si="5"/>
        <v>MÜŞTERİDEN ALDI</v>
      </c>
      <c r="G45" s="68">
        <f t="shared" si="6"/>
        <v>4000</v>
      </c>
      <c r="H45" s="68">
        <f t="shared" si="7"/>
        <v>0</v>
      </c>
      <c r="I45" s="68">
        <f t="shared" si="12"/>
        <v>23750</v>
      </c>
      <c r="J45" s="2"/>
      <c r="K45" s="2"/>
      <c r="L45" s="1"/>
      <c r="M45" s="1">
        <v>8</v>
      </c>
      <c r="N45" s="1">
        <f>IF($R45&lt;=0,"",EOMONTH(AY_SONU!$B14,0))</f>
        <v>46265</v>
      </c>
      <c r="O45" s="1" t="str">
        <f>IF($N45="","",$C$36&amp;" – "&amp;CHOOSE(MONTH(AY_SONU!$B14),"Ocak","Şubat","Mart","Nisan","Mayıs","Haziran","Temmuz","Ağustos","Eylül","Ekim","Kasım","Aralık")&amp;" "&amp;YEAR(AY_SONU!$B14)&amp;" kâr payı tahakkuku")</f>
        <v>ÖMER KARTAL – Ağustos 2026 kâr payı tahakkuku</v>
      </c>
      <c r="P45" s="1" t="str">
        <f t="shared" si="8"/>
        <v>KÂR PAYI TAHAKKUKU</v>
      </c>
      <c r="Q45" s="79">
        <v>0</v>
      </c>
      <c r="R45" s="79">
        <f>IF($C$36="",0,IF($C$36=SISTEM!$C$9,AY_SONU!$M14,IF($C$36=SISTEM!$C$10,AY_SONU!$N14,0)))</f>
        <v>138800</v>
      </c>
      <c r="S45" s="1">
        <f t="shared" si="9"/>
        <v>4626500008</v>
      </c>
      <c r="T45" s="1"/>
      <c r="U45" s="1"/>
      <c r="V45" s="1">
        <f t="shared" si="10"/>
        <v>4603200044</v>
      </c>
      <c r="W45" s="1">
        <f t="shared" si="11"/>
        <v>44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46032</v>
      </c>
      <c r="D46" s="201" t="str">
        <f t="shared" si="4"/>
        <v>ÖMER KARTAL – müşteriden tahsilat: MONAMOUR LTD.ŞTİ. – ÖMER KARTALA ÖDENEN</v>
      </c>
      <c r="E46" s="141"/>
      <c r="F46" s="65" t="str">
        <f t="shared" si="5"/>
        <v>MÜŞTERİDEN ALDI</v>
      </c>
      <c r="G46" s="68">
        <f t="shared" si="6"/>
        <v>3500</v>
      </c>
      <c r="H46" s="68">
        <f t="shared" si="7"/>
        <v>0</v>
      </c>
      <c r="I46" s="68">
        <f t="shared" si="12"/>
        <v>27250</v>
      </c>
      <c r="J46" s="2"/>
      <c r="K46" s="2"/>
      <c r="L46" s="1"/>
      <c r="M46" s="1">
        <v>9</v>
      </c>
      <c r="N46" s="1" t="str">
        <f>IF($R46&lt;=0,"",EOMONTH(AY_SONU!$B15,0))</f>
        <v/>
      </c>
      <c r="O46" s="1" t="str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" t="str">
        <f t="shared" si="8"/>
        <v/>
      </c>
      <c r="Q46" s="79">
        <v>0</v>
      </c>
      <c r="R46" s="79">
        <f>IF($C$36="",0,IF($C$36=SISTEM!$C$9,AY_SONU!$M15,IF($C$36=SISTEM!$C$10,AY_SONU!$N15,0)))</f>
        <v>0</v>
      </c>
      <c r="S46" s="1">
        <f t="shared" si="9"/>
        <v>10000000000</v>
      </c>
      <c r="T46" s="1"/>
      <c r="U46" s="1"/>
      <c r="V46" s="1">
        <f t="shared" si="10"/>
        <v>4603200045</v>
      </c>
      <c r="W46" s="1">
        <f t="shared" si="11"/>
        <v>45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46032</v>
      </c>
      <c r="D47" s="201" t="str">
        <f t="shared" si="4"/>
        <v>ÖMER KARTAL – müşteriden tahsilat: NAZ 1 GIDA LTD.ŞTİ. – ÖMER KARTALA ÖDENEN</v>
      </c>
      <c r="E47" s="141"/>
      <c r="F47" s="65" t="str">
        <f t="shared" si="5"/>
        <v>MÜŞTERİDEN ALDI</v>
      </c>
      <c r="G47" s="68">
        <f t="shared" si="6"/>
        <v>13150</v>
      </c>
      <c r="H47" s="68">
        <f t="shared" si="7"/>
        <v>0</v>
      </c>
      <c r="I47" s="68">
        <f t="shared" si="12"/>
        <v>40400</v>
      </c>
      <c r="J47" s="2"/>
      <c r="K47" s="2"/>
      <c r="L47" s="1"/>
      <c r="M47" s="1">
        <v>10</v>
      </c>
      <c r="N47" s="1" t="str">
        <f>IF($R47&lt;=0,"",EOMONTH(AY_SONU!$B16,0))</f>
        <v/>
      </c>
      <c r="O47" s="1" t="str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" t="str">
        <f t="shared" si="8"/>
        <v/>
      </c>
      <c r="Q47" s="79">
        <v>0</v>
      </c>
      <c r="R47" s="79">
        <f>IF($C$36="",0,IF($C$36=SISTEM!$C$9,AY_SONU!$M16,IF($C$36=SISTEM!$C$10,AY_SONU!$N16,0)))</f>
        <v>0</v>
      </c>
      <c r="S47" s="1">
        <f t="shared" si="9"/>
        <v>10000000000</v>
      </c>
      <c r="T47" s="1"/>
      <c r="U47" s="1"/>
      <c r="V47" s="1">
        <f t="shared" si="10"/>
        <v>4603200046</v>
      </c>
      <c r="W47" s="1">
        <f t="shared" si="11"/>
        <v>46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46032</v>
      </c>
      <c r="D48" s="201" t="str">
        <f t="shared" si="4"/>
        <v>ÖMER KARTAL – müşteriden tahsilat: ÖZFİDANLAR LTD.ŞTİ. – ÖMER KARTALA ÖDENEN</v>
      </c>
      <c r="E48" s="141"/>
      <c r="F48" s="65" t="str">
        <f t="shared" si="5"/>
        <v>MÜŞTERİDEN ALDI</v>
      </c>
      <c r="G48" s="68">
        <f t="shared" si="6"/>
        <v>4000</v>
      </c>
      <c r="H48" s="68">
        <f t="shared" si="7"/>
        <v>0</v>
      </c>
      <c r="I48" s="68">
        <f t="shared" si="12"/>
        <v>44400</v>
      </c>
      <c r="J48" s="2"/>
      <c r="K48" s="2"/>
      <c r="L48" s="1"/>
      <c r="M48" s="1">
        <v>11</v>
      </c>
      <c r="N48" s="1" t="str">
        <f>IF($R48&lt;=0,"",EOMONTH(AY_SONU!$B17,0))</f>
        <v/>
      </c>
      <c r="O48" s="1" t="str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" t="str">
        <f t="shared" si="8"/>
        <v/>
      </c>
      <c r="Q48" s="79">
        <v>0</v>
      </c>
      <c r="R48" s="79">
        <f>IF($C$36="",0,IF($C$36=SISTEM!$C$9,AY_SONU!$M17,IF($C$36=SISTEM!$C$10,AY_SONU!$N17,0)))</f>
        <v>0</v>
      </c>
      <c r="S48" s="1">
        <f t="shared" si="9"/>
        <v>10000000000</v>
      </c>
      <c r="T48" s="1"/>
      <c r="U48" s="1"/>
      <c r="V48" s="1">
        <f t="shared" si="10"/>
        <v>4603200047</v>
      </c>
      <c r="W48" s="1">
        <f t="shared" si="11"/>
        <v>47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46032</v>
      </c>
      <c r="D49" s="201" t="str">
        <f t="shared" si="4"/>
        <v>ÖMER KARTAL – müşteriden tahsilat: ZÜMRÜT GRUP LTD.ŞTİ. – ÖMER KARTALA ÖDENEN</v>
      </c>
      <c r="E49" s="141"/>
      <c r="F49" s="65" t="str">
        <f t="shared" si="5"/>
        <v>MÜŞTERİDEN ALDI</v>
      </c>
      <c r="G49" s="68">
        <f t="shared" si="6"/>
        <v>1750</v>
      </c>
      <c r="H49" s="68">
        <f t="shared" si="7"/>
        <v>0</v>
      </c>
      <c r="I49" s="68">
        <f t="shared" si="12"/>
        <v>46150</v>
      </c>
      <c r="J49" s="2"/>
      <c r="K49" s="2"/>
      <c r="L49" s="1"/>
      <c r="M49" s="1">
        <v>12</v>
      </c>
      <c r="N49" s="1" t="str">
        <f>IF($R49&lt;=0,"",EOMONTH(AY_SONU!$B18,0))</f>
        <v/>
      </c>
      <c r="O49" s="1" t="str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" t="str">
        <f t="shared" si="8"/>
        <v/>
      </c>
      <c r="Q49" s="79">
        <v>0</v>
      </c>
      <c r="R49" s="79">
        <f>IF($C$36="",0,IF($C$36=SISTEM!$C$9,AY_SONU!$M18,IF($C$36=SISTEM!$C$10,AY_SONU!$N18,0)))</f>
        <v>0</v>
      </c>
      <c r="S49" s="1">
        <f t="shared" si="9"/>
        <v>10000000000</v>
      </c>
      <c r="T49" s="1"/>
      <c r="U49" s="1"/>
      <c r="V49" s="1">
        <f t="shared" si="10"/>
        <v>4603200048</v>
      </c>
      <c r="W49" s="1">
        <f t="shared" si="11"/>
        <v>48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46034</v>
      </c>
      <c r="D50" s="201" t="str">
        <f t="shared" si="4"/>
        <v>ÖMER KARTAL – müşteriden tahsilat: ÇAYIRALAN LTD.ŞTİ. – ÖMER KARTALA ÖDENEN</v>
      </c>
      <c r="E50" s="141"/>
      <c r="F50" s="65" t="str">
        <f t="shared" si="5"/>
        <v>MÜŞTERİDEN ALDI</v>
      </c>
      <c r="G50" s="68">
        <f t="shared" si="6"/>
        <v>6000</v>
      </c>
      <c r="H50" s="68">
        <f t="shared" si="7"/>
        <v>0</v>
      </c>
      <c r="I50" s="68">
        <f t="shared" si="12"/>
        <v>52150</v>
      </c>
      <c r="J50" s="2"/>
      <c r="K50" s="2"/>
      <c r="L50" s="1"/>
      <c r="M50" s="1">
        <v>13</v>
      </c>
      <c r="N50" s="1" t="str">
        <f>IF($R50&lt;=0,"",EOMONTH(AY_SONU!$B19,0))</f>
        <v/>
      </c>
      <c r="O50" s="1" t="str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" t="str">
        <f t="shared" si="8"/>
        <v/>
      </c>
      <c r="Q50" s="79">
        <v>0</v>
      </c>
      <c r="R50" s="79">
        <f>IF($C$36="",0,IF($C$36=SISTEM!$C$9,AY_SONU!$M19,IF($C$36=SISTEM!$C$10,AY_SONU!$N19,0)))</f>
        <v>0</v>
      </c>
      <c r="S50" s="1">
        <f t="shared" si="9"/>
        <v>10000000000</v>
      </c>
      <c r="T50" s="1"/>
      <c r="U50" s="1"/>
      <c r="V50" s="1">
        <f t="shared" si="10"/>
        <v>4603400049</v>
      </c>
      <c r="W50" s="1">
        <f t="shared" si="11"/>
        <v>49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46034</v>
      </c>
      <c r="D51" s="201" t="str">
        <f t="shared" si="4"/>
        <v>ÖMER KARTAL – müşteriden tahsilat: İBRAHİM MALDAN – ÖMER KARTALA ÖDENEN</v>
      </c>
      <c r="E51" s="141"/>
      <c r="F51" s="65" t="str">
        <f t="shared" si="5"/>
        <v>MÜŞTERİDEN ALDI</v>
      </c>
      <c r="G51" s="68">
        <f t="shared" si="6"/>
        <v>3000</v>
      </c>
      <c r="H51" s="68">
        <f t="shared" si="7"/>
        <v>0</v>
      </c>
      <c r="I51" s="68">
        <f t="shared" si="12"/>
        <v>55150</v>
      </c>
      <c r="J51" s="2"/>
      <c r="K51" s="2"/>
      <c r="L51" s="1"/>
      <c r="M51" s="1">
        <v>14</v>
      </c>
      <c r="N51" s="1" t="str">
        <f>IF($R51&lt;=0,"",EOMONTH(AY_SONU!$B20,0))</f>
        <v/>
      </c>
      <c r="O51" s="1" t="str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" t="str">
        <f t="shared" si="8"/>
        <v/>
      </c>
      <c r="Q51" s="79">
        <v>0</v>
      </c>
      <c r="R51" s="79">
        <f>IF($C$36="",0,IF($C$36=SISTEM!$C$9,AY_SONU!$M20,IF($C$36=SISTEM!$C$10,AY_SONU!$N20,0)))</f>
        <v>0</v>
      </c>
      <c r="S51" s="1">
        <f t="shared" si="9"/>
        <v>10000000000</v>
      </c>
      <c r="T51" s="1"/>
      <c r="U51" s="1"/>
      <c r="V51" s="1">
        <f t="shared" si="10"/>
        <v>4603400050</v>
      </c>
      <c r="W51" s="1">
        <f t="shared" si="11"/>
        <v>50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46034</v>
      </c>
      <c r="D52" s="201" t="str">
        <f t="shared" si="4"/>
        <v>ÖMER KARTAL – müşteriden tahsilat: RİX ŞOW LTD.ŞTİ. – ÖMER KARTALA ÖDENEN</v>
      </c>
      <c r="E52" s="141"/>
      <c r="F52" s="65" t="str">
        <f t="shared" si="5"/>
        <v>MÜŞTERİDEN ALDI</v>
      </c>
      <c r="G52" s="68">
        <f t="shared" si="6"/>
        <v>4000</v>
      </c>
      <c r="H52" s="68">
        <f t="shared" si="7"/>
        <v>0</v>
      </c>
      <c r="I52" s="68">
        <f t="shared" si="12"/>
        <v>59150</v>
      </c>
      <c r="J52" s="2"/>
      <c r="K52" s="2"/>
      <c r="L52" s="1"/>
      <c r="M52" s="1">
        <v>15</v>
      </c>
      <c r="N52" s="1" t="str">
        <f>IF($R52&lt;=0,"",EOMONTH(AY_SONU!$B21,0))</f>
        <v/>
      </c>
      <c r="O52" s="1" t="str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" t="str">
        <f t="shared" si="8"/>
        <v/>
      </c>
      <c r="Q52" s="79">
        <v>0</v>
      </c>
      <c r="R52" s="79">
        <f>IF($C$36="",0,IF($C$36=SISTEM!$C$9,AY_SONU!$M21,IF($C$36=SISTEM!$C$10,AY_SONU!$N21,0)))</f>
        <v>0</v>
      </c>
      <c r="S52" s="1">
        <f t="shared" si="9"/>
        <v>10000000000</v>
      </c>
      <c r="T52" s="1"/>
      <c r="U52" s="1"/>
      <c r="V52" s="1">
        <f t="shared" si="10"/>
        <v>4603400051</v>
      </c>
      <c r="W52" s="1">
        <f t="shared" si="11"/>
        <v>51</v>
      </c>
    </row>
    <row r="53" spans="1:23" ht="19.5" customHeight="1" x14ac:dyDescent="0.3">
      <c r="A53" s="2"/>
      <c r="B53" s="65">
        <f t="shared" si="2"/>
        <v>16</v>
      </c>
      <c r="C53" s="70">
        <f t="shared" si="3"/>
        <v>46034</v>
      </c>
      <c r="D53" s="201" t="str">
        <f t="shared" si="4"/>
        <v>ÖMER KARTAL – müşteriden tahsilat: ZÜMRÜT EĞLENCE LTD.ŞTİ. – ÖMER KARTALA ÖDENEN</v>
      </c>
      <c r="E53" s="141"/>
      <c r="F53" s="65" t="str">
        <f t="shared" si="5"/>
        <v>MÜŞTERİDEN ALDI</v>
      </c>
      <c r="G53" s="68">
        <f t="shared" si="6"/>
        <v>6000</v>
      </c>
      <c r="H53" s="68">
        <f t="shared" si="7"/>
        <v>0</v>
      </c>
      <c r="I53" s="68">
        <f t="shared" si="12"/>
        <v>65150</v>
      </c>
      <c r="J53" s="2"/>
      <c r="K53" s="2"/>
      <c r="L53" s="1"/>
      <c r="M53" s="1">
        <v>16</v>
      </c>
      <c r="N53" s="1" t="str">
        <f>IF($R53&lt;=0,"",EOMONTH(AY_SONU!$B22,0))</f>
        <v/>
      </c>
      <c r="O53" s="1" t="str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" t="str">
        <f t="shared" si="8"/>
        <v/>
      </c>
      <c r="Q53" s="79">
        <v>0</v>
      </c>
      <c r="R53" s="79">
        <f>IF($C$36="",0,IF($C$36=SISTEM!$C$9,AY_SONU!$M22,IF($C$36=SISTEM!$C$10,AY_SONU!$N22,0)))</f>
        <v>0</v>
      </c>
      <c r="S53" s="1">
        <f t="shared" si="9"/>
        <v>10000000000</v>
      </c>
      <c r="T53" s="1"/>
      <c r="U53" s="1"/>
      <c r="V53" s="1">
        <f t="shared" si="10"/>
        <v>4603400052</v>
      </c>
      <c r="W53" s="1">
        <f t="shared" si="11"/>
        <v>52</v>
      </c>
    </row>
    <row r="54" spans="1:23" ht="19.5" customHeight="1" x14ac:dyDescent="0.3">
      <c r="A54" s="2"/>
      <c r="B54" s="65">
        <f t="shared" si="2"/>
        <v>17</v>
      </c>
      <c r="C54" s="70">
        <f t="shared" si="3"/>
        <v>46034</v>
      </c>
      <c r="D54" s="201" t="str">
        <f t="shared" si="4"/>
        <v>MERKEZ KASA → ÖMER KARTAL – GAZİNO TAHSİLATLARINDAN KALAN BAKİYE</v>
      </c>
      <c r="E54" s="141"/>
      <c r="F54" s="65" t="str">
        <f t="shared" si="5"/>
        <v>VİRMAN GELDİ</v>
      </c>
      <c r="G54" s="68">
        <f t="shared" si="6"/>
        <v>15000</v>
      </c>
      <c r="H54" s="68">
        <f t="shared" si="7"/>
        <v>0</v>
      </c>
      <c r="I54" s="68">
        <f t="shared" si="12"/>
        <v>80150</v>
      </c>
      <c r="J54" s="2"/>
      <c r="K54" s="2"/>
      <c r="L54" s="1"/>
      <c r="M54" s="1">
        <v>17</v>
      </c>
      <c r="N54" s="1" t="str">
        <f>IF($R54&lt;=0,"",EOMONTH(AY_SONU!$B23,0))</f>
        <v/>
      </c>
      <c r="O54" s="1" t="str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" t="str">
        <f t="shared" si="8"/>
        <v/>
      </c>
      <c r="Q54" s="79">
        <v>0</v>
      </c>
      <c r="R54" s="79">
        <f>IF($C$36="",0,IF($C$36=SISTEM!$C$9,AY_SONU!$M23,IF($C$36=SISTEM!$C$10,AY_SONU!$N23,0)))</f>
        <v>0</v>
      </c>
      <c r="S54" s="1">
        <f t="shared" si="9"/>
        <v>10000000000</v>
      </c>
      <c r="T54" s="1"/>
      <c r="U54" s="1"/>
      <c r="V54" s="1">
        <f t="shared" si="10"/>
        <v>4603400537</v>
      </c>
      <c r="W54" s="1">
        <f t="shared" si="11"/>
        <v>537</v>
      </c>
    </row>
    <row r="55" spans="1:23" ht="19.5" customHeight="1" x14ac:dyDescent="0.3">
      <c r="A55" s="2"/>
      <c r="B55" s="65">
        <f t="shared" si="2"/>
        <v>18</v>
      </c>
      <c r="C55" s="70">
        <f t="shared" si="3"/>
        <v>46035</v>
      </c>
      <c r="D55" s="201" t="str">
        <f t="shared" si="4"/>
        <v>ÖMER KARTAL – müşteriden tahsilat: UFUK YILMAZ – NAKİT ÖDENEN</v>
      </c>
      <c r="E55" s="141"/>
      <c r="F55" s="65" t="str">
        <f t="shared" si="5"/>
        <v>MÜŞTERİDEN ALDI</v>
      </c>
      <c r="G55" s="68">
        <f t="shared" si="6"/>
        <v>3000</v>
      </c>
      <c r="H55" s="68">
        <f t="shared" si="7"/>
        <v>0</v>
      </c>
      <c r="I55" s="68">
        <f t="shared" si="12"/>
        <v>83150</v>
      </c>
      <c r="J55" s="2"/>
      <c r="K55" s="2"/>
      <c r="L55" s="1"/>
      <c r="M55" s="1">
        <v>18</v>
      </c>
      <c r="N55" s="1" t="str">
        <f>IF($R55&lt;=0,"",EOMONTH(AY_SONU!$B24,0))</f>
        <v/>
      </c>
      <c r="O55" s="1" t="str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" t="str">
        <f t="shared" si="8"/>
        <v/>
      </c>
      <c r="Q55" s="79">
        <v>0</v>
      </c>
      <c r="R55" s="79">
        <f>IF($C$36="",0,IF($C$36=SISTEM!$C$9,AY_SONU!$M24,IF($C$36=SISTEM!$C$10,AY_SONU!$N24,0)))</f>
        <v>0</v>
      </c>
      <c r="S55" s="1">
        <f t="shared" si="9"/>
        <v>10000000000</v>
      </c>
      <c r="T55" s="1"/>
      <c r="U55" s="1"/>
      <c r="V55" s="1">
        <f t="shared" si="10"/>
        <v>4603500053</v>
      </c>
      <c r="W55" s="1">
        <f t="shared" si="11"/>
        <v>53</v>
      </c>
    </row>
    <row r="56" spans="1:23" ht="19.5" customHeight="1" x14ac:dyDescent="0.3">
      <c r="A56" s="2"/>
      <c r="B56" s="65">
        <f t="shared" si="2"/>
        <v>19</v>
      </c>
      <c r="C56" s="70">
        <f t="shared" si="3"/>
        <v>46053</v>
      </c>
      <c r="D56" s="201" t="str">
        <f t="shared" si="4"/>
        <v>ÖMER KARTAL – Ocak 2026 kâr payı tahakkuku</v>
      </c>
      <c r="E56" s="141"/>
      <c r="F56" s="65" t="str">
        <f t="shared" si="5"/>
        <v>KÂR PAYI TAHAKKUKU</v>
      </c>
      <c r="G56" s="68">
        <f t="shared" si="6"/>
        <v>0</v>
      </c>
      <c r="H56" s="68">
        <f t="shared" si="7"/>
        <v>127783.09</v>
      </c>
      <c r="I56" s="68">
        <f t="shared" si="12"/>
        <v>-44633.09</v>
      </c>
      <c r="J56" s="2"/>
      <c r="K56" s="2"/>
      <c r="L56" s="1"/>
      <c r="M56" s="1">
        <v>19</v>
      </c>
      <c r="N56" s="1" t="str">
        <f>IF($R56&lt;=0,"",EOMONTH(AY_SONU!$B25,0))</f>
        <v/>
      </c>
      <c r="O56" s="1" t="str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" t="str">
        <f t="shared" si="8"/>
        <v/>
      </c>
      <c r="Q56" s="79">
        <v>0</v>
      </c>
      <c r="R56" s="79">
        <f>IF($C$36="",0,IF($C$36=SISTEM!$C$9,AY_SONU!$M25,IF($C$36=SISTEM!$C$10,AY_SONU!$N25,0)))</f>
        <v>0</v>
      </c>
      <c r="S56" s="1">
        <f t="shared" si="9"/>
        <v>10000000000</v>
      </c>
      <c r="T56" s="1"/>
      <c r="U56" s="1"/>
      <c r="V56" s="1">
        <f t="shared" si="10"/>
        <v>4605300001</v>
      </c>
      <c r="W56" s="1">
        <f t="shared" si="11"/>
        <v>1</v>
      </c>
    </row>
    <row r="57" spans="1:23" ht="19.5" customHeight="1" x14ac:dyDescent="0.3">
      <c r="A57" s="2"/>
      <c r="B57" s="65">
        <f t="shared" si="2"/>
        <v>20</v>
      </c>
      <c r="C57" s="70">
        <f t="shared" si="3"/>
        <v>46053</v>
      </c>
      <c r="D57" s="201" t="str">
        <f t="shared" si="4"/>
        <v xml:space="preserve">ÖMER KARTAL – müşteriden tahsilat: ALTINEL LTD.ŞTİ. – ALTINEL LTD.ŞTİ. </v>
      </c>
      <c r="E57" s="141"/>
      <c r="F57" s="65" t="str">
        <f t="shared" si="5"/>
        <v>MÜŞTERİDEN ALDI</v>
      </c>
      <c r="G57" s="68">
        <f t="shared" si="6"/>
        <v>12000</v>
      </c>
      <c r="H57" s="68">
        <f t="shared" si="7"/>
        <v>0</v>
      </c>
      <c r="I57" s="68">
        <f t="shared" si="12"/>
        <v>-32633.089999999997</v>
      </c>
      <c r="J57" s="2"/>
      <c r="K57" s="2"/>
      <c r="L57" s="1"/>
      <c r="M57" s="1">
        <v>20</v>
      </c>
      <c r="N57" s="1" t="str">
        <f>IF($R57&lt;=0,"",EOMONTH(AY_SONU!$B26,0))</f>
        <v/>
      </c>
      <c r="O57" s="1" t="str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" t="str">
        <f t="shared" si="8"/>
        <v/>
      </c>
      <c r="Q57" s="79">
        <v>0</v>
      </c>
      <c r="R57" s="79">
        <f>IF($C$36="",0,IF($C$36=SISTEM!$C$9,AY_SONU!$M26,IF($C$36=SISTEM!$C$10,AY_SONU!$N26,0)))</f>
        <v>0</v>
      </c>
      <c r="S57" s="1">
        <f t="shared" si="9"/>
        <v>10000000000</v>
      </c>
      <c r="T57" s="1"/>
      <c r="U57" s="1"/>
      <c r="V57" s="1">
        <f t="shared" si="10"/>
        <v>4605300054</v>
      </c>
      <c r="W57" s="1">
        <f t="shared" si="11"/>
        <v>54</v>
      </c>
    </row>
    <row r="58" spans="1:23" ht="19.5" customHeight="1" x14ac:dyDescent="0.3">
      <c r="A58" s="2"/>
      <c r="B58" s="65">
        <f t="shared" si="2"/>
        <v>21</v>
      </c>
      <c r="C58" s="70">
        <f t="shared" si="3"/>
        <v>46053</v>
      </c>
      <c r="D58" s="201" t="str">
        <f t="shared" si="4"/>
        <v>ÖMER KARTAL – müşteriden tahsilat: ARMAN DİK – ÖMER KARTALA ÖDENEN</v>
      </c>
      <c r="E58" s="141"/>
      <c r="F58" s="65" t="str">
        <f t="shared" si="5"/>
        <v>MÜŞTERİDEN ALDI</v>
      </c>
      <c r="G58" s="68">
        <f t="shared" si="6"/>
        <v>3000</v>
      </c>
      <c r="H58" s="68">
        <f t="shared" si="7"/>
        <v>0</v>
      </c>
      <c r="I58" s="68">
        <f t="shared" si="12"/>
        <v>-29633.089999999997</v>
      </c>
      <c r="J58" s="2"/>
      <c r="K58" s="2"/>
      <c r="L58" s="1"/>
      <c r="M58" s="1">
        <v>21</v>
      </c>
      <c r="N58" s="1" t="str">
        <f>IF($R58&lt;=0,"",EOMONTH(AY_SONU!$B27,0))</f>
        <v/>
      </c>
      <c r="O58" s="1" t="str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" t="str">
        <f t="shared" si="8"/>
        <v/>
      </c>
      <c r="Q58" s="79">
        <v>0</v>
      </c>
      <c r="R58" s="79">
        <f>IF($C$36="",0,IF($C$36=SISTEM!$C$9,AY_SONU!$M27,IF($C$36=SISTEM!$C$10,AY_SONU!$N27,0)))</f>
        <v>0</v>
      </c>
      <c r="S58" s="1">
        <f t="shared" si="9"/>
        <v>10000000000</v>
      </c>
      <c r="T58" s="1"/>
      <c r="U58" s="1"/>
      <c r="V58" s="1">
        <f t="shared" si="10"/>
        <v>4605300055</v>
      </c>
      <c r="W58" s="1">
        <f t="shared" si="11"/>
        <v>55</v>
      </c>
    </row>
    <row r="59" spans="1:23" ht="19.5" customHeight="1" x14ac:dyDescent="0.3">
      <c r="A59" s="2"/>
      <c r="B59" s="65">
        <f t="shared" si="2"/>
        <v>22</v>
      </c>
      <c r="C59" s="70">
        <f t="shared" si="3"/>
        <v>46053</v>
      </c>
      <c r="D59" s="201" t="str">
        <f t="shared" si="4"/>
        <v>ÖMER KARTAL – müşteriden tahsilat: ARON TOPTAN LTD.ŞTİ. – ONUR BAKİYESİNE MAHSUP</v>
      </c>
      <c r="E59" s="141"/>
      <c r="F59" s="65" t="str">
        <f t="shared" si="5"/>
        <v>MÜŞTERİDEN ALDI</v>
      </c>
      <c r="G59" s="68">
        <f t="shared" si="6"/>
        <v>20000</v>
      </c>
      <c r="H59" s="68">
        <f t="shared" si="7"/>
        <v>0</v>
      </c>
      <c r="I59" s="68">
        <f t="shared" si="12"/>
        <v>-9633.0899999999965</v>
      </c>
      <c r="J59" s="2"/>
      <c r="K59" s="2"/>
      <c r="L59" s="1"/>
      <c r="M59" s="1">
        <v>22</v>
      </c>
      <c r="N59" s="1" t="str">
        <f>IF($R59&lt;=0,"",EOMONTH(AY_SONU!$B28,0))</f>
        <v/>
      </c>
      <c r="O59" s="1" t="str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" t="str">
        <f t="shared" si="8"/>
        <v/>
      </c>
      <c r="Q59" s="79">
        <v>0</v>
      </c>
      <c r="R59" s="79">
        <f>IF($C$36="",0,IF($C$36=SISTEM!$C$9,AY_SONU!$M28,IF($C$36=SISTEM!$C$10,AY_SONU!$N28,0)))</f>
        <v>0</v>
      </c>
      <c r="S59" s="1">
        <f t="shared" si="9"/>
        <v>10000000000</v>
      </c>
      <c r="T59" s="1"/>
      <c r="U59" s="1"/>
      <c r="V59" s="1">
        <f t="shared" si="10"/>
        <v>4605300056</v>
      </c>
      <c r="W59" s="1">
        <f t="shared" si="11"/>
        <v>56</v>
      </c>
    </row>
    <row r="60" spans="1:23" ht="19.5" customHeight="1" x14ac:dyDescent="0.3">
      <c r="A60" s="2"/>
      <c r="B60" s="65">
        <f t="shared" si="2"/>
        <v>23</v>
      </c>
      <c r="C60" s="70">
        <f t="shared" si="3"/>
        <v>46053</v>
      </c>
      <c r="D60" s="201" t="str">
        <f t="shared" si="4"/>
        <v>ÖMER KARTAL – müşteriden tahsilat: ÇINARHAN LTD.ŞTİ. – ÖMER KARTALA ÖDENEN</v>
      </c>
      <c r="E60" s="141"/>
      <c r="F60" s="65" t="str">
        <f t="shared" si="5"/>
        <v>MÜŞTERİDEN ALDI</v>
      </c>
      <c r="G60" s="68">
        <f t="shared" si="6"/>
        <v>2500</v>
      </c>
      <c r="H60" s="68">
        <f t="shared" si="7"/>
        <v>0</v>
      </c>
      <c r="I60" s="68">
        <f t="shared" si="12"/>
        <v>-7133.0899999999965</v>
      </c>
      <c r="J60" s="2"/>
      <c r="K60" s="2"/>
      <c r="L60" s="1"/>
      <c r="M60" s="1">
        <v>23</v>
      </c>
      <c r="N60" s="1" t="str">
        <f>IF($R60&lt;=0,"",EOMONTH(AY_SONU!$B29,0))</f>
        <v/>
      </c>
      <c r="O60" s="1" t="str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" t="str">
        <f t="shared" si="8"/>
        <v/>
      </c>
      <c r="Q60" s="79">
        <v>0</v>
      </c>
      <c r="R60" s="79">
        <f>IF($C$36="",0,IF($C$36=SISTEM!$C$9,AY_SONU!$M29,IF($C$36=SISTEM!$C$10,AY_SONU!$N29,0)))</f>
        <v>0</v>
      </c>
      <c r="S60" s="1">
        <f t="shared" si="9"/>
        <v>10000000000</v>
      </c>
      <c r="T60" s="1"/>
      <c r="U60" s="1"/>
      <c r="V60" s="1">
        <f t="shared" si="10"/>
        <v>4605300057</v>
      </c>
      <c r="W60" s="1">
        <f t="shared" si="11"/>
        <v>57</v>
      </c>
    </row>
    <row r="61" spans="1:23" ht="19.5" customHeight="1" x14ac:dyDescent="0.3">
      <c r="A61" s="2"/>
      <c r="B61" s="65">
        <f t="shared" si="2"/>
        <v>24</v>
      </c>
      <c r="C61" s="70">
        <f t="shared" si="3"/>
        <v>46053</v>
      </c>
      <c r="D61" s="201" t="str">
        <f t="shared" si="4"/>
        <v>ÖMER KARTAL – müşteriden tahsilat: EĞLENGÖR LTD.ŞTİ. – ÖMER KARTALA ÖDENEN</v>
      </c>
      <c r="E61" s="141"/>
      <c r="F61" s="65" t="str">
        <f t="shared" si="5"/>
        <v>MÜŞTERİDEN ALDI</v>
      </c>
      <c r="G61" s="68">
        <f t="shared" si="6"/>
        <v>6000</v>
      </c>
      <c r="H61" s="68">
        <f t="shared" si="7"/>
        <v>0</v>
      </c>
      <c r="I61" s="68">
        <f t="shared" si="12"/>
        <v>-1133.0899999999965</v>
      </c>
      <c r="J61" s="2"/>
      <c r="K61" s="2"/>
      <c r="L61" s="1"/>
      <c r="M61" s="1">
        <v>24</v>
      </c>
      <c r="N61" s="1" t="str">
        <f>IF($R61&lt;=0,"",EOMONTH(AY_SONU!$B30,0))</f>
        <v/>
      </c>
      <c r="O61" s="1" t="str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" t="str">
        <f t="shared" si="8"/>
        <v/>
      </c>
      <c r="Q61" s="79">
        <v>0</v>
      </c>
      <c r="R61" s="79">
        <f>IF($C$36="",0,IF($C$36=SISTEM!$C$9,AY_SONU!$M30,IF($C$36=SISTEM!$C$10,AY_SONU!$N30,0)))</f>
        <v>0</v>
      </c>
      <c r="S61" s="1">
        <f t="shared" si="9"/>
        <v>10000000000</v>
      </c>
      <c r="T61" s="1"/>
      <c r="U61" s="1"/>
      <c r="V61" s="1">
        <f t="shared" si="10"/>
        <v>4605300058</v>
      </c>
      <c r="W61" s="1">
        <f t="shared" si="11"/>
        <v>58</v>
      </c>
    </row>
    <row r="62" spans="1:23" ht="19.5" customHeight="1" x14ac:dyDescent="0.3">
      <c r="A62" s="2"/>
      <c r="B62" s="65">
        <f t="shared" si="2"/>
        <v>25</v>
      </c>
      <c r="C62" s="70">
        <f t="shared" si="3"/>
        <v>46053</v>
      </c>
      <c r="D62" s="201" t="str">
        <f t="shared" si="4"/>
        <v>ÖMER KARTAL – müşteriden tahsilat: NAZ 1 GIDA LTD.ŞTİ. – ÖMER KARTALA ÖDENEN</v>
      </c>
      <c r="E62" s="141"/>
      <c r="F62" s="65" t="str">
        <f t="shared" si="5"/>
        <v>MÜŞTERİDEN ALDI</v>
      </c>
      <c r="G62" s="68">
        <f t="shared" si="6"/>
        <v>2000</v>
      </c>
      <c r="H62" s="68">
        <f t="shared" si="7"/>
        <v>0</v>
      </c>
      <c r="I62" s="68">
        <f t="shared" si="12"/>
        <v>866.91000000000349</v>
      </c>
      <c r="J62" s="2"/>
      <c r="K62" s="2"/>
      <c r="L62" s="1"/>
      <c r="M62" s="1">
        <v>25</v>
      </c>
      <c r="N62" s="1" t="str">
        <f>IF($R62&lt;=0,"",EOMONTH(AY_SONU!$B31,0))</f>
        <v/>
      </c>
      <c r="O62" s="1" t="str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" t="str">
        <f t="shared" si="8"/>
        <v/>
      </c>
      <c r="Q62" s="79">
        <v>0</v>
      </c>
      <c r="R62" s="79">
        <f>IF($C$36="",0,IF($C$36=SISTEM!$C$9,AY_SONU!$M31,IF($C$36=SISTEM!$C$10,AY_SONU!$N31,0)))</f>
        <v>0</v>
      </c>
      <c r="S62" s="1">
        <f t="shared" si="9"/>
        <v>10000000000</v>
      </c>
      <c r="T62" s="1"/>
      <c r="U62" s="1"/>
      <c r="V62" s="1">
        <f t="shared" si="10"/>
        <v>4605300059</v>
      </c>
      <c r="W62" s="1">
        <f t="shared" si="11"/>
        <v>59</v>
      </c>
    </row>
    <row r="63" spans="1:23" ht="19.5" customHeight="1" x14ac:dyDescent="0.3">
      <c r="A63" s="2"/>
      <c r="B63" s="65">
        <f t="shared" si="2"/>
        <v>26</v>
      </c>
      <c r="C63" s="70">
        <f t="shared" si="3"/>
        <v>46053</v>
      </c>
      <c r="D63" s="201" t="str">
        <f t="shared" si="4"/>
        <v>ÖMER KARTAL – müşteriden tahsilat: VOLKAN AÇIK – NAKİT ÖDENEN M.ALİ KARTAL</v>
      </c>
      <c r="E63" s="141"/>
      <c r="F63" s="65" t="str">
        <f t="shared" si="5"/>
        <v>MÜŞTERİDEN ALDI</v>
      </c>
      <c r="G63" s="68">
        <f t="shared" si="6"/>
        <v>1000</v>
      </c>
      <c r="H63" s="68">
        <f t="shared" si="7"/>
        <v>0</v>
      </c>
      <c r="I63" s="68">
        <f t="shared" si="12"/>
        <v>1866.9100000000035</v>
      </c>
      <c r="J63" s="2"/>
      <c r="K63" s="2"/>
      <c r="L63" s="1"/>
      <c r="M63" s="1">
        <v>26</v>
      </c>
      <c r="N63" s="1" t="str">
        <f>IF($R63&lt;=0,"",EOMONTH(AY_SONU!$B32,0))</f>
        <v/>
      </c>
      <c r="O63" s="1" t="str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" t="str">
        <f t="shared" si="8"/>
        <v/>
      </c>
      <c r="Q63" s="79">
        <v>0</v>
      </c>
      <c r="R63" s="79">
        <f>IF($C$36="",0,IF($C$36=SISTEM!$C$9,AY_SONU!$M32,IF($C$36=SISTEM!$C$10,AY_SONU!$N32,0)))</f>
        <v>0</v>
      </c>
      <c r="S63" s="1">
        <f t="shared" si="9"/>
        <v>10000000000</v>
      </c>
      <c r="T63" s="1"/>
      <c r="U63" s="1"/>
      <c r="V63" s="1">
        <f t="shared" si="10"/>
        <v>4605300060</v>
      </c>
      <c r="W63" s="1">
        <f t="shared" si="11"/>
        <v>60</v>
      </c>
    </row>
    <row r="64" spans="1:23" ht="19.5" customHeight="1" x14ac:dyDescent="0.3">
      <c r="A64" s="2"/>
      <c r="B64" s="65">
        <f t="shared" si="2"/>
        <v>27</v>
      </c>
      <c r="C64" s="70">
        <f t="shared" si="3"/>
        <v>46053</v>
      </c>
      <c r="D64" s="201" t="str">
        <f t="shared" si="4"/>
        <v>MERKEZ KASA → ÖMER KARTAL – PARİS GAZİNOSU SGK'LAR</v>
      </c>
      <c r="E64" s="141"/>
      <c r="F64" s="65" t="str">
        <f t="shared" si="5"/>
        <v>VİRMAN GELDİ</v>
      </c>
      <c r="G64" s="68">
        <f t="shared" si="6"/>
        <v>12000</v>
      </c>
      <c r="H64" s="68">
        <f t="shared" si="7"/>
        <v>0</v>
      </c>
      <c r="I64" s="68">
        <f t="shared" si="12"/>
        <v>13866.910000000003</v>
      </c>
      <c r="J64" s="2"/>
      <c r="K64" s="2"/>
      <c r="L64" s="1"/>
      <c r="M64" s="1">
        <v>27</v>
      </c>
      <c r="N64" s="1" t="str">
        <f>IF($R64&lt;=0,"",EOMONTH(AY_SONU!$B33,0))</f>
        <v/>
      </c>
      <c r="O64" s="1" t="str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" t="str">
        <f t="shared" si="8"/>
        <v/>
      </c>
      <c r="Q64" s="79">
        <v>0</v>
      </c>
      <c r="R64" s="79">
        <f>IF($C$36="",0,IF($C$36=SISTEM!$C$9,AY_SONU!$M33,IF($C$36=SISTEM!$C$10,AY_SONU!$N33,0)))</f>
        <v>0</v>
      </c>
      <c r="S64" s="1">
        <f t="shared" si="9"/>
        <v>10000000000</v>
      </c>
      <c r="T64" s="1"/>
      <c r="U64" s="1"/>
      <c r="V64" s="1">
        <f t="shared" si="10"/>
        <v>4605300538</v>
      </c>
      <c r="W64" s="1">
        <f t="shared" si="11"/>
        <v>538</v>
      </c>
    </row>
    <row r="65" spans="1:23" ht="19.5" customHeight="1" x14ac:dyDescent="0.3">
      <c r="A65" s="2"/>
      <c r="B65" s="65">
        <f t="shared" si="2"/>
        <v>28</v>
      </c>
      <c r="C65" s="70">
        <f t="shared" si="3"/>
        <v>46053</v>
      </c>
      <c r="D65" s="201" t="str">
        <f t="shared" si="4"/>
        <v>MERKEZ KASA → ÖMER KARTAL – HÜSEYİN ŞİMŞEK MUHASEBE ÜCRETİ</v>
      </c>
      <c r="E65" s="141"/>
      <c r="F65" s="65" t="str">
        <f t="shared" si="5"/>
        <v>VİRMAN GELDİ</v>
      </c>
      <c r="G65" s="68">
        <f t="shared" si="6"/>
        <v>3000</v>
      </c>
      <c r="H65" s="68">
        <f t="shared" si="7"/>
        <v>0</v>
      </c>
      <c r="I65" s="68">
        <f t="shared" si="12"/>
        <v>16866.910000000003</v>
      </c>
      <c r="J65" s="2"/>
      <c r="K65" s="2"/>
      <c r="L65" s="1"/>
      <c r="M65" s="1">
        <v>28</v>
      </c>
      <c r="N65" s="1" t="str">
        <f>IF($R65&lt;=0,"",EOMONTH(AY_SONU!$B34,0))</f>
        <v/>
      </c>
      <c r="O65" s="1" t="str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" t="str">
        <f t="shared" si="8"/>
        <v/>
      </c>
      <c r="Q65" s="79">
        <v>0</v>
      </c>
      <c r="R65" s="79">
        <f>IF($C$36="",0,IF($C$36=SISTEM!$C$9,AY_SONU!$M34,IF($C$36=SISTEM!$C$10,AY_SONU!$N34,0)))</f>
        <v>0</v>
      </c>
      <c r="S65" s="1">
        <f t="shared" si="9"/>
        <v>10000000000</v>
      </c>
      <c r="T65" s="1"/>
      <c r="U65" s="1"/>
      <c r="V65" s="1">
        <f t="shared" si="10"/>
        <v>4605300539</v>
      </c>
      <c r="W65" s="1">
        <f t="shared" si="11"/>
        <v>539</v>
      </c>
    </row>
    <row r="66" spans="1:23" ht="19.5" customHeight="1" x14ac:dyDescent="0.3">
      <c r="A66" s="2"/>
      <c r="B66" s="65">
        <f t="shared" si="2"/>
        <v>29</v>
      </c>
      <c r="C66" s="70">
        <f t="shared" si="3"/>
        <v>46053</v>
      </c>
      <c r="D66" s="201" t="str">
        <f t="shared" si="4"/>
        <v>MERKEZ KASA → ÖMER KARTAL – FADİME HORUZCU MUHASEBE ÜCRETİ</v>
      </c>
      <c r="E66" s="141"/>
      <c r="F66" s="65" t="str">
        <f t="shared" si="5"/>
        <v>VİRMAN GELDİ</v>
      </c>
      <c r="G66" s="68">
        <f t="shared" si="6"/>
        <v>2000</v>
      </c>
      <c r="H66" s="68">
        <f t="shared" si="7"/>
        <v>0</v>
      </c>
      <c r="I66" s="68">
        <f t="shared" si="12"/>
        <v>18866.910000000003</v>
      </c>
      <c r="J66" s="2"/>
      <c r="K66" s="2"/>
      <c r="L66" s="1"/>
      <c r="M66" s="1">
        <v>29</v>
      </c>
      <c r="N66" s="1" t="str">
        <f>IF($R66&lt;=0,"",EOMONTH(AY_SONU!$B35,0))</f>
        <v/>
      </c>
      <c r="O66" s="1" t="str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" t="str">
        <f t="shared" si="8"/>
        <v/>
      </c>
      <c r="Q66" s="79">
        <v>0</v>
      </c>
      <c r="R66" s="79">
        <f>IF($C$36="",0,IF($C$36=SISTEM!$C$9,AY_SONU!$M35,IF($C$36=SISTEM!$C$10,AY_SONU!$N35,0)))</f>
        <v>0</v>
      </c>
      <c r="S66" s="1">
        <f t="shared" si="9"/>
        <v>10000000000</v>
      </c>
      <c r="T66" s="1"/>
      <c r="U66" s="1"/>
      <c r="V66" s="1">
        <f t="shared" si="10"/>
        <v>4605300540</v>
      </c>
      <c r="W66" s="1">
        <f t="shared" si="11"/>
        <v>540</v>
      </c>
    </row>
    <row r="67" spans="1:23" ht="19.5" customHeight="1" x14ac:dyDescent="0.3">
      <c r="A67" s="2"/>
      <c r="B67" s="65">
        <f t="shared" si="2"/>
        <v>30</v>
      </c>
      <c r="C67" s="70">
        <f t="shared" si="3"/>
        <v>46053</v>
      </c>
      <c r="D67" s="201" t="str">
        <f t="shared" si="4"/>
        <v>MERKEZ KASA → ÖMER KARTAL – Onur'un Ömerden Alacağı Bakiye</v>
      </c>
      <c r="E67" s="141"/>
      <c r="F67" s="65" t="str">
        <f t="shared" si="5"/>
        <v>VİRMAN GELDİ</v>
      </c>
      <c r="G67" s="68">
        <f t="shared" si="6"/>
        <v>15000</v>
      </c>
      <c r="H67" s="68">
        <f t="shared" si="7"/>
        <v>0</v>
      </c>
      <c r="I67" s="68">
        <f t="shared" si="12"/>
        <v>33866.910000000003</v>
      </c>
      <c r="J67" s="2"/>
      <c r="K67" s="2"/>
      <c r="L67" s="1"/>
      <c r="M67" s="1">
        <v>30</v>
      </c>
      <c r="N67" s="1" t="str">
        <f>IF($R67&lt;=0,"",EOMONTH(AY_SONU!$B36,0))</f>
        <v/>
      </c>
      <c r="O67" s="1" t="str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" t="str">
        <f t="shared" si="8"/>
        <v/>
      </c>
      <c r="Q67" s="79">
        <v>0</v>
      </c>
      <c r="R67" s="79">
        <f>IF($C$36="",0,IF($C$36=SISTEM!$C$9,AY_SONU!$M36,IF($C$36=SISTEM!$C$10,AY_SONU!$N36,0)))</f>
        <v>0</v>
      </c>
      <c r="S67" s="1">
        <f t="shared" si="9"/>
        <v>10000000000</v>
      </c>
      <c r="T67" s="1"/>
      <c r="U67" s="1"/>
      <c r="V67" s="1">
        <f t="shared" si="10"/>
        <v>4605300541</v>
      </c>
      <c r="W67" s="1">
        <f t="shared" si="11"/>
        <v>541</v>
      </c>
    </row>
    <row r="68" spans="1:23" ht="19.5" customHeight="1" x14ac:dyDescent="0.3">
      <c r="A68" s="2"/>
      <c r="B68" s="65">
        <f t="shared" si="2"/>
        <v>31</v>
      </c>
      <c r="C68" s="70">
        <f t="shared" si="3"/>
        <v>46053</v>
      </c>
      <c r="D68" s="201" t="str">
        <f t="shared" si="4"/>
        <v>MERKEZ KASA → ÖMER KARTAL – ALİ KILIÇ TARAFINDAN HAVALE</v>
      </c>
      <c r="E68" s="141"/>
      <c r="F68" s="65" t="str">
        <f t="shared" si="5"/>
        <v>VİRMAN GELDİ</v>
      </c>
      <c r="G68" s="68">
        <f t="shared" si="6"/>
        <v>5000</v>
      </c>
      <c r="H68" s="68">
        <f t="shared" si="7"/>
        <v>0</v>
      </c>
      <c r="I68" s="68">
        <f t="shared" si="12"/>
        <v>38866.910000000003</v>
      </c>
      <c r="J68" s="2"/>
      <c r="K68" s="2"/>
      <c r="L68" s="1"/>
      <c r="M68" s="1">
        <v>31</v>
      </c>
      <c r="N68" s="1" t="str">
        <f>IF($R68&lt;=0,"",EOMONTH(AY_SONU!$B37,0))</f>
        <v/>
      </c>
      <c r="O68" s="1" t="str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" t="str">
        <f t="shared" si="8"/>
        <v/>
      </c>
      <c r="Q68" s="79">
        <v>0</v>
      </c>
      <c r="R68" s="79">
        <f>IF($C$36="",0,IF($C$36=SISTEM!$C$9,AY_SONU!$M37,IF($C$36=SISTEM!$C$10,AY_SONU!$N37,0)))</f>
        <v>0</v>
      </c>
      <c r="S68" s="1">
        <f t="shared" si="9"/>
        <v>10000000000</v>
      </c>
      <c r="T68" s="1"/>
      <c r="U68" s="1"/>
      <c r="V68" s="1">
        <f t="shared" si="10"/>
        <v>4605300542</v>
      </c>
      <c r="W68" s="1">
        <f t="shared" si="11"/>
        <v>542</v>
      </c>
    </row>
    <row r="69" spans="1:23" ht="19.5" customHeight="1" x14ac:dyDescent="0.3">
      <c r="A69" s="2"/>
      <c r="B69" s="65">
        <f t="shared" si="2"/>
        <v>32</v>
      </c>
      <c r="C69" s="70">
        <f t="shared" si="3"/>
        <v>46053</v>
      </c>
      <c r="D69" s="201" t="str">
        <f t="shared" si="4"/>
        <v>MERKEZ KASA → ÖMER KARTAL – KÂR PAYI / AVANS ÇEKİŞİ — Ocak Ayı Kâr Payı Ödemesi — eski GELIR_GIDER satır 26</v>
      </c>
      <c r="E69" s="141"/>
      <c r="F69" s="65" t="str">
        <f t="shared" si="5"/>
        <v>VİRMAN GELDİ</v>
      </c>
      <c r="G69" s="68">
        <f t="shared" si="6"/>
        <v>127783.09</v>
      </c>
      <c r="H69" s="68">
        <f t="shared" si="7"/>
        <v>0</v>
      </c>
      <c r="I69" s="68">
        <f t="shared" si="12"/>
        <v>166650</v>
      </c>
      <c r="J69" s="2"/>
      <c r="K69" s="2"/>
      <c r="L69" s="1"/>
      <c r="M69" s="1">
        <v>32</v>
      </c>
      <c r="N69" s="1" t="str">
        <f>IF($R69&lt;=0,"",EOMONTH(AY_SONU!$B38,0))</f>
        <v/>
      </c>
      <c r="O69" s="1" t="str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" t="str">
        <f t="shared" si="8"/>
        <v/>
      </c>
      <c r="Q69" s="79">
        <v>0</v>
      </c>
      <c r="R69" s="79">
        <f>IF($C$36="",0,IF($C$36=SISTEM!$C$9,AY_SONU!$M38,IF($C$36=SISTEM!$C$10,AY_SONU!$N38,0)))</f>
        <v>0</v>
      </c>
      <c r="S69" s="1">
        <f t="shared" si="9"/>
        <v>10000000000</v>
      </c>
      <c r="T69" s="1"/>
      <c r="U69" s="1"/>
      <c r="V69" s="1">
        <f t="shared" si="10"/>
        <v>4605300566</v>
      </c>
      <c r="W69" s="1">
        <f t="shared" si="11"/>
        <v>566</v>
      </c>
    </row>
    <row r="70" spans="1:23" ht="19.5" customHeight="1" x14ac:dyDescent="0.3">
      <c r="A70" s="2"/>
      <c r="B70" s="65">
        <f t="shared" si="2"/>
        <v>33</v>
      </c>
      <c r="C70" s="70">
        <f t="shared" si="3"/>
        <v>46054</v>
      </c>
      <c r="D70" s="201" t="str">
        <f t="shared" si="4"/>
        <v>ÖMER KARTAL – müşteriden tahsilat: YEDİYİRMİDÖRT LTD.ŞTİ. – NAKİT ÖDENEN</v>
      </c>
      <c r="E70" s="141"/>
      <c r="F70" s="65" t="str">
        <f t="shared" si="5"/>
        <v>MÜŞTERİDEN ALDI</v>
      </c>
      <c r="G70" s="68">
        <f t="shared" si="6"/>
        <v>10000</v>
      </c>
      <c r="H70" s="68">
        <f t="shared" si="7"/>
        <v>0</v>
      </c>
      <c r="I70" s="68">
        <f t="shared" si="12"/>
        <v>176650</v>
      </c>
      <c r="J70" s="2"/>
      <c r="K70" s="2"/>
      <c r="L70" s="1"/>
      <c r="M70" s="1">
        <v>33</v>
      </c>
      <c r="N70" s="1" t="str">
        <f>IF($R70&lt;=0,"",EOMONTH(AY_SONU!$B39,0))</f>
        <v/>
      </c>
      <c r="O70" s="1" t="str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" t="str">
        <f t="shared" si="8"/>
        <v/>
      </c>
      <c r="Q70" s="79">
        <v>0</v>
      </c>
      <c r="R70" s="79">
        <f>IF($C$36="",0,IF($C$36=SISTEM!$C$9,AY_SONU!$M39,IF($C$36=SISTEM!$C$10,AY_SONU!$N39,0)))</f>
        <v>0</v>
      </c>
      <c r="S70" s="1">
        <f t="shared" si="9"/>
        <v>10000000000</v>
      </c>
      <c r="T70" s="1"/>
      <c r="U70" s="1"/>
      <c r="V70" s="1">
        <f t="shared" si="10"/>
        <v>4605400061</v>
      </c>
      <c r="W70" s="1">
        <f t="shared" si="11"/>
        <v>61</v>
      </c>
    </row>
    <row r="71" spans="1:23" ht="19.5" customHeight="1" x14ac:dyDescent="0.3">
      <c r="A71" s="2"/>
      <c r="B71" s="65">
        <f t="shared" si="2"/>
        <v>34</v>
      </c>
      <c r="C71" s="70">
        <f t="shared" si="3"/>
        <v>46054</v>
      </c>
      <c r="D71" s="201" t="str">
        <f t="shared" si="4"/>
        <v>ÖMER KARTAL → MERKEZ KASA – ÖMER KARTAL CARİ HESAP KASAYA ÖDEDİĞİ</v>
      </c>
      <c r="E71" s="141"/>
      <c r="F71" s="65" t="str">
        <f t="shared" si="5"/>
        <v>OFİSE/KASAYA ÖDEDİ</v>
      </c>
      <c r="G71" s="68">
        <f t="shared" si="6"/>
        <v>0</v>
      </c>
      <c r="H71" s="68">
        <f t="shared" si="7"/>
        <v>32000</v>
      </c>
      <c r="I71" s="68">
        <f t="shared" si="12"/>
        <v>144650</v>
      </c>
      <c r="J71" s="2"/>
      <c r="K71" s="2"/>
      <c r="L71" s="1"/>
      <c r="M71" s="1">
        <v>34</v>
      </c>
      <c r="N71" s="1" t="str">
        <f>IF($R71&lt;=0,"",EOMONTH(AY_SONU!$B40,0))</f>
        <v/>
      </c>
      <c r="O71" s="1" t="str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" t="str">
        <f t="shared" si="8"/>
        <v/>
      </c>
      <c r="Q71" s="79">
        <v>0</v>
      </c>
      <c r="R71" s="79">
        <f>IF($C$36="",0,IF($C$36=SISTEM!$C$9,AY_SONU!$M40,IF($C$36=SISTEM!$C$10,AY_SONU!$N40,0)))</f>
        <v>0</v>
      </c>
      <c r="S71" s="1">
        <f t="shared" si="9"/>
        <v>10000000000</v>
      </c>
      <c r="T71" s="1"/>
      <c r="U71" s="1"/>
      <c r="V71" s="1">
        <f t="shared" si="10"/>
        <v>4605400698</v>
      </c>
      <c r="W71" s="1">
        <f t="shared" si="11"/>
        <v>698</v>
      </c>
    </row>
    <row r="72" spans="1:23" ht="19.5" customHeight="1" x14ac:dyDescent="0.3">
      <c r="A72" s="2"/>
      <c r="B72" s="65">
        <f t="shared" si="2"/>
        <v>35</v>
      </c>
      <c r="C72" s="70">
        <f t="shared" si="3"/>
        <v>46060</v>
      </c>
      <c r="D72" s="201" t="str">
        <f t="shared" si="4"/>
        <v>ÖMER KARTAL – müşteriden tahsilat: ÇINARHAN LTD.ŞTİ. – NAKİT ÖDENEN</v>
      </c>
      <c r="E72" s="141"/>
      <c r="F72" s="65" t="str">
        <f t="shared" si="5"/>
        <v>MÜŞTERİDEN ALDI</v>
      </c>
      <c r="G72" s="68">
        <f t="shared" si="6"/>
        <v>2500</v>
      </c>
      <c r="H72" s="68">
        <f t="shared" si="7"/>
        <v>0</v>
      </c>
      <c r="I72" s="68">
        <f t="shared" si="12"/>
        <v>147150</v>
      </c>
      <c r="J72" s="2"/>
      <c r="K72" s="2"/>
      <c r="L72" s="1"/>
      <c r="M72" s="1">
        <v>35</v>
      </c>
      <c r="N72" s="1" t="str">
        <f>IF($R72&lt;=0,"",EOMONTH(AY_SONU!$B41,0))</f>
        <v/>
      </c>
      <c r="O72" s="1" t="str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" t="str">
        <f t="shared" si="8"/>
        <v/>
      </c>
      <c r="Q72" s="79">
        <v>0</v>
      </c>
      <c r="R72" s="79">
        <f>IF($C$36="",0,IF($C$36=SISTEM!$C$9,AY_SONU!$M41,IF($C$36=SISTEM!$C$10,AY_SONU!$N41,0)))</f>
        <v>0</v>
      </c>
      <c r="S72" s="1">
        <f t="shared" si="9"/>
        <v>10000000000</v>
      </c>
      <c r="T72" s="1"/>
      <c r="U72" s="1"/>
      <c r="V72" s="1">
        <f t="shared" si="10"/>
        <v>4606000062</v>
      </c>
      <c r="W72" s="1">
        <f t="shared" si="11"/>
        <v>62</v>
      </c>
    </row>
    <row r="73" spans="1:23" ht="19.5" customHeight="1" x14ac:dyDescent="0.3">
      <c r="A73" s="2"/>
      <c r="B73" s="65">
        <f t="shared" si="2"/>
        <v>36</v>
      </c>
      <c r="C73" s="70">
        <f t="shared" si="3"/>
        <v>46063</v>
      </c>
      <c r="D73" s="201" t="str">
        <f t="shared" si="4"/>
        <v>ÖMER KARTAL – müşteriden tahsilat: MONAMOUR LTD.ŞTİ. – ÖMER KARTALA ÖDENEN</v>
      </c>
      <c r="E73" s="141"/>
      <c r="F73" s="65" t="str">
        <f t="shared" si="5"/>
        <v>MÜŞTERİDEN ALDI</v>
      </c>
      <c r="G73" s="68">
        <f t="shared" si="6"/>
        <v>3500</v>
      </c>
      <c r="H73" s="68">
        <f t="shared" si="7"/>
        <v>0</v>
      </c>
      <c r="I73" s="68">
        <f t="shared" si="12"/>
        <v>150650</v>
      </c>
      <c r="J73" s="2"/>
      <c r="K73" s="2"/>
      <c r="L73" s="1"/>
      <c r="M73" s="1">
        <v>36</v>
      </c>
      <c r="N73" s="1" t="str">
        <f>IF($R73&lt;=0,"",EOMONTH(AY_SONU!$B42,0))</f>
        <v/>
      </c>
      <c r="O73" s="1" t="str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" t="str">
        <f t="shared" si="8"/>
        <v/>
      </c>
      <c r="Q73" s="79">
        <v>0</v>
      </c>
      <c r="R73" s="79">
        <f>IF($C$36="",0,IF($C$36=SISTEM!$C$9,AY_SONU!$M42,IF($C$36=SISTEM!$C$10,AY_SONU!$N42,0)))</f>
        <v>0</v>
      </c>
      <c r="S73" s="1">
        <f t="shared" si="9"/>
        <v>10000000000</v>
      </c>
      <c r="T73" s="1"/>
      <c r="U73" s="1"/>
      <c r="V73" s="1">
        <f t="shared" si="10"/>
        <v>4606300063</v>
      </c>
      <c r="W73" s="1">
        <f t="shared" si="11"/>
        <v>63</v>
      </c>
    </row>
    <row r="74" spans="1:23" ht="19.5" customHeight="1" x14ac:dyDescent="0.3">
      <c r="A74" s="2"/>
      <c r="B74" s="65">
        <f t="shared" si="2"/>
        <v>37</v>
      </c>
      <c r="C74" s="70">
        <f t="shared" si="3"/>
        <v>46066</v>
      </c>
      <c r="D74" s="201" t="str">
        <f t="shared" si="4"/>
        <v>ÖMER KARTAL – müşteriden tahsilat: UFUK YILMAZ – NAKİT ÖDENEN</v>
      </c>
      <c r="E74" s="141"/>
      <c r="F74" s="65" t="str">
        <f t="shared" si="5"/>
        <v>MÜŞTERİDEN ALDI</v>
      </c>
      <c r="G74" s="68">
        <f t="shared" si="6"/>
        <v>3000</v>
      </c>
      <c r="H74" s="68">
        <f t="shared" si="7"/>
        <v>0</v>
      </c>
      <c r="I74" s="68">
        <f t="shared" si="12"/>
        <v>153650</v>
      </c>
      <c r="J74" s="2"/>
      <c r="K74" s="2"/>
      <c r="L74" s="1"/>
      <c r="M74" s="1">
        <v>37</v>
      </c>
      <c r="N74" s="71">
        <f>IF($T74=0,"",INDEX(TAHSILAT!$E$7:$E$2503,$T74))</f>
        <v>46025</v>
      </c>
      <c r="O74" s="1" t="str">
        <f>IF($N74="","",$C$36&amp;" – müşteriden tahsilat: "&amp;INDEX(TAHSILAT!$N$7:$N$2503,$T74)&amp;IF(INDEX(TAHSILAT!$J$7:$J$2503,$T74)="",""," – "&amp;INDEX(TAHSILAT!$J$7:$J$2503,$T74)))</f>
        <v>ÖMER KARTAL – müşteriden tahsilat: EĞLENGÖR LTD.ŞTİ. – ÖMER KARTALA ÖDENEN</v>
      </c>
      <c r="P74" s="1" t="str">
        <f t="shared" ref="P74:P137" si="13">IF($N74="","","MÜŞTERİDEN ALDI")</f>
        <v>MÜŞTERİDEN ALDI</v>
      </c>
      <c r="Q74" s="79">
        <f>IF($N74="",0,INDEX(TAHSILAT!$F$7:$F$2503,$T74))</f>
        <v>3000</v>
      </c>
      <c r="R74" s="1">
        <v>0</v>
      </c>
      <c r="S74" s="1">
        <f t="shared" si="9"/>
        <v>4602500037</v>
      </c>
      <c r="T74" s="1">
        <f>IFERROR(MATCH($C$36&amp;"|1",TAHSILAT!$U$7:$U$2503,0),0)</f>
        <v>9</v>
      </c>
      <c r="U74" s="1"/>
      <c r="V74" s="1">
        <f t="shared" si="10"/>
        <v>4606600064</v>
      </c>
      <c r="W74" s="1">
        <f t="shared" si="11"/>
        <v>64</v>
      </c>
    </row>
    <row r="75" spans="1:23" ht="19.5" customHeight="1" x14ac:dyDescent="0.3">
      <c r="A75" s="2"/>
      <c r="B75" s="65">
        <f t="shared" si="2"/>
        <v>38</v>
      </c>
      <c r="C75" s="70">
        <f t="shared" si="3"/>
        <v>46069</v>
      </c>
      <c r="D75" s="201" t="str">
        <f t="shared" si="4"/>
        <v>ÖMER KARTAL – müşteriden tahsilat: NERO E TİCARET LTD.ŞTİ. – ÖMER KARTALA ÖDENEN</v>
      </c>
      <c r="E75" s="141"/>
      <c r="F75" s="65" t="str">
        <f t="shared" si="5"/>
        <v>MÜŞTERİDEN ALDI</v>
      </c>
      <c r="G75" s="68">
        <f t="shared" si="6"/>
        <v>7500</v>
      </c>
      <c r="H75" s="68">
        <f t="shared" si="7"/>
        <v>0</v>
      </c>
      <c r="I75" s="68">
        <f t="shared" si="12"/>
        <v>161150</v>
      </c>
      <c r="J75" s="2"/>
      <c r="K75" s="2"/>
      <c r="L75" s="1"/>
      <c r="M75" s="1">
        <v>38</v>
      </c>
      <c r="N75" s="71">
        <f>IF($T75=0,"",INDEX(TAHSILAT!$E$7:$E$2503,$T75))</f>
        <v>46025</v>
      </c>
      <c r="O75" s="1" t="str">
        <f>IF($N75="","",$C$36&amp;" – müşteriden tahsilat: "&amp;INDEX(TAHSILAT!$N$7:$N$2503,$T75)&amp;IF(INDEX(TAHSILAT!$J$7:$J$2503,$T75)="",""," – "&amp;INDEX(TAHSILAT!$J$7:$J$2503,$T75)))</f>
        <v>ÖMER KARTAL – müşteriden tahsilat: ÖZFİDANLAR LTD.ŞTİ. – ÖMER KARTALA ÖDENEN</v>
      </c>
      <c r="P75" s="1" t="str">
        <f t="shared" si="13"/>
        <v>MÜŞTERİDEN ALDI</v>
      </c>
      <c r="Q75" s="79">
        <f>IF($N75="",0,INDEX(TAHSILAT!$F$7:$F$2503,$T75))</f>
        <v>2000</v>
      </c>
      <c r="R75" s="1">
        <v>0</v>
      </c>
      <c r="S75" s="1">
        <f t="shared" si="9"/>
        <v>4602500038</v>
      </c>
      <c r="T75" s="1">
        <f>IFERROR(MATCH($C$36&amp;"|2",TAHSILAT!$U$7:$U$2503,0),0)</f>
        <v>10</v>
      </c>
      <c r="U75" s="1"/>
      <c r="V75" s="1">
        <f t="shared" si="10"/>
        <v>4606900065</v>
      </c>
      <c r="W75" s="1">
        <f t="shared" si="11"/>
        <v>65</v>
      </c>
    </row>
    <row r="76" spans="1:23" ht="19.5" customHeight="1" x14ac:dyDescent="0.3">
      <c r="A76" s="2"/>
      <c r="B76" s="65">
        <f t="shared" si="2"/>
        <v>39</v>
      </c>
      <c r="C76" s="70">
        <f t="shared" si="3"/>
        <v>46074</v>
      </c>
      <c r="D76" s="201" t="str">
        <f t="shared" si="4"/>
        <v>ÖMER KARTAL – müşteriden tahsilat: ASM EĞLENCE LTD.ŞTİ. – ÖMER KARTALA ÖDENEN</v>
      </c>
      <c r="E76" s="141"/>
      <c r="F76" s="65" t="str">
        <f t="shared" si="5"/>
        <v>MÜŞTERİDEN ALDI</v>
      </c>
      <c r="G76" s="68">
        <f t="shared" si="6"/>
        <v>2500</v>
      </c>
      <c r="H76" s="68">
        <f t="shared" si="7"/>
        <v>0</v>
      </c>
      <c r="I76" s="68">
        <f t="shared" si="12"/>
        <v>163650</v>
      </c>
      <c r="J76" s="2"/>
      <c r="K76" s="2"/>
      <c r="L76" s="1"/>
      <c r="M76" s="1">
        <v>39</v>
      </c>
      <c r="N76" s="71">
        <f>IF($T76=0,"",INDEX(TAHSILAT!$E$7:$E$2503,$T76))</f>
        <v>46025</v>
      </c>
      <c r="O76" s="1" t="str">
        <f>IF($N76="","",$C$36&amp;" – müşteriden tahsilat: "&amp;INDEX(TAHSILAT!$N$7:$N$2503,$T76)&amp;IF(INDEX(TAHSILAT!$J$7:$J$2503,$T76)="",""," – "&amp;INDEX(TAHSILAT!$J$7:$J$2503,$T76)))</f>
        <v>ÖMER KARTAL – müşteriden tahsilat: PAKYILDIZ LTD.ŞTİ. – ÖMER KARTALA ÖDENEN</v>
      </c>
      <c r="P76" s="1" t="str">
        <f t="shared" si="13"/>
        <v>MÜŞTERİDEN ALDI</v>
      </c>
      <c r="Q76" s="79">
        <f>IF($N76="",0,INDEX(TAHSILAT!$F$7:$F$2503,$T76))</f>
        <v>2000</v>
      </c>
      <c r="R76" s="1">
        <v>0</v>
      </c>
      <c r="S76" s="1">
        <f t="shared" si="9"/>
        <v>4602500039</v>
      </c>
      <c r="T76" s="1">
        <f>IFERROR(MATCH($C$36&amp;"|3",TAHSILAT!$U$7:$U$2503,0),0)</f>
        <v>11</v>
      </c>
      <c r="U76" s="1"/>
      <c r="V76" s="1">
        <f t="shared" si="10"/>
        <v>4607400066</v>
      </c>
      <c r="W76" s="1">
        <f t="shared" si="11"/>
        <v>66</v>
      </c>
    </row>
    <row r="77" spans="1:23" ht="19.5" customHeight="1" x14ac:dyDescent="0.3">
      <c r="A77" s="2"/>
      <c r="B77" s="65">
        <f t="shared" si="2"/>
        <v>40</v>
      </c>
      <c r="C77" s="70">
        <f t="shared" si="3"/>
        <v>46074</v>
      </c>
      <c r="D77" s="201" t="str">
        <f t="shared" si="4"/>
        <v>ÖMER KARTAL – müşteriden tahsilat: İLDEŞ LTD.ŞTİ. – ÖMER KARTALA ÖDENEN</v>
      </c>
      <c r="E77" s="141"/>
      <c r="F77" s="65" t="str">
        <f t="shared" si="5"/>
        <v>MÜŞTERİDEN ALDI</v>
      </c>
      <c r="G77" s="68">
        <f t="shared" si="6"/>
        <v>4000</v>
      </c>
      <c r="H77" s="68">
        <f t="shared" si="7"/>
        <v>0</v>
      </c>
      <c r="I77" s="68">
        <f t="shared" si="12"/>
        <v>167650</v>
      </c>
      <c r="J77" s="2"/>
      <c r="K77" s="2"/>
      <c r="L77" s="1"/>
      <c r="M77" s="1">
        <v>40</v>
      </c>
      <c r="N77" s="71">
        <f>IF($T77=0,"",INDEX(TAHSILAT!$E$7:$E$2503,$T77))</f>
        <v>46025</v>
      </c>
      <c r="O77" s="1" t="str">
        <f>IF($N77="","",$C$36&amp;" – müşteriden tahsilat: "&amp;INDEX(TAHSILAT!$N$7:$N$2503,$T77)&amp;IF(INDEX(TAHSILAT!$J$7:$J$2503,$T77)="",""," – "&amp;INDEX(TAHSILAT!$J$7:$J$2503,$T77)))</f>
        <v>ÖMER KARTAL – müşteriden tahsilat: ZÜMRÜT GRUP LTD.ŞTİ. – ÖMER KARTALA ÖDENEN</v>
      </c>
      <c r="P77" s="1" t="str">
        <f t="shared" si="13"/>
        <v>MÜŞTERİDEN ALDI</v>
      </c>
      <c r="Q77" s="79">
        <f>IF($N77="",0,INDEX(TAHSILAT!$F$7:$F$2503,$T77))</f>
        <v>1750</v>
      </c>
      <c r="R77" s="1">
        <v>0</v>
      </c>
      <c r="S77" s="1">
        <f t="shared" si="9"/>
        <v>4602500040</v>
      </c>
      <c r="T77" s="1">
        <f>IFERROR(MATCH($C$36&amp;"|4",TAHSILAT!$U$7:$U$2503,0),0)</f>
        <v>12</v>
      </c>
      <c r="U77" s="1"/>
      <c r="V77" s="1">
        <f t="shared" si="10"/>
        <v>4607400067</v>
      </c>
      <c r="W77" s="1">
        <f t="shared" si="11"/>
        <v>67</v>
      </c>
    </row>
    <row r="78" spans="1:23" ht="19.5" customHeight="1" x14ac:dyDescent="0.3">
      <c r="A78" s="2"/>
      <c r="B78" s="65">
        <f t="shared" si="2"/>
        <v>41</v>
      </c>
      <c r="C78" s="70">
        <f t="shared" si="3"/>
        <v>46074</v>
      </c>
      <c r="D78" s="201" t="str">
        <f t="shared" si="4"/>
        <v>ÖMER KARTAL – müşteriden tahsilat: ÖZFİDANLAR LTD.ŞTİ. – ÖMER KARTALA ÖDENEN</v>
      </c>
      <c r="E78" s="141"/>
      <c r="F78" s="65" t="str">
        <f t="shared" si="5"/>
        <v>MÜŞTERİDEN ALDI</v>
      </c>
      <c r="G78" s="68">
        <f t="shared" si="6"/>
        <v>8000</v>
      </c>
      <c r="H78" s="68">
        <f t="shared" si="7"/>
        <v>0</v>
      </c>
      <c r="I78" s="68">
        <f t="shared" si="12"/>
        <v>175650</v>
      </c>
      <c r="J78" s="2"/>
      <c r="K78" s="2"/>
      <c r="L78" s="1"/>
      <c r="M78" s="1">
        <v>41</v>
      </c>
      <c r="N78" s="71">
        <f>IF($T78=0,"",INDEX(TAHSILAT!$E$7:$E$2503,$T78))</f>
        <v>46032</v>
      </c>
      <c r="O78" s="1" t="str">
        <f>IF($N78="","",$C$36&amp;" – müşteriden tahsilat: "&amp;INDEX(TAHSILAT!$N$7:$N$2503,$T78)&amp;IF(INDEX(TAHSILAT!$J$7:$J$2503,$T78)="",""," – "&amp;INDEX(TAHSILAT!$J$7:$J$2503,$T78)))</f>
        <v>ÖMER KARTAL – müşteriden tahsilat: ANKARA HAVANA LTD.ŞTİ. – ÖMER KARTALA ÖDENEN</v>
      </c>
      <c r="P78" s="1" t="str">
        <f t="shared" si="13"/>
        <v>MÜŞTERİDEN ALDI</v>
      </c>
      <c r="Q78" s="79">
        <f>IF($N78="",0,INDEX(TAHSILAT!$F$7:$F$2503,$T78))</f>
        <v>4000</v>
      </c>
      <c r="R78" s="1">
        <v>0</v>
      </c>
      <c r="S78" s="1">
        <f t="shared" si="9"/>
        <v>4603200041</v>
      </c>
      <c r="T78" s="1">
        <f>IFERROR(MATCH($C$36&amp;"|5",TAHSILAT!$U$7:$U$2503,0),0)</f>
        <v>13</v>
      </c>
      <c r="U78" s="1"/>
      <c r="V78" s="1">
        <f t="shared" si="10"/>
        <v>4607400068</v>
      </c>
      <c r="W78" s="1">
        <f t="shared" si="11"/>
        <v>68</v>
      </c>
    </row>
    <row r="79" spans="1:23" ht="19.5" customHeight="1" x14ac:dyDescent="0.3">
      <c r="A79" s="2"/>
      <c r="B79" s="65">
        <f t="shared" si="2"/>
        <v>42</v>
      </c>
      <c r="C79" s="70">
        <f t="shared" si="3"/>
        <v>46074</v>
      </c>
      <c r="D79" s="201" t="str">
        <f t="shared" si="4"/>
        <v>ÖMER KARTAL – müşteriden tahsilat: RİX ŞOW LTD.ŞTİ. – ÖMER KARTALA ÖDENEN</v>
      </c>
      <c r="E79" s="141"/>
      <c r="F79" s="65" t="str">
        <f t="shared" si="5"/>
        <v>MÜŞTERİDEN ALDI</v>
      </c>
      <c r="G79" s="68">
        <f t="shared" si="6"/>
        <v>3000</v>
      </c>
      <c r="H79" s="68">
        <f t="shared" si="7"/>
        <v>0</v>
      </c>
      <c r="I79" s="68">
        <f t="shared" si="12"/>
        <v>178650</v>
      </c>
      <c r="J79" s="2"/>
      <c r="K79" s="2"/>
      <c r="L79" s="1"/>
      <c r="M79" s="1">
        <v>42</v>
      </c>
      <c r="N79" s="71">
        <f>IF($T79=0,"",INDEX(TAHSILAT!$E$7:$E$2503,$T79))</f>
        <v>46032</v>
      </c>
      <c r="O79" s="1" t="str">
        <f>IF($N79="","",$C$36&amp;" – müşteriden tahsilat: "&amp;INDEX(TAHSILAT!$N$7:$N$2503,$T79)&amp;IF(INDEX(TAHSILAT!$J$7:$J$2503,$T79)="",""," – "&amp;INDEX(TAHSILAT!$J$7:$J$2503,$T79)))</f>
        <v>ÖMER KARTAL – müşteriden tahsilat: EĞLENGÖR LTD.ŞTİ. – ÖMER KARTALA ÖDENEN</v>
      </c>
      <c r="P79" s="1" t="str">
        <f t="shared" si="13"/>
        <v>MÜŞTERİDEN ALDI</v>
      </c>
      <c r="Q79" s="79">
        <f>IF($N79="",0,INDEX(TAHSILAT!$F$7:$F$2503,$T79))</f>
        <v>3000</v>
      </c>
      <c r="R79" s="1">
        <v>0</v>
      </c>
      <c r="S79" s="1">
        <f t="shared" si="9"/>
        <v>4603200042</v>
      </c>
      <c r="T79" s="1">
        <f>IFERROR(MATCH($C$36&amp;"|6",TAHSILAT!$U$7:$U$2503,0),0)</f>
        <v>14</v>
      </c>
      <c r="U79" s="1"/>
      <c r="V79" s="1">
        <f t="shared" si="10"/>
        <v>4607400069</v>
      </c>
      <c r="W79" s="1">
        <f t="shared" si="11"/>
        <v>69</v>
      </c>
    </row>
    <row r="80" spans="1:23" ht="19.5" customHeight="1" x14ac:dyDescent="0.3">
      <c r="A80" s="2"/>
      <c r="B80" s="65">
        <f t="shared" si="2"/>
        <v>43</v>
      </c>
      <c r="C80" s="70">
        <f t="shared" si="3"/>
        <v>46074</v>
      </c>
      <c r="D80" s="201" t="str">
        <f t="shared" si="4"/>
        <v>ÖMER KARTAL – müşteriden tahsilat: KRİSTAL LTD.ŞTİ. – NAKİT ÖDENEN</v>
      </c>
      <c r="E80" s="141"/>
      <c r="F80" s="65" t="str">
        <f t="shared" si="5"/>
        <v>MÜŞTERİDEN ALDI</v>
      </c>
      <c r="G80" s="68">
        <f t="shared" si="6"/>
        <v>3000</v>
      </c>
      <c r="H80" s="68">
        <f t="shared" si="7"/>
        <v>0</v>
      </c>
      <c r="I80" s="68">
        <f t="shared" si="12"/>
        <v>181650</v>
      </c>
      <c r="J80" s="2"/>
      <c r="K80" s="2"/>
      <c r="L80" s="1"/>
      <c r="M80" s="1">
        <v>43</v>
      </c>
      <c r="N80" s="71">
        <f>IF($T80=0,"",INDEX(TAHSILAT!$E$7:$E$2503,$T80))</f>
        <v>46032</v>
      </c>
      <c r="O80" s="1" t="str">
        <f>IF($N80="","",$C$36&amp;" – müşteriden tahsilat: "&amp;INDEX(TAHSILAT!$N$7:$N$2503,$T80)&amp;IF(INDEX(TAHSILAT!$J$7:$J$2503,$T80)="",""," – "&amp;INDEX(TAHSILAT!$J$7:$J$2503,$T80)))</f>
        <v>ÖMER KARTAL – müşteriden tahsilat: FİNAL SİYAH BEYAZ LTD.ŞTİ. – ÖMER KARTALA ÖDENEN</v>
      </c>
      <c r="P80" s="1" t="str">
        <f t="shared" si="13"/>
        <v>MÜŞTERİDEN ALDI</v>
      </c>
      <c r="Q80" s="79">
        <f>IF($N80="",0,INDEX(TAHSILAT!$F$7:$F$2503,$T80))</f>
        <v>4000</v>
      </c>
      <c r="R80" s="1">
        <v>0</v>
      </c>
      <c r="S80" s="1">
        <f t="shared" si="9"/>
        <v>4603200043</v>
      </c>
      <c r="T80" s="1">
        <f>IFERROR(MATCH($C$36&amp;"|7",TAHSILAT!$U$7:$U$2503,0),0)</f>
        <v>15</v>
      </c>
      <c r="U80" s="1"/>
      <c r="V80" s="1">
        <f t="shared" si="10"/>
        <v>4607400070</v>
      </c>
      <c r="W80" s="1">
        <f t="shared" si="11"/>
        <v>70</v>
      </c>
    </row>
    <row r="81" spans="1:23" ht="19.5" customHeight="1" x14ac:dyDescent="0.3">
      <c r="A81" s="2"/>
      <c r="B81" s="65">
        <f t="shared" si="2"/>
        <v>44</v>
      </c>
      <c r="C81" s="70">
        <f t="shared" si="3"/>
        <v>46074</v>
      </c>
      <c r="D81" s="201" t="str">
        <f t="shared" si="4"/>
        <v>ÖMER KARTAL – müşteriden tahsilat: ESERLİ LTD.ŞTİ. – ÖMER KARTALA ÖDENEN</v>
      </c>
      <c r="E81" s="141"/>
      <c r="F81" s="65" t="str">
        <f t="shared" si="5"/>
        <v>MÜŞTERİDEN ALDI</v>
      </c>
      <c r="G81" s="68">
        <f t="shared" si="6"/>
        <v>3500</v>
      </c>
      <c r="H81" s="68">
        <f t="shared" si="7"/>
        <v>0</v>
      </c>
      <c r="I81" s="68">
        <f t="shared" si="12"/>
        <v>185150</v>
      </c>
      <c r="J81" s="2"/>
      <c r="K81" s="2"/>
      <c r="L81" s="1"/>
      <c r="M81" s="1">
        <v>44</v>
      </c>
      <c r="N81" s="71">
        <f>IF($T81=0,"",INDEX(TAHSILAT!$E$7:$E$2503,$T81))</f>
        <v>46032</v>
      </c>
      <c r="O81" s="1" t="str">
        <f>IF($N81="","",$C$36&amp;" – müşteriden tahsilat: "&amp;INDEX(TAHSILAT!$N$7:$N$2503,$T81)&amp;IF(INDEX(TAHSILAT!$J$7:$J$2503,$T81)="",""," – "&amp;INDEX(TAHSILAT!$J$7:$J$2503,$T81)))</f>
        <v>ÖMER KARTAL – müşteriden tahsilat: İLDEŞ LTD.ŞTİ. – ÖMER KARTALA ÖDENEN</v>
      </c>
      <c r="P81" s="1" t="str">
        <f t="shared" si="13"/>
        <v>MÜŞTERİDEN ALDI</v>
      </c>
      <c r="Q81" s="79">
        <f>IF($N81="",0,INDEX(TAHSILAT!$F$7:$F$2503,$T81))</f>
        <v>4000</v>
      </c>
      <c r="R81" s="1">
        <v>0</v>
      </c>
      <c r="S81" s="1">
        <f t="shared" si="9"/>
        <v>4603200044</v>
      </c>
      <c r="T81" s="1">
        <f>IFERROR(MATCH($C$36&amp;"|8",TAHSILAT!$U$7:$U$2503,0),0)</f>
        <v>16</v>
      </c>
      <c r="U81" s="1"/>
      <c r="V81" s="1">
        <f t="shared" si="10"/>
        <v>4607400071</v>
      </c>
      <c r="W81" s="1">
        <f t="shared" si="11"/>
        <v>71</v>
      </c>
    </row>
    <row r="82" spans="1:23" ht="19.5" customHeight="1" x14ac:dyDescent="0.3">
      <c r="A82" s="2"/>
      <c r="B82" s="65">
        <f t="shared" si="2"/>
        <v>45</v>
      </c>
      <c r="C82" s="70">
        <f t="shared" si="3"/>
        <v>46078</v>
      </c>
      <c r="D82" s="201" t="str">
        <f t="shared" si="4"/>
        <v>ÖMER KARTAL – müşteriden tahsilat: MEHMET EVREN KILINÇ – ÖMER KARTALA ÖDENEN</v>
      </c>
      <c r="E82" s="141"/>
      <c r="F82" s="65" t="str">
        <f t="shared" si="5"/>
        <v>MÜŞTERİDEN ALDI</v>
      </c>
      <c r="G82" s="68">
        <f t="shared" si="6"/>
        <v>2000</v>
      </c>
      <c r="H82" s="68">
        <f t="shared" si="7"/>
        <v>0</v>
      </c>
      <c r="I82" s="68">
        <f t="shared" si="12"/>
        <v>187150</v>
      </c>
      <c r="J82" s="2"/>
      <c r="K82" s="2"/>
      <c r="L82" s="1"/>
      <c r="M82" s="1">
        <v>45</v>
      </c>
      <c r="N82" s="71">
        <f>IF($T82=0,"",INDEX(TAHSILAT!$E$7:$E$2503,$T82))</f>
        <v>46032</v>
      </c>
      <c r="O82" s="1" t="str">
        <f>IF($N82="","",$C$36&amp;" – müşteriden tahsilat: "&amp;INDEX(TAHSILAT!$N$7:$N$2503,$T82)&amp;IF(INDEX(TAHSILAT!$J$7:$J$2503,$T82)="",""," – "&amp;INDEX(TAHSILAT!$J$7:$J$2503,$T82)))</f>
        <v>ÖMER KARTAL – müşteriden tahsilat: MONAMOUR LTD.ŞTİ. – ÖMER KARTALA ÖDENEN</v>
      </c>
      <c r="P82" s="1" t="str">
        <f t="shared" si="13"/>
        <v>MÜŞTERİDEN ALDI</v>
      </c>
      <c r="Q82" s="79">
        <f>IF($N82="",0,INDEX(TAHSILAT!$F$7:$F$2503,$T82))</f>
        <v>3500</v>
      </c>
      <c r="R82" s="1">
        <v>0</v>
      </c>
      <c r="S82" s="1">
        <f t="shared" si="9"/>
        <v>4603200045</v>
      </c>
      <c r="T82" s="1">
        <f>IFERROR(MATCH($C$36&amp;"|9",TAHSILAT!$U$7:$U$2503,0),0)</f>
        <v>17</v>
      </c>
      <c r="U82" s="1"/>
      <c r="V82" s="1">
        <f t="shared" si="10"/>
        <v>4607800072</v>
      </c>
      <c r="W82" s="1">
        <f t="shared" si="11"/>
        <v>72</v>
      </c>
    </row>
    <row r="83" spans="1:23" ht="19.5" customHeight="1" x14ac:dyDescent="0.3">
      <c r="A83" s="2"/>
      <c r="B83" s="65">
        <f t="shared" si="2"/>
        <v>46</v>
      </c>
      <c r="C83" s="70">
        <f t="shared" si="3"/>
        <v>46081</v>
      </c>
      <c r="D83" s="201" t="str">
        <f t="shared" si="4"/>
        <v>ÖMER KARTAL – Şubat 2026 kâr payı tahakkuku</v>
      </c>
      <c r="E83" s="141"/>
      <c r="F83" s="65" t="str">
        <f t="shared" si="5"/>
        <v>KÂR PAYI TAHAKKUKU</v>
      </c>
      <c r="G83" s="68">
        <f t="shared" si="6"/>
        <v>0</v>
      </c>
      <c r="H83" s="68">
        <f t="shared" si="7"/>
        <v>10310.90499999997</v>
      </c>
      <c r="I83" s="68">
        <f t="shared" si="12"/>
        <v>176839.09500000003</v>
      </c>
      <c r="J83" s="2"/>
      <c r="K83" s="2"/>
      <c r="L83" s="1"/>
      <c r="M83" s="1">
        <v>46</v>
      </c>
      <c r="N83" s="71">
        <f>IF($T83=0,"",INDEX(TAHSILAT!$E$7:$E$2503,$T83))</f>
        <v>46032</v>
      </c>
      <c r="O83" s="1" t="str">
        <f>IF($N83="","",$C$36&amp;" – müşteriden tahsilat: "&amp;INDEX(TAHSILAT!$N$7:$N$2503,$T83)&amp;IF(INDEX(TAHSILAT!$J$7:$J$2503,$T83)="",""," – "&amp;INDEX(TAHSILAT!$J$7:$J$2503,$T83)))</f>
        <v>ÖMER KARTAL – müşteriden tahsilat: NAZ 1 GIDA LTD.ŞTİ. – ÖMER KARTALA ÖDENEN</v>
      </c>
      <c r="P83" s="1" t="str">
        <f t="shared" si="13"/>
        <v>MÜŞTERİDEN ALDI</v>
      </c>
      <c r="Q83" s="79">
        <f>IF($N83="",0,INDEX(TAHSILAT!$F$7:$F$2503,$T83))</f>
        <v>13150</v>
      </c>
      <c r="R83" s="1">
        <v>0</v>
      </c>
      <c r="S83" s="1">
        <f t="shared" si="9"/>
        <v>4603200046</v>
      </c>
      <c r="T83" s="1">
        <f>IFERROR(MATCH($C$36&amp;"|10",TAHSILAT!$U$7:$U$2503,0),0)</f>
        <v>18</v>
      </c>
      <c r="U83" s="1"/>
      <c r="V83" s="1">
        <f t="shared" si="10"/>
        <v>4608100002</v>
      </c>
      <c r="W83" s="1">
        <f t="shared" si="11"/>
        <v>2</v>
      </c>
    </row>
    <row r="84" spans="1:23" ht="19.5" customHeight="1" x14ac:dyDescent="0.3">
      <c r="A84" s="2"/>
      <c r="B84" s="65">
        <f t="shared" si="2"/>
        <v>47</v>
      </c>
      <c r="C84" s="70">
        <f t="shared" si="3"/>
        <v>46081</v>
      </c>
      <c r="D84" s="201" t="str">
        <f t="shared" si="4"/>
        <v xml:space="preserve">ÖMER KARTAL – müşteriden tahsilat: ALTINEL LTD.ŞTİ. – ALTINEL LTD.ŞTİ. </v>
      </c>
      <c r="E84" s="141"/>
      <c r="F84" s="65" t="str">
        <f t="shared" si="5"/>
        <v>MÜŞTERİDEN ALDI</v>
      </c>
      <c r="G84" s="68">
        <f t="shared" si="6"/>
        <v>12000</v>
      </c>
      <c r="H84" s="68">
        <f t="shared" si="7"/>
        <v>0</v>
      </c>
      <c r="I84" s="68">
        <f t="shared" si="12"/>
        <v>188839.09500000003</v>
      </c>
      <c r="J84" s="2"/>
      <c r="K84" s="2"/>
      <c r="L84" s="1"/>
      <c r="M84" s="1">
        <v>47</v>
      </c>
      <c r="N84" s="71">
        <f>IF($T84=0,"",INDEX(TAHSILAT!$E$7:$E$2503,$T84))</f>
        <v>46032</v>
      </c>
      <c r="O84" s="1" t="str">
        <f>IF($N84="","",$C$36&amp;" – müşteriden tahsilat: "&amp;INDEX(TAHSILAT!$N$7:$N$2503,$T84)&amp;IF(INDEX(TAHSILAT!$J$7:$J$2503,$T84)="",""," – "&amp;INDEX(TAHSILAT!$J$7:$J$2503,$T84)))</f>
        <v>ÖMER KARTAL – müşteriden tahsilat: ÖZFİDANLAR LTD.ŞTİ. – ÖMER KARTALA ÖDENEN</v>
      </c>
      <c r="P84" s="1" t="str">
        <f t="shared" si="13"/>
        <v>MÜŞTERİDEN ALDI</v>
      </c>
      <c r="Q84" s="79">
        <f>IF($N84="",0,INDEX(TAHSILAT!$F$7:$F$2503,$T84))</f>
        <v>4000</v>
      </c>
      <c r="R84" s="1">
        <v>0</v>
      </c>
      <c r="S84" s="1">
        <f t="shared" si="9"/>
        <v>4603200047</v>
      </c>
      <c r="T84" s="1">
        <f>IFERROR(MATCH($C$36&amp;"|11",TAHSILAT!$U$7:$U$2503,0),0)</f>
        <v>19</v>
      </c>
      <c r="U84" s="1"/>
      <c r="V84" s="1">
        <f t="shared" si="10"/>
        <v>4608100073</v>
      </c>
      <c r="W84" s="1">
        <f t="shared" si="11"/>
        <v>73</v>
      </c>
    </row>
    <row r="85" spans="1:23" ht="19.5" customHeight="1" x14ac:dyDescent="0.3">
      <c r="A85" s="2"/>
      <c r="B85" s="65">
        <f t="shared" si="2"/>
        <v>48</v>
      </c>
      <c r="C85" s="70">
        <f t="shared" si="3"/>
        <v>46081</v>
      </c>
      <c r="D85" s="201" t="str">
        <f t="shared" si="4"/>
        <v>ÖMER KARTAL – müşteriden tahsilat: IŞIL GRUP LTD.ŞTİ. – ÖMER KARTALA ÖDENEN</v>
      </c>
      <c r="E85" s="141"/>
      <c r="F85" s="65" t="str">
        <f t="shared" si="5"/>
        <v>MÜŞTERİDEN ALDI</v>
      </c>
      <c r="G85" s="68">
        <f t="shared" si="6"/>
        <v>5000</v>
      </c>
      <c r="H85" s="68">
        <f t="shared" si="7"/>
        <v>0</v>
      </c>
      <c r="I85" s="68">
        <f t="shared" si="12"/>
        <v>193839.09500000003</v>
      </c>
      <c r="J85" s="2"/>
      <c r="K85" s="2"/>
      <c r="L85" s="1"/>
      <c r="M85" s="1">
        <v>48</v>
      </c>
      <c r="N85" s="71">
        <f>IF($T85=0,"",INDEX(TAHSILAT!$E$7:$E$2503,$T85))</f>
        <v>46032</v>
      </c>
      <c r="O85" s="1" t="str">
        <f>IF($N85="","",$C$36&amp;" – müşteriden tahsilat: "&amp;INDEX(TAHSILAT!$N$7:$N$2503,$T85)&amp;IF(INDEX(TAHSILAT!$J$7:$J$2503,$T85)="",""," – "&amp;INDEX(TAHSILAT!$J$7:$J$2503,$T85)))</f>
        <v>ÖMER KARTAL – müşteriden tahsilat: ZÜMRÜT GRUP LTD.ŞTİ. – ÖMER KARTALA ÖDENEN</v>
      </c>
      <c r="P85" s="1" t="str">
        <f t="shared" si="13"/>
        <v>MÜŞTERİDEN ALDI</v>
      </c>
      <c r="Q85" s="79">
        <f>IF($N85="",0,INDEX(TAHSILAT!$F$7:$F$2503,$T85))</f>
        <v>1750</v>
      </c>
      <c r="R85" s="1">
        <v>0</v>
      </c>
      <c r="S85" s="1">
        <f t="shared" si="9"/>
        <v>4603200048</v>
      </c>
      <c r="T85" s="1">
        <f>IFERROR(MATCH($C$36&amp;"|12",TAHSILAT!$U$7:$U$2503,0),0)</f>
        <v>20</v>
      </c>
      <c r="U85" s="1"/>
      <c r="V85" s="1">
        <f t="shared" si="10"/>
        <v>4608100074</v>
      </c>
      <c r="W85" s="1">
        <f t="shared" si="11"/>
        <v>74</v>
      </c>
    </row>
    <row r="86" spans="1:23" ht="19.5" customHeight="1" x14ac:dyDescent="0.3">
      <c r="A86" s="2"/>
      <c r="B86" s="65">
        <f t="shared" si="2"/>
        <v>49</v>
      </c>
      <c r="C86" s="70">
        <f t="shared" si="3"/>
        <v>46081</v>
      </c>
      <c r="D86" s="201" t="str">
        <f t="shared" si="4"/>
        <v>MERKEZ KASA → ÖMER KARTAL – PARİS GAZİNOSU SGK'LAR</v>
      </c>
      <c r="E86" s="141"/>
      <c r="F86" s="65" t="str">
        <f t="shared" si="5"/>
        <v>VİRMAN GELDİ</v>
      </c>
      <c r="G86" s="68">
        <f t="shared" si="6"/>
        <v>12000</v>
      </c>
      <c r="H86" s="68">
        <f t="shared" si="7"/>
        <v>0</v>
      </c>
      <c r="I86" s="68">
        <f t="shared" si="12"/>
        <v>205839.09500000003</v>
      </c>
      <c r="J86" s="2"/>
      <c r="K86" s="2"/>
      <c r="L86" s="1"/>
      <c r="M86" s="1">
        <v>49</v>
      </c>
      <c r="N86" s="71">
        <f>IF($T86=0,"",INDEX(TAHSILAT!$E$7:$E$2503,$T86))</f>
        <v>46034</v>
      </c>
      <c r="O86" s="1" t="str">
        <f>IF($N86="","",$C$36&amp;" – müşteriden tahsilat: "&amp;INDEX(TAHSILAT!$N$7:$N$2503,$T86)&amp;IF(INDEX(TAHSILAT!$J$7:$J$2503,$T86)="",""," – "&amp;INDEX(TAHSILAT!$J$7:$J$2503,$T86)))</f>
        <v>ÖMER KARTAL – müşteriden tahsilat: ÇAYIRALAN LTD.ŞTİ. – ÖMER KARTALA ÖDENEN</v>
      </c>
      <c r="P86" s="1" t="str">
        <f t="shared" si="13"/>
        <v>MÜŞTERİDEN ALDI</v>
      </c>
      <c r="Q86" s="79">
        <f>IF($N86="",0,INDEX(TAHSILAT!$F$7:$F$2503,$T86))</f>
        <v>6000</v>
      </c>
      <c r="R86" s="1">
        <v>0</v>
      </c>
      <c r="S86" s="1">
        <f t="shared" si="9"/>
        <v>4603400049</v>
      </c>
      <c r="T86" s="1">
        <f>IFERROR(MATCH($C$36&amp;"|13",TAHSILAT!$U$7:$U$2503,0),0)</f>
        <v>21</v>
      </c>
      <c r="U86" s="1"/>
      <c r="V86" s="1">
        <f t="shared" si="10"/>
        <v>4608100543</v>
      </c>
      <c r="W86" s="1">
        <f t="shared" si="11"/>
        <v>543</v>
      </c>
    </row>
    <row r="87" spans="1:23" ht="19.5" customHeight="1" x14ac:dyDescent="0.3">
      <c r="A87" s="2"/>
      <c r="B87" s="65">
        <f t="shared" si="2"/>
        <v>50</v>
      </c>
      <c r="C87" s="70">
        <f t="shared" si="3"/>
        <v>46081</v>
      </c>
      <c r="D87" s="201" t="str">
        <f t="shared" si="4"/>
        <v>MERKEZ KASA → ÖMER KARTAL – HÜSEYİN ŞİMŞEK MUHASEBE ÜCRETİ</v>
      </c>
      <c r="E87" s="141"/>
      <c r="F87" s="65" t="str">
        <f t="shared" si="5"/>
        <v>VİRMAN GELDİ</v>
      </c>
      <c r="G87" s="68">
        <f t="shared" si="6"/>
        <v>3000</v>
      </c>
      <c r="H87" s="68">
        <f t="shared" si="7"/>
        <v>0</v>
      </c>
      <c r="I87" s="68">
        <f t="shared" si="12"/>
        <v>208839.09500000003</v>
      </c>
      <c r="J87" s="2"/>
      <c r="K87" s="2"/>
      <c r="L87" s="1"/>
      <c r="M87" s="1">
        <v>50</v>
      </c>
      <c r="N87" s="71">
        <f>IF($T87=0,"",INDEX(TAHSILAT!$E$7:$E$2503,$T87))</f>
        <v>46034</v>
      </c>
      <c r="O87" s="1" t="str">
        <f>IF($N87="","",$C$36&amp;" – müşteriden tahsilat: "&amp;INDEX(TAHSILAT!$N$7:$N$2503,$T87)&amp;IF(INDEX(TAHSILAT!$J$7:$J$2503,$T87)="",""," – "&amp;INDEX(TAHSILAT!$J$7:$J$2503,$T87)))</f>
        <v>ÖMER KARTAL – müşteriden tahsilat: İBRAHİM MALDAN – ÖMER KARTALA ÖDENEN</v>
      </c>
      <c r="P87" s="1" t="str">
        <f t="shared" si="13"/>
        <v>MÜŞTERİDEN ALDI</v>
      </c>
      <c r="Q87" s="79">
        <f>IF($N87="",0,INDEX(TAHSILAT!$F$7:$F$2503,$T87))</f>
        <v>3000</v>
      </c>
      <c r="R87" s="1">
        <v>0</v>
      </c>
      <c r="S87" s="1">
        <f t="shared" si="9"/>
        <v>4603400050</v>
      </c>
      <c r="T87" s="1">
        <f>IFERROR(MATCH($C$36&amp;"|14",TAHSILAT!$U$7:$U$2503,0),0)</f>
        <v>22</v>
      </c>
      <c r="U87" s="1"/>
      <c r="V87" s="1">
        <f t="shared" si="10"/>
        <v>4608100544</v>
      </c>
      <c r="W87" s="1">
        <f t="shared" si="11"/>
        <v>544</v>
      </c>
    </row>
    <row r="88" spans="1:23" ht="19.5" customHeight="1" x14ac:dyDescent="0.3">
      <c r="A88" s="2"/>
      <c r="B88" s="65">
        <f t="shared" si="2"/>
        <v>51</v>
      </c>
      <c r="C88" s="70">
        <f t="shared" si="3"/>
        <v>46081</v>
      </c>
      <c r="D88" s="201" t="str">
        <f t="shared" si="4"/>
        <v>MERKEZ KASA → ÖMER KARTAL – FADİME HORUZCU MUHASEBE ÜCRETİ</v>
      </c>
      <c r="E88" s="141"/>
      <c r="F88" s="65" t="str">
        <f t="shared" si="5"/>
        <v>VİRMAN GELDİ</v>
      </c>
      <c r="G88" s="68">
        <f t="shared" si="6"/>
        <v>2000</v>
      </c>
      <c r="H88" s="68">
        <f t="shared" si="7"/>
        <v>0</v>
      </c>
      <c r="I88" s="68">
        <f t="shared" si="12"/>
        <v>210839.09500000003</v>
      </c>
      <c r="J88" s="2"/>
      <c r="K88" s="2"/>
      <c r="L88" s="1"/>
      <c r="M88" s="1">
        <v>51</v>
      </c>
      <c r="N88" s="71">
        <f>IF($T88=0,"",INDEX(TAHSILAT!$E$7:$E$2503,$T88))</f>
        <v>46034</v>
      </c>
      <c r="O88" s="1" t="str">
        <f>IF($N88="","",$C$36&amp;" – müşteriden tahsilat: "&amp;INDEX(TAHSILAT!$N$7:$N$2503,$T88)&amp;IF(INDEX(TAHSILAT!$J$7:$J$2503,$T88)="",""," – "&amp;INDEX(TAHSILAT!$J$7:$J$2503,$T88)))</f>
        <v>ÖMER KARTAL – müşteriden tahsilat: RİX ŞOW LTD.ŞTİ. – ÖMER KARTALA ÖDENEN</v>
      </c>
      <c r="P88" s="1" t="str">
        <f t="shared" si="13"/>
        <v>MÜŞTERİDEN ALDI</v>
      </c>
      <c r="Q88" s="79">
        <f>IF($N88="",0,INDEX(TAHSILAT!$F$7:$F$2503,$T88))</f>
        <v>4000</v>
      </c>
      <c r="R88" s="1">
        <v>0</v>
      </c>
      <c r="S88" s="1">
        <f t="shared" si="9"/>
        <v>4603400051</v>
      </c>
      <c r="T88" s="1">
        <f>IFERROR(MATCH($C$36&amp;"|15",TAHSILAT!$U$7:$U$2503,0),0)</f>
        <v>23</v>
      </c>
      <c r="U88" s="1"/>
      <c r="V88" s="1">
        <f t="shared" si="10"/>
        <v>4608100545</v>
      </c>
      <c r="W88" s="1">
        <f t="shared" si="11"/>
        <v>545</v>
      </c>
    </row>
    <row r="89" spans="1:23" ht="19.5" customHeight="1" x14ac:dyDescent="0.3">
      <c r="A89" s="2"/>
      <c r="B89" s="65">
        <f t="shared" si="2"/>
        <v>52</v>
      </c>
      <c r="C89" s="70">
        <f t="shared" si="3"/>
        <v>46081</v>
      </c>
      <c r="D89" s="201" t="str">
        <f t="shared" si="4"/>
        <v>MERKEZ KASA → ÖMER KARTAL – KÂR PAYI / AVANS ÇEKİŞİ — Şubat Ayı Kâr Payı Ödemesi — eski GELIR_GIDER satır 66</v>
      </c>
      <c r="E89" s="141"/>
      <c r="F89" s="65" t="str">
        <f t="shared" si="5"/>
        <v>VİRMAN GELDİ</v>
      </c>
      <c r="G89" s="68">
        <f t="shared" si="6"/>
        <v>10310.91</v>
      </c>
      <c r="H89" s="68">
        <f t="shared" si="7"/>
        <v>0</v>
      </c>
      <c r="I89" s="68">
        <f t="shared" si="12"/>
        <v>221150.00500000003</v>
      </c>
      <c r="J89" s="2"/>
      <c r="K89" s="2"/>
      <c r="L89" s="1"/>
      <c r="M89" s="1">
        <v>52</v>
      </c>
      <c r="N89" s="71">
        <f>IF($T89=0,"",INDEX(TAHSILAT!$E$7:$E$2503,$T89))</f>
        <v>46034</v>
      </c>
      <c r="O89" s="1" t="str">
        <f>IF($N89="","",$C$36&amp;" – müşteriden tahsilat: "&amp;INDEX(TAHSILAT!$N$7:$N$2503,$T89)&amp;IF(INDEX(TAHSILAT!$J$7:$J$2503,$T89)="",""," – "&amp;INDEX(TAHSILAT!$J$7:$J$2503,$T89)))</f>
        <v>ÖMER KARTAL – müşteriden tahsilat: ZÜMRÜT EĞLENCE LTD.ŞTİ. – ÖMER KARTALA ÖDENEN</v>
      </c>
      <c r="P89" s="1" t="str">
        <f t="shared" si="13"/>
        <v>MÜŞTERİDEN ALDI</v>
      </c>
      <c r="Q89" s="79">
        <f>IF($N89="",0,INDEX(TAHSILAT!$F$7:$F$2503,$T89))</f>
        <v>6000</v>
      </c>
      <c r="R89" s="1">
        <v>0</v>
      </c>
      <c r="S89" s="1">
        <f t="shared" si="9"/>
        <v>4603400052</v>
      </c>
      <c r="T89" s="1">
        <f>IFERROR(MATCH($C$36&amp;"|16",TAHSILAT!$U$7:$U$2503,0),0)</f>
        <v>24</v>
      </c>
      <c r="U89" s="1"/>
      <c r="V89" s="1">
        <f t="shared" si="10"/>
        <v>4608100567</v>
      </c>
      <c r="W89" s="1">
        <f t="shared" si="11"/>
        <v>567</v>
      </c>
    </row>
    <row r="90" spans="1:23" ht="19.5" customHeight="1" x14ac:dyDescent="0.3">
      <c r="A90" s="2"/>
      <c r="B90" s="65">
        <f t="shared" si="2"/>
        <v>53</v>
      </c>
      <c r="C90" s="70">
        <f t="shared" si="3"/>
        <v>46082</v>
      </c>
      <c r="D90" s="201" t="str">
        <f t="shared" si="4"/>
        <v>ÖMER KARTAL – müşteriden tahsilat: YEDİYİRMİDÖRT LTD.ŞTİ. – NAKİT ÖDENEN</v>
      </c>
      <c r="E90" s="141"/>
      <c r="F90" s="65" t="str">
        <f t="shared" si="5"/>
        <v>MÜŞTERİDEN ALDI</v>
      </c>
      <c r="G90" s="68">
        <f t="shared" si="6"/>
        <v>10000</v>
      </c>
      <c r="H90" s="68">
        <f t="shared" si="7"/>
        <v>0</v>
      </c>
      <c r="I90" s="68">
        <f t="shared" si="12"/>
        <v>231150.00500000003</v>
      </c>
      <c r="J90" s="2"/>
      <c r="K90" s="2"/>
      <c r="L90" s="1"/>
      <c r="M90" s="1">
        <v>53</v>
      </c>
      <c r="N90" s="71">
        <f>IF($T90=0,"",INDEX(TAHSILAT!$E$7:$E$2503,$T90))</f>
        <v>46035</v>
      </c>
      <c r="O90" s="1" t="str">
        <f>IF($N90="","",$C$36&amp;" – müşteriden tahsilat: "&amp;INDEX(TAHSILAT!$N$7:$N$2503,$T90)&amp;IF(INDEX(TAHSILAT!$J$7:$J$2503,$T90)="",""," – "&amp;INDEX(TAHSILAT!$J$7:$J$2503,$T90)))</f>
        <v>ÖMER KARTAL – müşteriden tahsilat: UFUK YILMAZ – NAKİT ÖDENEN</v>
      </c>
      <c r="P90" s="1" t="str">
        <f t="shared" si="13"/>
        <v>MÜŞTERİDEN ALDI</v>
      </c>
      <c r="Q90" s="79">
        <f>IF($N90="",0,INDEX(TAHSILAT!$F$7:$F$2503,$T90))</f>
        <v>3000</v>
      </c>
      <c r="R90" s="1">
        <v>0</v>
      </c>
      <c r="S90" s="1">
        <f t="shared" si="9"/>
        <v>4603500053</v>
      </c>
      <c r="T90" s="1">
        <f>IFERROR(MATCH($C$36&amp;"|17",TAHSILAT!$U$7:$U$2503,0),0)</f>
        <v>25</v>
      </c>
      <c r="U90" s="1"/>
      <c r="V90" s="1">
        <f t="shared" si="10"/>
        <v>4608200075</v>
      </c>
      <c r="W90" s="1">
        <f t="shared" si="11"/>
        <v>75</v>
      </c>
    </row>
    <row r="91" spans="1:23" ht="19.5" customHeight="1" x14ac:dyDescent="0.3">
      <c r="A91" s="2"/>
      <c r="B91" s="65">
        <f t="shared" si="2"/>
        <v>54</v>
      </c>
      <c r="C91" s="70">
        <f t="shared" si="3"/>
        <v>46087</v>
      </c>
      <c r="D91" s="201" t="str">
        <f t="shared" si="4"/>
        <v xml:space="preserve">ÖMER KARTAL → MERKEZ KASA – KASAYA NAKİT ÖDENEN </v>
      </c>
      <c r="E91" s="141"/>
      <c r="F91" s="65" t="str">
        <f t="shared" si="5"/>
        <v>OFİSE/KASAYA ÖDEDİ</v>
      </c>
      <c r="G91" s="68">
        <f t="shared" si="6"/>
        <v>0</v>
      </c>
      <c r="H91" s="68">
        <f t="shared" si="7"/>
        <v>15000</v>
      </c>
      <c r="I91" s="68">
        <f t="shared" si="12"/>
        <v>216150.00500000003</v>
      </c>
      <c r="J91" s="2"/>
      <c r="K91" s="2"/>
      <c r="L91" s="1"/>
      <c r="M91" s="1">
        <v>54</v>
      </c>
      <c r="N91" s="71">
        <f>IF($T91=0,"",INDEX(TAHSILAT!$E$7:$E$2503,$T91))</f>
        <v>46053</v>
      </c>
      <c r="O91" s="1" t="str">
        <f>IF($N91="","",$C$36&amp;" – müşteriden tahsilat: "&amp;INDEX(TAHSILAT!$N$7:$N$2503,$T91)&amp;IF(INDEX(TAHSILAT!$J$7:$J$2503,$T91)="",""," – "&amp;INDEX(TAHSILAT!$J$7:$J$2503,$T91)))</f>
        <v xml:space="preserve">ÖMER KARTAL – müşteriden tahsilat: ALTINEL LTD.ŞTİ. – ALTINEL LTD.ŞTİ. </v>
      </c>
      <c r="P91" s="1" t="str">
        <f t="shared" si="13"/>
        <v>MÜŞTERİDEN ALDI</v>
      </c>
      <c r="Q91" s="79">
        <f>IF($N91="",0,INDEX(TAHSILAT!$F$7:$F$2503,$T91))</f>
        <v>12000</v>
      </c>
      <c r="R91" s="1">
        <v>0</v>
      </c>
      <c r="S91" s="1">
        <f t="shared" si="9"/>
        <v>4605300054</v>
      </c>
      <c r="T91" s="1">
        <f>IFERROR(MATCH($C$36&amp;"|18",TAHSILAT!$U$7:$U$2503,0),0)</f>
        <v>63</v>
      </c>
      <c r="U91" s="1"/>
      <c r="V91" s="1">
        <f t="shared" si="10"/>
        <v>4608700697</v>
      </c>
      <c r="W91" s="1">
        <f t="shared" si="11"/>
        <v>697</v>
      </c>
    </row>
    <row r="92" spans="1:23" ht="19.5" customHeight="1" x14ac:dyDescent="0.3">
      <c r="A92" s="2"/>
      <c r="B92" s="65">
        <f t="shared" si="2"/>
        <v>55</v>
      </c>
      <c r="C92" s="70">
        <f t="shared" si="3"/>
        <v>46093</v>
      </c>
      <c r="D92" s="201" t="str">
        <f t="shared" si="4"/>
        <v>ÖMER KARTAL – müşteriden tahsilat: MENEKŞE AKAN – VERGİ TAHSİLATI İÇİN BORÇ YAZILAN</v>
      </c>
      <c r="E92" s="141"/>
      <c r="F92" s="65" t="str">
        <f t="shared" si="5"/>
        <v>MÜŞTERİDEN ALDI</v>
      </c>
      <c r="G92" s="68">
        <f t="shared" si="6"/>
        <v>17000</v>
      </c>
      <c r="H92" s="68">
        <f t="shared" si="7"/>
        <v>0</v>
      </c>
      <c r="I92" s="68">
        <f t="shared" si="12"/>
        <v>233150.00500000003</v>
      </c>
      <c r="J92" s="2"/>
      <c r="K92" s="2"/>
      <c r="L92" s="1"/>
      <c r="M92" s="1">
        <v>55</v>
      </c>
      <c r="N92" s="71">
        <f>IF($T92=0,"",INDEX(TAHSILAT!$E$7:$E$2503,$T92))</f>
        <v>46053</v>
      </c>
      <c r="O92" s="1" t="str">
        <f>IF($N92="","",$C$36&amp;" – müşteriden tahsilat: "&amp;INDEX(TAHSILAT!$N$7:$N$2503,$T92)&amp;IF(INDEX(TAHSILAT!$J$7:$J$2503,$T92)="",""," – "&amp;INDEX(TAHSILAT!$J$7:$J$2503,$T92)))</f>
        <v>ÖMER KARTAL – müşteriden tahsilat: ARMAN DİK – ÖMER KARTALA ÖDENEN</v>
      </c>
      <c r="P92" s="1" t="str">
        <f t="shared" si="13"/>
        <v>MÜŞTERİDEN ALDI</v>
      </c>
      <c r="Q92" s="79">
        <f>IF($N92="",0,INDEX(TAHSILAT!$F$7:$F$2503,$T92))</f>
        <v>3000</v>
      </c>
      <c r="R92" s="1">
        <v>0</v>
      </c>
      <c r="S92" s="1">
        <f t="shared" si="9"/>
        <v>4605300055</v>
      </c>
      <c r="T92" s="1">
        <f>IFERROR(MATCH($C$36&amp;"|19",TAHSILAT!$U$7:$U$2503,0),0)</f>
        <v>64</v>
      </c>
      <c r="U92" s="1"/>
      <c r="V92" s="1">
        <f t="shared" si="10"/>
        <v>4609300076</v>
      </c>
      <c r="W92" s="1">
        <f t="shared" si="11"/>
        <v>76</v>
      </c>
    </row>
    <row r="93" spans="1:23" ht="19.5" customHeight="1" x14ac:dyDescent="0.3">
      <c r="A93" s="2"/>
      <c r="B93" s="65">
        <f t="shared" si="2"/>
        <v>56</v>
      </c>
      <c r="C93" s="70">
        <f t="shared" si="3"/>
        <v>46096</v>
      </c>
      <c r="D93" s="201" t="str">
        <f t="shared" si="4"/>
        <v>ÖMER KARTAL – müşteriden tahsilat: ASM EĞLENCE LTD.ŞTİ. – NAKİT ÖDENEN</v>
      </c>
      <c r="E93" s="141"/>
      <c r="F93" s="65" t="str">
        <f t="shared" si="5"/>
        <v>MÜŞTERİDEN ALDI</v>
      </c>
      <c r="G93" s="68">
        <f t="shared" si="6"/>
        <v>2500</v>
      </c>
      <c r="H93" s="68">
        <f t="shared" si="7"/>
        <v>0</v>
      </c>
      <c r="I93" s="68">
        <f t="shared" si="12"/>
        <v>235650.00500000003</v>
      </c>
      <c r="J93" s="2"/>
      <c r="K93" s="2"/>
      <c r="L93" s="1"/>
      <c r="M93" s="1">
        <v>56</v>
      </c>
      <c r="N93" s="71">
        <f>IF($T93=0,"",INDEX(TAHSILAT!$E$7:$E$2503,$T93))</f>
        <v>46053</v>
      </c>
      <c r="O93" s="1" t="str">
        <f>IF($N93="","",$C$36&amp;" – müşteriden tahsilat: "&amp;INDEX(TAHSILAT!$N$7:$N$2503,$T93)&amp;IF(INDEX(TAHSILAT!$J$7:$J$2503,$T93)="",""," – "&amp;INDEX(TAHSILAT!$J$7:$J$2503,$T93)))</f>
        <v>ÖMER KARTAL – müşteriden tahsilat: ARON TOPTAN LTD.ŞTİ. – ONUR BAKİYESİNE MAHSUP</v>
      </c>
      <c r="P93" s="1" t="str">
        <f t="shared" si="13"/>
        <v>MÜŞTERİDEN ALDI</v>
      </c>
      <c r="Q93" s="79">
        <f>IF($N93="",0,INDEX(TAHSILAT!$F$7:$F$2503,$T93))</f>
        <v>20000</v>
      </c>
      <c r="R93" s="1">
        <v>0</v>
      </c>
      <c r="S93" s="1">
        <f t="shared" si="9"/>
        <v>4605300056</v>
      </c>
      <c r="T93" s="1">
        <f>IFERROR(MATCH($C$36&amp;"|20",TAHSILAT!$U$7:$U$2503,0),0)</f>
        <v>65</v>
      </c>
      <c r="U93" s="1"/>
      <c r="V93" s="1">
        <f t="shared" si="10"/>
        <v>4609600077</v>
      </c>
      <c r="W93" s="1">
        <f t="shared" si="11"/>
        <v>77</v>
      </c>
    </row>
    <row r="94" spans="1:23" ht="19.5" customHeight="1" x14ac:dyDescent="0.3">
      <c r="A94" s="2"/>
      <c r="B94" s="65">
        <f t="shared" si="2"/>
        <v>57</v>
      </c>
      <c r="C94" s="70">
        <f t="shared" si="3"/>
        <v>46096</v>
      </c>
      <c r="D94" s="201" t="str">
        <f t="shared" si="4"/>
        <v>ÖMER KARTAL – müşteriden tahsilat: ÇAYIRALAN LTD.ŞTİ. – ÖMER KARTALA ÖDENEN</v>
      </c>
      <c r="E94" s="141"/>
      <c r="F94" s="65" t="str">
        <f t="shared" si="5"/>
        <v>MÜŞTERİDEN ALDI</v>
      </c>
      <c r="G94" s="68">
        <f t="shared" si="6"/>
        <v>12000</v>
      </c>
      <c r="H94" s="68">
        <f t="shared" si="7"/>
        <v>0</v>
      </c>
      <c r="I94" s="68">
        <f t="shared" si="12"/>
        <v>247650.00500000003</v>
      </c>
      <c r="J94" s="2"/>
      <c r="K94" s="2"/>
      <c r="L94" s="1"/>
      <c r="M94" s="1">
        <v>57</v>
      </c>
      <c r="N94" s="71">
        <f>IF($T94=0,"",INDEX(TAHSILAT!$E$7:$E$2503,$T94))</f>
        <v>46053</v>
      </c>
      <c r="O94" s="1" t="str">
        <f>IF($N94="","",$C$36&amp;" – müşteriden tahsilat: "&amp;INDEX(TAHSILAT!$N$7:$N$2503,$T94)&amp;IF(INDEX(TAHSILAT!$J$7:$J$2503,$T94)="",""," – "&amp;INDEX(TAHSILAT!$J$7:$J$2503,$T94)))</f>
        <v>ÖMER KARTAL – müşteriden tahsilat: ÇINARHAN LTD.ŞTİ. – ÖMER KARTALA ÖDENEN</v>
      </c>
      <c r="P94" s="1" t="str">
        <f t="shared" si="13"/>
        <v>MÜŞTERİDEN ALDI</v>
      </c>
      <c r="Q94" s="79">
        <f>IF($N94="",0,INDEX(TAHSILAT!$F$7:$F$2503,$T94))</f>
        <v>2500</v>
      </c>
      <c r="R94" s="1">
        <v>0</v>
      </c>
      <c r="S94" s="1">
        <f t="shared" si="9"/>
        <v>4605300057</v>
      </c>
      <c r="T94" s="1">
        <f>IFERROR(MATCH($C$36&amp;"|21",TAHSILAT!$U$7:$U$2503,0),0)</f>
        <v>66</v>
      </c>
      <c r="U94" s="1"/>
      <c r="V94" s="1">
        <f t="shared" si="10"/>
        <v>4609600078</v>
      </c>
      <c r="W94" s="1">
        <f t="shared" si="11"/>
        <v>78</v>
      </c>
    </row>
    <row r="95" spans="1:23" ht="19.5" customHeight="1" x14ac:dyDescent="0.3">
      <c r="A95" s="2"/>
      <c r="B95" s="65">
        <f t="shared" si="2"/>
        <v>58</v>
      </c>
      <c r="C95" s="70">
        <f t="shared" si="3"/>
        <v>46096</v>
      </c>
      <c r="D95" s="201" t="str">
        <f t="shared" si="4"/>
        <v>ÖMER KARTAL – müşteriden tahsilat: İBRAHİM MALDAN – ÖMER KARTALA ÖDENEN</v>
      </c>
      <c r="E95" s="141"/>
      <c r="F95" s="65" t="str">
        <f t="shared" si="5"/>
        <v>MÜŞTERİDEN ALDI</v>
      </c>
      <c r="G95" s="68">
        <f t="shared" si="6"/>
        <v>4000</v>
      </c>
      <c r="H95" s="68">
        <f t="shared" si="7"/>
        <v>0</v>
      </c>
      <c r="I95" s="68">
        <f t="shared" si="12"/>
        <v>251650.00500000003</v>
      </c>
      <c r="J95" s="2"/>
      <c r="K95" s="2"/>
      <c r="L95" s="1"/>
      <c r="M95" s="1">
        <v>58</v>
      </c>
      <c r="N95" s="71">
        <f>IF($T95=0,"",INDEX(TAHSILAT!$E$7:$E$2503,$T95))</f>
        <v>46053</v>
      </c>
      <c r="O95" s="1" t="str">
        <f>IF($N95="","",$C$36&amp;" – müşteriden tahsilat: "&amp;INDEX(TAHSILAT!$N$7:$N$2503,$T95)&amp;IF(INDEX(TAHSILAT!$J$7:$J$2503,$T95)="",""," – "&amp;INDEX(TAHSILAT!$J$7:$J$2503,$T95)))</f>
        <v>ÖMER KARTAL – müşteriden tahsilat: EĞLENGÖR LTD.ŞTİ. – ÖMER KARTALA ÖDENEN</v>
      </c>
      <c r="P95" s="1" t="str">
        <f t="shared" si="13"/>
        <v>MÜŞTERİDEN ALDI</v>
      </c>
      <c r="Q95" s="79">
        <f>IF($N95="",0,INDEX(TAHSILAT!$F$7:$F$2503,$T95))</f>
        <v>6000</v>
      </c>
      <c r="R95" s="1">
        <v>0</v>
      </c>
      <c r="S95" s="1">
        <f t="shared" si="9"/>
        <v>4605300058</v>
      </c>
      <c r="T95" s="1">
        <f>IFERROR(MATCH($C$36&amp;"|22",TAHSILAT!$U$7:$U$2503,0),0)</f>
        <v>67</v>
      </c>
      <c r="U95" s="1"/>
      <c r="V95" s="1">
        <f t="shared" si="10"/>
        <v>4609600079</v>
      </c>
      <c r="W95" s="1">
        <f t="shared" si="11"/>
        <v>79</v>
      </c>
    </row>
    <row r="96" spans="1:23" ht="19.5" customHeight="1" x14ac:dyDescent="0.3">
      <c r="A96" s="2"/>
      <c r="B96" s="65">
        <f t="shared" si="2"/>
        <v>59</v>
      </c>
      <c r="C96" s="70">
        <f t="shared" si="3"/>
        <v>46096</v>
      </c>
      <c r="D96" s="201" t="str">
        <f t="shared" si="4"/>
        <v>ÖMER KARTAL – müşteriden tahsilat: RİX ŞOW LTD.ŞTİ. – ÖMER KARTALA ÖDENEN</v>
      </c>
      <c r="E96" s="141"/>
      <c r="F96" s="65" t="str">
        <f t="shared" si="5"/>
        <v>MÜŞTERİDEN ALDI</v>
      </c>
      <c r="G96" s="68">
        <f t="shared" si="6"/>
        <v>3000</v>
      </c>
      <c r="H96" s="68">
        <f t="shared" si="7"/>
        <v>0</v>
      </c>
      <c r="I96" s="68">
        <f t="shared" si="12"/>
        <v>254650.00500000003</v>
      </c>
      <c r="J96" s="2"/>
      <c r="K96" s="2"/>
      <c r="L96" s="1"/>
      <c r="M96" s="1">
        <v>59</v>
      </c>
      <c r="N96" s="71">
        <f>IF($T96=0,"",INDEX(TAHSILAT!$E$7:$E$2503,$T96))</f>
        <v>46053</v>
      </c>
      <c r="O96" s="1" t="str">
        <f>IF($N96="","",$C$36&amp;" – müşteriden tahsilat: "&amp;INDEX(TAHSILAT!$N$7:$N$2503,$T96)&amp;IF(INDEX(TAHSILAT!$J$7:$J$2503,$T96)="",""," – "&amp;INDEX(TAHSILAT!$J$7:$J$2503,$T96)))</f>
        <v>ÖMER KARTAL – müşteriden tahsilat: NAZ 1 GIDA LTD.ŞTİ. – ÖMER KARTALA ÖDENEN</v>
      </c>
      <c r="P96" s="1" t="str">
        <f t="shared" si="13"/>
        <v>MÜŞTERİDEN ALDI</v>
      </c>
      <c r="Q96" s="79">
        <f>IF($N96="",0,INDEX(TAHSILAT!$F$7:$F$2503,$T96))</f>
        <v>2000</v>
      </c>
      <c r="R96" s="1">
        <v>0</v>
      </c>
      <c r="S96" s="1">
        <f t="shared" si="9"/>
        <v>4605300059</v>
      </c>
      <c r="T96" s="1">
        <f>IFERROR(MATCH($C$36&amp;"|23",TAHSILAT!$U$7:$U$2503,0),0)</f>
        <v>71</v>
      </c>
      <c r="U96" s="1"/>
      <c r="V96" s="1">
        <f t="shared" si="10"/>
        <v>4609600080</v>
      </c>
      <c r="W96" s="1">
        <f t="shared" si="11"/>
        <v>80</v>
      </c>
    </row>
    <row r="97" spans="1:23" ht="19.5" customHeight="1" x14ac:dyDescent="0.3">
      <c r="A97" s="2"/>
      <c r="B97" s="65">
        <f t="shared" si="2"/>
        <v>60</v>
      </c>
      <c r="C97" s="70">
        <f t="shared" si="3"/>
        <v>46096</v>
      </c>
      <c r="D97" s="201" t="str">
        <f t="shared" si="4"/>
        <v>ÖMER KARTAL – müşteriden tahsilat: PALAOĞULLARI LTD.ŞTİ. – NAKİT ÖDENEN</v>
      </c>
      <c r="E97" s="141"/>
      <c r="F97" s="65" t="str">
        <f t="shared" si="5"/>
        <v>MÜŞTERİDEN ALDI</v>
      </c>
      <c r="G97" s="68">
        <f t="shared" si="6"/>
        <v>4000</v>
      </c>
      <c r="H97" s="68">
        <f t="shared" si="7"/>
        <v>0</v>
      </c>
      <c r="I97" s="68">
        <f t="shared" si="12"/>
        <v>258650.00500000003</v>
      </c>
      <c r="J97" s="2"/>
      <c r="K97" s="2"/>
      <c r="L97" s="1"/>
      <c r="M97" s="1">
        <v>60</v>
      </c>
      <c r="N97" s="71">
        <f>IF($T97=0,"",INDEX(TAHSILAT!$E$7:$E$2503,$T97))</f>
        <v>46053</v>
      </c>
      <c r="O97" s="1" t="str">
        <f>IF($N97="","",$C$36&amp;" – müşteriden tahsilat: "&amp;INDEX(TAHSILAT!$N$7:$N$2503,$T97)&amp;IF(INDEX(TAHSILAT!$J$7:$J$2503,$T97)="",""," – "&amp;INDEX(TAHSILAT!$J$7:$J$2503,$T97)))</f>
        <v>ÖMER KARTAL – müşteriden tahsilat: VOLKAN AÇIK – NAKİT ÖDENEN M.ALİ KARTAL</v>
      </c>
      <c r="P97" s="1" t="str">
        <f t="shared" si="13"/>
        <v>MÜŞTERİDEN ALDI</v>
      </c>
      <c r="Q97" s="79">
        <f>IF($N97="",0,INDEX(TAHSILAT!$F$7:$F$2503,$T97))</f>
        <v>1000</v>
      </c>
      <c r="R97" s="1">
        <v>0</v>
      </c>
      <c r="S97" s="1">
        <f t="shared" si="9"/>
        <v>4605300060</v>
      </c>
      <c r="T97" s="1">
        <f>IFERROR(MATCH($C$36&amp;"|24",TAHSILAT!$U$7:$U$2503,0),0)</f>
        <v>75</v>
      </c>
      <c r="U97" s="1"/>
      <c r="V97" s="1">
        <f t="shared" si="10"/>
        <v>4609600081</v>
      </c>
      <c r="W97" s="1">
        <f t="shared" si="11"/>
        <v>81</v>
      </c>
    </row>
    <row r="98" spans="1:23" ht="19.5" customHeight="1" x14ac:dyDescent="0.3">
      <c r="A98" s="2"/>
      <c r="B98" s="65">
        <f t="shared" si="2"/>
        <v>61</v>
      </c>
      <c r="C98" s="70">
        <f t="shared" si="3"/>
        <v>46096</v>
      </c>
      <c r="D98" s="201" t="str">
        <f t="shared" si="4"/>
        <v>ÖMER KARTAL – müşteriden tahsilat: TYANA LTD.ŞTİ. – NAKİT ÖDENEN</v>
      </c>
      <c r="E98" s="141"/>
      <c r="F98" s="65" t="str">
        <f t="shared" si="5"/>
        <v>MÜŞTERİDEN ALDI</v>
      </c>
      <c r="G98" s="68">
        <f t="shared" si="6"/>
        <v>4000</v>
      </c>
      <c r="H98" s="68">
        <f t="shared" si="7"/>
        <v>0</v>
      </c>
      <c r="I98" s="68">
        <f t="shared" si="12"/>
        <v>262650.005</v>
      </c>
      <c r="J98" s="2"/>
      <c r="K98" s="2"/>
      <c r="L98" s="1"/>
      <c r="M98" s="1">
        <v>61</v>
      </c>
      <c r="N98" s="71">
        <f>IF($T98=0,"",INDEX(TAHSILAT!$E$7:$E$2503,$T98))</f>
        <v>46054</v>
      </c>
      <c r="O98" s="1" t="str">
        <f>IF($N98="","",$C$36&amp;" – müşteriden tahsilat: "&amp;INDEX(TAHSILAT!$N$7:$N$2503,$T98)&amp;IF(INDEX(TAHSILAT!$J$7:$J$2503,$T98)="",""," – "&amp;INDEX(TAHSILAT!$J$7:$J$2503,$T98)))</f>
        <v>ÖMER KARTAL – müşteriden tahsilat: YEDİYİRMİDÖRT LTD.ŞTİ. – NAKİT ÖDENEN</v>
      </c>
      <c r="P98" s="1" t="str">
        <f t="shared" si="13"/>
        <v>MÜŞTERİDEN ALDI</v>
      </c>
      <c r="Q98" s="79">
        <f>IF($N98="",0,INDEX(TAHSILAT!$F$7:$F$2503,$T98))</f>
        <v>10000</v>
      </c>
      <c r="R98" s="1">
        <v>0</v>
      </c>
      <c r="S98" s="1">
        <f t="shared" si="9"/>
        <v>4605400061</v>
      </c>
      <c r="T98" s="1">
        <f>IFERROR(MATCH($C$36&amp;"|25",TAHSILAT!$U$7:$U$2503,0),0)</f>
        <v>83</v>
      </c>
      <c r="U98" s="1"/>
      <c r="V98" s="1">
        <f t="shared" si="10"/>
        <v>4609600082</v>
      </c>
      <c r="W98" s="1">
        <f t="shared" si="11"/>
        <v>82</v>
      </c>
    </row>
    <row r="99" spans="1:23" ht="19.5" customHeight="1" x14ac:dyDescent="0.3">
      <c r="A99" s="2"/>
      <c r="B99" s="65">
        <f t="shared" si="2"/>
        <v>62</v>
      </c>
      <c r="C99" s="70">
        <f t="shared" si="3"/>
        <v>46107</v>
      </c>
      <c r="D99" s="201" t="str">
        <f t="shared" si="4"/>
        <v>ÖMER KARTAL – müşteriden tahsilat: NAZ 1 GIDA LTD.ŞTİ. – ÖMER KARTALA ÖDENEN</v>
      </c>
      <c r="E99" s="141"/>
      <c r="F99" s="65" t="str">
        <f t="shared" si="5"/>
        <v>MÜŞTERİDEN ALDI</v>
      </c>
      <c r="G99" s="68">
        <f t="shared" si="6"/>
        <v>6000</v>
      </c>
      <c r="H99" s="68">
        <f t="shared" si="7"/>
        <v>0</v>
      </c>
      <c r="I99" s="68">
        <f t="shared" si="12"/>
        <v>268650.005</v>
      </c>
      <c r="J99" s="2"/>
      <c r="K99" s="2"/>
      <c r="L99" s="1"/>
      <c r="M99" s="1">
        <v>62</v>
      </c>
      <c r="N99" s="71">
        <f>IF($T99=0,"",INDEX(TAHSILAT!$E$7:$E$2503,$T99))</f>
        <v>46060</v>
      </c>
      <c r="O99" s="1" t="str">
        <f>IF($N99="","",$C$36&amp;" – müşteriden tahsilat: "&amp;INDEX(TAHSILAT!$N$7:$N$2503,$T99)&amp;IF(INDEX(TAHSILAT!$J$7:$J$2503,$T99)="",""," – "&amp;INDEX(TAHSILAT!$J$7:$J$2503,$T99)))</f>
        <v>ÖMER KARTAL – müşteriden tahsilat: ÇINARHAN LTD.ŞTİ. – NAKİT ÖDENEN</v>
      </c>
      <c r="P99" s="1" t="str">
        <f t="shared" si="13"/>
        <v>MÜŞTERİDEN ALDI</v>
      </c>
      <c r="Q99" s="79">
        <f>IF($N99="",0,INDEX(TAHSILAT!$F$7:$F$2503,$T99))</f>
        <v>2500</v>
      </c>
      <c r="R99" s="1">
        <v>0</v>
      </c>
      <c r="S99" s="1">
        <f t="shared" si="9"/>
        <v>4606000062</v>
      </c>
      <c r="T99" s="1">
        <f>IFERROR(MATCH($C$36&amp;"|26",TAHSILAT!$U$7:$U$2503,0),0)</f>
        <v>93</v>
      </c>
      <c r="U99" s="1"/>
      <c r="V99" s="1">
        <f t="shared" si="10"/>
        <v>4610700083</v>
      </c>
      <c r="W99" s="1">
        <f t="shared" si="11"/>
        <v>83</v>
      </c>
    </row>
    <row r="100" spans="1:23" ht="19.5" customHeight="1" x14ac:dyDescent="0.3">
      <c r="A100" s="2"/>
      <c r="B100" s="65">
        <f t="shared" si="2"/>
        <v>63</v>
      </c>
      <c r="C100" s="70">
        <f t="shared" si="3"/>
        <v>46109</v>
      </c>
      <c r="D100" s="201" t="str">
        <f t="shared" si="4"/>
        <v>ÖMER KARTAL – müşteriden tahsilat: ZÜMRÜT EĞLENCE LTD.ŞTİ. – ÖMER KARTALA ÖDENEN</v>
      </c>
      <c r="E100" s="141"/>
      <c r="F100" s="65" t="str">
        <f t="shared" si="5"/>
        <v>MÜŞTERİDEN ALDI</v>
      </c>
      <c r="G100" s="68">
        <f t="shared" si="6"/>
        <v>5500</v>
      </c>
      <c r="H100" s="68">
        <f t="shared" si="7"/>
        <v>0</v>
      </c>
      <c r="I100" s="68">
        <f t="shared" si="12"/>
        <v>274150.005</v>
      </c>
      <c r="J100" s="2"/>
      <c r="K100" s="2"/>
      <c r="L100" s="1"/>
      <c r="M100" s="1">
        <v>63</v>
      </c>
      <c r="N100" s="71">
        <f>IF($T100=0,"",INDEX(TAHSILAT!$E$7:$E$2503,$T100))</f>
        <v>46063</v>
      </c>
      <c r="O100" s="1" t="str">
        <f>IF($N100="","",$C$36&amp;" – müşteriden tahsilat: "&amp;INDEX(TAHSILAT!$N$7:$N$2503,$T100)&amp;IF(INDEX(TAHSILAT!$J$7:$J$2503,$T100)="",""," – "&amp;INDEX(TAHSILAT!$J$7:$J$2503,$T100)))</f>
        <v>ÖMER KARTAL – müşteriden tahsilat: MONAMOUR LTD.ŞTİ. – ÖMER KARTALA ÖDENEN</v>
      </c>
      <c r="P100" s="1" t="str">
        <f t="shared" si="13"/>
        <v>MÜŞTERİDEN ALDI</v>
      </c>
      <c r="Q100" s="79">
        <f>IF($N100="",0,INDEX(TAHSILAT!$F$7:$F$2503,$T100))</f>
        <v>3500</v>
      </c>
      <c r="R100" s="1">
        <v>0</v>
      </c>
      <c r="S100" s="1">
        <f t="shared" si="9"/>
        <v>4606300063</v>
      </c>
      <c r="T100" s="1">
        <f>IFERROR(MATCH($C$36&amp;"|27",TAHSILAT!$U$7:$U$2503,0),0)</f>
        <v>99</v>
      </c>
      <c r="U100" s="1"/>
      <c r="V100" s="1">
        <f t="shared" si="10"/>
        <v>4610900084</v>
      </c>
      <c r="W100" s="1">
        <f t="shared" si="11"/>
        <v>84</v>
      </c>
    </row>
    <row r="101" spans="1:23" ht="19.5" customHeight="1" x14ac:dyDescent="0.3">
      <c r="A101" s="2"/>
      <c r="B101" s="65">
        <f t="shared" si="2"/>
        <v>64</v>
      </c>
      <c r="C101" s="70">
        <f t="shared" si="3"/>
        <v>46112</v>
      </c>
      <c r="D101" s="201" t="str">
        <f t="shared" si="4"/>
        <v>ÖMER KARTAL – Mart 2026 kâr payı tahakkuku</v>
      </c>
      <c r="E101" s="141"/>
      <c r="F101" s="65" t="str">
        <f t="shared" si="5"/>
        <v>KÂR PAYI TAHAKKUKU</v>
      </c>
      <c r="G101" s="68">
        <f t="shared" si="6"/>
        <v>0</v>
      </c>
      <c r="H101" s="68">
        <f t="shared" si="7"/>
        <v>77421.014999999985</v>
      </c>
      <c r="I101" s="68">
        <f t="shared" si="12"/>
        <v>196728.99000000002</v>
      </c>
      <c r="J101" s="2"/>
      <c r="K101" s="2"/>
      <c r="L101" s="1"/>
      <c r="M101" s="1">
        <v>64</v>
      </c>
      <c r="N101" s="71">
        <f>IF($T101=0,"",INDEX(TAHSILAT!$E$7:$E$2503,$T101))</f>
        <v>46066</v>
      </c>
      <c r="O101" s="1" t="str">
        <f>IF($N101="","",$C$36&amp;" – müşteriden tahsilat: "&amp;INDEX(TAHSILAT!$N$7:$N$2503,$T101)&amp;IF(INDEX(TAHSILAT!$J$7:$J$2503,$T101)="",""," – "&amp;INDEX(TAHSILAT!$J$7:$J$2503,$T101)))</f>
        <v>ÖMER KARTAL – müşteriden tahsilat: UFUK YILMAZ – NAKİT ÖDENEN</v>
      </c>
      <c r="P101" s="1" t="str">
        <f t="shared" si="13"/>
        <v>MÜŞTERİDEN ALDI</v>
      </c>
      <c r="Q101" s="79">
        <f>IF($N101="",0,INDEX(TAHSILAT!$F$7:$F$2503,$T101))</f>
        <v>3000</v>
      </c>
      <c r="R101" s="1">
        <v>0</v>
      </c>
      <c r="S101" s="1">
        <f t="shared" si="9"/>
        <v>4606600064</v>
      </c>
      <c r="T101" s="1">
        <f>IFERROR(MATCH($C$36&amp;"|28",TAHSILAT!$U$7:$U$2503,0),0)</f>
        <v>101</v>
      </c>
      <c r="U101" s="1"/>
      <c r="V101" s="1">
        <f t="shared" si="10"/>
        <v>4611200003</v>
      </c>
      <c r="W101" s="1">
        <f t="shared" si="11"/>
        <v>3</v>
      </c>
    </row>
    <row r="102" spans="1:23" ht="19.5" customHeight="1" x14ac:dyDescent="0.3">
      <c r="A102" s="2"/>
      <c r="B102" s="65">
        <f t="shared" ref="B102:B165" si="14">IF($C102="","",ROW()-37)</f>
        <v>65</v>
      </c>
      <c r="C102" s="70">
        <f t="shared" ref="C102:C165" si="15">IF($W102="","",IF(INDEX($N$38:$N$953,$W102)="","",INDEX($N$38:$N$953,$W102)))</f>
        <v>46112</v>
      </c>
      <c r="D102" s="201" t="str">
        <f t="shared" ref="D102:D165" si="16">IF($C102="","",INDEX($O$38:$O$953,$W102))</f>
        <v xml:space="preserve">ÖMER KARTAL – müşteriden tahsilat: ALTINEL LTD.ŞTİ. – ALTINEL LTD.ŞTİ. </v>
      </c>
      <c r="E102" s="141"/>
      <c r="F102" s="65" t="str">
        <f t="shared" ref="F102:F165" si="17">IF($C102="","",INDEX($P$38:$P$953,$W102))</f>
        <v>MÜŞTERİDEN ALDI</v>
      </c>
      <c r="G102" s="68">
        <f t="shared" ref="G102:G165" si="18">IF($C102="","",INDEX($Q$38:$Q$953,$W102))</f>
        <v>12000</v>
      </c>
      <c r="H102" s="68">
        <f t="shared" ref="H102:H165" si="19">IF($C102="","",INDEX($R$38:$R$953,$W102))</f>
        <v>0</v>
      </c>
      <c r="I102" s="68">
        <f t="shared" si="12"/>
        <v>208728.99000000002</v>
      </c>
      <c r="J102" s="2"/>
      <c r="K102" s="2"/>
      <c r="L102" s="1"/>
      <c r="M102" s="1">
        <v>65</v>
      </c>
      <c r="N102" s="71">
        <f>IF($T102=0,"",INDEX(TAHSILAT!$E$7:$E$2503,$T102))</f>
        <v>46069</v>
      </c>
      <c r="O102" s="1" t="str">
        <f>IF($N102="","",$C$36&amp;" – müşteriden tahsilat: "&amp;INDEX(TAHSILAT!$N$7:$N$2503,$T102)&amp;IF(INDEX(TAHSILAT!$J$7:$J$2503,$T102)="",""," – "&amp;INDEX(TAHSILAT!$J$7:$J$2503,$T102)))</f>
        <v>ÖMER KARTAL – müşteriden tahsilat: NERO E TİCARET LTD.ŞTİ. – ÖMER KARTALA ÖDENEN</v>
      </c>
      <c r="P102" s="1" t="str">
        <f t="shared" si="13"/>
        <v>MÜŞTERİDEN ALDI</v>
      </c>
      <c r="Q102" s="79">
        <f>IF($N102="",0,INDEX(TAHSILAT!$F$7:$F$2503,$T102))</f>
        <v>7500</v>
      </c>
      <c r="R102" s="1">
        <v>0</v>
      </c>
      <c r="S102" s="1">
        <f t="shared" ref="S102:S165" si="20">IF($N102="",10000000000,$N102*100000+$M102)</f>
        <v>4606900065</v>
      </c>
      <c r="T102" s="1">
        <f>IFERROR(MATCH($C$36&amp;"|29",TAHSILAT!$U$7:$U$2503,0),0)</f>
        <v>116</v>
      </c>
      <c r="U102" s="1"/>
      <c r="V102" s="1">
        <f t="shared" ref="V102:V165" si="21">IFERROR(SMALL($S$38:$S$953,ROW()-37),"")</f>
        <v>4611200085</v>
      </c>
      <c r="W102" s="1">
        <f t="shared" ref="W102:W165" si="22">IFERROR(MATCH($V102,$S$38:$S$953,0),"")</f>
        <v>85</v>
      </c>
    </row>
    <row r="103" spans="1:23" ht="19.5" customHeight="1" x14ac:dyDescent="0.3">
      <c r="A103" s="2"/>
      <c r="B103" s="65">
        <f t="shared" si="14"/>
        <v>66</v>
      </c>
      <c r="C103" s="70">
        <f t="shared" si="15"/>
        <v>46112</v>
      </c>
      <c r="D103" s="201" t="str">
        <f t="shared" si="16"/>
        <v>ÖMER KARTAL – müşteriden tahsilat: MONAMOUR LTD.ŞTİ. – ÖMER KARTALA ÖDENEN</v>
      </c>
      <c r="E103" s="141"/>
      <c r="F103" s="65" t="str">
        <f t="shared" si="17"/>
        <v>MÜŞTERİDEN ALDI</v>
      </c>
      <c r="G103" s="68">
        <f t="shared" si="18"/>
        <v>7000</v>
      </c>
      <c r="H103" s="68">
        <f t="shared" si="19"/>
        <v>0</v>
      </c>
      <c r="I103" s="68">
        <f t="shared" ref="I103:I166" si="23">IF($C103="","",N($I102)+$G103-$H103)</f>
        <v>215728.99000000002</v>
      </c>
      <c r="J103" s="2"/>
      <c r="K103" s="2"/>
      <c r="L103" s="1"/>
      <c r="M103" s="1">
        <v>66</v>
      </c>
      <c r="N103" s="71">
        <f>IF($T103=0,"",INDEX(TAHSILAT!$E$7:$E$2503,$T103))</f>
        <v>46074</v>
      </c>
      <c r="O103" s="1" t="str">
        <f>IF($N103="","",$C$36&amp;" – müşteriden tahsilat: "&amp;INDEX(TAHSILAT!$N$7:$N$2503,$T103)&amp;IF(INDEX(TAHSILAT!$J$7:$J$2503,$T103)="",""," – "&amp;INDEX(TAHSILAT!$J$7:$J$2503,$T103)))</f>
        <v>ÖMER KARTAL – müşteriden tahsilat: ASM EĞLENCE LTD.ŞTİ. – ÖMER KARTALA ÖDENEN</v>
      </c>
      <c r="P103" s="1" t="str">
        <f t="shared" si="13"/>
        <v>MÜŞTERİDEN ALDI</v>
      </c>
      <c r="Q103" s="79">
        <f>IF($N103="",0,INDEX(TAHSILAT!$F$7:$F$2503,$T103))</f>
        <v>2500</v>
      </c>
      <c r="R103" s="1">
        <v>0</v>
      </c>
      <c r="S103" s="1">
        <f t="shared" si="20"/>
        <v>4607400066</v>
      </c>
      <c r="T103" s="1">
        <f>IFERROR(MATCH($C$36&amp;"|30",TAHSILAT!$U$7:$U$2503,0),0)</f>
        <v>119</v>
      </c>
      <c r="U103" s="1"/>
      <c r="V103" s="1">
        <f t="shared" si="21"/>
        <v>4611200086</v>
      </c>
      <c r="W103" s="1">
        <f t="shared" si="22"/>
        <v>86</v>
      </c>
    </row>
    <row r="104" spans="1:23" ht="19.5" customHeight="1" x14ac:dyDescent="0.3">
      <c r="A104" s="2"/>
      <c r="B104" s="65">
        <f t="shared" si="14"/>
        <v>67</v>
      </c>
      <c r="C104" s="70">
        <f t="shared" si="15"/>
        <v>46112</v>
      </c>
      <c r="D104" s="201" t="str">
        <f t="shared" si="16"/>
        <v>MERKEZ KASA → ÖMER KARTAL – PARİS GAZİNOSU SGK'LAR</v>
      </c>
      <c r="E104" s="141"/>
      <c r="F104" s="65" t="str">
        <f t="shared" si="17"/>
        <v>VİRMAN GELDİ</v>
      </c>
      <c r="G104" s="68">
        <f t="shared" si="18"/>
        <v>12000</v>
      </c>
      <c r="H104" s="68">
        <f t="shared" si="19"/>
        <v>0</v>
      </c>
      <c r="I104" s="68">
        <f t="shared" si="23"/>
        <v>227728.99000000002</v>
      </c>
      <c r="J104" s="2"/>
      <c r="K104" s="2"/>
      <c r="L104" s="1"/>
      <c r="M104" s="1">
        <v>67</v>
      </c>
      <c r="N104" s="71">
        <f>IF($T104=0,"",INDEX(TAHSILAT!$E$7:$E$2503,$T104))</f>
        <v>46074</v>
      </c>
      <c r="O104" s="1" t="str">
        <f>IF($N104="","",$C$36&amp;" – müşteriden tahsilat: "&amp;INDEX(TAHSILAT!$N$7:$N$2503,$T104)&amp;IF(INDEX(TAHSILAT!$J$7:$J$2503,$T104)="",""," – "&amp;INDEX(TAHSILAT!$J$7:$J$2503,$T104)))</f>
        <v>ÖMER KARTAL – müşteriden tahsilat: İLDEŞ LTD.ŞTİ. – ÖMER KARTALA ÖDENEN</v>
      </c>
      <c r="P104" s="1" t="str">
        <f t="shared" si="13"/>
        <v>MÜŞTERİDEN ALDI</v>
      </c>
      <c r="Q104" s="79">
        <f>IF($N104="",0,INDEX(TAHSILAT!$F$7:$F$2503,$T104))</f>
        <v>4000</v>
      </c>
      <c r="R104" s="1">
        <v>0</v>
      </c>
      <c r="S104" s="1">
        <f t="shared" si="20"/>
        <v>4607400067</v>
      </c>
      <c r="T104" s="1">
        <f>IFERROR(MATCH($C$36&amp;"|31",TAHSILAT!$U$7:$U$2503,0),0)</f>
        <v>120</v>
      </c>
      <c r="U104" s="1"/>
      <c r="V104" s="1">
        <f t="shared" si="21"/>
        <v>4611200546</v>
      </c>
      <c r="W104" s="1">
        <f t="shared" si="22"/>
        <v>546</v>
      </c>
    </row>
    <row r="105" spans="1:23" ht="19.5" customHeight="1" x14ac:dyDescent="0.3">
      <c r="A105" s="2"/>
      <c r="B105" s="65">
        <f t="shared" si="14"/>
        <v>68</v>
      </c>
      <c r="C105" s="70">
        <f t="shared" si="15"/>
        <v>46112</v>
      </c>
      <c r="D105" s="201" t="str">
        <f t="shared" si="16"/>
        <v>MERKEZ KASA → ÖMER KARTAL – FADİME HORUZCU MUHASEBE ÜCRETİ</v>
      </c>
      <c r="E105" s="141"/>
      <c r="F105" s="65" t="str">
        <f t="shared" si="17"/>
        <v>VİRMAN GELDİ</v>
      </c>
      <c r="G105" s="68">
        <f t="shared" si="18"/>
        <v>2000</v>
      </c>
      <c r="H105" s="68">
        <f t="shared" si="19"/>
        <v>0</v>
      </c>
      <c r="I105" s="68">
        <f t="shared" si="23"/>
        <v>229728.99000000002</v>
      </c>
      <c r="J105" s="2"/>
      <c r="K105" s="2"/>
      <c r="L105" s="1"/>
      <c r="M105" s="1">
        <v>68</v>
      </c>
      <c r="N105" s="71">
        <f>IF($T105=0,"",INDEX(TAHSILAT!$E$7:$E$2503,$T105))</f>
        <v>46074</v>
      </c>
      <c r="O105" s="1" t="str">
        <f>IF($N105="","",$C$36&amp;" – müşteriden tahsilat: "&amp;INDEX(TAHSILAT!$N$7:$N$2503,$T105)&amp;IF(INDEX(TAHSILAT!$J$7:$J$2503,$T105)="",""," – "&amp;INDEX(TAHSILAT!$J$7:$J$2503,$T105)))</f>
        <v>ÖMER KARTAL – müşteriden tahsilat: ÖZFİDANLAR LTD.ŞTİ. – ÖMER KARTALA ÖDENEN</v>
      </c>
      <c r="P105" s="1" t="str">
        <f t="shared" si="13"/>
        <v>MÜŞTERİDEN ALDI</v>
      </c>
      <c r="Q105" s="79">
        <f>IF($N105="",0,INDEX(TAHSILAT!$F$7:$F$2503,$T105))</f>
        <v>8000</v>
      </c>
      <c r="R105" s="1">
        <v>0</v>
      </c>
      <c r="S105" s="1">
        <f t="shared" si="20"/>
        <v>4607400068</v>
      </c>
      <c r="T105" s="1">
        <f>IFERROR(MATCH($C$36&amp;"|32",TAHSILAT!$U$7:$U$2503,0),0)</f>
        <v>121</v>
      </c>
      <c r="U105" s="1"/>
      <c r="V105" s="1">
        <f t="shared" si="21"/>
        <v>4611200547</v>
      </c>
      <c r="W105" s="1">
        <f t="shared" si="22"/>
        <v>547</v>
      </c>
    </row>
    <row r="106" spans="1:23" ht="19.5" customHeight="1" x14ac:dyDescent="0.3">
      <c r="A106" s="2"/>
      <c r="B106" s="65">
        <f t="shared" si="14"/>
        <v>69</v>
      </c>
      <c r="C106" s="70">
        <f t="shared" si="15"/>
        <v>46112</v>
      </c>
      <c r="D106" s="201" t="str">
        <f t="shared" si="16"/>
        <v>MERKEZ KASA → ÖMER KARTAL – KÂR PAYI / AVANS ÇEKİŞİ — Mart Ayı Kâr Payı Ödemesi — eski GELIR_GIDER satır 94</v>
      </c>
      <c r="E106" s="141"/>
      <c r="F106" s="65" t="str">
        <f t="shared" si="17"/>
        <v>VİRMAN GELDİ</v>
      </c>
      <c r="G106" s="68">
        <f t="shared" si="18"/>
        <v>77421.02</v>
      </c>
      <c r="H106" s="68">
        <f t="shared" si="19"/>
        <v>0</v>
      </c>
      <c r="I106" s="68">
        <f t="shared" si="23"/>
        <v>307150.01</v>
      </c>
      <c r="J106" s="2"/>
      <c r="K106" s="2"/>
      <c r="L106" s="1"/>
      <c r="M106" s="1">
        <v>69</v>
      </c>
      <c r="N106" s="71">
        <f>IF($T106=0,"",INDEX(TAHSILAT!$E$7:$E$2503,$T106))</f>
        <v>46074</v>
      </c>
      <c r="O106" s="1" t="str">
        <f>IF($N106="","",$C$36&amp;" – müşteriden tahsilat: "&amp;INDEX(TAHSILAT!$N$7:$N$2503,$T106)&amp;IF(INDEX(TAHSILAT!$J$7:$J$2503,$T106)="",""," – "&amp;INDEX(TAHSILAT!$J$7:$J$2503,$T106)))</f>
        <v>ÖMER KARTAL – müşteriden tahsilat: RİX ŞOW LTD.ŞTİ. – ÖMER KARTALA ÖDENEN</v>
      </c>
      <c r="P106" s="1" t="str">
        <f t="shared" si="13"/>
        <v>MÜŞTERİDEN ALDI</v>
      </c>
      <c r="Q106" s="79">
        <f>IF($N106="",0,INDEX(TAHSILAT!$F$7:$F$2503,$T106))</f>
        <v>3000</v>
      </c>
      <c r="R106" s="1">
        <v>0</v>
      </c>
      <c r="S106" s="1">
        <f t="shared" si="20"/>
        <v>4607400069</v>
      </c>
      <c r="T106" s="1">
        <f>IFERROR(MATCH($C$36&amp;"|33",TAHSILAT!$U$7:$U$2503,0),0)</f>
        <v>122</v>
      </c>
      <c r="U106" s="1"/>
      <c r="V106" s="1">
        <f t="shared" si="21"/>
        <v>4611200568</v>
      </c>
      <c r="W106" s="1">
        <f t="shared" si="22"/>
        <v>568</v>
      </c>
    </row>
    <row r="107" spans="1:23" ht="19.5" customHeight="1" x14ac:dyDescent="0.3">
      <c r="A107" s="2"/>
      <c r="B107" s="65">
        <f t="shared" si="14"/>
        <v>70</v>
      </c>
      <c r="C107" s="70">
        <f t="shared" si="15"/>
        <v>46122</v>
      </c>
      <c r="D107" s="201" t="str">
        <f t="shared" si="16"/>
        <v>ÖMER KARTAL – müşteriden tahsilat: RASİM DEMİRCİ – NAKİT ÖDENEN</v>
      </c>
      <c r="E107" s="141"/>
      <c r="F107" s="65" t="str">
        <f t="shared" si="17"/>
        <v>MÜŞTERİDEN ALDI</v>
      </c>
      <c r="G107" s="68">
        <f t="shared" si="18"/>
        <v>10000</v>
      </c>
      <c r="H107" s="68">
        <f t="shared" si="19"/>
        <v>0</v>
      </c>
      <c r="I107" s="68">
        <f t="shared" si="23"/>
        <v>317150.01</v>
      </c>
      <c r="J107" s="2"/>
      <c r="K107" s="2"/>
      <c r="L107" s="1"/>
      <c r="M107" s="1">
        <v>70</v>
      </c>
      <c r="N107" s="71">
        <f>IF($T107=0,"",INDEX(TAHSILAT!$E$7:$E$2503,$T107))</f>
        <v>46074</v>
      </c>
      <c r="O107" s="1" t="str">
        <f>IF($N107="","",$C$36&amp;" – müşteriden tahsilat: "&amp;INDEX(TAHSILAT!$N$7:$N$2503,$T107)&amp;IF(INDEX(TAHSILAT!$J$7:$J$2503,$T107)="",""," – "&amp;INDEX(TAHSILAT!$J$7:$J$2503,$T107)))</f>
        <v>ÖMER KARTAL – müşteriden tahsilat: KRİSTAL LTD.ŞTİ. – NAKİT ÖDENEN</v>
      </c>
      <c r="P107" s="1" t="str">
        <f t="shared" si="13"/>
        <v>MÜŞTERİDEN ALDI</v>
      </c>
      <c r="Q107" s="79">
        <f>IF($N107="",0,INDEX(TAHSILAT!$F$7:$F$2503,$T107))</f>
        <v>3000</v>
      </c>
      <c r="R107" s="1">
        <v>0</v>
      </c>
      <c r="S107" s="1">
        <f t="shared" si="20"/>
        <v>4607400070</v>
      </c>
      <c r="T107" s="1">
        <f>IFERROR(MATCH($C$36&amp;"|34",TAHSILAT!$U$7:$U$2503,0),0)</f>
        <v>123</v>
      </c>
      <c r="U107" s="1"/>
      <c r="V107" s="1">
        <f t="shared" si="21"/>
        <v>4612200087</v>
      </c>
      <c r="W107" s="1">
        <f t="shared" si="22"/>
        <v>87</v>
      </c>
    </row>
    <row r="108" spans="1:23" ht="19.5" customHeight="1" x14ac:dyDescent="0.3">
      <c r="A108" s="2"/>
      <c r="B108" s="65">
        <f t="shared" si="14"/>
        <v>71</v>
      </c>
      <c r="C108" s="70">
        <f t="shared" si="15"/>
        <v>46123</v>
      </c>
      <c r="D108" s="201" t="str">
        <f t="shared" si="16"/>
        <v>ÖMER KARTAL – müşteriden tahsilat: ASIM AÇIKGÖZ – NAKİT ÖDENEN</v>
      </c>
      <c r="E108" s="141"/>
      <c r="F108" s="65" t="str">
        <f t="shared" si="17"/>
        <v>MÜŞTERİDEN ALDI</v>
      </c>
      <c r="G108" s="68">
        <f t="shared" si="18"/>
        <v>2000</v>
      </c>
      <c r="H108" s="68">
        <f t="shared" si="19"/>
        <v>0</v>
      </c>
      <c r="I108" s="68">
        <f t="shared" si="23"/>
        <v>319150.01</v>
      </c>
      <c r="J108" s="2"/>
      <c r="K108" s="2"/>
      <c r="L108" s="1"/>
      <c r="M108" s="1">
        <v>71</v>
      </c>
      <c r="N108" s="71">
        <f>IF($T108=0,"",INDEX(TAHSILAT!$E$7:$E$2503,$T108))</f>
        <v>46074</v>
      </c>
      <c r="O108" s="1" t="str">
        <f>IF($N108="","",$C$36&amp;" – müşteriden tahsilat: "&amp;INDEX(TAHSILAT!$N$7:$N$2503,$T108)&amp;IF(INDEX(TAHSILAT!$J$7:$J$2503,$T108)="",""," – "&amp;INDEX(TAHSILAT!$J$7:$J$2503,$T108)))</f>
        <v>ÖMER KARTAL – müşteriden tahsilat: ESERLİ LTD.ŞTİ. – ÖMER KARTALA ÖDENEN</v>
      </c>
      <c r="P108" s="1" t="str">
        <f t="shared" si="13"/>
        <v>MÜŞTERİDEN ALDI</v>
      </c>
      <c r="Q108" s="79">
        <f>IF($N108="",0,INDEX(TAHSILAT!$F$7:$F$2503,$T108))</f>
        <v>3500</v>
      </c>
      <c r="R108" s="1">
        <v>0</v>
      </c>
      <c r="S108" s="1">
        <f t="shared" si="20"/>
        <v>4607400071</v>
      </c>
      <c r="T108" s="1">
        <f>IFERROR(MATCH($C$36&amp;"|35",TAHSILAT!$U$7:$U$2503,0),0)</f>
        <v>124</v>
      </c>
      <c r="U108" s="1"/>
      <c r="V108" s="1">
        <f t="shared" si="21"/>
        <v>4612300088</v>
      </c>
      <c r="W108" s="1">
        <f t="shared" si="22"/>
        <v>88</v>
      </c>
    </row>
    <row r="109" spans="1:23" ht="19.5" customHeight="1" x14ac:dyDescent="0.3">
      <c r="A109" s="2"/>
      <c r="B109" s="65">
        <f t="shared" si="14"/>
        <v>72</v>
      </c>
      <c r="C109" s="70">
        <f t="shared" si="15"/>
        <v>46123</v>
      </c>
      <c r="D109" s="201" t="str">
        <f t="shared" si="16"/>
        <v>ÖMER KARTAL – müşteriden tahsilat: ASM EĞLENCE LTD.ŞTİ. – NAKİT ÖDENEN</v>
      </c>
      <c r="E109" s="141"/>
      <c r="F109" s="65" t="str">
        <f t="shared" si="17"/>
        <v>MÜŞTERİDEN ALDI</v>
      </c>
      <c r="G109" s="68">
        <f t="shared" si="18"/>
        <v>2500</v>
      </c>
      <c r="H109" s="68">
        <f t="shared" si="19"/>
        <v>0</v>
      </c>
      <c r="I109" s="68">
        <f t="shared" si="23"/>
        <v>321650.01</v>
      </c>
      <c r="J109" s="2"/>
      <c r="K109" s="2"/>
      <c r="L109" s="1"/>
      <c r="M109" s="1">
        <v>72</v>
      </c>
      <c r="N109" s="71">
        <f>IF($T109=0,"",INDEX(TAHSILAT!$E$7:$E$2503,$T109))</f>
        <v>46078</v>
      </c>
      <c r="O109" s="1" t="str">
        <f>IF($N109="","",$C$36&amp;" – müşteriden tahsilat: "&amp;INDEX(TAHSILAT!$N$7:$N$2503,$T109)&amp;IF(INDEX(TAHSILAT!$J$7:$J$2503,$T109)="",""," – "&amp;INDEX(TAHSILAT!$J$7:$J$2503,$T109)))</f>
        <v>ÖMER KARTAL – müşteriden tahsilat: MEHMET EVREN KILINÇ – ÖMER KARTALA ÖDENEN</v>
      </c>
      <c r="P109" s="1" t="str">
        <f t="shared" si="13"/>
        <v>MÜŞTERİDEN ALDI</v>
      </c>
      <c r="Q109" s="79">
        <f>IF($N109="",0,INDEX(TAHSILAT!$F$7:$F$2503,$T109))</f>
        <v>2000</v>
      </c>
      <c r="R109" s="1">
        <v>0</v>
      </c>
      <c r="S109" s="1">
        <f t="shared" si="20"/>
        <v>4607800072</v>
      </c>
      <c r="T109" s="1">
        <f>IFERROR(MATCH($C$36&amp;"|36",TAHSILAT!$U$7:$U$2503,0),0)</f>
        <v>128</v>
      </c>
      <c r="U109" s="1"/>
      <c r="V109" s="1">
        <f t="shared" si="21"/>
        <v>4612300089</v>
      </c>
      <c r="W109" s="1">
        <f t="shared" si="22"/>
        <v>89</v>
      </c>
    </row>
    <row r="110" spans="1:23" ht="19.5" customHeight="1" x14ac:dyDescent="0.3">
      <c r="A110" s="2"/>
      <c r="B110" s="65">
        <f t="shared" si="14"/>
        <v>73</v>
      </c>
      <c r="C110" s="70">
        <f t="shared" si="15"/>
        <v>46123</v>
      </c>
      <c r="D110" s="201" t="str">
        <f t="shared" si="16"/>
        <v>ÖMER KARTAL – müşteriden tahsilat: ÇAYIRALAN LTD.ŞTİ. – ÖMER KARTALA ÖDENEN</v>
      </c>
      <c r="E110" s="141"/>
      <c r="F110" s="65" t="str">
        <f t="shared" si="17"/>
        <v>MÜŞTERİDEN ALDI</v>
      </c>
      <c r="G110" s="68">
        <f t="shared" si="18"/>
        <v>3000</v>
      </c>
      <c r="H110" s="68">
        <f t="shared" si="19"/>
        <v>0</v>
      </c>
      <c r="I110" s="68">
        <f t="shared" si="23"/>
        <v>324650.01</v>
      </c>
      <c r="J110" s="2"/>
      <c r="K110" s="2"/>
      <c r="L110" s="1"/>
      <c r="M110" s="1">
        <v>73</v>
      </c>
      <c r="N110" s="71">
        <f>IF($T110=0,"",INDEX(TAHSILAT!$E$7:$E$2503,$T110))</f>
        <v>46081</v>
      </c>
      <c r="O110" s="1" t="str">
        <f>IF($N110="","",$C$36&amp;" – müşteriden tahsilat: "&amp;INDEX(TAHSILAT!$N$7:$N$2503,$T110)&amp;IF(INDEX(TAHSILAT!$J$7:$J$2503,$T110)="",""," – "&amp;INDEX(TAHSILAT!$J$7:$J$2503,$T110)))</f>
        <v xml:space="preserve">ÖMER KARTAL – müşteriden tahsilat: ALTINEL LTD.ŞTİ. – ALTINEL LTD.ŞTİ. </v>
      </c>
      <c r="P110" s="1" t="str">
        <f t="shared" si="13"/>
        <v>MÜŞTERİDEN ALDI</v>
      </c>
      <c r="Q110" s="79">
        <f>IF($N110="",0,INDEX(TAHSILAT!$F$7:$F$2503,$T110))</f>
        <v>12000</v>
      </c>
      <c r="R110" s="1">
        <v>0</v>
      </c>
      <c r="S110" s="1">
        <f t="shared" si="20"/>
        <v>4608100073</v>
      </c>
      <c r="T110" s="1">
        <f>IFERROR(MATCH($C$36&amp;"|37",TAHSILAT!$U$7:$U$2503,0),0)</f>
        <v>130</v>
      </c>
      <c r="U110" s="1"/>
      <c r="V110" s="1">
        <f t="shared" si="21"/>
        <v>4612300090</v>
      </c>
      <c r="W110" s="1">
        <f t="shared" si="22"/>
        <v>90</v>
      </c>
    </row>
    <row r="111" spans="1:23" ht="19.5" customHeight="1" x14ac:dyDescent="0.3">
      <c r="A111" s="2"/>
      <c r="B111" s="65">
        <f t="shared" si="14"/>
        <v>74</v>
      </c>
      <c r="C111" s="70">
        <f t="shared" si="15"/>
        <v>46123</v>
      </c>
      <c r="D111" s="201" t="str">
        <f t="shared" si="16"/>
        <v>ÖMER KARTAL – müşteriden tahsilat: İBRAHİM MALDAN – ÖMER KARTALA ÖDENEN</v>
      </c>
      <c r="E111" s="141"/>
      <c r="F111" s="65" t="str">
        <f t="shared" si="17"/>
        <v>MÜŞTERİDEN ALDI</v>
      </c>
      <c r="G111" s="68">
        <f t="shared" si="18"/>
        <v>4000</v>
      </c>
      <c r="H111" s="68">
        <f t="shared" si="19"/>
        <v>0</v>
      </c>
      <c r="I111" s="68">
        <f t="shared" si="23"/>
        <v>328650.01</v>
      </c>
      <c r="J111" s="2"/>
      <c r="K111" s="2"/>
      <c r="L111" s="1"/>
      <c r="M111" s="1">
        <v>74</v>
      </c>
      <c r="N111" s="71">
        <f>IF($T111=0,"",INDEX(TAHSILAT!$E$7:$E$2503,$T111))</f>
        <v>46081</v>
      </c>
      <c r="O111" s="1" t="str">
        <f>IF($N111="","",$C$36&amp;" – müşteriden tahsilat: "&amp;INDEX(TAHSILAT!$N$7:$N$2503,$T111)&amp;IF(INDEX(TAHSILAT!$J$7:$J$2503,$T111)="",""," – "&amp;INDEX(TAHSILAT!$J$7:$J$2503,$T111)))</f>
        <v>ÖMER KARTAL – müşteriden tahsilat: IŞIL GRUP LTD.ŞTİ. – ÖMER KARTALA ÖDENEN</v>
      </c>
      <c r="P111" s="1" t="str">
        <f t="shared" si="13"/>
        <v>MÜŞTERİDEN ALDI</v>
      </c>
      <c r="Q111" s="79">
        <f>IF($N111="",0,INDEX(TAHSILAT!$F$7:$F$2503,$T111))</f>
        <v>5000</v>
      </c>
      <c r="R111" s="1">
        <v>0</v>
      </c>
      <c r="S111" s="1">
        <f t="shared" si="20"/>
        <v>4608100074</v>
      </c>
      <c r="T111" s="1">
        <f>IFERROR(MATCH($C$36&amp;"|38",TAHSILAT!$U$7:$U$2503,0),0)</f>
        <v>137</v>
      </c>
      <c r="U111" s="1"/>
      <c r="V111" s="1">
        <f t="shared" si="21"/>
        <v>4612300091</v>
      </c>
      <c r="W111" s="1">
        <f t="shared" si="22"/>
        <v>91</v>
      </c>
    </row>
    <row r="112" spans="1:23" ht="19.5" customHeight="1" x14ac:dyDescent="0.3">
      <c r="A112" s="2"/>
      <c r="B112" s="65">
        <f t="shared" si="14"/>
        <v>75</v>
      </c>
      <c r="C112" s="70">
        <f t="shared" si="15"/>
        <v>46123</v>
      </c>
      <c r="D112" s="201" t="str">
        <f t="shared" si="16"/>
        <v>ÖMER KARTAL – müşteriden tahsilat: PAKYILDIZ LTD.ŞTİ. – ÖMER KARTALA ÖDENEN</v>
      </c>
      <c r="E112" s="141"/>
      <c r="F112" s="65" t="str">
        <f t="shared" si="17"/>
        <v>MÜŞTERİDEN ALDI</v>
      </c>
      <c r="G112" s="68">
        <f t="shared" si="18"/>
        <v>4000</v>
      </c>
      <c r="H112" s="68">
        <f t="shared" si="19"/>
        <v>0</v>
      </c>
      <c r="I112" s="68">
        <f t="shared" si="23"/>
        <v>332650.01</v>
      </c>
      <c r="J112" s="2"/>
      <c r="K112" s="2"/>
      <c r="L112" s="1"/>
      <c r="M112" s="1">
        <v>75</v>
      </c>
      <c r="N112" s="71">
        <f>IF($T112=0,"",INDEX(TAHSILAT!$E$7:$E$2503,$T112))</f>
        <v>46082</v>
      </c>
      <c r="O112" s="1" t="str">
        <f>IF($N112="","",$C$36&amp;" – müşteriden tahsilat: "&amp;INDEX(TAHSILAT!$N$7:$N$2503,$T112)&amp;IF(INDEX(TAHSILAT!$J$7:$J$2503,$T112)="",""," – "&amp;INDEX(TAHSILAT!$J$7:$J$2503,$T112)))</f>
        <v>ÖMER KARTAL – müşteriden tahsilat: YEDİYİRMİDÖRT LTD.ŞTİ. – NAKİT ÖDENEN</v>
      </c>
      <c r="P112" s="1" t="str">
        <f t="shared" si="13"/>
        <v>MÜŞTERİDEN ALDI</v>
      </c>
      <c r="Q112" s="79">
        <f>IF($N112="",0,INDEX(TAHSILAT!$F$7:$F$2503,$T112))</f>
        <v>10000</v>
      </c>
      <c r="R112" s="1">
        <v>0</v>
      </c>
      <c r="S112" s="1">
        <f t="shared" si="20"/>
        <v>4608200075</v>
      </c>
      <c r="T112" s="1">
        <f>IFERROR(MATCH($C$36&amp;"|39",TAHSILAT!$U$7:$U$2503,0),0)</f>
        <v>138</v>
      </c>
      <c r="U112" s="1"/>
      <c r="V112" s="1">
        <f t="shared" si="21"/>
        <v>4612300092</v>
      </c>
      <c r="W112" s="1">
        <f t="shared" si="22"/>
        <v>92</v>
      </c>
    </row>
    <row r="113" spans="1:23" ht="19.5" customHeight="1" x14ac:dyDescent="0.3">
      <c r="A113" s="2"/>
      <c r="B113" s="65">
        <f t="shared" si="14"/>
        <v>76</v>
      </c>
      <c r="C113" s="70">
        <f t="shared" si="15"/>
        <v>46123</v>
      </c>
      <c r="D113" s="201" t="str">
        <f t="shared" si="16"/>
        <v>ÖMER KARTAL – müşteriden tahsilat: RİX ŞOW LTD.ŞTİ. – ÖMER KARTALA ÖDENEN</v>
      </c>
      <c r="E113" s="141"/>
      <c r="F113" s="65" t="str">
        <f t="shared" si="17"/>
        <v>MÜŞTERİDEN ALDI</v>
      </c>
      <c r="G113" s="68">
        <f t="shared" si="18"/>
        <v>3000</v>
      </c>
      <c r="H113" s="68">
        <f t="shared" si="19"/>
        <v>0</v>
      </c>
      <c r="I113" s="68">
        <f t="shared" si="23"/>
        <v>335650.01</v>
      </c>
      <c r="J113" s="2"/>
      <c r="K113" s="2"/>
      <c r="L113" s="1"/>
      <c r="M113" s="1">
        <v>76</v>
      </c>
      <c r="N113" s="71">
        <f>IF($T113=0,"",INDEX(TAHSILAT!$E$7:$E$2503,$T113))</f>
        <v>46093</v>
      </c>
      <c r="O113" s="1" t="str">
        <f>IF($N113="","",$C$36&amp;" – müşteriden tahsilat: "&amp;INDEX(TAHSILAT!$N$7:$N$2503,$T113)&amp;IF(INDEX(TAHSILAT!$J$7:$J$2503,$T113)="",""," – "&amp;INDEX(TAHSILAT!$J$7:$J$2503,$T113)))</f>
        <v>ÖMER KARTAL – müşteriden tahsilat: MENEKŞE AKAN – VERGİ TAHSİLATI İÇİN BORÇ YAZILAN</v>
      </c>
      <c r="P113" s="1" t="str">
        <f t="shared" si="13"/>
        <v>MÜŞTERİDEN ALDI</v>
      </c>
      <c r="Q113" s="79">
        <f>IF($N113="",0,INDEX(TAHSILAT!$F$7:$F$2503,$T113))</f>
        <v>17000</v>
      </c>
      <c r="R113" s="1">
        <v>0</v>
      </c>
      <c r="S113" s="1">
        <f t="shared" si="20"/>
        <v>4609300076</v>
      </c>
      <c r="T113" s="1">
        <f>IFERROR(MATCH($C$36&amp;"|40",TAHSILAT!$U$7:$U$2503,0),0)</f>
        <v>153</v>
      </c>
      <c r="U113" s="1"/>
      <c r="V113" s="1">
        <f t="shared" si="21"/>
        <v>4612300093</v>
      </c>
      <c r="W113" s="1">
        <f t="shared" si="22"/>
        <v>93</v>
      </c>
    </row>
    <row r="114" spans="1:23" ht="19.5" customHeight="1" x14ac:dyDescent="0.3">
      <c r="A114" s="2"/>
      <c r="B114" s="65">
        <f t="shared" si="14"/>
        <v>77</v>
      </c>
      <c r="C114" s="70">
        <f t="shared" si="15"/>
        <v>46123</v>
      </c>
      <c r="D114" s="201" t="str">
        <f t="shared" si="16"/>
        <v>ÖMER KARTAL – müşteriden tahsilat: ÇINARHAN LTD.ŞTİ. – NAKİT ÖDENEN</v>
      </c>
      <c r="E114" s="141"/>
      <c r="F114" s="65" t="str">
        <f t="shared" si="17"/>
        <v>MÜŞTERİDEN ALDI</v>
      </c>
      <c r="G114" s="68">
        <f t="shared" si="18"/>
        <v>2500</v>
      </c>
      <c r="H114" s="68">
        <f t="shared" si="19"/>
        <v>0</v>
      </c>
      <c r="I114" s="68">
        <f t="shared" si="23"/>
        <v>338150.01</v>
      </c>
      <c r="J114" s="2"/>
      <c r="K114" s="2"/>
      <c r="L114" s="1"/>
      <c r="M114" s="1">
        <v>77</v>
      </c>
      <c r="N114" s="71">
        <f>IF($T114=0,"",INDEX(TAHSILAT!$E$7:$E$2503,$T114))</f>
        <v>46096</v>
      </c>
      <c r="O114" s="1" t="str">
        <f>IF($N114="","",$C$36&amp;" – müşteriden tahsilat: "&amp;INDEX(TAHSILAT!$N$7:$N$2503,$T114)&amp;IF(INDEX(TAHSILAT!$J$7:$J$2503,$T114)="",""," – "&amp;INDEX(TAHSILAT!$J$7:$J$2503,$T114)))</f>
        <v>ÖMER KARTAL – müşteriden tahsilat: ASM EĞLENCE LTD.ŞTİ. – NAKİT ÖDENEN</v>
      </c>
      <c r="P114" s="1" t="str">
        <f t="shared" si="13"/>
        <v>MÜŞTERİDEN ALDI</v>
      </c>
      <c r="Q114" s="79">
        <f>IF($N114="",0,INDEX(TAHSILAT!$F$7:$F$2503,$T114))</f>
        <v>2500</v>
      </c>
      <c r="R114" s="1">
        <v>0</v>
      </c>
      <c r="S114" s="1">
        <f t="shared" si="20"/>
        <v>4609600077</v>
      </c>
      <c r="T114" s="1">
        <f>IFERROR(MATCH($C$36&amp;"|41",TAHSILAT!$U$7:$U$2503,0),0)</f>
        <v>155</v>
      </c>
      <c r="U114" s="1"/>
      <c r="V114" s="1">
        <f t="shared" si="21"/>
        <v>4612300094</v>
      </c>
      <c r="W114" s="1">
        <f t="shared" si="22"/>
        <v>94</v>
      </c>
    </row>
    <row r="115" spans="1:23" ht="19.5" customHeight="1" x14ac:dyDescent="0.3">
      <c r="A115" s="2"/>
      <c r="B115" s="65">
        <f t="shared" si="14"/>
        <v>78</v>
      </c>
      <c r="C115" s="70">
        <f t="shared" si="15"/>
        <v>46123</v>
      </c>
      <c r="D115" s="201" t="str">
        <f t="shared" si="16"/>
        <v>ÖMER KARTAL – müşteriden tahsilat: KRİSTAL LTD.ŞTİ. – NAKİT ÖDENEN</v>
      </c>
      <c r="E115" s="141"/>
      <c r="F115" s="65" t="str">
        <f t="shared" si="17"/>
        <v>MÜŞTERİDEN ALDI</v>
      </c>
      <c r="G115" s="68">
        <f t="shared" si="18"/>
        <v>3000</v>
      </c>
      <c r="H115" s="68">
        <f t="shared" si="19"/>
        <v>0</v>
      </c>
      <c r="I115" s="68">
        <f t="shared" si="23"/>
        <v>341150.01</v>
      </c>
      <c r="J115" s="2"/>
      <c r="K115" s="2"/>
      <c r="L115" s="1"/>
      <c r="M115" s="1">
        <v>78</v>
      </c>
      <c r="N115" s="71">
        <f>IF($T115=0,"",INDEX(TAHSILAT!$E$7:$E$2503,$T115))</f>
        <v>46096</v>
      </c>
      <c r="O115" s="1" t="str">
        <f>IF($N115="","",$C$36&amp;" – müşteriden tahsilat: "&amp;INDEX(TAHSILAT!$N$7:$N$2503,$T115)&amp;IF(INDEX(TAHSILAT!$J$7:$J$2503,$T115)="",""," – "&amp;INDEX(TAHSILAT!$J$7:$J$2503,$T115)))</f>
        <v>ÖMER KARTAL – müşteriden tahsilat: ÇAYIRALAN LTD.ŞTİ. – ÖMER KARTALA ÖDENEN</v>
      </c>
      <c r="P115" s="1" t="str">
        <f t="shared" si="13"/>
        <v>MÜŞTERİDEN ALDI</v>
      </c>
      <c r="Q115" s="79">
        <f>IF($N115="",0,INDEX(TAHSILAT!$F$7:$F$2503,$T115))</f>
        <v>12000</v>
      </c>
      <c r="R115" s="1">
        <v>0</v>
      </c>
      <c r="S115" s="1">
        <f t="shared" si="20"/>
        <v>4609600078</v>
      </c>
      <c r="T115" s="1">
        <f>IFERROR(MATCH($C$36&amp;"|42",TAHSILAT!$U$7:$U$2503,0),0)</f>
        <v>156</v>
      </c>
      <c r="U115" s="1"/>
      <c r="V115" s="1">
        <f t="shared" si="21"/>
        <v>4612300095</v>
      </c>
      <c r="W115" s="1">
        <f t="shared" si="22"/>
        <v>95</v>
      </c>
    </row>
    <row r="116" spans="1:23" ht="19.5" customHeight="1" x14ac:dyDescent="0.3">
      <c r="A116" s="2"/>
      <c r="B116" s="65">
        <f t="shared" si="14"/>
        <v>79</v>
      </c>
      <c r="C116" s="70">
        <f t="shared" si="15"/>
        <v>46123</v>
      </c>
      <c r="D116" s="201" t="str">
        <f t="shared" si="16"/>
        <v>ÖMER KARTAL – müşteriden tahsilat: PALAOĞULLARI LTD.ŞTİ. – NAKİT ÖDENEN</v>
      </c>
      <c r="E116" s="141"/>
      <c r="F116" s="65" t="str">
        <f t="shared" si="17"/>
        <v>MÜŞTERİDEN ALDI</v>
      </c>
      <c r="G116" s="68">
        <f t="shared" si="18"/>
        <v>4000</v>
      </c>
      <c r="H116" s="68">
        <f t="shared" si="19"/>
        <v>0</v>
      </c>
      <c r="I116" s="68">
        <f t="shared" si="23"/>
        <v>345150.01</v>
      </c>
      <c r="J116" s="2"/>
      <c r="K116" s="2"/>
      <c r="L116" s="1"/>
      <c r="M116" s="1">
        <v>79</v>
      </c>
      <c r="N116" s="71">
        <f>IF($T116=0,"",INDEX(TAHSILAT!$E$7:$E$2503,$T116))</f>
        <v>46096</v>
      </c>
      <c r="O116" s="1" t="str">
        <f>IF($N116="","",$C$36&amp;" – müşteriden tahsilat: "&amp;INDEX(TAHSILAT!$N$7:$N$2503,$T116)&amp;IF(INDEX(TAHSILAT!$J$7:$J$2503,$T116)="",""," – "&amp;INDEX(TAHSILAT!$J$7:$J$2503,$T116)))</f>
        <v>ÖMER KARTAL – müşteriden tahsilat: İBRAHİM MALDAN – ÖMER KARTALA ÖDENEN</v>
      </c>
      <c r="P116" s="1" t="str">
        <f t="shared" si="13"/>
        <v>MÜŞTERİDEN ALDI</v>
      </c>
      <c r="Q116" s="79">
        <f>IF($N116="",0,INDEX(TAHSILAT!$F$7:$F$2503,$T116))</f>
        <v>4000</v>
      </c>
      <c r="R116" s="1">
        <v>0</v>
      </c>
      <c r="S116" s="1">
        <f t="shared" si="20"/>
        <v>4609600079</v>
      </c>
      <c r="T116" s="1">
        <f>IFERROR(MATCH($C$36&amp;"|43",TAHSILAT!$U$7:$U$2503,0),0)</f>
        <v>157</v>
      </c>
      <c r="U116" s="1"/>
      <c r="V116" s="1">
        <f t="shared" si="21"/>
        <v>4612300096</v>
      </c>
      <c r="W116" s="1">
        <f t="shared" si="22"/>
        <v>96</v>
      </c>
    </row>
    <row r="117" spans="1:23" ht="19.5" customHeight="1" x14ac:dyDescent="0.3">
      <c r="A117" s="2"/>
      <c r="B117" s="65">
        <f t="shared" si="14"/>
        <v>80</v>
      </c>
      <c r="C117" s="70">
        <f t="shared" si="15"/>
        <v>46124</v>
      </c>
      <c r="D117" s="201" t="str">
        <f t="shared" si="16"/>
        <v>ÖMER KARTAL – müşteriden tahsilat: MONAMOUR LTD.ŞTİ. – ÖMER KARTALA ÖDENEN</v>
      </c>
      <c r="E117" s="141"/>
      <c r="F117" s="65" t="str">
        <f t="shared" si="17"/>
        <v>MÜŞTERİDEN ALDI</v>
      </c>
      <c r="G117" s="68">
        <f t="shared" si="18"/>
        <v>3500</v>
      </c>
      <c r="H117" s="68">
        <f t="shared" si="19"/>
        <v>0</v>
      </c>
      <c r="I117" s="68">
        <f t="shared" si="23"/>
        <v>348650.01</v>
      </c>
      <c r="J117" s="2"/>
      <c r="K117" s="2"/>
      <c r="L117" s="1"/>
      <c r="M117" s="1">
        <v>80</v>
      </c>
      <c r="N117" s="71">
        <f>IF($T117=0,"",INDEX(TAHSILAT!$E$7:$E$2503,$T117))</f>
        <v>46096</v>
      </c>
      <c r="O117" s="1" t="str">
        <f>IF($N117="","",$C$36&amp;" – müşteriden tahsilat: "&amp;INDEX(TAHSILAT!$N$7:$N$2503,$T117)&amp;IF(INDEX(TAHSILAT!$J$7:$J$2503,$T117)="",""," – "&amp;INDEX(TAHSILAT!$J$7:$J$2503,$T117)))</f>
        <v>ÖMER KARTAL – müşteriden tahsilat: RİX ŞOW LTD.ŞTİ. – ÖMER KARTALA ÖDENEN</v>
      </c>
      <c r="P117" s="1" t="str">
        <f t="shared" si="13"/>
        <v>MÜŞTERİDEN ALDI</v>
      </c>
      <c r="Q117" s="79">
        <f>IF($N117="",0,INDEX(TAHSILAT!$F$7:$F$2503,$T117))</f>
        <v>3000</v>
      </c>
      <c r="R117" s="1">
        <v>0</v>
      </c>
      <c r="S117" s="1">
        <f t="shared" si="20"/>
        <v>4609600080</v>
      </c>
      <c r="T117" s="1">
        <f>IFERROR(MATCH($C$36&amp;"|44",TAHSILAT!$U$7:$U$2503,0),0)</f>
        <v>158</v>
      </c>
      <c r="U117" s="1"/>
      <c r="V117" s="1">
        <f t="shared" si="21"/>
        <v>4612400097</v>
      </c>
      <c r="W117" s="1">
        <f t="shared" si="22"/>
        <v>97</v>
      </c>
    </row>
    <row r="118" spans="1:23" ht="19.5" customHeight="1" x14ac:dyDescent="0.3">
      <c r="A118" s="2"/>
      <c r="B118" s="65">
        <f t="shared" si="14"/>
        <v>81</v>
      </c>
      <c r="C118" s="70">
        <f t="shared" si="15"/>
        <v>46126</v>
      </c>
      <c r="D118" s="201" t="str">
        <f t="shared" si="16"/>
        <v>ÖMER KARTAL – müşteriden tahsilat: UFUK YILMAZ – NAKİT ÖDENEN</v>
      </c>
      <c r="E118" s="141"/>
      <c r="F118" s="65" t="str">
        <f t="shared" si="17"/>
        <v>MÜŞTERİDEN ALDI</v>
      </c>
      <c r="G118" s="68">
        <f t="shared" si="18"/>
        <v>3000</v>
      </c>
      <c r="H118" s="68">
        <f t="shared" si="19"/>
        <v>0</v>
      </c>
      <c r="I118" s="68">
        <f t="shared" si="23"/>
        <v>351650.01</v>
      </c>
      <c r="J118" s="2"/>
      <c r="K118" s="2"/>
      <c r="L118" s="1"/>
      <c r="M118" s="1">
        <v>81</v>
      </c>
      <c r="N118" s="71">
        <f>IF($T118=0,"",INDEX(TAHSILAT!$E$7:$E$2503,$T118))</f>
        <v>46096</v>
      </c>
      <c r="O118" s="1" t="str">
        <f>IF($N118="","",$C$36&amp;" – müşteriden tahsilat: "&amp;INDEX(TAHSILAT!$N$7:$N$2503,$T118)&amp;IF(INDEX(TAHSILAT!$J$7:$J$2503,$T118)="",""," – "&amp;INDEX(TAHSILAT!$J$7:$J$2503,$T118)))</f>
        <v>ÖMER KARTAL – müşteriden tahsilat: PALAOĞULLARI LTD.ŞTİ. – NAKİT ÖDENEN</v>
      </c>
      <c r="P118" s="1" t="str">
        <f t="shared" si="13"/>
        <v>MÜŞTERİDEN ALDI</v>
      </c>
      <c r="Q118" s="79">
        <f>IF($N118="",0,INDEX(TAHSILAT!$F$7:$F$2503,$T118))</f>
        <v>4000</v>
      </c>
      <c r="R118" s="1">
        <v>0</v>
      </c>
      <c r="S118" s="1">
        <f t="shared" si="20"/>
        <v>4609600081</v>
      </c>
      <c r="T118" s="1">
        <f>IFERROR(MATCH($C$36&amp;"|45",TAHSILAT!$U$7:$U$2503,0),0)</f>
        <v>160</v>
      </c>
      <c r="U118" s="1"/>
      <c r="V118" s="1">
        <f t="shared" si="21"/>
        <v>4612600098</v>
      </c>
      <c r="W118" s="1">
        <f t="shared" si="22"/>
        <v>98</v>
      </c>
    </row>
    <row r="119" spans="1:23" ht="19.5" customHeight="1" x14ac:dyDescent="0.3">
      <c r="A119" s="2"/>
      <c r="B119" s="65">
        <f t="shared" si="14"/>
        <v>82</v>
      </c>
      <c r="C119" s="70">
        <f t="shared" si="15"/>
        <v>46137</v>
      </c>
      <c r="D119" s="201" t="str">
        <f t="shared" si="16"/>
        <v>MERKEZ KASA → ÖMER KARTAL – DAMLA SABANCI HAVALE</v>
      </c>
      <c r="E119" s="141"/>
      <c r="F119" s="65" t="str">
        <f t="shared" si="17"/>
        <v>VİRMAN GELDİ</v>
      </c>
      <c r="G119" s="68">
        <f t="shared" si="18"/>
        <v>20000</v>
      </c>
      <c r="H119" s="68">
        <f t="shared" si="19"/>
        <v>0</v>
      </c>
      <c r="I119" s="68">
        <f t="shared" si="23"/>
        <v>371650.01</v>
      </c>
      <c r="J119" s="2"/>
      <c r="K119" s="2"/>
      <c r="L119" s="1"/>
      <c r="M119" s="1">
        <v>82</v>
      </c>
      <c r="N119" s="71">
        <f>IF($T119=0,"",INDEX(TAHSILAT!$E$7:$E$2503,$T119))</f>
        <v>46096</v>
      </c>
      <c r="O119" s="1" t="str">
        <f>IF($N119="","",$C$36&amp;" – müşteriden tahsilat: "&amp;INDEX(TAHSILAT!$N$7:$N$2503,$T119)&amp;IF(INDEX(TAHSILAT!$J$7:$J$2503,$T119)="",""," – "&amp;INDEX(TAHSILAT!$J$7:$J$2503,$T119)))</f>
        <v>ÖMER KARTAL – müşteriden tahsilat: TYANA LTD.ŞTİ. – NAKİT ÖDENEN</v>
      </c>
      <c r="P119" s="1" t="str">
        <f t="shared" si="13"/>
        <v>MÜŞTERİDEN ALDI</v>
      </c>
      <c r="Q119" s="79">
        <f>IF($N119="",0,INDEX(TAHSILAT!$F$7:$F$2503,$T119))</f>
        <v>4000</v>
      </c>
      <c r="R119" s="1">
        <v>0</v>
      </c>
      <c r="S119" s="1">
        <f t="shared" si="20"/>
        <v>4609600082</v>
      </c>
      <c r="T119" s="1">
        <f>IFERROR(MATCH($C$36&amp;"|46",TAHSILAT!$U$7:$U$2503,0),0)</f>
        <v>161</v>
      </c>
      <c r="U119" s="1"/>
      <c r="V119" s="1">
        <f t="shared" si="21"/>
        <v>4613700548</v>
      </c>
      <c r="W119" s="1">
        <f t="shared" si="22"/>
        <v>548</v>
      </c>
    </row>
    <row r="120" spans="1:23" ht="19.5" customHeight="1" x14ac:dyDescent="0.3">
      <c r="A120" s="2"/>
      <c r="B120" s="65">
        <f t="shared" si="14"/>
        <v>83</v>
      </c>
      <c r="C120" s="70">
        <f t="shared" si="15"/>
        <v>46142</v>
      </c>
      <c r="D120" s="201" t="str">
        <f t="shared" si="16"/>
        <v>ÖMER KARTAL – Nisan 2026 kâr payı tahakkuku</v>
      </c>
      <c r="E120" s="141"/>
      <c r="F120" s="65" t="str">
        <f t="shared" si="17"/>
        <v>KÂR PAYI TAHAKKUKU</v>
      </c>
      <c r="G120" s="68">
        <f t="shared" si="18"/>
        <v>0</v>
      </c>
      <c r="H120" s="68">
        <f t="shared" si="19"/>
        <v>137353</v>
      </c>
      <c r="I120" s="68">
        <f t="shared" si="23"/>
        <v>234297.01</v>
      </c>
      <c r="J120" s="2"/>
      <c r="K120" s="2"/>
      <c r="L120" s="1"/>
      <c r="M120" s="1">
        <v>83</v>
      </c>
      <c r="N120" s="71">
        <f>IF($T120=0,"",INDEX(TAHSILAT!$E$7:$E$2503,$T120))</f>
        <v>46107</v>
      </c>
      <c r="O120" s="1" t="str">
        <f>IF($N120="","",$C$36&amp;" – müşteriden tahsilat: "&amp;INDEX(TAHSILAT!$N$7:$N$2503,$T120)&amp;IF(INDEX(TAHSILAT!$J$7:$J$2503,$T120)="",""," – "&amp;INDEX(TAHSILAT!$J$7:$J$2503,$T120)))</f>
        <v>ÖMER KARTAL – müşteriden tahsilat: NAZ 1 GIDA LTD.ŞTİ. – ÖMER KARTALA ÖDENEN</v>
      </c>
      <c r="P120" s="1" t="str">
        <f t="shared" si="13"/>
        <v>MÜŞTERİDEN ALDI</v>
      </c>
      <c r="Q120" s="79">
        <f>IF($N120="",0,INDEX(TAHSILAT!$F$7:$F$2503,$T120))</f>
        <v>6000</v>
      </c>
      <c r="R120" s="1">
        <v>0</v>
      </c>
      <c r="S120" s="1">
        <f t="shared" si="20"/>
        <v>4610700083</v>
      </c>
      <c r="T120" s="1">
        <f>IFERROR(MATCH($C$36&amp;"|47",TAHSILAT!$U$7:$U$2503,0),0)</f>
        <v>183</v>
      </c>
      <c r="U120" s="1"/>
      <c r="V120" s="1">
        <f t="shared" si="21"/>
        <v>4614200004</v>
      </c>
      <c r="W120" s="1">
        <f t="shared" si="22"/>
        <v>4</v>
      </c>
    </row>
    <row r="121" spans="1:23" ht="19.5" customHeight="1" x14ac:dyDescent="0.3">
      <c r="A121" s="2"/>
      <c r="B121" s="65">
        <f t="shared" si="14"/>
        <v>84</v>
      </c>
      <c r="C121" s="70">
        <f t="shared" si="15"/>
        <v>46142</v>
      </c>
      <c r="D121" s="201" t="str">
        <f t="shared" si="16"/>
        <v xml:space="preserve">ÖMER KARTAL – müşteriden tahsilat: ALTINEL LTD.ŞTİ. – ALTINEL LTD.ŞTİ. </v>
      </c>
      <c r="E121" s="141"/>
      <c r="F121" s="65" t="str">
        <f t="shared" si="17"/>
        <v>MÜŞTERİDEN ALDI</v>
      </c>
      <c r="G121" s="68">
        <f t="shared" si="18"/>
        <v>12000</v>
      </c>
      <c r="H121" s="68">
        <f t="shared" si="19"/>
        <v>0</v>
      </c>
      <c r="I121" s="68">
        <f t="shared" si="23"/>
        <v>246297.01</v>
      </c>
      <c r="J121" s="2"/>
      <c r="K121" s="2"/>
      <c r="L121" s="1"/>
      <c r="M121" s="1">
        <v>84</v>
      </c>
      <c r="N121" s="71">
        <f>IF($T121=0,"",INDEX(TAHSILAT!$E$7:$E$2503,$T121))</f>
        <v>46109</v>
      </c>
      <c r="O121" s="1" t="str">
        <f>IF($N121="","",$C$36&amp;" – müşteriden tahsilat: "&amp;INDEX(TAHSILAT!$N$7:$N$2503,$T121)&amp;IF(INDEX(TAHSILAT!$J$7:$J$2503,$T121)="",""," – "&amp;INDEX(TAHSILAT!$J$7:$J$2503,$T121)))</f>
        <v>ÖMER KARTAL – müşteriden tahsilat: ZÜMRÜT EĞLENCE LTD.ŞTİ. – ÖMER KARTALA ÖDENEN</v>
      </c>
      <c r="P121" s="1" t="str">
        <f t="shared" si="13"/>
        <v>MÜŞTERİDEN ALDI</v>
      </c>
      <c r="Q121" s="79">
        <f>IF($N121="",0,INDEX(TAHSILAT!$F$7:$F$2503,$T121))</f>
        <v>5500</v>
      </c>
      <c r="R121" s="1">
        <v>0</v>
      </c>
      <c r="S121" s="1">
        <f t="shared" si="20"/>
        <v>4610900084</v>
      </c>
      <c r="T121" s="1">
        <f>IFERROR(MATCH($C$36&amp;"|48",TAHSILAT!$U$7:$U$2503,0),0)</f>
        <v>190</v>
      </c>
      <c r="U121" s="1"/>
      <c r="V121" s="1">
        <f t="shared" si="21"/>
        <v>4614200099</v>
      </c>
      <c r="W121" s="1">
        <f t="shared" si="22"/>
        <v>99</v>
      </c>
    </row>
    <row r="122" spans="1:23" ht="19.5" customHeight="1" x14ac:dyDescent="0.3">
      <c r="A122" s="2"/>
      <c r="B122" s="65">
        <f t="shared" si="14"/>
        <v>85</v>
      </c>
      <c r="C122" s="70">
        <f t="shared" si="15"/>
        <v>46142</v>
      </c>
      <c r="D122" s="201" t="str">
        <f t="shared" si="16"/>
        <v>MERKEZ KASA → ÖMER KARTAL – PARİS GAZİNOSU SGK'LAR</v>
      </c>
      <c r="E122" s="141"/>
      <c r="F122" s="65" t="str">
        <f t="shared" si="17"/>
        <v>VİRMAN GELDİ</v>
      </c>
      <c r="G122" s="68">
        <f t="shared" si="18"/>
        <v>12000</v>
      </c>
      <c r="H122" s="68">
        <f t="shared" si="19"/>
        <v>0</v>
      </c>
      <c r="I122" s="68">
        <f t="shared" si="23"/>
        <v>258297.01</v>
      </c>
      <c r="J122" s="2"/>
      <c r="K122" s="2"/>
      <c r="L122" s="1"/>
      <c r="M122" s="1">
        <v>85</v>
      </c>
      <c r="N122" s="71">
        <f>IF($T122=0,"",INDEX(TAHSILAT!$E$7:$E$2503,$T122))</f>
        <v>46112</v>
      </c>
      <c r="O122" s="1" t="str">
        <f>IF($N122="","",$C$36&amp;" – müşteriden tahsilat: "&amp;INDEX(TAHSILAT!$N$7:$N$2503,$T122)&amp;IF(INDEX(TAHSILAT!$J$7:$J$2503,$T122)="",""," – "&amp;INDEX(TAHSILAT!$J$7:$J$2503,$T122)))</f>
        <v xml:space="preserve">ÖMER KARTAL – müşteriden tahsilat: ALTINEL LTD.ŞTİ. – ALTINEL LTD.ŞTİ. </v>
      </c>
      <c r="P122" s="1" t="str">
        <f t="shared" si="13"/>
        <v>MÜŞTERİDEN ALDI</v>
      </c>
      <c r="Q122" s="79">
        <f>IF($N122="",0,INDEX(TAHSILAT!$F$7:$F$2503,$T122))</f>
        <v>12000</v>
      </c>
      <c r="R122" s="1">
        <v>0</v>
      </c>
      <c r="S122" s="1">
        <f t="shared" si="20"/>
        <v>4611200085</v>
      </c>
      <c r="T122" s="1">
        <f>IFERROR(MATCH($C$36&amp;"|49",TAHSILAT!$U$7:$U$2503,0),0)</f>
        <v>202</v>
      </c>
      <c r="U122" s="1"/>
      <c r="V122" s="1">
        <f t="shared" si="21"/>
        <v>4614200549</v>
      </c>
      <c r="W122" s="1">
        <f t="shared" si="22"/>
        <v>549</v>
      </c>
    </row>
    <row r="123" spans="1:23" ht="19.5" customHeight="1" x14ac:dyDescent="0.3">
      <c r="A123" s="2"/>
      <c r="B123" s="65">
        <f t="shared" si="14"/>
        <v>86</v>
      </c>
      <c r="C123" s="70">
        <f t="shared" si="15"/>
        <v>46142</v>
      </c>
      <c r="D123" s="201" t="str">
        <f t="shared" si="16"/>
        <v>MERKEZ KASA → ÖMER KARTAL – FADİME HORUZCU MUHASEBE ÜCRETİ</v>
      </c>
      <c r="E123" s="141"/>
      <c r="F123" s="65" t="str">
        <f t="shared" si="17"/>
        <v>VİRMAN GELDİ</v>
      </c>
      <c r="G123" s="68">
        <f t="shared" si="18"/>
        <v>2000</v>
      </c>
      <c r="H123" s="68">
        <f t="shared" si="19"/>
        <v>0</v>
      </c>
      <c r="I123" s="68">
        <f t="shared" si="23"/>
        <v>260297.01</v>
      </c>
      <c r="J123" s="2"/>
      <c r="K123" s="2"/>
      <c r="L123" s="1"/>
      <c r="M123" s="1">
        <v>86</v>
      </c>
      <c r="N123" s="71">
        <f>IF($T123=0,"",INDEX(TAHSILAT!$E$7:$E$2503,$T123))</f>
        <v>46112</v>
      </c>
      <c r="O123" s="1" t="str">
        <f>IF($N123="","",$C$36&amp;" – müşteriden tahsilat: "&amp;INDEX(TAHSILAT!$N$7:$N$2503,$T123)&amp;IF(INDEX(TAHSILAT!$J$7:$J$2503,$T123)="",""," – "&amp;INDEX(TAHSILAT!$J$7:$J$2503,$T123)))</f>
        <v>ÖMER KARTAL – müşteriden tahsilat: MONAMOUR LTD.ŞTİ. – ÖMER KARTALA ÖDENEN</v>
      </c>
      <c r="P123" s="1" t="str">
        <f t="shared" si="13"/>
        <v>MÜŞTERİDEN ALDI</v>
      </c>
      <c r="Q123" s="79">
        <f>IF($N123="",0,INDEX(TAHSILAT!$F$7:$F$2503,$T123))</f>
        <v>7000</v>
      </c>
      <c r="R123" s="1">
        <v>0</v>
      </c>
      <c r="S123" s="1">
        <f t="shared" si="20"/>
        <v>4611200086</v>
      </c>
      <c r="T123" s="1">
        <f>IFERROR(MATCH($C$36&amp;"|50",TAHSILAT!$U$7:$U$2503,0),0)</f>
        <v>203</v>
      </c>
      <c r="U123" s="1"/>
      <c r="V123" s="1">
        <f t="shared" si="21"/>
        <v>4614200550</v>
      </c>
      <c r="W123" s="1">
        <f t="shared" si="22"/>
        <v>550</v>
      </c>
    </row>
    <row r="124" spans="1:23" ht="19.5" customHeight="1" x14ac:dyDescent="0.3">
      <c r="A124" s="2"/>
      <c r="B124" s="65">
        <f t="shared" si="14"/>
        <v>87</v>
      </c>
      <c r="C124" s="70">
        <f t="shared" si="15"/>
        <v>46142</v>
      </c>
      <c r="D124" s="201" t="str">
        <f t="shared" si="16"/>
        <v>MERKEZ KASA → ÖMER KARTAL – KÂR PAYI / AVANS ÇEKİŞİ — Nisan Ayı Kâr Payı Ödemesi — eski GELIR_GIDER satır 134</v>
      </c>
      <c r="E124" s="141"/>
      <c r="F124" s="65" t="str">
        <f t="shared" si="17"/>
        <v>VİRMAN GELDİ</v>
      </c>
      <c r="G124" s="68">
        <f t="shared" si="18"/>
        <v>137353</v>
      </c>
      <c r="H124" s="68">
        <f t="shared" si="19"/>
        <v>0</v>
      </c>
      <c r="I124" s="68">
        <f t="shared" si="23"/>
        <v>397650.01</v>
      </c>
      <c r="J124" s="2"/>
      <c r="K124" s="2"/>
      <c r="L124" s="1"/>
      <c r="M124" s="1">
        <v>87</v>
      </c>
      <c r="N124" s="71">
        <f>IF($T124=0,"",INDEX(TAHSILAT!$E$7:$E$2503,$T124))</f>
        <v>46122</v>
      </c>
      <c r="O124" s="1" t="str">
        <f>IF($N124="","",$C$36&amp;" – müşteriden tahsilat: "&amp;INDEX(TAHSILAT!$N$7:$N$2503,$T124)&amp;IF(INDEX(TAHSILAT!$J$7:$J$2503,$T124)="",""," – "&amp;INDEX(TAHSILAT!$J$7:$J$2503,$T124)))</f>
        <v>ÖMER KARTAL – müşteriden tahsilat: RASİM DEMİRCİ – NAKİT ÖDENEN</v>
      </c>
      <c r="P124" s="1" t="str">
        <f t="shared" si="13"/>
        <v>MÜŞTERİDEN ALDI</v>
      </c>
      <c r="Q124" s="79">
        <f>IF($N124="",0,INDEX(TAHSILAT!$F$7:$F$2503,$T124))</f>
        <v>10000</v>
      </c>
      <c r="R124" s="1">
        <v>0</v>
      </c>
      <c r="S124" s="1">
        <f t="shared" si="20"/>
        <v>4612200087</v>
      </c>
      <c r="T124" s="1">
        <f>IFERROR(MATCH($C$36&amp;"|51",TAHSILAT!$U$7:$U$2503,0),0)</f>
        <v>220</v>
      </c>
      <c r="U124" s="1"/>
      <c r="V124" s="1">
        <f t="shared" si="21"/>
        <v>4614200569</v>
      </c>
      <c r="W124" s="1">
        <f t="shared" si="22"/>
        <v>569</v>
      </c>
    </row>
    <row r="125" spans="1:23" ht="19.5" customHeight="1" x14ac:dyDescent="0.3">
      <c r="A125" s="2"/>
      <c r="B125" s="65">
        <f t="shared" si="14"/>
        <v>88</v>
      </c>
      <c r="C125" s="70">
        <f t="shared" si="15"/>
        <v>46144</v>
      </c>
      <c r="D125" s="201" t="str">
        <f t="shared" si="16"/>
        <v>MERKEZ KASA → ÖMER KARTAL – ÖMER NAKİT ÖDENEN ATO</v>
      </c>
      <c r="E125" s="141"/>
      <c r="F125" s="65" t="str">
        <f t="shared" si="17"/>
        <v>VİRMAN GELDİ</v>
      </c>
      <c r="G125" s="68">
        <f t="shared" si="18"/>
        <v>1000</v>
      </c>
      <c r="H125" s="68">
        <f t="shared" si="19"/>
        <v>0</v>
      </c>
      <c r="I125" s="68">
        <f t="shared" si="23"/>
        <v>398650.01</v>
      </c>
      <c r="J125" s="2"/>
      <c r="K125" s="2"/>
      <c r="L125" s="1"/>
      <c r="M125" s="1">
        <v>88</v>
      </c>
      <c r="N125" s="71">
        <f>IF($T125=0,"",INDEX(TAHSILAT!$E$7:$E$2503,$T125))</f>
        <v>46123</v>
      </c>
      <c r="O125" s="1" t="str">
        <f>IF($N125="","",$C$36&amp;" – müşteriden tahsilat: "&amp;INDEX(TAHSILAT!$N$7:$N$2503,$T125)&amp;IF(INDEX(TAHSILAT!$J$7:$J$2503,$T125)="",""," – "&amp;INDEX(TAHSILAT!$J$7:$J$2503,$T125)))</f>
        <v>ÖMER KARTAL – müşteriden tahsilat: ASIM AÇIKGÖZ – NAKİT ÖDENEN</v>
      </c>
      <c r="P125" s="1" t="str">
        <f t="shared" si="13"/>
        <v>MÜŞTERİDEN ALDI</v>
      </c>
      <c r="Q125" s="79">
        <f>IF($N125="",0,INDEX(TAHSILAT!$F$7:$F$2503,$T125))</f>
        <v>2000</v>
      </c>
      <c r="R125" s="1">
        <v>0</v>
      </c>
      <c r="S125" s="1">
        <f t="shared" si="20"/>
        <v>4612300088</v>
      </c>
      <c r="T125" s="1">
        <f>IFERROR(MATCH($C$36&amp;"|52",TAHSILAT!$U$7:$U$2503,0),0)</f>
        <v>221</v>
      </c>
      <c r="U125" s="1"/>
      <c r="V125" s="1">
        <f t="shared" si="21"/>
        <v>4614400551</v>
      </c>
      <c r="W125" s="1">
        <f t="shared" si="22"/>
        <v>551</v>
      </c>
    </row>
    <row r="126" spans="1:23" ht="19.5" customHeight="1" x14ac:dyDescent="0.3">
      <c r="A126" s="2"/>
      <c r="B126" s="65">
        <f t="shared" si="14"/>
        <v>89</v>
      </c>
      <c r="C126" s="70">
        <f t="shared" si="15"/>
        <v>46147</v>
      </c>
      <c r="D126" s="201" t="str">
        <f t="shared" si="16"/>
        <v>MERKEZ KASA → ÖMER KARTAL – GRAND 06 HASAN &amp; ÖMER BAKİYE</v>
      </c>
      <c r="E126" s="141"/>
      <c r="F126" s="65" t="str">
        <f t="shared" si="17"/>
        <v>VİRMAN GELDİ</v>
      </c>
      <c r="G126" s="68">
        <f t="shared" si="18"/>
        <v>23600</v>
      </c>
      <c r="H126" s="68">
        <f t="shared" si="19"/>
        <v>0</v>
      </c>
      <c r="I126" s="68">
        <f t="shared" si="23"/>
        <v>422250.01</v>
      </c>
      <c r="J126" s="2"/>
      <c r="K126" s="2"/>
      <c r="L126" s="1"/>
      <c r="M126" s="1">
        <v>89</v>
      </c>
      <c r="N126" s="71">
        <f>IF($T126=0,"",INDEX(TAHSILAT!$E$7:$E$2503,$T126))</f>
        <v>46123</v>
      </c>
      <c r="O126" s="1" t="str">
        <f>IF($N126="","",$C$36&amp;" – müşteriden tahsilat: "&amp;INDEX(TAHSILAT!$N$7:$N$2503,$T126)&amp;IF(INDEX(TAHSILAT!$J$7:$J$2503,$T126)="",""," – "&amp;INDEX(TAHSILAT!$J$7:$J$2503,$T126)))</f>
        <v>ÖMER KARTAL – müşteriden tahsilat: ASM EĞLENCE LTD.ŞTİ. – NAKİT ÖDENEN</v>
      </c>
      <c r="P126" s="1" t="str">
        <f t="shared" si="13"/>
        <v>MÜŞTERİDEN ALDI</v>
      </c>
      <c r="Q126" s="79">
        <f>IF($N126="",0,INDEX(TAHSILAT!$F$7:$F$2503,$T126))</f>
        <v>2500</v>
      </c>
      <c r="R126" s="1">
        <v>0</v>
      </c>
      <c r="S126" s="1">
        <f t="shared" si="20"/>
        <v>4612300089</v>
      </c>
      <c r="T126" s="1">
        <f>IFERROR(MATCH($C$36&amp;"|53",TAHSILAT!$U$7:$U$2503,0),0)</f>
        <v>222</v>
      </c>
      <c r="U126" s="1"/>
      <c r="V126" s="1">
        <f t="shared" si="21"/>
        <v>4614700552</v>
      </c>
      <c r="W126" s="1">
        <f t="shared" si="22"/>
        <v>552</v>
      </c>
    </row>
    <row r="127" spans="1:23" ht="19.5" customHeight="1" x14ac:dyDescent="0.3">
      <c r="A127" s="2"/>
      <c r="B127" s="65">
        <f t="shared" si="14"/>
        <v>90</v>
      </c>
      <c r="C127" s="70">
        <f t="shared" si="15"/>
        <v>46151</v>
      </c>
      <c r="D127" s="201" t="str">
        <f t="shared" si="16"/>
        <v>ÖMER KARTAL – müşteriden tahsilat: EĞLENGÖR LTD.ŞTİ. – ÖMER KARTALA ÖDENEN</v>
      </c>
      <c r="E127" s="141"/>
      <c r="F127" s="65" t="str">
        <f t="shared" si="17"/>
        <v>MÜŞTERİDEN ALDI</v>
      </c>
      <c r="G127" s="68">
        <f t="shared" si="18"/>
        <v>4000</v>
      </c>
      <c r="H127" s="68">
        <f t="shared" si="19"/>
        <v>0</v>
      </c>
      <c r="I127" s="68">
        <f t="shared" si="23"/>
        <v>426250.01</v>
      </c>
      <c r="J127" s="2"/>
      <c r="K127" s="2"/>
      <c r="L127" s="1"/>
      <c r="M127" s="1">
        <v>90</v>
      </c>
      <c r="N127" s="71">
        <f>IF($T127=0,"",INDEX(TAHSILAT!$E$7:$E$2503,$T127))</f>
        <v>46123</v>
      </c>
      <c r="O127" s="1" t="str">
        <f>IF($N127="","",$C$36&amp;" – müşteriden tahsilat: "&amp;INDEX(TAHSILAT!$N$7:$N$2503,$T127)&amp;IF(INDEX(TAHSILAT!$J$7:$J$2503,$T127)="",""," – "&amp;INDEX(TAHSILAT!$J$7:$J$2503,$T127)))</f>
        <v>ÖMER KARTAL – müşteriden tahsilat: ÇAYIRALAN LTD.ŞTİ. – ÖMER KARTALA ÖDENEN</v>
      </c>
      <c r="P127" s="1" t="str">
        <f t="shared" si="13"/>
        <v>MÜŞTERİDEN ALDI</v>
      </c>
      <c r="Q127" s="79">
        <f>IF($N127="",0,INDEX(TAHSILAT!$F$7:$F$2503,$T127))</f>
        <v>3000</v>
      </c>
      <c r="R127" s="1">
        <v>0</v>
      </c>
      <c r="S127" s="1">
        <f t="shared" si="20"/>
        <v>4612300090</v>
      </c>
      <c r="T127" s="1">
        <f>IFERROR(MATCH($C$36&amp;"|54",TAHSILAT!$U$7:$U$2503,0),0)</f>
        <v>223</v>
      </c>
      <c r="U127" s="1"/>
      <c r="V127" s="1">
        <f t="shared" si="21"/>
        <v>4615100100</v>
      </c>
      <c r="W127" s="1">
        <f t="shared" si="22"/>
        <v>100</v>
      </c>
    </row>
    <row r="128" spans="1:23" ht="19.5" customHeight="1" x14ac:dyDescent="0.3">
      <c r="A128" s="2"/>
      <c r="B128" s="65">
        <f t="shared" si="14"/>
        <v>91</v>
      </c>
      <c r="C128" s="70">
        <f t="shared" si="15"/>
        <v>46151</v>
      </c>
      <c r="D128" s="201" t="str">
        <f t="shared" si="16"/>
        <v>ÖMER KARTAL – müşteriden tahsilat: İLDEŞ LTD.ŞTİ. – ÖMER KARTALA ÖDENEN</v>
      </c>
      <c r="E128" s="141"/>
      <c r="F128" s="65" t="str">
        <f t="shared" si="17"/>
        <v>MÜŞTERİDEN ALDI</v>
      </c>
      <c r="G128" s="68">
        <f t="shared" si="18"/>
        <v>4000</v>
      </c>
      <c r="H128" s="68">
        <f t="shared" si="19"/>
        <v>0</v>
      </c>
      <c r="I128" s="68">
        <f t="shared" si="23"/>
        <v>430250.01</v>
      </c>
      <c r="J128" s="2"/>
      <c r="K128" s="2"/>
      <c r="L128" s="1"/>
      <c r="M128" s="1">
        <v>91</v>
      </c>
      <c r="N128" s="71">
        <f>IF($T128=0,"",INDEX(TAHSILAT!$E$7:$E$2503,$T128))</f>
        <v>46123</v>
      </c>
      <c r="O128" s="1" t="str">
        <f>IF($N128="","",$C$36&amp;" – müşteriden tahsilat: "&amp;INDEX(TAHSILAT!$N$7:$N$2503,$T128)&amp;IF(INDEX(TAHSILAT!$J$7:$J$2503,$T128)="",""," – "&amp;INDEX(TAHSILAT!$J$7:$J$2503,$T128)))</f>
        <v>ÖMER KARTAL – müşteriden tahsilat: İBRAHİM MALDAN – ÖMER KARTALA ÖDENEN</v>
      </c>
      <c r="P128" s="1" t="str">
        <f t="shared" si="13"/>
        <v>MÜŞTERİDEN ALDI</v>
      </c>
      <c r="Q128" s="79">
        <f>IF($N128="",0,INDEX(TAHSILAT!$F$7:$F$2503,$T128))</f>
        <v>4000</v>
      </c>
      <c r="R128" s="1">
        <v>0</v>
      </c>
      <c r="S128" s="1">
        <f t="shared" si="20"/>
        <v>4612300091</v>
      </c>
      <c r="T128" s="1">
        <f>IFERROR(MATCH($C$36&amp;"|55",TAHSILAT!$U$7:$U$2503,0),0)</f>
        <v>224</v>
      </c>
      <c r="U128" s="1"/>
      <c r="V128" s="1">
        <f t="shared" si="21"/>
        <v>4615100101</v>
      </c>
      <c r="W128" s="1">
        <f t="shared" si="22"/>
        <v>101</v>
      </c>
    </row>
    <row r="129" spans="1:23" ht="19.5" customHeight="1" x14ac:dyDescent="0.3">
      <c r="A129" s="2"/>
      <c r="B129" s="65">
        <f t="shared" si="14"/>
        <v>92</v>
      </c>
      <c r="C129" s="70">
        <f t="shared" si="15"/>
        <v>46151</v>
      </c>
      <c r="D129" s="201" t="str">
        <f t="shared" si="16"/>
        <v>ÖMER KARTAL – müşteriden tahsilat: PAKYILDIZ LTD.ŞTİ. – ÖMER KARTALA ÖDENEN</v>
      </c>
      <c r="E129" s="141"/>
      <c r="F129" s="65" t="str">
        <f t="shared" si="17"/>
        <v>MÜŞTERİDEN ALDI</v>
      </c>
      <c r="G129" s="68">
        <f t="shared" si="18"/>
        <v>4000</v>
      </c>
      <c r="H129" s="68">
        <f t="shared" si="19"/>
        <v>0</v>
      </c>
      <c r="I129" s="68">
        <f t="shared" si="23"/>
        <v>434250.01</v>
      </c>
      <c r="J129" s="2"/>
      <c r="K129" s="2"/>
      <c r="L129" s="1"/>
      <c r="M129" s="1">
        <v>92</v>
      </c>
      <c r="N129" s="71">
        <f>IF($T129=0,"",INDEX(TAHSILAT!$E$7:$E$2503,$T129))</f>
        <v>46123</v>
      </c>
      <c r="O129" s="1" t="str">
        <f>IF($N129="","",$C$36&amp;" – müşteriden tahsilat: "&amp;INDEX(TAHSILAT!$N$7:$N$2503,$T129)&amp;IF(INDEX(TAHSILAT!$J$7:$J$2503,$T129)="",""," – "&amp;INDEX(TAHSILAT!$J$7:$J$2503,$T129)))</f>
        <v>ÖMER KARTAL – müşteriden tahsilat: PAKYILDIZ LTD.ŞTİ. – ÖMER KARTALA ÖDENEN</v>
      </c>
      <c r="P129" s="1" t="str">
        <f t="shared" si="13"/>
        <v>MÜŞTERİDEN ALDI</v>
      </c>
      <c r="Q129" s="79">
        <f>IF($N129="",0,INDEX(TAHSILAT!$F$7:$F$2503,$T129))</f>
        <v>4000</v>
      </c>
      <c r="R129" s="1">
        <v>0</v>
      </c>
      <c r="S129" s="1">
        <f t="shared" si="20"/>
        <v>4612300092</v>
      </c>
      <c r="T129" s="1">
        <f>IFERROR(MATCH($C$36&amp;"|56",TAHSILAT!$U$7:$U$2503,0),0)</f>
        <v>225</v>
      </c>
      <c r="U129" s="1"/>
      <c r="V129" s="1">
        <f t="shared" si="21"/>
        <v>4615100102</v>
      </c>
      <c r="W129" s="1">
        <f t="shared" si="22"/>
        <v>102</v>
      </c>
    </row>
    <row r="130" spans="1:23" ht="19.5" customHeight="1" x14ac:dyDescent="0.3">
      <c r="A130" s="2"/>
      <c r="B130" s="65">
        <f t="shared" si="14"/>
        <v>93</v>
      </c>
      <c r="C130" s="70">
        <f t="shared" si="15"/>
        <v>46151</v>
      </c>
      <c r="D130" s="201" t="str">
        <f t="shared" si="16"/>
        <v>ÖMER KARTAL – müşteriden tahsilat: ÇINARHAN LTD.ŞTİ. – NAKİT ÖDENEN</v>
      </c>
      <c r="E130" s="141"/>
      <c r="F130" s="65" t="str">
        <f t="shared" si="17"/>
        <v>MÜŞTERİDEN ALDI</v>
      </c>
      <c r="G130" s="68">
        <f t="shared" si="18"/>
        <v>2500</v>
      </c>
      <c r="H130" s="68">
        <f t="shared" si="19"/>
        <v>0</v>
      </c>
      <c r="I130" s="68">
        <f t="shared" si="23"/>
        <v>436750.01</v>
      </c>
      <c r="J130" s="2"/>
      <c r="K130" s="2"/>
      <c r="L130" s="1"/>
      <c r="M130" s="1">
        <v>93</v>
      </c>
      <c r="N130" s="71">
        <f>IF($T130=0,"",INDEX(TAHSILAT!$E$7:$E$2503,$T130))</f>
        <v>46123</v>
      </c>
      <c r="O130" s="1" t="str">
        <f>IF($N130="","",$C$36&amp;" – müşteriden tahsilat: "&amp;INDEX(TAHSILAT!$N$7:$N$2503,$T130)&amp;IF(INDEX(TAHSILAT!$J$7:$J$2503,$T130)="",""," – "&amp;INDEX(TAHSILAT!$J$7:$J$2503,$T130)))</f>
        <v>ÖMER KARTAL – müşteriden tahsilat: RİX ŞOW LTD.ŞTİ. – ÖMER KARTALA ÖDENEN</v>
      </c>
      <c r="P130" s="1" t="str">
        <f t="shared" si="13"/>
        <v>MÜŞTERİDEN ALDI</v>
      </c>
      <c r="Q130" s="79">
        <f>IF($N130="",0,INDEX(TAHSILAT!$F$7:$F$2503,$T130))</f>
        <v>3000</v>
      </c>
      <c r="R130" s="1">
        <v>0</v>
      </c>
      <c r="S130" s="1">
        <f t="shared" si="20"/>
        <v>4612300093</v>
      </c>
      <c r="T130" s="1">
        <f>IFERROR(MATCH($C$36&amp;"|57",TAHSILAT!$U$7:$U$2503,0),0)</f>
        <v>226</v>
      </c>
      <c r="U130" s="1"/>
      <c r="V130" s="1">
        <f t="shared" si="21"/>
        <v>4615100103</v>
      </c>
      <c r="W130" s="1">
        <f t="shared" si="22"/>
        <v>103</v>
      </c>
    </row>
    <row r="131" spans="1:23" ht="19.5" customHeight="1" x14ac:dyDescent="0.3">
      <c r="A131" s="2"/>
      <c r="B131" s="65">
        <f t="shared" si="14"/>
        <v>94</v>
      </c>
      <c r="C131" s="70">
        <f t="shared" si="15"/>
        <v>46151</v>
      </c>
      <c r="D131" s="201" t="str">
        <f t="shared" si="16"/>
        <v>ÖMER KARTAL – müşteriden tahsilat: ÇINARHAN LTD.ŞTİ. – NAKİT ÖDENEN</v>
      </c>
      <c r="E131" s="141"/>
      <c r="F131" s="65" t="str">
        <f t="shared" si="17"/>
        <v>MÜŞTERİDEN ALDI</v>
      </c>
      <c r="G131" s="68">
        <f t="shared" si="18"/>
        <v>17500</v>
      </c>
      <c r="H131" s="68">
        <f t="shared" si="19"/>
        <v>0</v>
      </c>
      <c r="I131" s="68">
        <f t="shared" si="23"/>
        <v>454250.01</v>
      </c>
      <c r="J131" s="2"/>
      <c r="K131" s="2"/>
      <c r="L131" s="1"/>
      <c r="M131" s="1">
        <v>94</v>
      </c>
      <c r="N131" s="71">
        <f>IF($T131=0,"",INDEX(TAHSILAT!$E$7:$E$2503,$T131))</f>
        <v>46123</v>
      </c>
      <c r="O131" s="1" t="str">
        <f>IF($N131="","",$C$36&amp;" – müşteriden tahsilat: "&amp;INDEX(TAHSILAT!$N$7:$N$2503,$T131)&amp;IF(INDEX(TAHSILAT!$J$7:$J$2503,$T131)="",""," – "&amp;INDEX(TAHSILAT!$J$7:$J$2503,$T131)))</f>
        <v>ÖMER KARTAL – müşteriden tahsilat: ÇINARHAN LTD.ŞTİ. – NAKİT ÖDENEN</v>
      </c>
      <c r="P131" s="1" t="str">
        <f t="shared" si="13"/>
        <v>MÜŞTERİDEN ALDI</v>
      </c>
      <c r="Q131" s="79">
        <f>IF($N131="",0,INDEX(TAHSILAT!$F$7:$F$2503,$T131))</f>
        <v>2500</v>
      </c>
      <c r="R131" s="1">
        <v>0</v>
      </c>
      <c r="S131" s="1">
        <f t="shared" si="20"/>
        <v>4612300094</v>
      </c>
      <c r="T131" s="1">
        <f>IFERROR(MATCH($C$36&amp;"|58",TAHSILAT!$U$7:$U$2503,0),0)</f>
        <v>227</v>
      </c>
      <c r="U131" s="1"/>
      <c r="V131" s="1">
        <f t="shared" si="21"/>
        <v>4615100104</v>
      </c>
      <c r="W131" s="1">
        <f t="shared" si="22"/>
        <v>104</v>
      </c>
    </row>
    <row r="132" spans="1:23" ht="19.5" customHeight="1" x14ac:dyDescent="0.3">
      <c r="A132" s="2"/>
      <c r="B132" s="65">
        <f t="shared" si="14"/>
        <v>95</v>
      </c>
      <c r="C132" s="70">
        <f t="shared" si="15"/>
        <v>46151</v>
      </c>
      <c r="D132" s="201" t="str">
        <f t="shared" si="16"/>
        <v>ÖMER KARTAL – müşteriden tahsilat: PALAOĞULLARI LTD.ŞTİ. – NAKİT ÖDENEN</v>
      </c>
      <c r="E132" s="141"/>
      <c r="F132" s="65" t="str">
        <f t="shared" si="17"/>
        <v>MÜŞTERİDEN ALDI</v>
      </c>
      <c r="G132" s="68">
        <f t="shared" si="18"/>
        <v>4000</v>
      </c>
      <c r="H132" s="68">
        <f t="shared" si="19"/>
        <v>0</v>
      </c>
      <c r="I132" s="68">
        <f t="shared" si="23"/>
        <v>458250.01</v>
      </c>
      <c r="J132" s="2"/>
      <c r="K132" s="2"/>
      <c r="L132" s="1"/>
      <c r="M132" s="1">
        <v>95</v>
      </c>
      <c r="N132" s="71">
        <f>IF($T132=0,"",INDEX(TAHSILAT!$E$7:$E$2503,$T132))</f>
        <v>46123</v>
      </c>
      <c r="O132" s="1" t="str">
        <f>IF($N132="","",$C$36&amp;" – müşteriden tahsilat: "&amp;INDEX(TAHSILAT!$N$7:$N$2503,$T132)&amp;IF(INDEX(TAHSILAT!$J$7:$J$2503,$T132)="",""," – "&amp;INDEX(TAHSILAT!$J$7:$J$2503,$T132)))</f>
        <v>ÖMER KARTAL – müşteriden tahsilat: KRİSTAL LTD.ŞTİ. – NAKİT ÖDENEN</v>
      </c>
      <c r="P132" s="1" t="str">
        <f t="shared" si="13"/>
        <v>MÜŞTERİDEN ALDI</v>
      </c>
      <c r="Q132" s="79">
        <f>IF($N132="",0,INDEX(TAHSILAT!$F$7:$F$2503,$T132))</f>
        <v>3000</v>
      </c>
      <c r="R132" s="1">
        <v>0</v>
      </c>
      <c r="S132" s="1">
        <f t="shared" si="20"/>
        <v>4612300095</v>
      </c>
      <c r="T132" s="1">
        <f>IFERROR(MATCH($C$36&amp;"|59",TAHSILAT!$U$7:$U$2503,0),0)</f>
        <v>228</v>
      </c>
      <c r="U132" s="1"/>
      <c r="V132" s="1">
        <f t="shared" si="21"/>
        <v>4615100105</v>
      </c>
      <c r="W132" s="1">
        <f t="shared" si="22"/>
        <v>105</v>
      </c>
    </row>
    <row r="133" spans="1:23" ht="19.5" customHeight="1" x14ac:dyDescent="0.3">
      <c r="A133" s="2"/>
      <c r="B133" s="65">
        <f t="shared" si="14"/>
        <v>96</v>
      </c>
      <c r="C133" s="70">
        <f t="shared" si="15"/>
        <v>46157</v>
      </c>
      <c r="D133" s="201" t="str">
        <f t="shared" si="16"/>
        <v>ÖMER KARTAL – müşteriden tahsilat: UFUK YILMAZ – NAKİT ÖDENEN</v>
      </c>
      <c r="E133" s="141"/>
      <c r="F133" s="65" t="str">
        <f t="shared" si="17"/>
        <v>MÜŞTERİDEN ALDI</v>
      </c>
      <c r="G133" s="68">
        <f t="shared" si="18"/>
        <v>3000</v>
      </c>
      <c r="H133" s="68">
        <f t="shared" si="19"/>
        <v>0</v>
      </c>
      <c r="I133" s="68">
        <f t="shared" si="23"/>
        <v>461250.01</v>
      </c>
      <c r="J133" s="2"/>
      <c r="K133" s="2"/>
      <c r="L133" s="1"/>
      <c r="M133" s="1">
        <v>96</v>
      </c>
      <c r="N133" s="71">
        <f>IF($T133=0,"",INDEX(TAHSILAT!$E$7:$E$2503,$T133))</f>
        <v>46123</v>
      </c>
      <c r="O133" s="1" t="str">
        <f>IF($N133="","",$C$36&amp;" – müşteriden tahsilat: "&amp;INDEX(TAHSILAT!$N$7:$N$2503,$T133)&amp;IF(INDEX(TAHSILAT!$J$7:$J$2503,$T133)="",""," – "&amp;INDEX(TAHSILAT!$J$7:$J$2503,$T133)))</f>
        <v>ÖMER KARTAL – müşteriden tahsilat: PALAOĞULLARI LTD.ŞTİ. – NAKİT ÖDENEN</v>
      </c>
      <c r="P133" s="1" t="str">
        <f t="shared" si="13"/>
        <v>MÜŞTERİDEN ALDI</v>
      </c>
      <c r="Q133" s="79">
        <f>IF($N133="",0,INDEX(TAHSILAT!$F$7:$F$2503,$T133))</f>
        <v>4000</v>
      </c>
      <c r="R133" s="1">
        <v>0</v>
      </c>
      <c r="S133" s="1">
        <f t="shared" si="20"/>
        <v>4612300096</v>
      </c>
      <c r="T133" s="1">
        <f>IFERROR(MATCH($C$36&amp;"|60",TAHSILAT!$U$7:$U$2503,0),0)</f>
        <v>229</v>
      </c>
      <c r="U133" s="1"/>
      <c r="V133" s="1">
        <f t="shared" si="21"/>
        <v>4615700106</v>
      </c>
      <c r="W133" s="1">
        <f t="shared" si="22"/>
        <v>106</v>
      </c>
    </row>
    <row r="134" spans="1:23" ht="19.5" customHeight="1" x14ac:dyDescent="0.3">
      <c r="A134" s="2"/>
      <c r="B134" s="65">
        <f t="shared" si="14"/>
        <v>97</v>
      </c>
      <c r="C134" s="70">
        <f t="shared" si="15"/>
        <v>46158</v>
      </c>
      <c r="D134" s="201" t="str">
        <f t="shared" si="16"/>
        <v>ÖMER KARTAL – müşteriden tahsilat: ASM EĞLENCE LTD.ŞTİ. – NAKİT ÖDENEN</v>
      </c>
      <c r="E134" s="141"/>
      <c r="F134" s="65" t="str">
        <f t="shared" si="17"/>
        <v>MÜŞTERİDEN ALDI</v>
      </c>
      <c r="G134" s="68">
        <f t="shared" si="18"/>
        <v>2500</v>
      </c>
      <c r="H134" s="68">
        <f t="shared" si="19"/>
        <v>0</v>
      </c>
      <c r="I134" s="68">
        <f t="shared" si="23"/>
        <v>463750.01</v>
      </c>
      <c r="J134" s="2"/>
      <c r="K134" s="2"/>
      <c r="L134" s="1"/>
      <c r="M134" s="1">
        <v>97</v>
      </c>
      <c r="N134" s="71">
        <f>IF($T134=0,"",INDEX(TAHSILAT!$E$7:$E$2503,$T134))</f>
        <v>46124</v>
      </c>
      <c r="O134" s="1" t="str">
        <f>IF($N134="","",$C$36&amp;" – müşteriden tahsilat: "&amp;INDEX(TAHSILAT!$N$7:$N$2503,$T134)&amp;IF(INDEX(TAHSILAT!$J$7:$J$2503,$T134)="",""," – "&amp;INDEX(TAHSILAT!$J$7:$J$2503,$T134)))</f>
        <v>ÖMER KARTAL – müşteriden tahsilat: MONAMOUR LTD.ŞTİ. – ÖMER KARTALA ÖDENEN</v>
      </c>
      <c r="P134" s="1" t="str">
        <f t="shared" si="13"/>
        <v>MÜŞTERİDEN ALDI</v>
      </c>
      <c r="Q134" s="79">
        <f>IF($N134="",0,INDEX(TAHSILAT!$F$7:$F$2503,$T134))</f>
        <v>3500</v>
      </c>
      <c r="R134" s="1">
        <v>0</v>
      </c>
      <c r="S134" s="1">
        <f t="shared" si="20"/>
        <v>4612400097</v>
      </c>
      <c r="T134" s="1">
        <f>IFERROR(MATCH($C$36&amp;"|61",TAHSILAT!$U$7:$U$2503,0),0)</f>
        <v>234</v>
      </c>
      <c r="U134" s="1"/>
      <c r="V134" s="1">
        <f t="shared" si="21"/>
        <v>4615800107</v>
      </c>
      <c r="W134" s="1">
        <f t="shared" si="22"/>
        <v>107</v>
      </c>
    </row>
    <row r="135" spans="1:23" ht="19.5" customHeight="1" x14ac:dyDescent="0.3">
      <c r="A135" s="2"/>
      <c r="B135" s="65">
        <f t="shared" si="14"/>
        <v>98</v>
      </c>
      <c r="C135" s="70">
        <f t="shared" si="15"/>
        <v>46172</v>
      </c>
      <c r="D135" s="201" t="str">
        <f t="shared" si="16"/>
        <v>ÖMER KARTAL – müşteriden tahsilat: KRİSTAL LTD.ŞTİ. – NAKİT ÖDENEN</v>
      </c>
      <c r="E135" s="141"/>
      <c r="F135" s="65" t="str">
        <f t="shared" si="17"/>
        <v>MÜŞTERİDEN ALDI</v>
      </c>
      <c r="G135" s="68">
        <f t="shared" si="18"/>
        <v>6000</v>
      </c>
      <c r="H135" s="68">
        <f t="shared" si="19"/>
        <v>0</v>
      </c>
      <c r="I135" s="68">
        <f t="shared" si="23"/>
        <v>469750.01</v>
      </c>
      <c r="J135" s="2"/>
      <c r="K135" s="2"/>
      <c r="L135" s="1"/>
      <c r="M135" s="1">
        <v>98</v>
      </c>
      <c r="N135" s="71">
        <f>IF($T135=0,"",INDEX(TAHSILAT!$E$7:$E$2503,$T135))</f>
        <v>46126</v>
      </c>
      <c r="O135" s="1" t="str">
        <f>IF($N135="","",$C$36&amp;" – müşteriden tahsilat: "&amp;INDEX(TAHSILAT!$N$7:$N$2503,$T135)&amp;IF(INDEX(TAHSILAT!$J$7:$J$2503,$T135)="",""," – "&amp;INDEX(TAHSILAT!$J$7:$J$2503,$T135)))</f>
        <v>ÖMER KARTAL – müşteriden tahsilat: UFUK YILMAZ – NAKİT ÖDENEN</v>
      </c>
      <c r="P135" s="1" t="str">
        <f t="shared" si="13"/>
        <v>MÜŞTERİDEN ALDI</v>
      </c>
      <c r="Q135" s="79">
        <f>IF($N135="",0,INDEX(TAHSILAT!$F$7:$F$2503,$T135))</f>
        <v>3000</v>
      </c>
      <c r="R135" s="1">
        <v>0</v>
      </c>
      <c r="S135" s="1">
        <f t="shared" si="20"/>
        <v>4612600098</v>
      </c>
      <c r="T135" s="1">
        <f>IFERROR(MATCH($C$36&amp;"|62",TAHSILAT!$U$7:$U$2503,0),0)</f>
        <v>236</v>
      </c>
      <c r="U135" s="1"/>
      <c r="V135" s="1">
        <f t="shared" si="21"/>
        <v>4617200108</v>
      </c>
      <c r="W135" s="1">
        <f t="shared" si="22"/>
        <v>108</v>
      </c>
    </row>
    <row r="136" spans="1:23" ht="19.5" customHeight="1" x14ac:dyDescent="0.3">
      <c r="A136" s="2"/>
      <c r="B136" s="65">
        <f t="shared" si="14"/>
        <v>99</v>
      </c>
      <c r="C136" s="70">
        <f t="shared" si="15"/>
        <v>46173</v>
      </c>
      <c r="D136" s="201" t="str">
        <f t="shared" si="16"/>
        <v>ÖMER KARTAL – Mayıs 2026 kâr payı tahakkuku</v>
      </c>
      <c r="E136" s="141"/>
      <c r="F136" s="65" t="str">
        <f t="shared" si="17"/>
        <v>KÂR PAYI TAHAKKUKU</v>
      </c>
      <c r="G136" s="68">
        <f t="shared" si="18"/>
        <v>0</v>
      </c>
      <c r="H136" s="68">
        <f t="shared" si="19"/>
        <v>109773</v>
      </c>
      <c r="I136" s="68">
        <f t="shared" si="23"/>
        <v>359977.01</v>
      </c>
      <c r="J136" s="2"/>
      <c r="K136" s="2"/>
      <c r="L136" s="1"/>
      <c r="M136" s="1">
        <v>99</v>
      </c>
      <c r="N136" s="71">
        <f>IF($T136=0,"",INDEX(TAHSILAT!$E$7:$E$2503,$T136))</f>
        <v>46142</v>
      </c>
      <c r="O136" s="1" t="str">
        <f>IF($N136="","",$C$36&amp;" – müşteriden tahsilat: "&amp;INDEX(TAHSILAT!$N$7:$N$2503,$T136)&amp;IF(INDEX(TAHSILAT!$J$7:$J$2503,$T136)="",""," – "&amp;INDEX(TAHSILAT!$J$7:$J$2503,$T136)))</f>
        <v xml:space="preserve">ÖMER KARTAL – müşteriden tahsilat: ALTINEL LTD.ŞTİ. – ALTINEL LTD.ŞTİ. </v>
      </c>
      <c r="P136" s="1" t="str">
        <f t="shared" si="13"/>
        <v>MÜŞTERİDEN ALDI</v>
      </c>
      <c r="Q136" s="79">
        <f>IF($N136="",0,INDEX(TAHSILAT!$F$7:$F$2503,$T136))</f>
        <v>12000</v>
      </c>
      <c r="R136" s="1">
        <v>0</v>
      </c>
      <c r="S136" s="1">
        <f t="shared" si="20"/>
        <v>4614200099</v>
      </c>
      <c r="T136" s="1">
        <f>IFERROR(MATCH($C$36&amp;"|63",TAHSILAT!$U$7:$U$2503,0),0)</f>
        <v>274</v>
      </c>
      <c r="U136" s="1"/>
      <c r="V136" s="1">
        <f t="shared" si="21"/>
        <v>4617300005</v>
      </c>
      <c r="W136" s="1">
        <f t="shared" si="22"/>
        <v>5</v>
      </c>
    </row>
    <row r="137" spans="1:23" ht="19.5" customHeight="1" x14ac:dyDescent="0.3">
      <c r="A137" s="2"/>
      <c r="B137" s="65">
        <f t="shared" si="14"/>
        <v>100</v>
      </c>
      <c r="C137" s="70">
        <f t="shared" si="15"/>
        <v>46173</v>
      </c>
      <c r="D137" s="201" t="str">
        <f t="shared" si="16"/>
        <v xml:space="preserve">ÖMER KARTAL – müşteriden tahsilat: ALTINEL LTD.ŞTİ. – ALTINEL LTD.ŞTİ. </v>
      </c>
      <c r="E137" s="141"/>
      <c r="F137" s="65" t="str">
        <f t="shared" si="17"/>
        <v>MÜŞTERİDEN ALDI</v>
      </c>
      <c r="G137" s="68">
        <f t="shared" si="18"/>
        <v>12000</v>
      </c>
      <c r="H137" s="68">
        <f t="shared" si="19"/>
        <v>0</v>
      </c>
      <c r="I137" s="68">
        <f t="shared" si="23"/>
        <v>371977.01</v>
      </c>
      <c r="J137" s="2"/>
      <c r="K137" s="2"/>
      <c r="L137" s="1"/>
      <c r="M137" s="1">
        <v>100</v>
      </c>
      <c r="N137" s="71">
        <f>IF($T137=0,"",INDEX(TAHSILAT!$E$7:$E$2503,$T137))</f>
        <v>46151</v>
      </c>
      <c r="O137" s="1" t="str">
        <f>IF($N137="","",$C$36&amp;" – müşteriden tahsilat: "&amp;INDEX(TAHSILAT!$N$7:$N$2503,$T137)&amp;IF(INDEX(TAHSILAT!$J$7:$J$2503,$T137)="",""," – "&amp;INDEX(TAHSILAT!$J$7:$J$2503,$T137)))</f>
        <v>ÖMER KARTAL – müşteriden tahsilat: EĞLENGÖR LTD.ŞTİ. – ÖMER KARTALA ÖDENEN</v>
      </c>
      <c r="P137" s="1" t="str">
        <f t="shared" si="13"/>
        <v>MÜŞTERİDEN ALDI</v>
      </c>
      <c r="Q137" s="79">
        <f>IF($N137="",0,INDEX(TAHSILAT!$F$7:$F$2503,$T137))</f>
        <v>4000</v>
      </c>
      <c r="R137" s="1">
        <v>0</v>
      </c>
      <c r="S137" s="1">
        <f t="shared" si="20"/>
        <v>4615100100</v>
      </c>
      <c r="T137" s="1">
        <f>IFERROR(MATCH($C$36&amp;"|64",TAHSILAT!$U$7:$U$2503,0),0)</f>
        <v>293</v>
      </c>
      <c r="U137" s="1"/>
      <c r="V137" s="1">
        <f t="shared" si="21"/>
        <v>4617300109</v>
      </c>
      <c r="W137" s="1">
        <f t="shared" si="22"/>
        <v>109</v>
      </c>
    </row>
    <row r="138" spans="1:23" ht="19.5" customHeight="1" x14ac:dyDescent="0.3">
      <c r="A138" s="2"/>
      <c r="B138" s="65">
        <f t="shared" si="14"/>
        <v>101</v>
      </c>
      <c r="C138" s="70">
        <f t="shared" si="15"/>
        <v>46173</v>
      </c>
      <c r="D138" s="201" t="str">
        <f t="shared" si="16"/>
        <v xml:space="preserve">MERKEZ KASA → ÖMER KARTAL – ÖMER TATİLDEYKEN HAVALE </v>
      </c>
      <c r="E138" s="141"/>
      <c r="F138" s="65" t="str">
        <f t="shared" si="17"/>
        <v>VİRMAN GELDİ</v>
      </c>
      <c r="G138" s="68">
        <f t="shared" si="18"/>
        <v>17000</v>
      </c>
      <c r="H138" s="68">
        <f t="shared" si="19"/>
        <v>0</v>
      </c>
      <c r="I138" s="68">
        <f t="shared" si="23"/>
        <v>388977.01</v>
      </c>
      <c r="J138" s="2"/>
      <c r="K138" s="2"/>
      <c r="L138" s="1"/>
      <c r="M138" s="1">
        <v>101</v>
      </c>
      <c r="N138" s="71">
        <f>IF($T138=0,"",INDEX(TAHSILAT!$E$7:$E$2503,$T138))</f>
        <v>46151</v>
      </c>
      <c r="O138" s="1" t="str">
        <f>IF($N138="","",$C$36&amp;" – müşteriden tahsilat: "&amp;INDEX(TAHSILAT!$N$7:$N$2503,$T138)&amp;IF(INDEX(TAHSILAT!$J$7:$J$2503,$T138)="",""," – "&amp;INDEX(TAHSILAT!$J$7:$J$2503,$T138)))</f>
        <v>ÖMER KARTAL – müşteriden tahsilat: İLDEŞ LTD.ŞTİ. – ÖMER KARTALA ÖDENEN</v>
      </c>
      <c r="P138" s="1" t="str">
        <f t="shared" ref="P138:P201" si="24">IF($N138="","","MÜŞTERİDEN ALDI")</f>
        <v>MÜŞTERİDEN ALDI</v>
      </c>
      <c r="Q138" s="79">
        <f>IF($N138="",0,INDEX(TAHSILAT!$F$7:$F$2503,$T138))</f>
        <v>4000</v>
      </c>
      <c r="R138" s="1">
        <v>0</v>
      </c>
      <c r="S138" s="1">
        <f t="shared" si="20"/>
        <v>4615100101</v>
      </c>
      <c r="T138" s="1">
        <f>IFERROR(MATCH($C$36&amp;"|65",TAHSILAT!$U$7:$U$2503,0),0)</f>
        <v>294</v>
      </c>
      <c r="U138" s="1"/>
      <c r="V138" s="1">
        <f t="shared" si="21"/>
        <v>4617300553</v>
      </c>
      <c r="W138" s="1">
        <f t="shared" si="22"/>
        <v>553</v>
      </c>
    </row>
    <row r="139" spans="1:23" ht="19.5" customHeight="1" x14ac:dyDescent="0.3">
      <c r="A139" s="2"/>
      <c r="B139" s="65">
        <f t="shared" si="14"/>
        <v>102</v>
      </c>
      <c r="C139" s="70">
        <f t="shared" si="15"/>
        <v>46173</v>
      </c>
      <c r="D139" s="201" t="str">
        <f t="shared" si="16"/>
        <v>MERKEZ KASA → ÖMER KARTAL – PARİS GAZİNOSU SGK'LAR</v>
      </c>
      <c r="E139" s="141"/>
      <c r="F139" s="65" t="str">
        <f t="shared" si="17"/>
        <v>VİRMAN GELDİ</v>
      </c>
      <c r="G139" s="68">
        <f t="shared" si="18"/>
        <v>12000</v>
      </c>
      <c r="H139" s="68">
        <f t="shared" si="19"/>
        <v>0</v>
      </c>
      <c r="I139" s="68">
        <f t="shared" si="23"/>
        <v>400977.01</v>
      </c>
      <c r="J139" s="2"/>
      <c r="K139" s="2"/>
      <c r="L139" s="1"/>
      <c r="M139" s="1">
        <v>102</v>
      </c>
      <c r="N139" s="71">
        <f>IF($T139=0,"",INDEX(TAHSILAT!$E$7:$E$2503,$T139))</f>
        <v>46151</v>
      </c>
      <c r="O139" s="1" t="str">
        <f>IF($N139="","",$C$36&amp;" – müşteriden tahsilat: "&amp;INDEX(TAHSILAT!$N$7:$N$2503,$T139)&amp;IF(INDEX(TAHSILAT!$J$7:$J$2503,$T139)="",""," – "&amp;INDEX(TAHSILAT!$J$7:$J$2503,$T139)))</f>
        <v>ÖMER KARTAL – müşteriden tahsilat: PAKYILDIZ LTD.ŞTİ. – ÖMER KARTALA ÖDENEN</v>
      </c>
      <c r="P139" s="1" t="str">
        <f t="shared" si="24"/>
        <v>MÜŞTERİDEN ALDI</v>
      </c>
      <c r="Q139" s="79">
        <f>IF($N139="",0,INDEX(TAHSILAT!$F$7:$F$2503,$T139))</f>
        <v>4000</v>
      </c>
      <c r="R139" s="1">
        <v>0</v>
      </c>
      <c r="S139" s="1">
        <f t="shared" si="20"/>
        <v>4615100102</v>
      </c>
      <c r="T139" s="1">
        <f>IFERROR(MATCH($C$36&amp;"|66",TAHSILAT!$U$7:$U$2503,0),0)</f>
        <v>296</v>
      </c>
      <c r="U139" s="1"/>
      <c r="V139" s="1">
        <f t="shared" si="21"/>
        <v>4617300554</v>
      </c>
      <c r="W139" s="1">
        <f t="shared" si="22"/>
        <v>554</v>
      </c>
    </row>
    <row r="140" spans="1:23" ht="19.5" customHeight="1" x14ac:dyDescent="0.3">
      <c r="A140" s="2"/>
      <c r="B140" s="65">
        <f t="shared" si="14"/>
        <v>103</v>
      </c>
      <c r="C140" s="70">
        <f t="shared" si="15"/>
        <v>46173</v>
      </c>
      <c r="D140" s="201" t="str">
        <f t="shared" si="16"/>
        <v>MERKEZ KASA → ÖMER KARTAL – FADİME HORUZCU MUHASEBE ÜCRETİ</v>
      </c>
      <c r="E140" s="141"/>
      <c r="F140" s="65" t="str">
        <f t="shared" si="17"/>
        <v>VİRMAN GELDİ</v>
      </c>
      <c r="G140" s="68">
        <f t="shared" si="18"/>
        <v>2000</v>
      </c>
      <c r="H140" s="68">
        <f t="shared" si="19"/>
        <v>0</v>
      </c>
      <c r="I140" s="68">
        <f t="shared" si="23"/>
        <v>402977.01</v>
      </c>
      <c r="J140" s="2"/>
      <c r="K140" s="2"/>
      <c r="L140" s="1"/>
      <c r="M140" s="1">
        <v>103</v>
      </c>
      <c r="N140" s="71">
        <f>IF($T140=0,"",INDEX(TAHSILAT!$E$7:$E$2503,$T140))</f>
        <v>46151</v>
      </c>
      <c r="O140" s="1" t="str">
        <f>IF($N140="","",$C$36&amp;" – müşteriden tahsilat: "&amp;INDEX(TAHSILAT!$N$7:$N$2503,$T140)&amp;IF(INDEX(TAHSILAT!$J$7:$J$2503,$T140)="",""," – "&amp;INDEX(TAHSILAT!$J$7:$J$2503,$T140)))</f>
        <v>ÖMER KARTAL – müşteriden tahsilat: ÇINARHAN LTD.ŞTİ. – NAKİT ÖDENEN</v>
      </c>
      <c r="P140" s="1" t="str">
        <f t="shared" si="24"/>
        <v>MÜŞTERİDEN ALDI</v>
      </c>
      <c r="Q140" s="79">
        <f>IF($N140="",0,INDEX(TAHSILAT!$F$7:$F$2503,$T140))</f>
        <v>2500</v>
      </c>
      <c r="R140" s="1">
        <v>0</v>
      </c>
      <c r="S140" s="1">
        <f t="shared" si="20"/>
        <v>4615100103</v>
      </c>
      <c r="T140" s="1">
        <f>IFERROR(MATCH($C$36&amp;"|67",TAHSILAT!$U$7:$U$2503,0),0)</f>
        <v>299</v>
      </c>
      <c r="U140" s="1"/>
      <c r="V140" s="1">
        <f t="shared" si="21"/>
        <v>4617300555</v>
      </c>
      <c r="W140" s="1">
        <f t="shared" si="22"/>
        <v>555</v>
      </c>
    </row>
    <row r="141" spans="1:23" ht="19.5" customHeight="1" x14ac:dyDescent="0.3">
      <c r="A141" s="2"/>
      <c r="B141" s="65">
        <f t="shared" si="14"/>
        <v>104</v>
      </c>
      <c r="C141" s="70">
        <f t="shared" si="15"/>
        <v>46173</v>
      </c>
      <c r="D141" s="201" t="str">
        <f t="shared" si="16"/>
        <v>MERKEZ KASA → ÖMER KARTAL – KÂR PAYI / AVANS ÇEKİŞİ — Mayıs Ayı Kâr Payı Ödemesi — eski GELIR_GIDER satır 167</v>
      </c>
      <c r="E141" s="141"/>
      <c r="F141" s="65" t="str">
        <f t="shared" si="17"/>
        <v>VİRMAN GELDİ</v>
      </c>
      <c r="G141" s="68">
        <f t="shared" si="18"/>
        <v>109773</v>
      </c>
      <c r="H141" s="68">
        <f t="shared" si="19"/>
        <v>0</v>
      </c>
      <c r="I141" s="68">
        <f t="shared" si="23"/>
        <v>512750.01</v>
      </c>
      <c r="J141" s="2"/>
      <c r="K141" s="2"/>
      <c r="L141" s="1"/>
      <c r="M141" s="1">
        <v>104</v>
      </c>
      <c r="N141" s="71">
        <f>IF($T141=0,"",INDEX(TAHSILAT!$E$7:$E$2503,$T141))</f>
        <v>46151</v>
      </c>
      <c r="O141" s="1" t="str">
        <f>IF($N141="","",$C$36&amp;" – müşteriden tahsilat: "&amp;INDEX(TAHSILAT!$N$7:$N$2503,$T141)&amp;IF(INDEX(TAHSILAT!$J$7:$J$2503,$T141)="",""," – "&amp;INDEX(TAHSILAT!$J$7:$J$2503,$T141)))</f>
        <v>ÖMER KARTAL – müşteriden tahsilat: ÇINARHAN LTD.ŞTİ. – NAKİT ÖDENEN</v>
      </c>
      <c r="P141" s="1" t="str">
        <f t="shared" si="24"/>
        <v>MÜŞTERİDEN ALDI</v>
      </c>
      <c r="Q141" s="79">
        <f>IF($N141="",0,INDEX(TAHSILAT!$F$7:$F$2503,$T141))</f>
        <v>17500</v>
      </c>
      <c r="R141" s="1">
        <v>0</v>
      </c>
      <c r="S141" s="1">
        <f t="shared" si="20"/>
        <v>4615100104</v>
      </c>
      <c r="T141" s="1">
        <f>IFERROR(MATCH($C$36&amp;"|68",TAHSILAT!$U$7:$U$2503,0),0)</f>
        <v>300</v>
      </c>
      <c r="U141" s="1"/>
      <c r="V141" s="1">
        <f t="shared" si="21"/>
        <v>4617300570</v>
      </c>
      <c r="W141" s="1">
        <f t="shared" si="22"/>
        <v>570</v>
      </c>
    </row>
    <row r="142" spans="1:23" ht="19.5" customHeight="1" x14ac:dyDescent="0.3">
      <c r="A142" s="2"/>
      <c r="B142" s="65">
        <f t="shared" si="14"/>
        <v>105</v>
      </c>
      <c r="C142" s="70">
        <f t="shared" si="15"/>
        <v>46174</v>
      </c>
      <c r="D142" s="201" t="str">
        <f t="shared" si="16"/>
        <v xml:space="preserve">ÖMER KARTAL – müşteriden tahsilat: ALTINEL LTD.ŞTİ. – ALTINEL LTD.ŞTİ. </v>
      </c>
      <c r="E142" s="141"/>
      <c r="F142" s="65" t="str">
        <f t="shared" si="17"/>
        <v>MÜŞTERİDEN ALDI</v>
      </c>
      <c r="G142" s="68">
        <f t="shared" si="18"/>
        <v>12000</v>
      </c>
      <c r="H142" s="68">
        <f t="shared" si="19"/>
        <v>0</v>
      </c>
      <c r="I142" s="68">
        <f t="shared" si="23"/>
        <v>524750.01</v>
      </c>
      <c r="J142" s="2"/>
      <c r="K142" s="2"/>
      <c r="L142" s="1"/>
      <c r="M142" s="1">
        <v>105</v>
      </c>
      <c r="N142" s="71">
        <f>IF($T142=0,"",INDEX(TAHSILAT!$E$7:$E$2503,$T142))</f>
        <v>46151</v>
      </c>
      <c r="O142" s="1" t="str">
        <f>IF($N142="","",$C$36&amp;" – müşteriden tahsilat: "&amp;INDEX(TAHSILAT!$N$7:$N$2503,$T142)&amp;IF(INDEX(TAHSILAT!$J$7:$J$2503,$T142)="",""," – "&amp;INDEX(TAHSILAT!$J$7:$J$2503,$T142)))</f>
        <v>ÖMER KARTAL – müşteriden tahsilat: PALAOĞULLARI LTD.ŞTİ. – NAKİT ÖDENEN</v>
      </c>
      <c r="P142" s="1" t="str">
        <f t="shared" si="24"/>
        <v>MÜŞTERİDEN ALDI</v>
      </c>
      <c r="Q142" s="79">
        <f>IF($N142="",0,INDEX(TAHSILAT!$F$7:$F$2503,$T142))</f>
        <v>4000</v>
      </c>
      <c r="R142" s="1">
        <v>0</v>
      </c>
      <c r="S142" s="1">
        <f t="shared" si="20"/>
        <v>4615100105</v>
      </c>
      <c r="T142" s="1">
        <f>IFERROR(MATCH($C$36&amp;"|69",TAHSILAT!$U$7:$U$2503,0),0)</f>
        <v>302</v>
      </c>
      <c r="U142" s="1"/>
      <c r="V142" s="1">
        <f t="shared" si="21"/>
        <v>4617400110</v>
      </c>
      <c r="W142" s="1">
        <f t="shared" si="22"/>
        <v>110</v>
      </c>
    </row>
    <row r="143" spans="1:23" ht="19.5" customHeight="1" x14ac:dyDescent="0.3">
      <c r="A143" s="2"/>
      <c r="B143" s="65">
        <f t="shared" si="14"/>
        <v>106</v>
      </c>
      <c r="C143" s="70">
        <f t="shared" si="15"/>
        <v>46179</v>
      </c>
      <c r="D143" s="201" t="str">
        <f t="shared" si="16"/>
        <v>ÖMER KARTAL – müşteriden tahsilat: KRİSTAL LTD.ŞTİ. – NAKİT ÖDENEN</v>
      </c>
      <c r="E143" s="141"/>
      <c r="F143" s="65" t="str">
        <f t="shared" si="17"/>
        <v>MÜŞTERİDEN ALDI</v>
      </c>
      <c r="G143" s="68">
        <f t="shared" si="18"/>
        <v>3000</v>
      </c>
      <c r="H143" s="68">
        <f t="shared" si="19"/>
        <v>0</v>
      </c>
      <c r="I143" s="68">
        <f t="shared" si="23"/>
        <v>527750.01</v>
      </c>
      <c r="J143" s="2"/>
      <c r="K143" s="2"/>
      <c r="L143" s="1"/>
      <c r="M143" s="1">
        <v>106</v>
      </c>
      <c r="N143" s="71">
        <f>IF($T143=0,"",INDEX(TAHSILAT!$E$7:$E$2503,$T143))</f>
        <v>46157</v>
      </c>
      <c r="O143" s="1" t="str">
        <f>IF($N143="","",$C$36&amp;" – müşteriden tahsilat: "&amp;INDEX(TAHSILAT!$N$7:$N$2503,$T143)&amp;IF(INDEX(TAHSILAT!$J$7:$J$2503,$T143)="",""," – "&amp;INDEX(TAHSILAT!$J$7:$J$2503,$T143)))</f>
        <v>ÖMER KARTAL – müşteriden tahsilat: UFUK YILMAZ – NAKİT ÖDENEN</v>
      </c>
      <c r="P143" s="1" t="str">
        <f t="shared" si="24"/>
        <v>MÜŞTERİDEN ALDI</v>
      </c>
      <c r="Q143" s="79">
        <f>IF($N143="",0,INDEX(TAHSILAT!$F$7:$F$2503,$T143))</f>
        <v>3000</v>
      </c>
      <c r="R143" s="1">
        <v>0</v>
      </c>
      <c r="S143" s="1">
        <f t="shared" si="20"/>
        <v>4615700106</v>
      </c>
      <c r="T143" s="1">
        <f>IFERROR(MATCH($C$36&amp;"|70",TAHSILAT!$U$7:$U$2503,0),0)</f>
        <v>309</v>
      </c>
      <c r="U143" s="1"/>
      <c r="V143" s="1">
        <f t="shared" si="21"/>
        <v>4617900111</v>
      </c>
      <c r="W143" s="1">
        <f t="shared" si="22"/>
        <v>111</v>
      </c>
    </row>
    <row r="144" spans="1:23" ht="19.5" customHeight="1" x14ac:dyDescent="0.3">
      <c r="A144" s="2"/>
      <c r="B144" s="65">
        <f t="shared" si="14"/>
        <v>107</v>
      </c>
      <c r="C144" s="70">
        <f t="shared" si="15"/>
        <v>46188</v>
      </c>
      <c r="D144" s="201" t="str">
        <f t="shared" si="16"/>
        <v>ÖMER KARTAL – müşteriden tahsilat: UFUK YILMAZ – NAKİT ÖDENEN</v>
      </c>
      <c r="E144" s="141"/>
      <c r="F144" s="65" t="str">
        <f t="shared" si="17"/>
        <v>MÜŞTERİDEN ALDI</v>
      </c>
      <c r="G144" s="68">
        <f t="shared" si="18"/>
        <v>3000</v>
      </c>
      <c r="H144" s="68">
        <f t="shared" si="19"/>
        <v>0</v>
      </c>
      <c r="I144" s="68">
        <f t="shared" si="23"/>
        <v>530750.01</v>
      </c>
      <c r="J144" s="2"/>
      <c r="K144" s="2"/>
      <c r="L144" s="1"/>
      <c r="M144" s="1">
        <v>107</v>
      </c>
      <c r="N144" s="71">
        <f>IF($T144=0,"",INDEX(TAHSILAT!$E$7:$E$2503,$T144))</f>
        <v>46158</v>
      </c>
      <c r="O144" s="1" t="str">
        <f>IF($N144="","",$C$36&amp;" – müşteriden tahsilat: "&amp;INDEX(TAHSILAT!$N$7:$N$2503,$T144)&amp;IF(INDEX(TAHSILAT!$J$7:$J$2503,$T144)="",""," – "&amp;INDEX(TAHSILAT!$J$7:$J$2503,$T144)))</f>
        <v>ÖMER KARTAL – müşteriden tahsilat: ASM EĞLENCE LTD.ŞTİ. – NAKİT ÖDENEN</v>
      </c>
      <c r="P144" s="1" t="str">
        <f t="shared" si="24"/>
        <v>MÜŞTERİDEN ALDI</v>
      </c>
      <c r="Q144" s="79">
        <f>IF($N144="",0,INDEX(TAHSILAT!$F$7:$F$2503,$T144))</f>
        <v>2500</v>
      </c>
      <c r="R144" s="1">
        <v>0</v>
      </c>
      <c r="S144" s="1">
        <f t="shared" si="20"/>
        <v>4615800107</v>
      </c>
      <c r="T144" s="1">
        <f>IFERROR(MATCH($C$36&amp;"|71",TAHSILAT!$U$7:$U$2503,0),0)</f>
        <v>310</v>
      </c>
      <c r="U144" s="1"/>
      <c r="V144" s="1">
        <f t="shared" si="21"/>
        <v>4618800112</v>
      </c>
      <c r="W144" s="1">
        <f t="shared" si="22"/>
        <v>112</v>
      </c>
    </row>
    <row r="145" spans="1:23" ht="19.5" customHeight="1" x14ac:dyDescent="0.3">
      <c r="A145" s="2"/>
      <c r="B145" s="65">
        <f t="shared" si="14"/>
        <v>108</v>
      </c>
      <c r="C145" s="70">
        <f t="shared" si="15"/>
        <v>46194</v>
      </c>
      <c r="D145" s="201" t="str">
        <f t="shared" si="16"/>
        <v>ÖMER KARTAL – müşteriden tahsilat: ASIM AÇIKGÖZ – NAKİT ÖDENEN</v>
      </c>
      <c r="E145" s="141"/>
      <c r="F145" s="65" t="str">
        <f t="shared" si="17"/>
        <v>MÜŞTERİDEN ALDI</v>
      </c>
      <c r="G145" s="68">
        <f t="shared" si="18"/>
        <v>2000</v>
      </c>
      <c r="H145" s="68">
        <f t="shared" si="19"/>
        <v>0</v>
      </c>
      <c r="I145" s="68">
        <f t="shared" si="23"/>
        <v>532750.01</v>
      </c>
      <c r="J145" s="2"/>
      <c r="K145" s="2"/>
      <c r="L145" s="1"/>
      <c r="M145" s="1">
        <v>108</v>
      </c>
      <c r="N145" s="71">
        <f>IF($T145=0,"",INDEX(TAHSILAT!$E$7:$E$2503,$T145))</f>
        <v>46172</v>
      </c>
      <c r="O145" s="1" t="str">
        <f>IF($N145="","",$C$36&amp;" – müşteriden tahsilat: "&amp;INDEX(TAHSILAT!$N$7:$N$2503,$T145)&amp;IF(INDEX(TAHSILAT!$J$7:$J$2503,$T145)="",""," – "&amp;INDEX(TAHSILAT!$J$7:$J$2503,$T145)))</f>
        <v>ÖMER KARTAL – müşteriden tahsilat: KRİSTAL LTD.ŞTİ. – NAKİT ÖDENEN</v>
      </c>
      <c r="P145" s="1" t="str">
        <f t="shared" si="24"/>
        <v>MÜŞTERİDEN ALDI</v>
      </c>
      <c r="Q145" s="79">
        <f>IF($N145="",0,INDEX(TAHSILAT!$F$7:$F$2503,$T145))</f>
        <v>6000</v>
      </c>
      <c r="R145" s="1">
        <v>0</v>
      </c>
      <c r="S145" s="1">
        <f t="shared" si="20"/>
        <v>4617200108</v>
      </c>
      <c r="T145" s="1">
        <f>IFERROR(MATCH($C$36&amp;"|72",TAHSILAT!$U$7:$U$2503,0),0)</f>
        <v>347</v>
      </c>
      <c r="U145" s="1"/>
      <c r="V145" s="1">
        <f t="shared" si="21"/>
        <v>4619400113</v>
      </c>
      <c r="W145" s="1">
        <f t="shared" si="22"/>
        <v>113</v>
      </c>
    </row>
    <row r="146" spans="1:23" ht="19.5" customHeight="1" x14ac:dyDescent="0.3">
      <c r="A146" s="2"/>
      <c r="B146" s="65">
        <f t="shared" si="14"/>
        <v>109</v>
      </c>
      <c r="C146" s="70">
        <f t="shared" si="15"/>
        <v>46194</v>
      </c>
      <c r="D146" s="201" t="str">
        <f t="shared" si="16"/>
        <v>ÖMER KARTAL – müşteriden tahsilat: ASM EĞLENCE LTD.ŞTİ. – NAKİT ÖDENEN</v>
      </c>
      <c r="E146" s="141"/>
      <c r="F146" s="65" t="str">
        <f t="shared" si="17"/>
        <v>MÜŞTERİDEN ALDI</v>
      </c>
      <c r="G146" s="68">
        <f t="shared" si="18"/>
        <v>2500</v>
      </c>
      <c r="H146" s="68">
        <f t="shared" si="19"/>
        <v>0</v>
      </c>
      <c r="I146" s="68">
        <f t="shared" si="23"/>
        <v>535250.01</v>
      </c>
      <c r="J146" s="2"/>
      <c r="K146" s="2"/>
      <c r="L146" s="1"/>
      <c r="M146" s="1">
        <v>109</v>
      </c>
      <c r="N146" s="71">
        <f>IF($T146=0,"",INDEX(TAHSILAT!$E$7:$E$2503,$T146))</f>
        <v>46173</v>
      </c>
      <c r="O146" s="1" t="str">
        <f>IF($N146="","",$C$36&amp;" – müşteriden tahsilat: "&amp;INDEX(TAHSILAT!$N$7:$N$2503,$T146)&amp;IF(INDEX(TAHSILAT!$J$7:$J$2503,$T146)="",""," – "&amp;INDEX(TAHSILAT!$J$7:$J$2503,$T146)))</f>
        <v xml:space="preserve">ÖMER KARTAL – müşteriden tahsilat: ALTINEL LTD.ŞTİ. – ALTINEL LTD.ŞTİ. </v>
      </c>
      <c r="P146" s="1" t="str">
        <f t="shared" si="24"/>
        <v>MÜŞTERİDEN ALDI</v>
      </c>
      <c r="Q146" s="79">
        <f>IF($N146="",0,INDEX(TAHSILAT!$F$7:$F$2503,$T146))</f>
        <v>12000</v>
      </c>
      <c r="R146" s="1">
        <v>0</v>
      </c>
      <c r="S146" s="1">
        <f t="shared" si="20"/>
        <v>4617300109</v>
      </c>
      <c r="T146" s="1">
        <f>IFERROR(MATCH($C$36&amp;"|73",TAHSILAT!$U$7:$U$2503,0),0)</f>
        <v>355</v>
      </c>
      <c r="U146" s="1"/>
      <c r="V146" s="1">
        <f t="shared" si="21"/>
        <v>4619400114</v>
      </c>
      <c r="W146" s="1">
        <f t="shared" si="22"/>
        <v>114</v>
      </c>
    </row>
    <row r="147" spans="1:23" ht="19.5" customHeight="1" x14ac:dyDescent="0.3">
      <c r="A147" s="2"/>
      <c r="B147" s="65">
        <f t="shared" si="14"/>
        <v>110</v>
      </c>
      <c r="C147" s="70">
        <f t="shared" si="15"/>
        <v>46194</v>
      </c>
      <c r="D147" s="201" t="str">
        <f t="shared" si="16"/>
        <v>ÖMER KARTAL – müşteriden tahsilat: ÇAYIRALAN LTD.ŞTİ. – ÖMER KARTALA ÖDENEN</v>
      </c>
      <c r="E147" s="141"/>
      <c r="F147" s="65" t="str">
        <f t="shared" si="17"/>
        <v>MÜŞTERİDEN ALDI</v>
      </c>
      <c r="G147" s="68">
        <f t="shared" si="18"/>
        <v>3000</v>
      </c>
      <c r="H147" s="68">
        <f t="shared" si="19"/>
        <v>0</v>
      </c>
      <c r="I147" s="68">
        <f t="shared" si="23"/>
        <v>538250.01</v>
      </c>
      <c r="J147" s="2"/>
      <c r="K147" s="2"/>
      <c r="L147" s="1"/>
      <c r="M147" s="1">
        <v>110</v>
      </c>
      <c r="N147" s="71">
        <f>IF($T147=0,"",INDEX(TAHSILAT!$E$7:$E$2503,$T147))</f>
        <v>46174</v>
      </c>
      <c r="O147" s="1" t="str">
        <f>IF($N147="","",$C$36&amp;" – müşteriden tahsilat: "&amp;INDEX(TAHSILAT!$N$7:$N$2503,$T147)&amp;IF(INDEX(TAHSILAT!$J$7:$J$2503,$T147)="",""," – "&amp;INDEX(TAHSILAT!$J$7:$J$2503,$T147)))</f>
        <v xml:space="preserve">ÖMER KARTAL – müşteriden tahsilat: ALTINEL LTD.ŞTİ. – ALTINEL LTD.ŞTİ. </v>
      </c>
      <c r="P147" s="1" t="str">
        <f t="shared" si="24"/>
        <v>MÜŞTERİDEN ALDI</v>
      </c>
      <c r="Q147" s="79">
        <f>IF($N147="",0,INDEX(TAHSILAT!$F$7:$F$2503,$T147))</f>
        <v>12000</v>
      </c>
      <c r="R147" s="1">
        <v>0</v>
      </c>
      <c r="S147" s="1">
        <f t="shared" si="20"/>
        <v>4617400110</v>
      </c>
      <c r="T147" s="1">
        <f>IFERROR(MATCH($C$36&amp;"|74",TAHSILAT!$U$7:$U$2503,0),0)</f>
        <v>357</v>
      </c>
      <c r="U147" s="1"/>
      <c r="V147" s="1">
        <f t="shared" si="21"/>
        <v>4619400115</v>
      </c>
      <c r="W147" s="1">
        <f t="shared" si="22"/>
        <v>115</v>
      </c>
    </row>
    <row r="148" spans="1:23" ht="19.5" customHeight="1" x14ac:dyDescent="0.3">
      <c r="A148" s="2"/>
      <c r="B148" s="65">
        <f t="shared" si="14"/>
        <v>111</v>
      </c>
      <c r="C148" s="70">
        <f t="shared" si="15"/>
        <v>46194</v>
      </c>
      <c r="D148" s="201" t="str">
        <f t="shared" si="16"/>
        <v>ÖMER KARTAL – müşteriden tahsilat: MONAMOUR LTD.ŞTİ. – ÖMER KARTALA ÖDENEN</v>
      </c>
      <c r="E148" s="141"/>
      <c r="F148" s="65" t="str">
        <f t="shared" si="17"/>
        <v>MÜŞTERİDEN ALDI</v>
      </c>
      <c r="G148" s="68">
        <f t="shared" si="18"/>
        <v>3500</v>
      </c>
      <c r="H148" s="68">
        <f t="shared" si="19"/>
        <v>0</v>
      </c>
      <c r="I148" s="68">
        <f t="shared" si="23"/>
        <v>541750.01</v>
      </c>
      <c r="J148" s="2"/>
      <c r="K148" s="2"/>
      <c r="L148" s="1"/>
      <c r="M148" s="1">
        <v>111</v>
      </c>
      <c r="N148" s="71">
        <f>IF($T148=0,"",INDEX(TAHSILAT!$E$7:$E$2503,$T148))</f>
        <v>46179</v>
      </c>
      <c r="O148" s="1" t="str">
        <f>IF($N148="","",$C$36&amp;" – müşteriden tahsilat: "&amp;INDEX(TAHSILAT!$N$7:$N$2503,$T148)&amp;IF(INDEX(TAHSILAT!$J$7:$J$2503,$T148)="",""," – "&amp;INDEX(TAHSILAT!$J$7:$J$2503,$T148)))</f>
        <v>ÖMER KARTAL – müşteriden tahsilat: KRİSTAL LTD.ŞTİ. – NAKİT ÖDENEN</v>
      </c>
      <c r="P148" s="1" t="str">
        <f t="shared" si="24"/>
        <v>MÜŞTERİDEN ALDI</v>
      </c>
      <c r="Q148" s="79">
        <f>IF($N148="",0,INDEX(TAHSILAT!$F$7:$F$2503,$T148))</f>
        <v>3000</v>
      </c>
      <c r="R148" s="1">
        <v>0</v>
      </c>
      <c r="S148" s="1">
        <f t="shared" si="20"/>
        <v>4617900111</v>
      </c>
      <c r="T148" s="1">
        <f>IFERROR(MATCH($C$36&amp;"|75",TAHSILAT!$U$7:$U$2503,0),0)</f>
        <v>366</v>
      </c>
      <c r="U148" s="1"/>
      <c r="V148" s="1">
        <f t="shared" si="21"/>
        <v>4619400116</v>
      </c>
      <c r="W148" s="1">
        <f t="shared" si="22"/>
        <v>116</v>
      </c>
    </row>
    <row r="149" spans="1:23" ht="19.5" customHeight="1" x14ac:dyDescent="0.3">
      <c r="A149" s="2"/>
      <c r="B149" s="65">
        <f t="shared" si="14"/>
        <v>112</v>
      </c>
      <c r="C149" s="70">
        <f t="shared" si="15"/>
        <v>46194</v>
      </c>
      <c r="D149" s="201" t="str">
        <f t="shared" si="16"/>
        <v>ÖMER KARTAL – müşteriden tahsilat: PAKYILDIZ LTD.ŞTİ. – ÖMER KARTALA ÖDENEN</v>
      </c>
      <c r="E149" s="141"/>
      <c r="F149" s="65" t="str">
        <f t="shared" si="17"/>
        <v>MÜŞTERİDEN ALDI</v>
      </c>
      <c r="G149" s="68">
        <f t="shared" si="18"/>
        <v>4000</v>
      </c>
      <c r="H149" s="68">
        <f t="shared" si="19"/>
        <v>0</v>
      </c>
      <c r="I149" s="68">
        <f t="shared" si="23"/>
        <v>545750.01</v>
      </c>
      <c r="J149" s="2"/>
      <c r="K149" s="2"/>
      <c r="L149" s="1"/>
      <c r="M149" s="1">
        <v>112</v>
      </c>
      <c r="N149" s="71">
        <f>IF($T149=0,"",INDEX(TAHSILAT!$E$7:$E$2503,$T149))</f>
        <v>46188</v>
      </c>
      <c r="O149" s="1" t="str">
        <f>IF($N149="","",$C$36&amp;" – müşteriden tahsilat: "&amp;INDEX(TAHSILAT!$N$7:$N$2503,$T149)&amp;IF(INDEX(TAHSILAT!$J$7:$J$2503,$T149)="",""," – "&amp;INDEX(TAHSILAT!$J$7:$J$2503,$T149)))</f>
        <v>ÖMER KARTAL – müşteriden tahsilat: UFUK YILMAZ – NAKİT ÖDENEN</v>
      </c>
      <c r="P149" s="1" t="str">
        <f t="shared" si="24"/>
        <v>MÜŞTERİDEN ALDI</v>
      </c>
      <c r="Q149" s="79">
        <f>IF($N149="",0,INDEX(TAHSILAT!$F$7:$F$2503,$T149))</f>
        <v>3000</v>
      </c>
      <c r="R149" s="1">
        <v>0</v>
      </c>
      <c r="S149" s="1">
        <f t="shared" si="20"/>
        <v>4618800112</v>
      </c>
      <c r="T149" s="1">
        <f>IFERROR(MATCH($C$36&amp;"|76",TAHSILAT!$U$7:$U$2503,0),0)</f>
        <v>391</v>
      </c>
      <c r="U149" s="1"/>
      <c r="V149" s="1">
        <f t="shared" si="21"/>
        <v>4619400117</v>
      </c>
      <c r="W149" s="1">
        <f t="shared" si="22"/>
        <v>117</v>
      </c>
    </row>
    <row r="150" spans="1:23" ht="19.5" customHeight="1" x14ac:dyDescent="0.3">
      <c r="A150" s="2"/>
      <c r="B150" s="65">
        <f t="shared" si="14"/>
        <v>113</v>
      </c>
      <c r="C150" s="70">
        <f t="shared" si="15"/>
        <v>46194</v>
      </c>
      <c r="D150" s="201" t="str">
        <f t="shared" si="16"/>
        <v>ÖMER KARTAL – müşteriden tahsilat: RİX ŞOW LTD.ŞTİ. – ÖMER KARTALA ÖDENEN</v>
      </c>
      <c r="E150" s="141"/>
      <c r="F150" s="65" t="str">
        <f t="shared" si="17"/>
        <v>MÜŞTERİDEN ALDI</v>
      </c>
      <c r="G150" s="68">
        <f t="shared" si="18"/>
        <v>3000</v>
      </c>
      <c r="H150" s="68">
        <f t="shared" si="19"/>
        <v>0</v>
      </c>
      <c r="I150" s="68">
        <f t="shared" si="23"/>
        <v>548750.01</v>
      </c>
      <c r="J150" s="2"/>
      <c r="K150" s="2"/>
      <c r="L150" s="1"/>
      <c r="M150" s="1">
        <v>113</v>
      </c>
      <c r="N150" s="71">
        <f>IF($T150=0,"",INDEX(TAHSILAT!$E$7:$E$2503,$T150))</f>
        <v>46194</v>
      </c>
      <c r="O150" s="1" t="str">
        <f>IF($N150="","",$C$36&amp;" – müşteriden tahsilat: "&amp;INDEX(TAHSILAT!$N$7:$N$2503,$T150)&amp;IF(INDEX(TAHSILAT!$J$7:$J$2503,$T150)="",""," – "&amp;INDEX(TAHSILAT!$J$7:$J$2503,$T150)))</f>
        <v>ÖMER KARTAL – müşteriden tahsilat: ASIM AÇIKGÖZ – NAKİT ÖDENEN</v>
      </c>
      <c r="P150" s="1" t="str">
        <f t="shared" si="24"/>
        <v>MÜŞTERİDEN ALDI</v>
      </c>
      <c r="Q150" s="79">
        <f>IF($N150="",0,INDEX(TAHSILAT!$F$7:$F$2503,$T150))</f>
        <v>2000</v>
      </c>
      <c r="R150" s="1">
        <v>0</v>
      </c>
      <c r="S150" s="1">
        <f t="shared" si="20"/>
        <v>4619400113</v>
      </c>
      <c r="T150" s="1">
        <f>IFERROR(MATCH($C$36&amp;"|77",TAHSILAT!$U$7:$U$2503,0),0)</f>
        <v>393</v>
      </c>
      <c r="U150" s="1"/>
      <c r="V150" s="1">
        <f t="shared" si="21"/>
        <v>4619400118</v>
      </c>
      <c r="W150" s="1">
        <f t="shared" si="22"/>
        <v>118</v>
      </c>
    </row>
    <row r="151" spans="1:23" ht="19.5" customHeight="1" x14ac:dyDescent="0.3">
      <c r="A151" s="2"/>
      <c r="B151" s="65">
        <f t="shared" si="14"/>
        <v>114</v>
      </c>
      <c r="C151" s="70">
        <f t="shared" si="15"/>
        <v>46200</v>
      </c>
      <c r="D151" s="201" t="str">
        <f t="shared" si="16"/>
        <v>ÖMER KARTAL – müşteriden tahsilat: MONAMOUR LTD.ŞTİ. – ÖMER KARTALA ÖDENEN</v>
      </c>
      <c r="E151" s="141"/>
      <c r="F151" s="65" t="str">
        <f t="shared" si="17"/>
        <v>MÜŞTERİDEN ALDI</v>
      </c>
      <c r="G151" s="68">
        <f t="shared" si="18"/>
        <v>3500</v>
      </c>
      <c r="H151" s="68">
        <f t="shared" si="19"/>
        <v>0</v>
      </c>
      <c r="I151" s="68">
        <f t="shared" si="23"/>
        <v>552250.01</v>
      </c>
      <c r="J151" s="2"/>
      <c r="K151" s="2"/>
      <c r="L151" s="1"/>
      <c r="M151" s="1">
        <v>114</v>
      </c>
      <c r="N151" s="71">
        <f>IF($T151=0,"",INDEX(TAHSILAT!$E$7:$E$2503,$T151))</f>
        <v>46194</v>
      </c>
      <c r="O151" s="1" t="str">
        <f>IF($N151="","",$C$36&amp;" – müşteriden tahsilat: "&amp;INDEX(TAHSILAT!$N$7:$N$2503,$T151)&amp;IF(INDEX(TAHSILAT!$J$7:$J$2503,$T151)="",""," – "&amp;INDEX(TAHSILAT!$J$7:$J$2503,$T151)))</f>
        <v>ÖMER KARTAL – müşteriden tahsilat: ASM EĞLENCE LTD.ŞTİ. – NAKİT ÖDENEN</v>
      </c>
      <c r="P151" s="1" t="str">
        <f t="shared" si="24"/>
        <v>MÜŞTERİDEN ALDI</v>
      </c>
      <c r="Q151" s="79">
        <f>IF($N151="",0,INDEX(TAHSILAT!$F$7:$F$2503,$T151))</f>
        <v>2500</v>
      </c>
      <c r="R151" s="1">
        <v>0</v>
      </c>
      <c r="S151" s="1">
        <f t="shared" si="20"/>
        <v>4619400114</v>
      </c>
      <c r="T151" s="1">
        <f>IFERROR(MATCH($C$36&amp;"|78",TAHSILAT!$U$7:$U$2503,0),0)</f>
        <v>394</v>
      </c>
      <c r="U151" s="1"/>
      <c r="V151" s="1">
        <f t="shared" si="21"/>
        <v>4620000119</v>
      </c>
      <c r="W151" s="1">
        <f t="shared" si="22"/>
        <v>119</v>
      </c>
    </row>
    <row r="152" spans="1:23" ht="19.5" customHeight="1" x14ac:dyDescent="0.3">
      <c r="A152" s="2"/>
      <c r="B152" s="65">
        <f t="shared" si="14"/>
        <v>115</v>
      </c>
      <c r="C152" s="70">
        <f t="shared" si="15"/>
        <v>46200</v>
      </c>
      <c r="D152" s="201" t="str">
        <f t="shared" si="16"/>
        <v>ÖMER KARTAL – müşteriden tahsilat: İSA DEMİRCİ – NAKİT ÖDENEN</v>
      </c>
      <c r="E152" s="141"/>
      <c r="F152" s="65" t="str">
        <f t="shared" si="17"/>
        <v>MÜŞTERİDEN ALDI</v>
      </c>
      <c r="G152" s="68">
        <f t="shared" si="18"/>
        <v>3500</v>
      </c>
      <c r="H152" s="68">
        <f t="shared" si="19"/>
        <v>0</v>
      </c>
      <c r="I152" s="68">
        <f t="shared" si="23"/>
        <v>555750.01</v>
      </c>
      <c r="J152" s="2"/>
      <c r="K152" s="2"/>
      <c r="L152" s="1"/>
      <c r="M152" s="1">
        <v>115</v>
      </c>
      <c r="N152" s="71">
        <f>IF($T152=0,"",INDEX(TAHSILAT!$E$7:$E$2503,$T152))</f>
        <v>46194</v>
      </c>
      <c r="O152" s="1" t="str">
        <f>IF($N152="","",$C$36&amp;" – müşteriden tahsilat: "&amp;INDEX(TAHSILAT!$N$7:$N$2503,$T152)&amp;IF(INDEX(TAHSILAT!$J$7:$J$2503,$T152)="",""," – "&amp;INDEX(TAHSILAT!$J$7:$J$2503,$T152)))</f>
        <v>ÖMER KARTAL – müşteriden tahsilat: ÇAYIRALAN LTD.ŞTİ. – ÖMER KARTALA ÖDENEN</v>
      </c>
      <c r="P152" s="1" t="str">
        <f t="shared" si="24"/>
        <v>MÜŞTERİDEN ALDI</v>
      </c>
      <c r="Q152" s="79">
        <f>IF($N152="",0,INDEX(TAHSILAT!$F$7:$F$2503,$T152))</f>
        <v>3000</v>
      </c>
      <c r="R152" s="1">
        <v>0</v>
      </c>
      <c r="S152" s="1">
        <f t="shared" si="20"/>
        <v>4619400115</v>
      </c>
      <c r="T152" s="1">
        <f>IFERROR(MATCH($C$36&amp;"|79",TAHSILAT!$U$7:$U$2503,0),0)</f>
        <v>395</v>
      </c>
      <c r="U152" s="1"/>
      <c r="V152" s="1">
        <f t="shared" si="21"/>
        <v>4620000120</v>
      </c>
      <c r="W152" s="1">
        <f t="shared" si="22"/>
        <v>120</v>
      </c>
    </row>
    <row r="153" spans="1:23" ht="19.5" customHeight="1" x14ac:dyDescent="0.3">
      <c r="A153" s="2"/>
      <c r="B153" s="65">
        <f t="shared" si="14"/>
        <v>116</v>
      </c>
      <c r="C153" s="70">
        <f t="shared" si="15"/>
        <v>46200</v>
      </c>
      <c r="D153" s="201" t="str">
        <f t="shared" si="16"/>
        <v>ÖMER KARTAL – müşteriden tahsilat: YALIKENT LTD.ŞTİ. – NAKİT ÖDENEN</v>
      </c>
      <c r="E153" s="141"/>
      <c r="F153" s="65" t="str">
        <f t="shared" si="17"/>
        <v>MÜŞTERİDEN ALDI</v>
      </c>
      <c r="G153" s="68">
        <f t="shared" si="18"/>
        <v>23000</v>
      </c>
      <c r="H153" s="68">
        <f t="shared" si="19"/>
        <v>0</v>
      </c>
      <c r="I153" s="68">
        <f t="shared" si="23"/>
        <v>578750.01</v>
      </c>
      <c r="J153" s="2"/>
      <c r="K153" s="2"/>
      <c r="L153" s="1"/>
      <c r="M153" s="1">
        <v>116</v>
      </c>
      <c r="N153" s="71">
        <f>IF($T153=0,"",INDEX(TAHSILAT!$E$7:$E$2503,$T153))</f>
        <v>46194</v>
      </c>
      <c r="O153" s="1" t="str">
        <f>IF($N153="","",$C$36&amp;" – müşteriden tahsilat: "&amp;INDEX(TAHSILAT!$N$7:$N$2503,$T153)&amp;IF(INDEX(TAHSILAT!$J$7:$J$2503,$T153)="",""," – "&amp;INDEX(TAHSILAT!$J$7:$J$2503,$T153)))</f>
        <v>ÖMER KARTAL – müşteriden tahsilat: MONAMOUR LTD.ŞTİ. – ÖMER KARTALA ÖDENEN</v>
      </c>
      <c r="P153" s="1" t="str">
        <f t="shared" si="24"/>
        <v>MÜŞTERİDEN ALDI</v>
      </c>
      <c r="Q153" s="79">
        <f>IF($N153="",0,INDEX(TAHSILAT!$F$7:$F$2503,$T153))</f>
        <v>3500</v>
      </c>
      <c r="R153" s="1">
        <v>0</v>
      </c>
      <c r="S153" s="1">
        <f t="shared" si="20"/>
        <v>4619400116</v>
      </c>
      <c r="T153" s="1">
        <f>IFERROR(MATCH($C$36&amp;"|80",TAHSILAT!$U$7:$U$2503,0),0)</f>
        <v>396</v>
      </c>
      <c r="U153" s="1"/>
      <c r="V153" s="1">
        <f t="shared" si="21"/>
        <v>4620000121</v>
      </c>
      <c r="W153" s="1">
        <f t="shared" si="22"/>
        <v>121</v>
      </c>
    </row>
    <row r="154" spans="1:23" ht="19.5" customHeight="1" x14ac:dyDescent="0.3">
      <c r="A154" s="2"/>
      <c r="B154" s="65">
        <f t="shared" si="14"/>
        <v>117</v>
      </c>
      <c r="C154" s="70">
        <f t="shared" si="15"/>
        <v>46200</v>
      </c>
      <c r="D154" s="201" t="str">
        <f t="shared" si="16"/>
        <v>ÖMER KARTAL – müşteriden tahsilat: ÖMER DEMİRCİ – NAKİT ÖDENEN</v>
      </c>
      <c r="E154" s="141"/>
      <c r="F154" s="65" t="str">
        <f t="shared" si="17"/>
        <v>MÜŞTERİDEN ALDI</v>
      </c>
      <c r="G154" s="68">
        <f t="shared" si="18"/>
        <v>3500</v>
      </c>
      <c r="H154" s="68">
        <f t="shared" si="19"/>
        <v>0</v>
      </c>
      <c r="I154" s="68">
        <f t="shared" si="23"/>
        <v>582250.01</v>
      </c>
      <c r="J154" s="2"/>
      <c r="K154" s="2"/>
      <c r="L154" s="1"/>
      <c r="M154" s="1">
        <v>117</v>
      </c>
      <c r="N154" s="71">
        <f>IF($T154=0,"",INDEX(TAHSILAT!$E$7:$E$2503,$T154))</f>
        <v>46194</v>
      </c>
      <c r="O154" s="1" t="str">
        <f>IF($N154="","",$C$36&amp;" – müşteriden tahsilat: "&amp;INDEX(TAHSILAT!$N$7:$N$2503,$T154)&amp;IF(INDEX(TAHSILAT!$J$7:$J$2503,$T154)="",""," – "&amp;INDEX(TAHSILAT!$J$7:$J$2503,$T154)))</f>
        <v>ÖMER KARTAL – müşteriden tahsilat: PAKYILDIZ LTD.ŞTİ. – ÖMER KARTALA ÖDENEN</v>
      </c>
      <c r="P154" s="1" t="str">
        <f t="shared" si="24"/>
        <v>MÜŞTERİDEN ALDI</v>
      </c>
      <c r="Q154" s="79">
        <f>IF($N154="",0,INDEX(TAHSILAT!$F$7:$F$2503,$T154))</f>
        <v>4000</v>
      </c>
      <c r="R154" s="1">
        <v>0</v>
      </c>
      <c r="S154" s="1">
        <f t="shared" si="20"/>
        <v>4619400117</v>
      </c>
      <c r="T154" s="1">
        <f>IFERROR(MATCH($C$36&amp;"|81",TAHSILAT!$U$7:$U$2503,0),0)</f>
        <v>397</v>
      </c>
      <c r="U154" s="1"/>
      <c r="V154" s="1">
        <f t="shared" si="21"/>
        <v>4620000122</v>
      </c>
      <c r="W154" s="1">
        <f t="shared" si="22"/>
        <v>122</v>
      </c>
    </row>
    <row r="155" spans="1:23" ht="19.5" customHeight="1" x14ac:dyDescent="0.3">
      <c r="A155" s="2"/>
      <c r="B155" s="65">
        <f t="shared" si="14"/>
        <v>118</v>
      </c>
      <c r="C155" s="70">
        <f t="shared" si="15"/>
        <v>46203</v>
      </c>
      <c r="D155" s="201" t="str">
        <f t="shared" si="16"/>
        <v>ÖMER KARTAL – Haziran 2026 kâr payı tahakkuku</v>
      </c>
      <c r="E155" s="141"/>
      <c r="F155" s="65" t="str">
        <f t="shared" si="17"/>
        <v>KÂR PAYI TAHAKKUKU</v>
      </c>
      <c r="G155" s="68">
        <f t="shared" si="18"/>
        <v>0</v>
      </c>
      <c r="H155" s="68">
        <f t="shared" si="19"/>
        <v>113720.00000000006</v>
      </c>
      <c r="I155" s="68">
        <f t="shared" si="23"/>
        <v>468530.00999999995</v>
      </c>
      <c r="J155" s="2"/>
      <c r="K155" s="2"/>
      <c r="L155" s="1"/>
      <c r="M155" s="1">
        <v>118</v>
      </c>
      <c r="N155" s="71">
        <f>IF($T155=0,"",INDEX(TAHSILAT!$E$7:$E$2503,$T155))</f>
        <v>46194</v>
      </c>
      <c r="O155" s="1" t="str">
        <f>IF($N155="","",$C$36&amp;" – müşteriden tahsilat: "&amp;INDEX(TAHSILAT!$N$7:$N$2503,$T155)&amp;IF(INDEX(TAHSILAT!$J$7:$J$2503,$T155)="",""," – "&amp;INDEX(TAHSILAT!$J$7:$J$2503,$T155)))</f>
        <v>ÖMER KARTAL – müşteriden tahsilat: RİX ŞOW LTD.ŞTİ. – ÖMER KARTALA ÖDENEN</v>
      </c>
      <c r="P155" s="1" t="str">
        <f t="shared" si="24"/>
        <v>MÜŞTERİDEN ALDI</v>
      </c>
      <c r="Q155" s="79">
        <f>IF($N155="",0,INDEX(TAHSILAT!$F$7:$F$2503,$T155))</f>
        <v>3000</v>
      </c>
      <c r="R155" s="1">
        <v>0</v>
      </c>
      <c r="S155" s="1">
        <f t="shared" si="20"/>
        <v>4619400118</v>
      </c>
      <c r="T155" s="1">
        <f>IFERROR(MATCH($C$36&amp;"|82",TAHSILAT!$U$7:$U$2503,0),0)</f>
        <v>398</v>
      </c>
      <c r="U155" s="1"/>
      <c r="V155" s="1">
        <f t="shared" si="21"/>
        <v>4620300006</v>
      </c>
      <c r="W155" s="1">
        <f t="shared" si="22"/>
        <v>6</v>
      </c>
    </row>
    <row r="156" spans="1:23" ht="19.5" customHeight="1" x14ac:dyDescent="0.3">
      <c r="A156" s="2"/>
      <c r="B156" s="65">
        <f t="shared" si="14"/>
        <v>119</v>
      </c>
      <c r="C156" s="70">
        <f t="shared" si="15"/>
        <v>46203</v>
      </c>
      <c r="D156" s="201" t="str">
        <f t="shared" si="16"/>
        <v>MERKEZ KASA → ÖMER KARTAL – PARİS GAZİNOSU SGK'LAR</v>
      </c>
      <c r="E156" s="141"/>
      <c r="F156" s="65" t="str">
        <f t="shared" si="17"/>
        <v>VİRMAN GELDİ</v>
      </c>
      <c r="G156" s="68">
        <f t="shared" si="18"/>
        <v>12000</v>
      </c>
      <c r="H156" s="68">
        <f t="shared" si="19"/>
        <v>0</v>
      </c>
      <c r="I156" s="68">
        <f t="shared" si="23"/>
        <v>480530.00999999995</v>
      </c>
      <c r="J156" s="2"/>
      <c r="K156" s="2"/>
      <c r="L156" s="1"/>
      <c r="M156" s="1">
        <v>119</v>
      </c>
      <c r="N156" s="71">
        <f>IF($T156=0,"",INDEX(TAHSILAT!$E$7:$E$2503,$T156))</f>
        <v>46200</v>
      </c>
      <c r="O156" s="1" t="str">
        <f>IF($N156="","",$C$36&amp;" – müşteriden tahsilat: "&amp;INDEX(TAHSILAT!$N$7:$N$2503,$T156)&amp;IF(INDEX(TAHSILAT!$J$7:$J$2503,$T156)="",""," – "&amp;INDEX(TAHSILAT!$J$7:$J$2503,$T156)))</f>
        <v>ÖMER KARTAL – müşteriden tahsilat: MONAMOUR LTD.ŞTİ. – ÖMER KARTALA ÖDENEN</v>
      </c>
      <c r="P156" s="1" t="str">
        <f t="shared" si="24"/>
        <v>MÜŞTERİDEN ALDI</v>
      </c>
      <c r="Q156" s="79">
        <f>IF($N156="",0,INDEX(TAHSILAT!$F$7:$F$2503,$T156))</f>
        <v>3500</v>
      </c>
      <c r="R156" s="1">
        <v>0</v>
      </c>
      <c r="S156" s="1">
        <f t="shared" si="20"/>
        <v>4620000119</v>
      </c>
      <c r="T156" s="1">
        <f>IFERROR(MATCH($C$36&amp;"|83",TAHSILAT!$U$7:$U$2503,0),0)</f>
        <v>412</v>
      </c>
      <c r="U156" s="1"/>
      <c r="V156" s="1">
        <f t="shared" si="21"/>
        <v>4620300556</v>
      </c>
      <c r="W156" s="1">
        <f t="shared" si="22"/>
        <v>556</v>
      </c>
    </row>
    <row r="157" spans="1:23" ht="19.5" customHeight="1" x14ac:dyDescent="0.3">
      <c r="A157" s="2"/>
      <c r="B157" s="65">
        <f t="shared" si="14"/>
        <v>120</v>
      </c>
      <c r="C157" s="70">
        <f t="shared" si="15"/>
        <v>46203</v>
      </c>
      <c r="D157" s="201" t="str">
        <f t="shared" si="16"/>
        <v>MERKEZ KASA → ÖMER KARTAL – FADİME HORUZCU MUHASEBE ÜCRETİ</v>
      </c>
      <c r="E157" s="141"/>
      <c r="F157" s="65" t="str">
        <f t="shared" si="17"/>
        <v>VİRMAN GELDİ</v>
      </c>
      <c r="G157" s="68">
        <f t="shared" si="18"/>
        <v>2000</v>
      </c>
      <c r="H157" s="68">
        <f t="shared" si="19"/>
        <v>0</v>
      </c>
      <c r="I157" s="68">
        <f t="shared" si="23"/>
        <v>482530.00999999995</v>
      </c>
      <c r="J157" s="2"/>
      <c r="K157" s="2"/>
      <c r="L157" s="1"/>
      <c r="M157" s="1">
        <v>120</v>
      </c>
      <c r="N157" s="71">
        <f>IF($T157=0,"",INDEX(TAHSILAT!$E$7:$E$2503,$T157))</f>
        <v>46200</v>
      </c>
      <c r="O157" s="1" t="str">
        <f>IF($N157="","",$C$36&amp;" – müşteriden tahsilat: "&amp;INDEX(TAHSILAT!$N$7:$N$2503,$T157)&amp;IF(INDEX(TAHSILAT!$J$7:$J$2503,$T157)="",""," – "&amp;INDEX(TAHSILAT!$J$7:$J$2503,$T157)))</f>
        <v>ÖMER KARTAL – müşteriden tahsilat: İSA DEMİRCİ – NAKİT ÖDENEN</v>
      </c>
      <c r="P157" s="1" t="str">
        <f t="shared" si="24"/>
        <v>MÜŞTERİDEN ALDI</v>
      </c>
      <c r="Q157" s="79">
        <f>IF($N157="",0,INDEX(TAHSILAT!$F$7:$F$2503,$T157))</f>
        <v>3500</v>
      </c>
      <c r="R157" s="1">
        <v>0</v>
      </c>
      <c r="S157" s="1">
        <f t="shared" si="20"/>
        <v>4620000120</v>
      </c>
      <c r="T157" s="1">
        <f>IFERROR(MATCH($C$36&amp;"|84",TAHSILAT!$U$7:$U$2503,0),0)</f>
        <v>416</v>
      </c>
      <c r="U157" s="1"/>
      <c r="V157" s="1">
        <f t="shared" si="21"/>
        <v>4620300557</v>
      </c>
      <c r="W157" s="1">
        <f t="shared" si="22"/>
        <v>557</v>
      </c>
    </row>
    <row r="158" spans="1:23" ht="19.5" customHeight="1" x14ac:dyDescent="0.3">
      <c r="A158" s="2"/>
      <c r="B158" s="65">
        <f t="shared" si="14"/>
        <v>121</v>
      </c>
      <c r="C158" s="70">
        <f t="shared" si="15"/>
        <v>46203</v>
      </c>
      <c r="D158" s="201" t="str">
        <f t="shared" si="16"/>
        <v>MERKEZ KASA → ÖMER KARTAL – KÂR PAYI / AVANS ÇEKİŞİ — Haziran Ayı Kâr Payı Ödemesi — eski GELIR_GIDER satır 184</v>
      </c>
      <c r="E158" s="141"/>
      <c r="F158" s="65" t="str">
        <f t="shared" si="17"/>
        <v>VİRMAN GELDİ</v>
      </c>
      <c r="G158" s="68">
        <f t="shared" si="18"/>
        <v>113720</v>
      </c>
      <c r="H158" s="68">
        <f t="shared" si="19"/>
        <v>0</v>
      </c>
      <c r="I158" s="68">
        <f t="shared" si="23"/>
        <v>596250.01</v>
      </c>
      <c r="J158" s="2"/>
      <c r="K158" s="2"/>
      <c r="L158" s="1"/>
      <c r="M158" s="1">
        <v>121</v>
      </c>
      <c r="N158" s="71">
        <f>IF($T158=0,"",INDEX(TAHSILAT!$E$7:$E$2503,$T158))</f>
        <v>46200</v>
      </c>
      <c r="O158" s="1" t="str">
        <f>IF($N158="","",$C$36&amp;" – müşteriden tahsilat: "&amp;INDEX(TAHSILAT!$N$7:$N$2503,$T158)&amp;IF(INDEX(TAHSILAT!$J$7:$J$2503,$T158)="",""," – "&amp;INDEX(TAHSILAT!$J$7:$J$2503,$T158)))</f>
        <v>ÖMER KARTAL – müşteriden tahsilat: YALIKENT LTD.ŞTİ. – NAKİT ÖDENEN</v>
      </c>
      <c r="P158" s="1" t="str">
        <f t="shared" si="24"/>
        <v>MÜŞTERİDEN ALDI</v>
      </c>
      <c r="Q158" s="79">
        <f>IF($N158="",0,INDEX(TAHSILAT!$F$7:$F$2503,$T158))</f>
        <v>23000</v>
      </c>
      <c r="R158" s="1">
        <v>0</v>
      </c>
      <c r="S158" s="1">
        <f t="shared" si="20"/>
        <v>4620000121</v>
      </c>
      <c r="T158" s="1">
        <f>IFERROR(MATCH($C$36&amp;"|85",TAHSILAT!$U$7:$U$2503,0),0)</f>
        <v>419</v>
      </c>
      <c r="U158" s="1"/>
      <c r="V158" s="1">
        <f t="shared" si="21"/>
        <v>4620300571</v>
      </c>
      <c r="W158" s="1">
        <f t="shared" si="22"/>
        <v>571</v>
      </c>
    </row>
    <row r="159" spans="1:23" ht="19.5" customHeight="1" x14ac:dyDescent="0.3">
      <c r="A159" s="2"/>
      <c r="B159" s="65">
        <f t="shared" si="14"/>
        <v>122</v>
      </c>
      <c r="C159" s="70">
        <f t="shared" si="15"/>
        <v>46204</v>
      </c>
      <c r="D159" s="201" t="str">
        <f t="shared" si="16"/>
        <v xml:space="preserve">ÖMER KARTAL – müşteriden tahsilat: ALTINEL LTD.ŞTİ. – ALTINEL LTD.ŞTİ. </v>
      </c>
      <c r="E159" s="141"/>
      <c r="F159" s="65" t="str">
        <f t="shared" si="17"/>
        <v>MÜŞTERİDEN ALDI</v>
      </c>
      <c r="G159" s="68">
        <f t="shared" si="18"/>
        <v>12000</v>
      </c>
      <c r="H159" s="68">
        <f t="shared" si="19"/>
        <v>0</v>
      </c>
      <c r="I159" s="68">
        <f t="shared" si="23"/>
        <v>608250.01</v>
      </c>
      <c r="J159" s="2"/>
      <c r="K159" s="2"/>
      <c r="L159" s="1"/>
      <c r="M159" s="1">
        <v>122</v>
      </c>
      <c r="N159" s="71">
        <f>IF($T159=0,"",INDEX(TAHSILAT!$E$7:$E$2503,$T159))</f>
        <v>46200</v>
      </c>
      <c r="O159" s="1" t="str">
        <f>IF($N159="","",$C$36&amp;" – müşteriden tahsilat: "&amp;INDEX(TAHSILAT!$N$7:$N$2503,$T159)&amp;IF(INDEX(TAHSILAT!$J$7:$J$2503,$T159)="",""," – "&amp;INDEX(TAHSILAT!$J$7:$J$2503,$T159)))</f>
        <v>ÖMER KARTAL – müşteriden tahsilat: ÖMER DEMİRCİ – NAKİT ÖDENEN</v>
      </c>
      <c r="P159" s="1" t="str">
        <f t="shared" si="24"/>
        <v>MÜŞTERİDEN ALDI</v>
      </c>
      <c r="Q159" s="79">
        <f>IF($N159="",0,INDEX(TAHSILAT!$F$7:$F$2503,$T159))</f>
        <v>3500</v>
      </c>
      <c r="R159" s="1">
        <v>0</v>
      </c>
      <c r="S159" s="1">
        <f t="shared" si="20"/>
        <v>4620000122</v>
      </c>
      <c r="T159" s="1">
        <f>IFERROR(MATCH($C$36&amp;"|86",TAHSILAT!$U$7:$U$2503,0),0)</f>
        <v>420</v>
      </c>
      <c r="U159" s="1"/>
      <c r="V159" s="1">
        <f t="shared" si="21"/>
        <v>4620400123</v>
      </c>
      <c r="W159" s="1">
        <f t="shared" si="22"/>
        <v>123</v>
      </c>
    </row>
    <row r="160" spans="1:23" ht="19.5" customHeight="1" x14ac:dyDescent="0.3">
      <c r="A160" s="2"/>
      <c r="B160" s="65">
        <f t="shared" si="14"/>
        <v>123</v>
      </c>
      <c r="C160" s="70">
        <f t="shared" si="15"/>
        <v>46207</v>
      </c>
      <c r="D160" s="201" t="str">
        <f t="shared" si="16"/>
        <v>ÖMER KARTAL – müşteriden tahsilat: ASIM AÇIKGÖZ – NAKİT ÖDENEN</v>
      </c>
      <c r="E160" s="141"/>
      <c r="F160" s="65" t="str">
        <f t="shared" si="17"/>
        <v>MÜŞTERİDEN ALDI</v>
      </c>
      <c r="G160" s="68">
        <f t="shared" si="18"/>
        <v>2000</v>
      </c>
      <c r="H160" s="68">
        <f t="shared" si="19"/>
        <v>0</v>
      </c>
      <c r="I160" s="68">
        <f t="shared" si="23"/>
        <v>610250.01</v>
      </c>
      <c r="J160" s="2"/>
      <c r="K160" s="2"/>
      <c r="L160" s="1"/>
      <c r="M160" s="1">
        <v>123</v>
      </c>
      <c r="N160" s="71">
        <f>IF($T160=0,"",INDEX(TAHSILAT!$E$7:$E$2503,$T160))</f>
        <v>46204</v>
      </c>
      <c r="O160" s="1" t="str">
        <f>IF($N160="","",$C$36&amp;" – müşteriden tahsilat: "&amp;INDEX(TAHSILAT!$N$7:$N$2503,$T160)&amp;IF(INDEX(TAHSILAT!$J$7:$J$2503,$T160)="",""," – "&amp;INDEX(TAHSILAT!$J$7:$J$2503,$T160)))</f>
        <v xml:space="preserve">ÖMER KARTAL – müşteriden tahsilat: ALTINEL LTD.ŞTİ. – ALTINEL LTD.ŞTİ. </v>
      </c>
      <c r="P160" s="1" t="str">
        <f t="shared" si="24"/>
        <v>MÜŞTERİDEN ALDI</v>
      </c>
      <c r="Q160" s="79">
        <f>IF($N160="",0,INDEX(TAHSILAT!$F$7:$F$2503,$T160))</f>
        <v>12000</v>
      </c>
      <c r="R160" s="1">
        <v>0</v>
      </c>
      <c r="S160" s="1">
        <f t="shared" si="20"/>
        <v>4620400123</v>
      </c>
      <c r="T160" s="1">
        <f>IFERROR(MATCH($C$36&amp;"|87",TAHSILAT!$U$7:$U$2503,0),0)</f>
        <v>427</v>
      </c>
      <c r="U160" s="1"/>
      <c r="V160" s="1">
        <f t="shared" si="21"/>
        <v>4620700124</v>
      </c>
      <c r="W160" s="1">
        <f t="shared" si="22"/>
        <v>124</v>
      </c>
    </row>
    <row r="161" spans="1:23" ht="19.5" customHeight="1" x14ac:dyDescent="0.3">
      <c r="A161" s="2"/>
      <c r="B161" s="65">
        <f t="shared" si="14"/>
        <v>124</v>
      </c>
      <c r="C161" s="70">
        <f t="shared" si="15"/>
        <v>46207</v>
      </c>
      <c r="D161" s="201" t="str">
        <f t="shared" si="16"/>
        <v>ÖMER KARTAL – müşteriden tahsilat: ASM EĞLENCE LTD.ŞTİ. – NAKİT ÖDENEN</v>
      </c>
      <c r="E161" s="141"/>
      <c r="F161" s="65" t="str">
        <f t="shared" si="17"/>
        <v>MÜŞTERİDEN ALDI</v>
      </c>
      <c r="G161" s="68">
        <f t="shared" si="18"/>
        <v>2500</v>
      </c>
      <c r="H161" s="68">
        <f t="shared" si="19"/>
        <v>0</v>
      </c>
      <c r="I161" s="68">
        <f t="shared" si="23"/>
        <v>612750.01</v>
      </c>
      <c r="J161" s="2"/>
      <c r="K161" s="2"/>
      <c r="L161" s="1"/>
      <c r="M161" s="1">
        <v>124</v>
      </c>
      <c r="N161" s="71">
        <f>IF($T161=0,"",INDEX(TAHSILAT!$E$7:$E$2503,$T161))</f>
        <v>46207</v>
      </c>
      <c r="O161" s="1" t="str">
        <f>IF($N161="","",$C$36&amp;" – müşteriden tahsilat: "&amp;INDEX(TAHSILAT!$N$7:$N$2503,$T161)&amp;IF(INDEX(TAHSILAT!$J$7:$J$2503,$T161)="",""," – "&amp;INDEX(TAHSILAT!$J$7:$J$2503,$T161)))</f>
        <v>ÖMER KARTAL – müşteriden tahsilat: ASIM AÇIKGÖZ – NAKİT ÖDENEN</v>
      </c>
      <c r="P161" s="1" t="str">
        <f t="shared" si="24"/>
        <v>MÜŞTERİDEN ALDI</v>
      </c>
      <c r="Q161" s="79">
        <f>IF($N161="",0,INDEX(TAHSILAT!$F$7:$F$2503,$T161))</f>
        <v>2000</v>
      </c>
      <c r="R161" s="1">
        <v>0</v>
      </c>
      <c r="S161" s="1">
        <f t="shared" si="20"/>
        <v>4620700124</v>
      </c>
      <c r="T161" s="1">
        <f>IFERROR(MATCH($C$36&amp;"|88",TAHSILAT!$U$7:$U$2503,0),0)</f>
        <v>429</v>
      </c>
      <c r="U161" s="1"/>
      <c r="V161" s="1">
        <f t="shared" si="21"/>
        <v>4620700125</v>
      </c>
      <c r="W161" s="1">
        <f t="shared" si="22"/>
        <v>125</v>
      </c>
    </row>
    <row r="162" spans="1:23" ht="19.5" customHeight="1" x14ac:dyDescent="0.3">
      <c r="A162" s="2"/>
      <c r="B162" s="65">
        <f t="shared" si="14"/>
        <v>125</v>
      </c>
      <c r="C162" s="70">
        <f t="shared" si="15"/>
        <v>46207</v>
      </c>
      <c r="D162" s="201" t="str">
        <f t="shared" si="16"/>
        <v>ÖMER KARTAL – müşteriden tahsilat: ÇAYIRALAN LTD.ŞTİ. – ÖMER KARTALA ÖDENEN</v>
      </c>
      <c r="E162" s="141"/>
      <c r="F162" s="65" t="str">
        <f t="shared" si="17"/>
        <v>MÜŞTERİDEN ALDI</v>
      </c>
      <c r="G162" s="68">
        <f t="shared" si="18"/>
        <v>3000</v>
      </c>
      <c r="H162" s="68">
        <f t="shared" si="19"/>
        <v>0</v>
      </c>
      <c r="I162" s="68">
        <f t="shared" si="23"/>
        <v>615750.01</v>
      </c>
      <c r="J162" s="2"/>
      <c r="K162" s="2"/>
      <c r="L162" s="1"/>
      <c r="M162" s="1">
        <v>125</v>
      </c>
      <c r="N162" s="71">
        <f>IF($T162=0,"",INDEX(TAHSILAT!$E$7:$E$2503,$T162))</f>
        <v>46207</v>
      </c>
      <c r="O162" s="1" t="str">
        <f>IF($N162="","",$C$36&amp;" – müşteriden tahsilat: "&amp;INDEX(TAHSILAT!$N$7:$N$2503,$T162)&amp;IF(INDEX(TAHSILAT!$J$7:$J$2503,$T162)="",""," – "&amp;INDEX(TAHSILAT!$J$7:$J$2503,$T162)))</f>
        <v>ÖMER KARTAL – müşteriden tahsilat: ASM EĞLENCE LTD.ŞTİ. – NAKİT ÖDENEN</v>
      </c>
      <c r="P162" s="1" t="str">
        <f t="shared" si="24"/>
        <v>MÜŞTERİDEN ALDI</v>
      </c>
      <c r="Q162" s="79">
        <f>IF($N162="",0,INDEX(TAHSILAT!$F$7:$F$2503,$T162))</f>
        <v>2500</v>
      </c>
      <c r="R162" s="1">
        <v>0</v>
      </c>
      <c r="S162" s="1">
        <f t="shared" si="20"/>
        <v>4620700125</v>
      </c>
      <c r="T162" s="1">
        <f>IFERROR(MATCH($C$36&amp;"|89",TAHSILAT!$U$7:$U$2503,0),0)</f>
        <v>430</v>
      </c>
      <c r="U162" s="1"/>
      <c r="V162" s="1">
        <f t="shared" si="21"/>
        <v>4620700126</v>
      </c>
      <c r="W162" s="1">
        <f t="shared" si="22"/>
        <v>126</v>
      </c>
    </row>
    <row r="163" spans="1:23" ht="19.5" customHeight="1" x14ac:dyDescent="0.3">
      <c r="A163" s="2"/>
      <c r="B163" s="65">
        <f t="shared" si="14"/>
        <v>126</v>
      </c>
      <c r="C163" s="70">
        <f t="shared" si="15"/>
        <v>46207</v>
      </c>
      <c r="D163" s="201" t="str">
        <f t="shared" si="16"/>
        <v>ÖMER KARTAL – müşteriden tahsilat: EĞLENGÖR LTD.ŞTİ. – ÖMER KARTALA ÖDENEN</v>
      </c>
      <c r="E163" s="141"/>
      <c r="F163" s="65" t="str">
        <f t="shared" si="17"/>
        <v>MÜŞTERİDEN ALDI</v>
      </c>
      <c r="G163" s="68">
        <f t="shared" si="18"/>
        <v>4000</v>
      </c>
      <c r="H163" s="68">
        <f t="shared" si="19"/>
        <v>0</v>
      </c>
      <c r="I163" s="68">
        <f t="shared" si="23"/>
        <v>619750.01</v>
      </c>
      <c r="J163" s="2"/>
      <c r="K163" s="2"/>
      <c r="L163" s="1"/>
      <c r="M163" s="1">
        <v>126</v>
      </c>
      <c r="N163" s="71">
        <f>IF($T163=0,"",INDEX(TAHSILAT!$E$7:$E$2503,$T163))</f>
        <v>46207</v>
      </c>
      <c r="O163" s="1" t="str">
        <f>IF($N163="","",$C$36&amp;" – müşteriden tahsilat: "&amp;INDEX(TAHSILAT!$N$7:$N$2503,$T163)&amp;IF(INDEX(TAHSILAT!$J$7:$J$2503,$T163)="",""," – "&amp;INDEX(TAHSILAT!$J$7:$J$2503,$T163)))</f>
        <v>ÖMER KARTAL – müşteriden tahsilat: ÇAYIRALAN LTD.ŞTİ. – ÖMER KARTALA ÖDENEN</v>
      </c>
      <c r="P163" s="1" t="str">
        <f t="shared" si="24"/>
        <v>MÜŞTERİDEN ALDI</v>
      </c>
      <c r="Q163" s="79">
        <f>IF($N163="",0,INDEX(TAHSILAT!$F$7:$F$2503,$T163))</f>
        <v>3000</v>
      </c>
      <c r="R163" s="1">
        <v>0</v>
      </c>
      <c r="S163" s="1">
        <f t="shared" si="20"/>
        <v>4620700126</v>
      </c>
      <c r="T163" s="1">
        <f>IFERROR(MATCH($C$36&amp;"|90",TAHSILAT!$U$7:$U$2503,0),0)</f>
        <v>431</v>
      </c>
      <c r="U163" s="1"/>
      <c r="V163" s="1">
        <f t="shared" si="21"/>
        <v>4620700127</v>
      </c>
      <c r="W163" s="1">
        <f t="shared" si="22"/>
        <v>127</v>
      </c>
    </row>
    <row r="164" spans="1:23" ht="19.5" customHeight="1" x14ac:dyDescent="0.3">
      <c r="A164" s="2"/>
      <c r="B164" s="65">
        <f t="shared" si="14"/>
        <v>127</v>
      </c>
      <c r="C164" s="70">
        <f t="shared" si="15"/>
        <v>46207</v>
      </c>
      <c r="D164" s="201" t="str">
        <f t="shared" si="16"/>
        <v>ÖMER KARTAL – müşteriden tahsilat: FİNAL SİYAH BEYAZ LTD.ŞTİ. – ÖMER KARTALA ÖDENEN</v>
      </c>
      <c r="E164" s="141"/>
      <c r="F164" s="65" t="str">
        <f t="shared" si="17"/>
        <v>MÜŞTERİDEN ALDI</v>
      </c>
      <c r="G164" s="68">
        <f t="shared" si="18"/>
        <v>4000</v>
      </c>
      <c r="H164" s="68">
        <f t="shared" si="19"/>
        <v>0</v>
      </c>
      <c r="I164" s="68">
        <f t="shared" si="23"/>
        <v>623750.01</v>
      </c>
      <c r="J164" s="2"/>
      <c r="K164" s="2"/>
      <c r="L164" s="1"/>
      <c r="M164" s="1">
        <v>127</v>
      </c>
      <c r="N164" s="71">
        <f>IF($T164=0,"",INDEX(TAHSILAT!$E$7:$E$2503,$T164))</f>
        <v>46207</v>
      </c>
      <c r="O164" s="1" t="str">
        <f>IF($N164="","",$C$36&amp;" – müşteriden tahsilat: "&amp;INDEX(TAHSILAT!$N$7:$N$2503,$T164)&amp;IF(INDEX(TAHSILAT!$J$7:$J$2503,$T164)="",""," – "&amp;INDEX(TAHSILAT!$J$7:$J$2503,$T164)))</f>
        <v>ÖMER KARTAL – müşteriden tahsilat: EĞLENGÖR LTD.ŞTİ. – ÖMER KARTALA ÖDENEN</v>
      </c>
      <c r="P164" s="1" t="str">
        <f t="shared" si="24"/>
        <v>MÜŞTERİDEN ALDI</v>
      </c>
      <c r="Q164" s="79">
        <f>IF($N164="",0,INDEX(TAHSILAT!$F$7:$F$2503,$T164))</f>
        <v>4000</v>
      </c>
      <c r="R164" s="1">
        <v>0</v>
      </c>
      <c r="S164" s="1">
        <f t="shared" si="20"/>
        <v>4620700127</v>
      </c>
      <c r="T164" s="1">
        <f>IFERROR(MATCH($C$36&amp;"|91",TAHSILAT!$U$7:$U$2503,0),0)</f>
        <v>432</v>
      </c>
      <c r="U164" s="1"/>
      <c r="V164" s="1">
        <f t="shared" si="21"/>
        <v>4620700128</v>
      </c>
      <c r="W164" s="1">
        <f t="shared" si="22"/>
        <v>128</v>
      </c>
    </row>
    <row r="165" spans="1:23" ht="19.5" customHeight="1" x14ac:dyDescent="0.3">
      <c r="A165" s="2"/>
      <c r="B165" s="65">
        <f t="shared" si="14"/>
        <v>128</v>
      </c>
      <c r="C165" s="70">
        <f t="shared" si="15"/>
        <v>46207</v>
      </c>
      <c r="D165" s="201" t="str">
        <f t="shared" si="16"/>
        <v>ÖMER KARTAL – müşteriden tahsilat: NAZ 1 GIDA LTD.ŞTİ. – ÖMER KARTALA ÖDENEN</v>
      </c>
      <c r="E165" s="141"/>
      <c r="F165" s="65" t="str">
        <f t="shared" si="17"/>
        <v>MÜŞTERİDEN ALDI</v>
      </c>
      <c r="G165" s="68">
        <f t="shared" si="18"/>
        <v>2000</v>
      </c>
      <c r="H165" s="68">
        <f t="shared" si="19"/>
        <v>0</v>
      </c>
      <c r="I165" s="68">
        <f t="shared" si="23"/>
        <v>625750.01</v>
      </c>
      <c r="J165" s="2"/>
      <c r="K165" s="2"/>
      <c r="L165" s="1"/>
      <c r="M165" s="1">
        <v>128</v>
      </c>
      <c r="N165" s="71">
        <f>IF($T165=0,"",INDEX(TAHSILAT!$E$7:$E$2503,$T165))</f>
        <v>46207</v>
      </c>
      <c r="O165" s="1" t="str">
        <f>IF($N165="","",$C$36&amp;" – müşteriden tahsilat: "&amp;INDEX(TAHSILAT!$N$7:$N$2503,$T165)&amp;IF(INDEX(TAHSILAT!$J$7:$J$2503,$T165)="",""," – "&amp;INDEX(TAHSILAT!$J$7:$J$2503,$T165)))</f>
        <v>ÖMER KARTAL – müşteriden tahsilat: FİNAL SİYAH BEYAZ LTD.ŞTİ. – ÖMER KARTALA ÖDENEN</v>
      </c>
      <c r="P165" s="1" t="str">
        <f t="shared" si="24"/>
        <v>MÜŞTERİDEN ALDI</v>
      </c>
      <c r="Q165" s="79">
        <f>IF($N165="",0,INDEX(TAHSILAT!$F$7:$F$2503,$T165))</f>
        <v>4000</v>
      </c>
      <c r="R165" s="1">
        <v>0</v>
      </c>
      <c r="S165" s="1">
        <f t="shared" si="20"/>
        <v>4620700128</v>
      </c>
      <c r="T165" s="1">
        <f>IFERROR(MATCH($C$36&amp;"|92",TAHSILAT!$U$7:$U$2503,0),0)</f>
        <v>433</v>
      </c>
      <c r="U165" s="1"/>
      <c r="V165" s="1">
        <f t="shared" si="21"/>
        <v>4620700129</v>
      </c>
      <c r="W165" s="1">
        <f t="shared" si="22"/>
        <v>129</v>
      </c>
    </row>
    <row r="166" spans="1:23" ht="19.5" customHeight="1" x14ac:dyDescent="0.3">
      <c r="A166" s="2"/>
      <c r="B166" s="65">
        <f t="shared" ref="B166:B229" si="25">IF($C166="","",ROW()-37)</f>
        <v>129</v>
      </c>
      <c r="C166" s="70">
        <f t="shared" ref="C166:C229" si="26">IF($W166="","",IF(INDEX($N$38:$N$953,$W166)="","",INDEX($N$38:$N$953,$W166)))</f>
        <v>46207</v>
      </c>
      <c r="D166" s="201" t="str">
        <f t="shared" ref="D166:D229" si="27">IF($C166="","",INDEX($O$38:$O$953,$W166))</f>
        <v>ÖMER KARTAL – müşteriden tahsilat: PAKYILDIZ LTD.ŞTİ. – ÖMER KARTALA ÖDENEN</v>
      </c>
      <c r="E166" s="141"/>
      <c r="F166" s="65" t="str">
        <f t="shared" ref="F166:F229" si="28">IF($C166="","",INDEX($P$38:$P$953,$W166))</f>
        <v>MÜŞTERİDEN ALDI</v>
      </c>
      <c r="G166" s="68">
        <f t="shared" ref="G166:G229" si="29">IF($C166="","",INDEX($Q$38:$Q$953,$W166))</f>
        <v>4000</v>
      </c>
      <c r="H166" s="68">
        <f t="shared" ref="H166:H229" si="30">IF($C166="","",INDEX($R$38:$R$953,$W166))</f>
        <v>0</v>
      </c>
      <c r="I166" s="68">
        <f t="shared" si="23"/>
        <v>629750.01</v>
      </c>
      <c r="J166" s="2"/>
      <c r="K166" s="2"/>
      <c r="L166" s="1"/>
      <c r="M166" s="1">
        <v>129</v>
      </c>
      <c r="N166" s="71">
        <f>IF($T166=0,"",INDEX(TAHSILAT!$E$7:$E$2503,$T166))</f>
        <v>46207</v>
      </c>
      <c r="O166" s="1" t="str">
        <f>IF($N166="","",$C$36&amp;" – müşteriden tahsilat: "&amp;INDEX(TAHSILAT!$N$7:$N$2503,$T166)&amp;IF(INDEX(TAHSILAT!$J$7:$J$2503,$T166)="",""," – "&amp;INDEX(TAHSILAT!$J$7:$J$2503,$T166)))</f>
        <v>ÖMER KARTAL – müşteriden tahsilat: NAZ 1 GIDA LTD.ŞTİ. – ÖMER KARTALA ÖDENEN</v>
      </c>
      <c r="P166" s="1" t="str">
        <f t="shared" si="24"/>
        <v>MÜŞTERİDEN ALDI</v>
      </c>
      <c r="Q166" s="79">
        <f>IF($N166="",0,INDEX(TAHSILAT!$F$7:$F$2503,$T166))</f>
        <v>2000</v>
      </c>
      <c r="R166" s="1">
        <v>0</v>
      </c>
      <c r="S166" s="1">
        <f t="shared" ref="S166:S229" si="31">IF($N166="",10000000000,$N166*100000+$M166)</f>
        <v>4620700129</v>
      </c>
      <c r="T166" s="1">
        <f>IFERROR(MATCH($C$36&amp;"|93",TAHSILAT!$U$7:$U$2503,0),0)</f>
        <v>434</v>
      </c>
      <c r="U166" s="1"/>
      <c r="V166" s="1">
        <f t="shared" ref="V166:V229" si="32">IFERROR(SMALL($S$38:$S$953,ROW()-37),"")</f>
        <v>4620700130</v>
      </c>
      <c r="W166" s="1">
        <f t="shared" ref="W166:W229" si="33">IFERROR(MATCH($V166,$S$38:$S$953,0),"")</f>
        <v>130</v>
      </c>
    </row>
    <row r="167" spans="1:23" ht="19.5" customHeight="1" x14ac:dyDescent="0.3">
      <c r="A167" s="2"/>
      <c r="B167" s="65">
        <f t="shared" si="25"/>
        <v>130</v>
      </c>
      <c r="C167" s="70">
        <f t="shared" si="26"/>
        <v>46207</v>
      </c>
      <c r="D167" s="201" t="str">
        <f t="shared" si="27"/>
        <v>ÖMER KARTAL – müşteriden tahsilat: RİX ŞOW LTD.ŞTİ. – ÖMER KARTALA ÖDENEN</v>
      </c>
      <c r="E167" s="141"/>
      <c r="F167" s="65" t="str">
        <f t="shared" si="28"/>
        <v>MÜŞTERİDEN ALDI</v>
      </c>
      <c r="G167" s="68">
        <f t="shared" si="29"/>
        <v>3000</v>
      </c>
      <c r="H167" s="68">
        <f t="shared" si="30"/>
        <v>0</v>
      </c>
      <c r="I167" s="68">
        <f t="shared" ref="I167:I230" si="34">IF($C167="","",N($I166)+$G167-$H167)</f>
        <v>632750.01</v>
      </c>
      <c r="J167" s="2"/>
      <c r="K167" s="2"/>
      <c r="L167" s="1"/>
      <c r="M167" s="1">
        <v>130</v>
      </c>
      <c r="N167" s="71">
        <f>IF($T167=0,"",INDEX(TAHSILAT!$E$7:$E$2503,$T167))</f>
        <v>46207</v>
      </c>
      <c r="O167" s="1" t="str">
        <f>IF($N167="","",$C$36&amp;" – müşteriden tahsilat: "&amp;INDEX(TAHSILAT!$N$7:$N$2503,$T167)&amp;IF(INDEX(TAHSILAT!$J$7:$J$2503,$T167)="",""," – "&amp;INDEX(TAHSILAT!$J$7:$J$2503,$T167)))</f>
        <v>ÖMER KARTAL – müşteriden tahsilat: PAKYILDIZ LTD.ŞTİ. – ÖMER KARTALA ÖDENEN</v>
      </c>
      <c r="P167" s="1" t="str">
        <f t="shared" si="24"/>
        <v>MÜŞTERİDEN ALDI</v>
      </c>
      <c r="Q167" s="79">
        <f>IF($N167="",0,INDEX(TAHSILAT!$F$7:$F$2503,$T167))</f>
        <v>4000</v>
      </c>
      <c r="R167" s="1">
        <v>0</v>
      </c>
      <c r="S167" s="1">
        <f t="shared" si="31"/>
        <v>4620700130</v>
      </c>
      <c r="T167" s="1">
        <f>IFERROR(MATCH($C$36&amp;"|94",TAHSILAT!$U$7:$U$2503,0),0)</f>
        <v>435</v>
      </c>
      <c r="U167" s="1"/>
      <c r="V167" s="1">
        <f t="shared" si="32"/>
        <v>4620700131</v>
      </c>
      <c r="W167" s="1">
        <f t="shared" si="33"/>
        <v>131</v>
      </c>
    </row>
    <row r="168" spans="1:23" ht="19.5" customHeight="1" x14ac:dyDescent="0.3">
      <c r="A168" s="2"/>
      <c r="B168" s="65">
        <f t="shared" si="25"/>
        <v>131</v>
      </c>
      <c r="C168" s="70">
        <f t="shared" si="26"/>
        <v>46207</v>
      </c>
      <c r="D168" s="201" t="str">
        <f t="shared" si="27"/>
        <v>MERKEZ KASA → ÖMER KARTAL – YALIKENT HAFTALIK MENDERES MAHSUP</v>
      </c>
      <c r="E168" s="141"/>
      <c r="F168" s="65" t="str">
        <f t="shared" si="28"/>
        <v>VİRMAN GELDİ</v>
      </c>
      <c r="G168" s="68">
        <f t="shared" si="29"/>
        <v>5000</v>
      </c>
      <c r="H168" s="68">
        <f t="shared" si="30"/>
        <v>0</v>
      </c>
      <c r="I168" s="68">
        <f t="shared" si="34"/>
        <v>637750.01</v>
      </c>
      <c r="J168" s="2"/>
      <c r="K168" s="2"/>
      <c r="L168" s="1"/>
      <c r="M168" s="1">
        <v>131</v>
      </c>
      <c r="N168" s="71">
        <f>IF($T168=0,"",INDEX(TAHSILAT!$E$7:$E$2503,$T168))</f>
        <v>46207</v>
      </c>
      <c r="O168" s="1" t="str">
        <f>IF($N168="","",$C$36&amp;" – müşteriden tahsilat: "&amp;INDEX(TAHSILAT!$N$7:$N$2503,$T168)&amp;IF(INDEX(TAHSILAT!$J$7:$J$2503,$T168)="",""," – "&amp;INDEX(TAHSILAT!$J$7:$J$2503,$T168)))</f>
        <v>ÖMER KARTAL – müşteriden tahsilat: RİX ŞOW LTD.ŞTİ. – ÖMER KARTALA ÖDENEN</v>
      </c>
      <c r="P168" s="1" t="str">
        <f t="shared" si="24"/>
        <v>MÜŞTERİDEN ALDI</v>
      </c>
      <c r="Q168" s="79">
        <f>IF($N168="",0,INDEX(TAHSILAT!$F$7:$F$2503,$T168))</f>
        <v>3000</v>
      </c>
      <c r="R168" s="1">
        <v>0</v>
      </c>
      <c r="S168" s="1">
        <f t="shared" si="31"/>
        <v>4620700131</v>
      </c>
      <c r="T168" s="1">
        <f>IFERROR(MATCH($C$36&amp;"|95",TAHSILAT!$U$7:$U$2503,0),0)</f>
        <v>436</v>
      </c>
      <c r="U168" s="1"/>
      <c r="V168" s="1">
        <f t="shared" si="32"/>
        <v>4620700558</v>
      </c>
      <c r="W168" s="1">
        <f t="shared" si="33"/>
        <v>558</v>
      </c>
    </row>
    <row r="169" spans="1:23" ht="19.5" customHeight="1" x14ac:dyDescent="0.3">
      <c r="A169" s="2"/>
      <c r="B169" s="65">
        <f t="shared" si="25"/>
        <v>132</v>
      </c>
      <c r="C169" s="70">
        <f t="shared" si="26"/>
        <v>46214</v>
      </c>
      <c r="D169" s="201" t="str">
        <f t="shared" si="27"/>
        <v>ÖMER KARTAL – müşteriden tahsilat: ASIM AÇIKGÖZ – NAKİT ÖDENEN</v>
      </c>
      <c r="E169" s="141"/>
      <c r="F169" s="65" t="str">
        <f t="shared" si="28"/>
        <v>MÜŞTERİDEN ALDI</v>
      </c>
      <c r="G169" s="68">
        <f t="shared" si="29"/>
        <v>2000</v>
      </c>
      <c r="H169" s="68">
        <f t="shared" si="30"/>
        <v>0</v>
      </c>
      <c r="I169" s="68">
        <f t="shared" si="34"/>
        <v>639750.01</v>
      </c>
      <c r="J169" s="2"/>
      <c r="K169" s="2"/>
      <c r="L169" s="1"/>
      <c r="M169" s="1">
        <v>132</v>
      </c>
      <c r="N169" s="71">
        <f>IF($T169=0,"",INDEX(TAHSILAT!$E$7:$E$2503,$T169))</f>
        <v>46214</v>
      </c>
      <c r="O169" s="1" t="str">
        <f>IF($N169="","",$C$36&amp;" – müşteriden tahsilat: "&amp;INDEX(TAHSILAT!$N$7:$N$2503,$T169)&amp;IF(INDEX(TAHSILAT!$J$7:$J$2503,$T169)="",""," – "&amp;INDEX(TAHSILAT!$J$7:$J$2503,$T169)))</f>
        <v>ÖMER KARTAL – müşteriden tahsilat: ASIM AÇIKGÖZ – NAKİT ÖDENEN</v>
      </c>
      <c r="P169" s="1" t="str">
        <f t="shared" si="24"/>
        <v>MÜŞTERİDEN ALDI</v>
      </c>
      <c r="Q169" s="79">
        <f>IF($N169="",0,INDEX(TAHSILAT!$F$7:$F$2503,$T169))</f>
        <v>2000</v>
      </c>
      <c r="R169" s="1">
        <v>0</v>
      </c>
      <c r="S169" s="1">
        <f t="shared" si="31"/>
        <v>4621400132</v>
      </c>
      <c r="T169" s="1">
        <f>IFERROR(MATCH($C$36&amp;"|96",TAHSILAT!$U$7:$U$2503,0),0)</f>
        <v>439</v>
      </c>
      <c r="U169" s="1"/>
      <c r="V169" s="1">
        <f t="shared" si="32"/>
        <v>4621400132</v>
      </c>
      <c r="W169" s="1">
        <f t="shared" si="33"/>
        <v>132</v>
      </c>
    </row>
    <row r="170" spans="1:23" ht="19.5" customHeight="1" x14ac:dyDescent="0.3">
      <c r="A170" s="2"/>
      <c r="B170" s="65">
        <f t="shared" si="25"/>
        <v>133</v>
      </c>
      <c r="C170" s="70">
        <f t="shared" si="26"/>
        <v>46214</v>
      </c>
      <c r="D170" s="201" t="str">
        <f t="shared" si="27"/>
        <v>ÖMER KARTAL – müşteriden tahsilat: ASM EĞLENCE LTD.ŞTİ. – NAKİT ÖDENEN</v>
      </c>
      <c r="E170" s="141"/>
      <c r="F170" s="65" t="str">
        <f t="shared" si="28"/>
        <v>MÜŞTERİDEN ALDI</v>
      </c>
      <c r="G170" s="68">
        <f t="shared" si="29"/>
        <v>2500</v>
      </c>
      <c r="H170" s="68">
        <f t="shared" si="30"/>
        <v>0</v>
      </c>
      <c r="I170" s="68">
        <f t="shared" si="34"/>
        <v>642250.01</v>
      </c>
      <c r="J170" s="2"/>
      <c r="K170" s="2"/>
      <c r="L170" s="1"/>
      <c r="M170" s="1">
        <v>133</v>
      </c>
      <c r="N170" s="71">
        <f>IF($T170=0,"",INDEX(TAHSILAT!$E$7:$E$2503,$T170))</f>
        <v>46214</v>
      </c>
      <c r="O170" s="1" t="str">
        <f>IF($N170="","",$C$36&amp;" – müşteriden tahsilat: "&amp;INDEX(TAHSILAT!$N$7:$N$2503,$T170)&amp;IF(INDEX(TAHSILAT!$J$7:$J$2503,$T170)="",""," – "&amp;INDEX(TAHSILAT!$J$7:$J$2503,$T170)))</f>
        <v>ÖMER KARTAL – müşteriden tahsilat: ASM EĞLENCE LTD.ŞTİ. – NAKİT ÖDENEN</v>
      </c>
      <c r="P170" s="1" t="str">
        <f t="shared" si="24"/>
        <v>MÜŞTERİDEN ALDI</v>
      </c>
      <c r="Q170" s="79">
        <f>IF($N170="",0,INDEX(TAHSILAT!$F$7:$F$2503,$T170))</f>
        <v>2500</v>
      </c>
      <c r="R170" s="1">
        <v>0</v>
      </c>
      <c r="S170" s="1">
        <f t="shared" si="31"/>
        <v>4621400133</v>
      </c>
      <c r="T170" s="1">
        <f>IFERROR(MATCH($C$36&amp;"|97",TAHSILAT!$U$7:$U$2503,0),0)</f>
        <v>440</v>
      </c>
      <c r="U170" s="1"/>
      <c r="V170" s="1">
        <f t="shared" si="32"/>
        <v>4621400133</v>
      </c>
      <c r="W170" s="1">
        <f t="shared" si="33"/>
        <v>133</v>
      </c>
    </row>
    <row r="171" spans="1:23" ht="19.5" customHeight="1" x14ac:dyDescent="0.3">
      <c r="A171" s="2"/>
      <c r="B171" s="65">
        <f t="shared" si="25"/>
        <v>134</v>
      </c>
      <c r="C171" s="70">
        <f t="shared" si="26"/>
        <v>46214</v>
      </c>
      <c r="D171" s="201" t="str">
        <f t="shared" si="27"/>
        <v>ÖMER KARTAL – müşteriden tahsilat: ÇAYIRALAN LTD.ŞTİ. – ÖMER KARTALA ÖDENEN</v>
      </c>
      <c r="E171" s="141"/>
      <c r="F171" s="65" t="str">
        <f t="shared" si="28"/>
        <v>MÜŞTERİDEN ALDI</v>
      </c>
      <c r="G171" s="68">
        <f t="shared" si="29"/>
        <v>3000</v>
      </c>
      <c r="H171" s="68">
        <f t="shared" si="30"/>
        <v>0</v>
      </c>
      <c r="I171" s="68">
        <f t="shared" si="34"/>
        <v>645250.01</v>
      </c>
      <c r="J171" s="2"/>
      <c r="K171" s="2"/>
      <c r="L171" s="1"/>
      <c r="M171" s="1">
        <v>134</v>
      </c>
      <c r="N171" s="71">
        <f>IF($T171=0,"",INDEX(TAHSILAT!$E$7:$E$2503,$T171))</f>
        <v>46214</v>
      </c>
      <c r="O171" s="1" t="str">
        <f>IF($N171="","",$C$36&amp;" – müşteriden tahsilat: "&amp;INDEX(TAHSILAT!$N$7:$N$2503,$T171)&amp;IF(INDEX(TAHSILAT!$J$7:$J$2503,$T171)="",""," – "&amp;INDEX(TAHSILAT!$J$7:$J$2503,$T171)))</f>
        <v>ÖMER KARTAL – müşteriden tahsilat: ÇAYIRALAN LTD.ŞTİ. – ÖMER KARTALA ÖDENEN</v>
      </c>
      <c r="P171" s="1" t="str">
        <f t="shared" si="24"/>
        <v>MÜŞTERİDEN ALDI</v>
      </c>
      <c r="Q171" s="79">
        <f>IF($N171="",0,INDEX(TAHSILAT!$F$7:$F$2503,$T171))</f>
        <v>3000</v>
      </c>
      <c r="R171" s="1">
        <v>0</v>
      </c>
      <c r="S171" s="1">
        <f t="shared" si="31"/>
        <v>4621400134</v>
      </c>
      <c r="T171" s="1">
        <f>IFERROR(MATCH($C$36&amp;"|98",TAHSILAT!$U$7:$U$2503,0),0)</f>
        <v>441</v>
      </c>
      <c r="U171" s="1"/>
      <c r="V171" s="1">
        <f t="shared" si="32"/>
        <v>4621400134</v>
      </c>
      <c r="W171" s="1">
        <f t="shared" si="33"/>
        <v>134</v>
      </c>
    </row>
    <row r="172" spans="1:23" ht="19.5" customHeight="1" x14ac:dyDescent="0.3">
      <c r="A172" s="2"/>
      <c r="B172" s="65">
        <f t="shared" si="25"/>
        <v>135</v>
      </c>
      <c r="C172" s="70">
        <f t="shared" si="26"/>
        <v>46214</v>
      </c>
      <c r="D172" s="201" t="str">
        <f t="shared" si="27"/>
        <v>ÖMER KARTAL – müşteriden tahsilat: EĞLENGÖR LTD.ŞTİ. – ÖMER KARTALA ÖDENEN</v>
      </c>
      <c r="E172" s="141"/>
      <c r="F172" s="65" t="str">
        <f t="shared" si="28"/>
        <v>MÜŞTERİDEN ALDI</v>
      </c>
      <c r="G172" s="68">
        <f t="shared" si="29"/>
        <v>4000</v>
      </c>
      <c r="H172" s="68">
        <f t="shared" si="30"/>
        <v>0</v>
      </c>
      <c r="I172" s="68">
        <f t="shared" si="34"/>
        <v>649250.01</v>
      </c>
      <c r="J172" s="2"/>
      <c r="K172" s="2"/>
      <c r="L172" s="1"/>
      <c r="M172" s="1">
        <v>135</v>
      </c>
      <c r="N172" s="71">
        <f>IF($T172=0,"",INDEX(TAHSILAT!$E$7:$E$2503,$T172))</f>
        <v>46214</v>
      </c>
      <c r="O172" s="1" t="str">
        <f>IF($N172="","",$C$36&amp;" – müşteriden tahsilat: "&amp;INDEX(TAHSILAT!$N$7:$N$2503,$T172)&amp;IF(INDEX(TAHSILAT!$J$7:$J$2503,$T172)="",""," – "&amp;INDEX(TAHSILAT!$J$7:$J$2503,$T172)))</f>
        <v>ÖMER KARTAL – müşteriden tahsilat: EĞLENGÖR LTD.ŞTİ. – ÖMER KARTALA ÖDENEN</v>
      </c>
      <c r="P172" s="1" t="str">
        <f t="shared" si="24"/>
        <v>MÜŞTERİDEN ALDI</v>
      </c>
      <c r="Q172" s="79">
        <f>IF($N172="",0,INDEX(TAHSILAT!$F$7:$F$2503,$T172))</f>
        <v>4000</v>
      </c>
      <c r="R172" s="1">
        <v>0</v>
      </c>
      <c r="S172" s="1">
        <f t="shared" si="31"/>
        <v>4621400135</v>
      </c>
      <c r="T172" s="1">
        <f>IFERROR(MATCH($C$36&amp;"|99",TAHSILAT!$U$7:$U$2503,0),0)</f>
        <v>442</v>
      </c>
      <c r="U172" s="1"/>
      <c r="V172" s="1">
        <f t="shared" si="32"/>
        <v>4621400135</v>
      </c>
      <c r="W172" s="1">
        <f t="shared" si="33"/>
        <v>135</v>
      </c>
    </row>
    <row r="173" spans="1:23" ht="19.5" customHeight="1" x14ac:dyDescent="0.3">
      <c r="A173" s="2"/>
      <c r="B173" s="65">
        <f t="shared" si="25"/>
        <v>136</v>
      </c>
      <c r="C173" s="70">
        <f t="shared" si="26"/>
        <v>46214</v>
      </c>
      <c r="D173" s="201" t="str">
        <f t="shared" si="27"/>
        <v>ÖMER KARTAL – müşteriden tahsilat: FİNAL SİYAH BEYAZ LTD.ŞTİ. – ÖMER KARTALA ÖDENEN</v>
      </c>
      <c r="E173" s="141"/>
      <c r="F173" s="65" t="str">
        <f t="shared" si="28"/>
        <v>MÜŞTERİDEN ALDI</v>
      </c>
      <c r="G173" s="68">
        <f t="shared" si="29"/>
        <v>4000</v>
      </c>
      <c r="H173" s="68">
        <f t="shared" si="30"/>
        <v>0</v>
      </c>
      <c r="I173" s="68">
        <f t="shared" si="34"/>
        <v>653250.01</v>
      </c>
      <c r="J173" s="2"/>
      <c r="K173" s="2"/>
      <c r="L173" s="1"/>
      <c r="M173" s="1">
        <v>136</v>
      </c>
      <c r="N173" s="71">
        <f>IF($T173=0,"",INDEX(TAHSILAT!$E$7:$E$2503,$T173))</f>
        <v>46214</v>
      </c>
      <c r="O173" s="1" t="str">
        <f>IF($N173="","",$C$36&amp;" – müşteriden tahsilat: "&amp;INDEX(TAHSILAT!$N$7:$N$2503,$T173)&amp;IF(INDEX(TAHSILAT!$J$7:$J$2503,$T173)="",""," – "&amp;INDEX(TAHSILAT!$J$7:$J$2503,$T173)))</f>
        <v>ÖMER KARTAL – müşteriden tahsilat: FİNAL SİYAH BEYAZ LTD.ŞTİ. – ÖMER KARTALA ÖDENEN</v>
      </c>
      <c r="P173" s="1" t="str">
        <f t="shared" si="24"/>
        <v>MÜŞTERİDEN ALDI</v>
      </c>
      <c r="Q173" s="79">
        <f>IF($N173="",0,INDEX(TAHSILAT!$F$7:$F$2503,$T173))</f>
        <v>4000</v>
      </c>
      <c r="R173" s="1">
        <v>0</v>
      </c>
      <c r="S173" s="1">
        <f t="shared" si="31"/>
        <v>4621400136</v>
      </c>
      <c r="T173" s="1">
        <f>IFERROR(MATCH($C$36&amp;"|100",TAHSILAT!$U$7:$U$2503,0),0)</f>
        <v>443</v>
      </c>
      <c r="U173" s="1"/>
      <c r="V173" s="1">
        <f t="shared" si="32"/>
        <v>4621400136</v>
      </c>
      <c r="W173" s="1">
        <f t="shared" si="33"/>
        <v>136</v>
      </c>
    </row>
    <row r="174" spans="1:23" ht="19.5" customHeight="1" x14ac:dyDescent="0.3">
      <c r="A174" s="2"/>
      <c r="B174" s="65">
        <f t="shared" si="25"/>
        <v>137</v>
      </c>
      <c r="C174" s="70">
        <f t="shared" si="26"/>
        <v>46214</v>
      </c>
      <c r="D174" s="201" t="str">
        <f t="shared" si="27"/>
        <v>ÖMER KARTAL – müşteriden tahsilat: NAZ 1 GIDA LTD.ŞTİ. – ÖMER KARTALA ÖDENEN</v>
      </c>
      <c r="E174" s="141"/>
      <c r="F174" s="65" t="str">
        <f t="shared" si="28"/>
        <v>MÜŞTERİDEN ALDI</v>
      </c>
      <c r="G174" s="68">
        <f t="shared" si="29"/>
        <v>2000</v>
      </c>
      <c r="H174" s="68">
        <f t="shared" si="30"/>
        <v>0</v>
      </c>
      <c r="I174" s="68">
        <f t="shared" si="34"/>
        <v>655250.01</v>
      </c>
      <c r="J174" s="2"/>
      <c r="K174" s="2"/>
      <c r="L174" s="1"/>
      <c r="M174" s="1">
        <v>137</v>
      </c>
      <c r="N174" s="71">
        <f>IF($T174=0,"",INDEX(TAHSILAT!$E$7:$E$2503,$T174))</f>
        <v>46214</v>
      </c>
      <c r="O174" s="1" t="str">
        <f>IF($N174="","",$C$36&amp;" – müşteriden tahsilat: "&amp;INDEX(TAHSILAT!$N$7:$N$2503,$T174)&amp;IF(INDEX(TAHSILAT!$J$7:$J$2503,$T174)="",""," – "&amp;INDEX(TAHSILAT!$J$7:$J$2503,$T174)))</f>
        <v>ÖMER KARTAL – müşteriden tahsilat: NAZ 1 GIDA LTD.ŞTİ. – ÖMER KARTALA ÖDENEN</v>
      </c>
      <c r="P174" s="1" t="str">
        <f t="shared" si="24"/>
        <v>MÜŞTERİDEN ALDI</v>
      </c>
      <c r="Q174" s="79">
        <f>IF($N174="",0,INDEX(TAHSILAT!$F$7:$F$2503,$T174))</f>
        <v>2000</v>
      </c>
      <c r="R174" s="1">
        <v>0</v>
      </c>
      <c r="S174" s="1">
        <f t="shared" si="31"/>
        <v>4621400137</v>
      </c>
      <c r="T174" s="1">
        <f>IFERROR(MATCH($C$36&amp;"|101",TAHSILAT!$U$7:$U$2503,0),0)</f>
        <v>444</v>
      </c>
      <c r="U174" s="1"/>
      <c r="V174" s="1">
        <f t="shared" si="32"/>
        <v>4621400137</v>
      </c>
      <c r="W174" s="1">
        <f t="shared" si="33"/>
        <v>137</v>
      </c>
    </row>
    <row r="175" spans="1:23" ht="19.5" customHeight="1" x14ac:dyDescent="0.3">
      <c r="A175" s="2"/>
      <c r="B175" s="65">
        <f t="shared" si="25"/>
        <v>138</v>
      </c>
      <c r="C175" s="70">
        <f t="shared" si="26"/>
        <v>46214</v>
      </c>
      <c r="D175" s="201" t="str">
        <f t="shared" si="27"/>
        <v>ÖMER KARTAL – müşteriden tahsilat: PAKYILDIZ LTD.ŞTİ. – ÖMER KARTALA ÖDENEN</v>
      </c>
      <c r="E175" s="141"/>
      <c r="F175" s="65" t="str">
        <f t="shared" si="28"/>
        <v>MÜŞTERİDEN ALDI</v>
      </c>
      <c r="G175" s="68">
        <f t="shared" si="29"/>
        <v>4000</v>
      </c>
      <c r="H175" s="68">
        <f t="shared" si="30"/>
        <v>0</v>
      </c>
      <c r="I175" s="68">
        <f t="shared" si="34"/>
        <v>659250.01</v>
      </c>
      <c r="J175" s="2"/>
      <c r="K175" s="2"/>
      <c r="L175" s="1"/>
      <c r="M175" s="1">
        <v>138</v>
      </c>
      <c r="N175" s="71">
        <f>IF($T175=0,"",INDEX(TAHSILAT!$E$7:$E$2503,$T175))</f>
        <v>46214</v>
      </c>
      <c r="O175" s="1" t="str">
        <f>IF($N175="","",$C$36&amp;" – müşteriden tahsilat: "&amp;INDEX(TAHSILAT!$N$7:$N$2503,$T175)&amp;IF(INDEX(TAHSILAT!$J$7:$J$2503,$T175)="",""," – "&amp;INDEX(TAHSILAT!$J$7:$J$2503,$T175)))</f>
        <v>ÖMER KARTAL – müşteriden tahsilat: PAKYILDIZ LTD.ŞTİ. – ÖMER KARTALA ÖDENEN</v>
      </c>
      <c r="P175" s="1" t="str">
        <f t="shared" si="24"/>
        <v>MÜŞTERİDEN ALDI</v>
      </c>
      <c r="Q175" s="79">
        <f>IF($N175="",0,INDEX(TAHSILAT!$F$7:$F$2503,$T175))</f>
        <v>4000</v>
      </c>
      <c r="R175" s="1">
        <v>0</v>
      </c>
      <c r="S175" s="1">
        <f t="shared" si="31"/>
        <v>4621400138</v>
      </c>
      <c r="T175" s="1">
        <f>IFERROR(MATCH($C$36&amp;"|102",TAHSILAT!$U$7:$U$2503,0),0)</f>
        <v>445</v>
      </c>
      <c r="U175" s="1"/>
      <c r="V175" s="1">
        <f t="shared" si="32"/>
        <v>4621400138</v>
      </c>
      <c r="W175" s="1">
        <f t="shared" si="33"/>
        <v>138</v>
      </c>
    </row>
    <row r="176" spans="1:23" ht="19.5" customHeight="1" x14ac:dyDescent="0.3">
      <c r="A176" s="2"/>
      <c r="B176" s="65">
        <f t="shared" si="25"/>
        <v>139</v>
      </c>
      <c r="C176" s="70">
        <f t="shared" si="26"/>
        <v>46214</v>
      </c>
      <c r="D176" s="201" t="str">
        <f t="shared" si="27"/>
        <v>ÖMER KARTAL – müşteriden tahsilat: RİX ŞOW LTD.ŞTİ. – ÖMER KARTALA ÖDENEN</v>
      </c>
      <c r="E176" s="141"/>
      <c r="F176" s="65" t="str">
        <f t="shared" si="28"/>
        <v>MÜŞTERİDEN ALDI</v>
      </c>
      <c r="G176" s="68">
        <f t="shared" si="29"/>
        <v>3000</v>
      </c>
      <c r="H176" s="68">
        <f t="shared" si="30"/>
        <v>0</v>
      </c>
      <c r="I176" s="68">
        <f t="shared" si="34"/>
        <v>662250.01</v>
      </c>
      <c r="J176" s="2"/>
      <c r="K176" s="2"/>
      <c r="L176" s="1"/>
      <c r="M176" s="1">
        <v>139</v>
      </c>
      <c r="N176" s="1">
        <f>IF($T176=0,"",INDEX(TAHSILAT!$E$7:$E$2503,$T176))</f>
        <v>46214</v>
      </c>
      <c r="O176" s="1" t="str">
        <f>IF($N176="","",$C$36&amp;" – müşteriden tahsilat: "&amp;INDEX(TAHSILAT!$N$7:$N$2503,$T176)&amp;IF(INDEX(TAHSILAT!$J$7:$J$2503,$T176)="",""," – "&amp;INDEX(TAHSILAT!$J$7:$J$2503,$T176)))</f>
        <v>ÖMER KARTAL – müşteriden tahsilat: RİX ŞOW LTD.ŞTİ. – ÖMER KARTALA ÖDENEN</v>
      </c>
      <c r="P176" s="1" t="str">
        <f t="shared" si="24"/>
        <v>MÜŞTERİDEN ALDI</v>
      </c>
      <c r="Q176" s="1">
        <f>IF($N176="",0,INDEX(TAHSILAT!$F$7:$F$2503,$T176))</f>
        <v>3000</v>
      </c>
      <c r="R176" s="1">
        <v>0</v>
      </c>
      <c r="S176" s="1">
        <f t="shared" si="31"/>
        <v>4621400139</v>
      </c>
      <c r="T176" s="1">
        <f>IFERROR(MATCH($C$36&amp;"|103",TAHSILAT!$U$7:$U$2503,0),0)</f>
        <v>446</v>
      </c>
      <c r="U176" s="1"/>
      <c r="V176" s="1">
        <f t="shared" si="32"/>
        <v>4621400139</v>
      </c>
      <c r="W176" s="1">
        <f t="shared" si="33"/>
        <v>139</v>
      </c>
    </row>
    <row r="177" spans="1:23" ht="19.5" customHeight="1" x14ac:dyDescent="0.3">
      <c r="A177" s="2"/>
      <c r="B177" s="65">
        <f t="shared" si="25"/>
        <v>140</v>
      </c>
      <c r="C177" s="70">
        <f t="shared" si="26"/>
        <v>46214</v>
      </c>
      <c r="D177" s="201" t="str">
        <f t="shared" si="27"/>
        <v>ÖMER KARTAL – müşteriden tahsilat: KRİSTAL LTD.ŞTİ. – NAKİT ÖDENEN</v>
      </c>
      <c r="E177" s="141"/>
      <c r="F177" s="65" t="str">
        <f t="shared" si="28"/>
        <v>MÜŞTERİDEN ALDI</v>
      </c>
      <c r="G177" s="68">
        <f t="shared" si="29"/>
        <v>3000</v>
      </c>
      <c r="H177" s="68">
        <f t="shared" si="30"/>
        <v>0</v>
      </c>
      <c r="I177" s="68">
        <f t="shared" si="34"/>
        <v>665250.01</v>
      </c>
      <c r="J177" s="2"/>
      <c r="K177" s="2"/>
      <c r="L177" s="1"/>
      <c r="M177" s="1">
        <v>140</v>
      </c>
      <c r="N177" s="1">
        <f>IF($T177=0,"",INDEX(TAHSILAT!$E$7:$E$2503,$T177))</f>
        <v>46214</v>
      </c>
      <c r="O177" s="1" t="str">
        <f>IF($N177="","",$C$36&amp;" – müşteriden tahsilat: "&amp;INDEX(TAHSILAT!$N$7:$N$2503,$T177)&amp;IF(INDEX(TAHSILAT!$J$7:$J$2503,$T177)="",""," – "&amp;INDEX(TAHSILAT!$J$7:$J$2503,$T177)))</f>
        <v>ÖMER KARTAL – müşteriden tahsilat: KRİSTAL LTD.ŞTİ. – NAKİT ÖDENEN</v>
      </c>
      <c r="P177" s="1" t="str">
        <f t="shared" si="24"/>
        <v>MÜŞTERİDEN ALDI</v>
      </c>
      <c r="Q177" s="1">
        <f>IF($N177="",0,INDEX(TAHSILAT!$F$7:$F$2503,$T177))</f>
        <v>3000</v>
      </c>
      <c r="R177" s="1">
        <v>0</v>
      </c>
      <c r="S177" s="1">
        <f t="shared" si="31"/>
        <v>4621400140</v>
      </c>
      <c r="T177" s="1">
        <f>IFERROR(MATCH($C$36&amp;"|104",TAHSILAT!$U$7:$U$2503,0),0)</f>
        <v>447</v>
      </c>
      <c r="U177" s="1"/>
      <c r="V177" s="1">
        <f t="shared" si="32"/>
        <v>4621400140</v>
      </c>
      <c r="W177" s="1">
        <f t="shared" si="33"/>
        <v>140</v>
      </c>
    </row>
    <row r="178" spans="1:23" ht="19.5" customHeight="1" x14ac:dyDescent="0.3">
      <c r="A178" s="2"/>
      <c r="B178" s="65">
        <f t="shared" si="25"/>
        <v>141</v>
      </c>
      <c r="C178" s="70">
        <f t="shared" si="26"/>
        <v>46214</v>
      </c>
      <c r="D178" s="201" t="str">
        <f t="shared" si="27"/>
        <v>MERKEZ KASA → ÖMER KARTAL – YALIKENT HAFTALIK MENDERES MAHSUP</v>
      </c>
      <c r="E178" s="141"/>
      <c r="F178" s="65" t="str">
        <f t="shared" si="28"/>
        <v>VİRMAN GELDİ</v>
      </c>
      <c r="G178" s="68">
        <f t="shared" si="29"/>
        <v>5000</v>
      </c>
      <c r="H178" s="68">
        <f t="shared" si="30"/>
        <v>0</v>
      </c>
      <c r="I178" s="68">
        <f t="shared" si="34"/>
        <v>670250.01</v>
      </c>
      <c r="J178" s="2"/>
      <c r="K178" s="2"/>
      <c r="L178" s="1"/>
      <c r="M178" s="1">
        <v>141</v>
      </c>
      <c r="N178" s="1">
        <f>IF($T178=0,"",INDEX(TAHSILAT!$E$7:$E$2503,$T178))</f>
        <v>46218</v>
      </c>
      <c r="O178" s="1" t="str">
        <f>IF($N178="","",$C$36&amp;" – müşteriden tahsilat: "&amp;INDEX(TAHSILAT!$N$7:$N$2503,$T178)&amp;IF(INDEX(TAHSILAT!$J$7:$J$2503,$T178)="",""," – "&amp;INDEX(TAHSILAT!$J$7:$J$2503,$T178)))</f>
        <v>ÖMER KARTAL – müşteriden tahsilat: UFUK YILMAZ – NAKİT ÖDENEN</v>
      </c>
      <c r="P178" s="1" t="str">
        <f t="shared" si="24"/>
        <v>MÜŞTERİDEN ALDI</v>
      </c>
      <c r="Q178" s="1">
        <f>IF($N178="",0,INDEX(TAHSILAT!$F$7:$F$2503,$T178))</f>
        <v>3000</v>
      </c>
      <c r="R178" s="1">
        <v>0</v>
      </c>
      <c r="S178" s="1">
        <f t="shared" si="31"/>
        <v>4621800141</v>
      </c>
      <c r="T178" s="1">
        <f>IFERROR(MATCH($C$36&amp;"|105",TAHSILAT!$U$7:$U$2503,0),0)</f>
        <v>449</v>
      </c>
      <c r="U178" s="1"/>
      <c r="V178" s="1">
        <f t="shared" si="32"/>
        <v>4621400559</v>
      </c>
      <c r="W178" s="1">
        <f t="shared" si="33"/>
        <v>559</v>
      </c>
    </row>
    <row r="179" spans="1:23" ht="19.5" customHeight="1" x14ac:dyDescent="0.3">
      <c r="A179" s="2"/>
      <c r="B179" s="65">
        <f t="shared" si="25"/>
        <v>142</v>
      </c>
      <c r="C179" s="70">
        <f t="shared" si="26"/>
        <v>46218</v>
      </c>
      <c r="D179" s="201" t="str">
        <f t="shared" si="27"/>
        <v>ÖMER KARTAL – müşteriden tahsilat: UFUK YILMAZ – NAKİT ÖDENEN</v>
      </c>
      <c r="E179" s="141"/>
      <c r="F179" s="65" t="str">
        <f t="shared" si="28"/>
        <v>MÜŞTERİDEN ALDI</v>
      </c>
      <c r="G179" s="68">
        <f t="shared" si="29"/>
        <v>3000</v>
      </c>
      <c r="H179" s="68">
        <f t="shared" si="30"/>
        <v>0</v>
      </c>
      <c r="I179" s="68">
        <f t="shared" si="34"/>
        <v>673250.01</v>
      </c>
      <c r="J179" s="2"/>
      <c r="K179" s="2"/>
      <c r="L179" s="1"/>
      <c r="M179" s="1">
        <v>142</v>
      </c>
      <c r="N179" s="1">
        <f>IF($T179=0,"",INDEX(TAHSILAT!$E$7:$E$2503,$T179))</f>
        <v>46221</v>
      </c>
      <c r="O179" s="1" t="str">
        <f>IF($N179="","",$C$36&amp;" – müşteriden tahsilat: "&amp;INDEX(TAHSILAT!$N$7:$N$2503,$T179)&amp;IF(INDEX(TAHSILAT!$J$7:$J$2503,$T179)="",""," – "&amp;INDEX(TAHSILAT!$J$7:$J$2503,$T179)))</f>
        <v>ÖMER KARTAL – müşteriden tahsilat: İSA DEMİRCİ – NAKİT ÖDENEN</v>
      </c>
      <c r="P179" s="1" t="str">
        <f t="shared" si="24"/>
        <v>MÜŞTERİDEN ALDI</v>
      </c>
      <c r="Q179" s="1">
        <f>IF($N179="",0,INDEX(TAHSILAT!$F$7:$F$2503,$T179))</f>
        <v>3500</v>
      </c>
      <c r="R179" s="1">
        <v>0</v>
      </c>
      <c r="S179" s="1">
        <f t="shared" si="31"/>
        <v>4622100142</v>
      </c>
      <c r="T179" s="1">
        <f>IFERROR(MATCH($C$36&amp;"|106",TAHSILAT!$U$7:$U$2503,0),0)</f>
        <v>459</v>
      </c>
      <c r="U179" s="1"/>
      <c r="V179" s="1">
        <f t="shared" si="32"/>
        <v>4621800141</v>
      </c>
      <c r="W179" s="1">
        <f t="shared" si="33"/>
        <v>141</v>
      </c>
    </row>
    <row r="180" spans="1:23" ht="19.5" customHeight="1" x14ac:dyDescent="0.3">
      <c r="A180" s="2"/>
      <c r="B180" s="65">
        <f t="shared" si="25"/>
        <v>143</v>
      </c>
      <c r="C180" s="70">
        <f t="shared" si="26"/>
        <v>46221</v>
      </c>
      <c r="D180" s="201" t="str">
        <f t="shared" si="27"/>
        <v>ÖMER KARTAL – müşteriden tahsilat: İSA DEMİRCİ – NAKİT ÖDENEN</v>
      </c>
      <c r="E180" s="141"/>
      <c r="F180" s="65" t="str">
        <f t="shared" si="28"/>
        <v>MÜŞTERİDEN ALDI</v>
      </c>
      <c r="G180" s="68">
        <f t="shared" si="29"/>
        <v>3500</v>
      </c>
      <c r="H180" s="68">
        <f t="shared" si="30"/>
        <v>0</v>
      </c>
      <c r="I180" s="68">
        <f t="shared" si="34"/>
        <v>676750.01</v>
      </c>
      <c r="J180" s="2"/>
      <c r="K180" s="2"/>
      <c r="L180" s="1"/>
      <c r="M180" s="1">
        <v>143</v>
      </c>
      <c r="N180" s="1">
        <f>IF($T180=0,"",INDEX(TAHSILAT!$E$7:$E$2503,$T180))</f>
        <v>46221</v>
      </c>
      <c r="O180" s="1" t="str">
        <f>IF($N180="","",$C$36&amp;" – müşteriden tahsilat: "&amp;INDEX(TAHSILAT!$N$7:$N$2503,$T180)&amp;IF(INDEX(TAHSILAT!$J$7:$J$2503,$T180)="",""," – "&amp;INDEX(TAHSILAT!$J$7:$J$2503,$T180)))</f>
        <v>ÖMER KARTAL – müşteriden tahsilat: ÖMER DEMİRCİ – NAKİT ÖDENEN</v>
      </c>
      <c r="P180" s="1" t="str">
        <f t="shared" si="24"/>
        <v>MÜŞTERİDEN ALDI</v>
      </c>
      <c r="Q180" s="1">
        <f>IF($N180="",0,INDEX(TAHSILAT!$F$7:$F$2503,$T180))</f>
        <v>3500</v>
      </c>
      <c r="R180" s="1">
        <v>0</v>
      </c>
      <c r="S180" s="1">
        <f t="shared" si="31"/>
        <v>4622100143</v>
      </c>
      <c r="T180" s="1">
        <f>IFERROR(MATCH($C$36&amp;"|107",TAHSILAT!$U$7:$U$2503,0),0)</f>
        <v>461</v>
      </c>
      <c r="U180" s="1"/>
      <c r="V180" s="1">
        <f t="shared" si="32"/>
        <v>4622100142</v>
      </c>
      <c r="W180" s="1">
        <f t="shared" si="33"/>
        <v>142</v>
      </c>
    </row>
    <row r="181" spans="1:23" ht="19.5" customHeight="1" x14ac:dyDescent="0.3">
      <c r="A181" s="2"/>
      <c r="B181" s="65">
        <f t="shared" si="25"/>
        <v>144</v>
      </c>
      <c r="C181" s="70">
        <f t="shared" si="26"/>
        <v>46221</v>
      </c>
      <c r="D181" s="201" t="str">
        <f t="shared" si="27"/>
        <v>ÖMER KARTAL – müşteriden tahsilat: ÖMER DEMİRCİ – NAKİT ÖDENEN</v>
      </c>
      <c r="E181" s="141"/>
      <c r="F181" s="65" t="str">
        <f t="shared" si="28"/>
        <v>MÜŞTERİDEN ALDI</v>
      </c>
      <c r="G181" s="68">
        <f t="shared" si="29"/>
        <v>3500</v>
      </c>
      <c r="H181" s="68">
        <f t="shared" si="30"/>
        <v>0</v>
      </c>
      <c r="I181" s="68">
        <f t="shared" si="34"/>
        <v>680250.01</v>
      </c>
      <c r="J181" s="2"/>
      <c r="K181" s="2"/>
      <c r="L181" s="1"/>
      <c r="M181" s="1">
        <v>144</v>
      </c>
      <c r="N181" s="1">
        <f>IF($T181=0,"",INDEX(TAHSILAT!$E$7:$E$2503,$T181))</f>
        <v>46243</v>
      </c>
      <c r="O181" s="1" t="str">
        <f>IF($N181="","",$C$36&amp;" – müşteriden tahsilat: "&amp;INDEX(TAHSILAT!$N$7:$N$2503,$T181)&amp;IF(INDEX(TAHSILAT!$J$7:$J$2503,$T181)="",""," – "&amp;INDEX(TAHSILAT!$J$7:$J$2503,$T181)))</f>
        <v>ÖMER KARTAL – müşteriden tahsilat: TYANA LTD.ŞTİ. – NAKİT ÖDENEN</v>
      </c>
      <c r="P181" s="1" t="str">
        <f t="shared" si="24"/>
        <v>MÜŞTERİDEN ALDI</v>
      </c>
      <c r="Q181" s="1">
        <f>IF($N181="",0,INDEX(TAHSILAT!$F$7:$F$2503,$T181))</f>
        <v>3000</v>
      </c>
      <c r="R181" s="1">
        <v>0</v>
      </c>
      <c r="S181" s="1">
        <f t="shared" si="31"/>
        <v>4624300144</v>
      </c>
      <c r="T181" s="1">
        <f>IFERROR(MATCH($C$36&amp;"|108",TAHSILAT!$U$7:$U$2503,0),0)</f>
        <v>502</v>
      </c>
      <c r="U181" s="1"/>
      <c r="V181" s="1">
        <f t="shared" si="32"/>
        <v>4622100143</v>
      </c>
      <c r="W181" s="1">
        <f t="shared" si="33"/>
        <v>143</v>
      </c>
    </row>
    <row r="182" spans="1:23" ht="19.5" customHeight="1" x14ac:dyDescent="0.3">
      <c r="A182" s="2"/>
      <c r="B182" s="65">
        <f t="shared" si="25"/>
        <v>145</v>
      </c>
      <c r="C182" s="70">
        <f t="shared" si="26"/>
        <v>46221</v>
      </c>
      <c r="D182" s="201" t="str">
        <f t="shared" si="27"/>
        <v>MERKEZ KASA → ÖMER KARTAL – YALIKENT HAFTALIK MENDERES MAHSUP</v>
      </c>
      <c r="E182" s="141"/>
      <c r="F182" s="65" t="str">
        <f t="shared" si="28"/>
        <v>VİRMAN GELDİ</v>
      </c>
      <c r="G182" s="68">
        <f t="shared" si="29"/>
        <v>5000</v>
      </c>
      <c r="H182" s="68">
        <f t="shared" si="30"/>
        <v>0</v>
      </c>
      <c r="I182" s="68">
        <f t="shared" si="34"/>
        <v>685250.01</v>
      </c>
      <c r="J182" s="2"/>
      <c r="K182" s="2"/>
      <c r="L182" s="1"/>
      <c r="M182" s="1">
        <v>145</v>
      </c>
      <c r="N182" s="1">
        <f>IF($T182=0,"",INDEX(TAHSILAT!$E$7:$E$2503,$T182))</f>
        <v>46249</v>
      </c>
      <c r="O182" s="1" t="str">
        <f>IF($N182="","",$C$36&amp;" – müşteriden tahsilat: "&amp;INDEX(TAHSILAT!$N$7:$N$2503,$T182)&amp;IF(INDEX(TAHSILAT!$J$7:$J$2503,$T182)="",""," – "&amp;INDEX(TAHSILAT!$J$7:$J$2503,$T182)))</f>
        <v>ÖMER KARTAL – müşteriden tahsilat: UFUK YILMAZ – NAKİT ÖDENEN</v>
      </c>
      <c r="P182" s="1" t="str">
        <f t="shared" si="24"/>
        <v>MÜŞTERİDEN ALDI</v>
      </c>
      <c r="Q182" s="1">
        <f>IF($N182="",0,INDEX(TAHSILAT!$F$7:$F$2503,$T182))</f>
        <v>3000</v>
      </c>
      <c r="R182" s="1">
        <v>0</v>
      </c>
      <c r="S182" s="1">
        <f t="shared" si="31"/>
        <v>4624900145</v>
      </c>
      <c r="T182" s="1">
        <f>IFERROR(MATCH($C$36&amp;"|109",TAHSILAT!$U$7:$U$2503,0),0)</f>
        <v>525</v>
      </c>
      <c r="U182" s="1"/>
      <c r="V182" s="1">
        <f t="shared" si="32"/>
        <v>4622100560</v>
      </c>
      <c r="W182" s="1">
        <f t="shared" si="33"/>
        <v>560</v>
      </c>
    </row>
    <row r="183" spans="1:23" ht="19.5" customHeight="1" x14ac:dyDescent="0.3">
      <c r="A183" s="2"/>
      <c r="B183" s="65">
        <f t="shared" si="25"/>
        <v>146</v>
      </c>
      <c r="C183" s="70">
        <f t="shared" si="26"/>
        <v>46228</v>
      </c>
      <c r="D183" s="201" t="str">
        <f t="shared" si="27"/>
        <v>MERKEZ KASA → ÖMER KARTAL – YALIKENT HAFTALIK MENDERES MAHSUP</v>
      </c>
      <c r="E183" s="141"/>
      <c r="F183" s="65" t="str">
        <f t="shared" si="28"/>
        <v>VİRMAN GELDİ</v>
      </c>
      <c r="G183" s="68">
        <f t="shared" si="29"/>
        <v>5000</v>
      </c>
      <c r="H183" s="68">
        <f t="shared" si="30"/>
        <v>0</v>
      </c>
      <c r="I183" s="68">
        <f t="shared" si="34"/>
        <v>690250.01</v>
      </c>
      <c r="J183" s="2"/>
      <c r="K183" s="2"/>
      <c r="L183" s="1"/>
      <c r="M183" s="1">
        <v>146</v>
      </c>
      <c r="N183" s="1" t="str">
        <f>IF($T183=0,"",INDEX(TAHSILAT!$E$7:$E$2503,$T183))</f>
        <v/>
      </c>
      <c r="O183" s="1" t="str">
        <f>IF($N183="","",$C$36&amp;" – müşteriden tahsilat: "&amp;INDEX(TAHSILAT!$N$7:$N$2503,$T183)&amp;IF(INDEX(TAHSILAT!$J$7:$J$2503,$T183)="",""," – "&amp;INDEX(TAHSILAT!$J$7:$J$2503,$T183)))</f>
        <v/>
      </c>
      <c r="P183" s="1" t="str">
        <f t="shared" si="24"/>
        <v/>
      </c>
      <c r="Q183" s="1">
        <f>IF($N183="",0,INDEX(TAHSILAT!$F$7:$F$2503,$T183))</f>
        <v>0</v>
      </c>
      <c r="R183" s="1">
        <v>0</v>
      </c>
      <c r="S183" s="1">
        <f t="shared" si="31"/>
        <v>10000000000</v>
      </c>
      <c r="T183" s="1">
        <f>IFERROR(MATCH($C$36&amp;"|110",TAHSILAT!$U$7:$U$2503,0),0)</f>
        <v>0</v>
      </c>
      <c r="U183" s="1"/>
      <c r="V183" s="1">
        <f t="shared" si="32"/>
        <v>4622800561</v>
      </c>
      <c r="W183" s="1">
        <f t="shared" si="33"/>
        <v>561</v>
      </c>
    </row>
    <row r="184" spans="1:23" ht="19.5" customHeight="1" x14ac:dyDescent="0.3">
      <c r="A184" s="2"/>
      <c r="B184" s="65">
        <f t="shared" si="25"/>
        <v>147</v>
      </c>
      <c r="C184" s="70">
        <f t="shared" si="26"/>
        <v>46234</v>
      </c>
      <c r="D184" s="201" t="str">
        <f t="shared" si="27"/>
        <v>ÖMER KARTAL – Temmuz 2026 kâr payı tahakkuku</v>
      </c>
      <c r="E184" s="141"/>
      <c r="F184" s="65" t="str">
        <f t="shared" si="28"/>
        <v>KÂR PAYI TAHAKKUKU</v>
      </c>
      <c r="G184" s="68">
        <f t="shared" si="29"/>
        <v>0</v>
      </c>
      <c r="H184" s="68">
        <f t="shared" si="30"/>
        <v>58370</v>
      </c>
      <c r="I184" s="68">
        <f t="shared" si="34"/>
        <v>631880.01</v>
      </c>
      <c r="J184" s="2"/>
      <c r="K184" s="2"/>
      <c r="L184" s="1"/>
      <c r="M184" s="1">
        <v>147</v>
      </c>
      <c r="N184" s="1" t="str">
        <f>IF($T184=0,"",INDEX(TAHSILAT!$E$7:$E$2503,$T184))</f>
        <v/>
      </c>
      <c r="O184" s="1" t="str">
        <f>IF($N184="","",$C$36&amp;" – müşteriden tahsilat: "&amp;INDEX(TAHSILAT!$N$7:$N$2503,$T184)&amp;IF(INDEX(TAHSILAT!$J$7:$J$2503,$T184)="",""," – "&amp;INDEX(TAHSILAT!$J$7:$J$2503,$T184)))</f>
        <v/>
      </c>
      <c r="P184" s="1" t="str">
        <f t="shared" si="24"/>
        <v/>
      </c>
      <c r="Q184" s="1">
        <f>IF($N184="",0,INDEX(TAHSILAT!$F$7:$F$2503,$T184))</f>
        <v>0</v>
      </c>
      <c r="R184" s="1">
        <v>0</v>
      </c>
      <c r="S184" s="1">
        <f t="shared" si="31"/>
        <v>10000000000</v>
      </c>
      <c r="T184" s="1">
        <f>IFERROR(MATCH($C$36&amp;"|111",TAHSILAT!$U$7:$U$2503,0),0)</f>
        <v>0</v>
      </c>
      <c r="U184" s="1"/>
      <c r="V184" s="1">
        <f t="shared" si="32"/>
        <v>4623400007</v>
      </c>
      <c r="W184" s="1">
        <f t="shared" si="33"/>
        <v>7</v>
      </c>
    </row>
    <row r="185" spans="1:23" ht="19.5" customHeight="1" x14ac:dyDescent="0.3">
      <c r="A185" s="2"/>
      <c r="B185" s="65">
        <f t="shared" si="25"/>
        <v>148</v>
      </c>
      <c r="C185" s="70">
        <f t="shared" si="26"/>
        <v>46234</v>
      </c>
      <c r="D185" s="201" t="str">
        <f t="shared" si="27"/>
        <v>MERKEZ KASA → ÖMER KARTAL – PARİS GAZİNOSU SGK'LAR</v>
      </c>
      <c r="E185" s="141"/>
      <c r="F185" s="65" t="str">
        <f t="shared" si="28"/>
        <v>VİRMAN GELDİ</v>
      </c>
      <c r="G185" s="68">
        <f t="shared" si="29"/>
        <v>12000</v>
      </c>
      <c r="H185" s="68">
        <f t="shared" si="30"/>
        <v>0</v>
      </c>
      <c r="I185" s="68">
        <f t="shared" si="34"/>
        <v>643880.01</v>
      </c>
      <c r="J185" s="2"/>
      <c r="K185" s="2"/>
      <c r="L185" s="1"/>
      <c r="M185" s="1">
        <v>148</v>
      </c>
      <c r="N185" s="1" t="str">
        <f>IF($T185=0,"",INDEX(TAHSILAT!$E$7:$E$2503,$T185))</f>
        <v/>
      </c>
      <c r="O185" s="1" t="str">
        <f>IF($N185="","",$C$36&amp;" – müşteriden tahsilat: "&amp;INDEX(TAHSILAT!$N$7:$N$2503,$T185)&amp;IF(INDEX(TAHSILAT!$J$7:$J$2503,$T185)="",""," – "&amp;INDEX(TAHSILAT!$J$7:$J$2503,$T185)))</f>
        <v/>
      </c>
      <c r="P185" s="1" t="str">
        <f t="shared" si="24"/>
        <v/>
      </c>
      <c r="Q185" s="1">
        <f>IF($N185="",0,INDEX(TAHSILAT!$F$7:$F$2503,$T185))</f>
        <v>0</v>
      </c>
      <c r="R185" s="1">
        <v>0</v>
      </c>
      <c r="S185" s="1">
        <f t="shared" si="31"/>
        <v>10000000000</v>
      </c>
      <c r="T185" s="1">
        <f>IFERROR(MATCH($C$36&amp;"|112",TAHSILAT!$U$7:$U$2503,0),0)</f>
        <v>0</v>
      </c>
      <c r="U185" s="1"/>
      <c r="V185" s="1">
        <f t="shared" si="32"/>
        <v>4623400562</v>
      </c>
      <c r="W185" s="1">
        <f t="shared" si="33"/>
        <v>562</v>
      </c>
    </row>
    <row r="186" spans="1:23" ht="19.5" customHeight="1" x14ac:dyDescent="0.3">
      <c r="A186" s="2"/>
      <c r="B186" s="65">
        <f t="shared" si="25"/>
        <v>149</v>
      </c>
      <c r="C186" s="70">
        <f t="shared" si="26"/>
        <v>46234</v>
      </c>
      <c r="D186" s="201" t="str">
        <f t="shared" si="27"/>
        <v>MERKEZ KASA → ÖMER KARTAL – KÂR PAYI / AVANS ÇEKİŞİ — Temmuz Ayı Kâr Payı Ödemesi — eski GELIR_GIDER satır 196</v>
      </c>
      <c r="E186" s="141"/>
      <c r="F186" s="65" t="str">
        <f t="shared" si="28"/>
        <v>VİRMAN GELDİ</v>
      </c>
      <c r="G186" s="68">
        <f t="shared" si="29"/>
        <v>58370</v>
      </c>
      <c r="H186" s="68">
        <f t="shared" si="30"/>
        <v>0</v>
      </c>
      <c r="I186" s="68">
        <f t="shared" si="34"/>
        <v>702250.01</v>
      </c>
      <c r="J186" s="2"/>
      <c r="K186" s="2"/>
      <c r="L186" s="1"/>
      <c r="M186" s="1">
        <v>149</v>
      </c>
      <c r="N186" s="1" t="str">
        <f>IF($T186=0,"",INDEX(TAHSILAT!$E$7:$E$2503,$T186))</f>
        <v/>
      </c>
      <c r="O186" s="1" t="str">
        <f>IF($N186="","",$C$36&amp;" – müşteriden tahsilat: "&amp;INDEX(TAHSILAT!$N$7:$N$2503,$T186)&amp;IF(INDEX(TAHSILAT!$J$7:$J$2503,$T186)="",""," – "&amp;INDEX(TAHSILAT!$J$7:$J$2503,$T186)))</f>
        <v/>
      </c>
      <c r="P186" s="1" t="str">
        <f t="shared" si="24"/>
        <v/>
      </c>
      <c r="Q186" s="1">
        <f>IF($N186="",0,INDEX(TAHSILAT!$F$7:$F$2503,$T186))</f>
        <v>0</v>
      </c>
      <c r="R186" s="1">
        <v>0</v>
      </c>
      <c r="S186" s="1">
        <f t="shared" si="31"/>
        <v>10000000000</v>
      </c>
      <c r="T186" s="1">
        <f>IFERROR(MATCH($C$36&amp;"|113",TAHSILAT!$U$7:$U$2503,0),0)</f>
        <v>0</v>
      </c>
      <c r="U186" s="1"/>
      <c r="V186" s="1">
        <f t="shared" si="32"/>
        <v>4623400572</v>
      </c>
      <c r="W186" s="1">
        <f t="shared" si="33"/>
        <v>572</v>
      </c>
    </row>
    <row r="187" spans="1:23" ht="19.5" customHeight="1" x14ac:dyDescent="0.3">
      <c r="A187" s="2"/>
      <c r="B187" s="65">
        <f t="shared" si="25"/>
        <v>150</v>
      </c>
      <c r="C187" s="70">
        <f t="shared" si="26"/>
        <v>46235</v>
      </c>
      <c r="D187" s="201" t="str">
        <f t="shared" si="27"/>
        <v>MERKEZ KASA → ÖMER KARTAL – YALIKENT HAFTALIK MENDERES MAHSUP</v>
      </c>
      <c r="E187" s="141"/>
      <c r="F187" s="65" t="str">
        <f t="shared" si="28"/>
        <v>VİRMAN GELDİ</v>
      </c>
      <c r="G187" s="68">
        <f t="shared" si="29"/>
        <v>5000</v>
      </c>
      <c r="H187" s="68">
        <f t="shared" si="30"/>
        <v>0</v>
      </c>
      <c r="I187" s="68">
        <f t="shared" si="34"/>
        <v>707250.01</v>
      </c>
      <c r="J187" s="2"/>
      <c r="K187" s="2"/>
      <c r="L187" s="1"/>
      <c r="M187" s="1">
        <v>150</v>
      </c>
      <c r="N187" s="1" t="str">
        <f>IF($T187=0,"",INDEX(TAHSILAT!$E$7:$E$2503,$T187))</f>
        <v/>
      </c>
      <c r="O187" s="1" t="str">
        <f>IF($N187="","",$C$36&amp;" – müşteriden tahsilat: "&amp;INDEX(TAHSILAT!$N$7:$N$2503,$T187)&amp;IF(INDEX(TAHSILAT!$J$7:$J$2503,$T187)="",""," – "&amp;INDEX(TAHSILAT!$J$7:$J$2503,$T187)))</f>
        <v/>
      </c>
      <c r="P187" s="1" t="str">
        <f t="shared" si="24"/>
        <v/>
      </c>
      <c r="Q187" s="1">
        <f>IF($N187="",0,INDEX(TAHSILAT!$F$7:$F$2503,$T187))</f>
        <v>0</v>
      </c>
      <c r="R187" s="1">
        <v>0</v>
      </c>
      <c r="S187" s="1">
        <f t="shared" si="31"/>
        <v>10000000000</v>
      </c>
      <c r="T187" s="1">
        <f>IFERROR(MATCH($C$36&amp;"|114",TAHSILAT!$U$7:$U$2503,0),0)</f>
        <v>0</v>
      </c>
      <c r="U187" s="1"/>
      <c r="V187" s="1">
        <f t="shared" si="32"/>
        <v>4623500563</v>
      </c>
      <c r="W187" s="1">
        <f t="shared" si="33"/>
        <v>563</v>
      </c>
    </row>
    <row r="188" spans="1:23" ht="19.5" customHeight="1" x14ac:dyDescent="0.3">
      <c r="A188" s="2"/>
      <c r="B188" s="65">
        <f t="shared" si="25"/>
        <v>151</v>
      </c>
      <c r="C188" s="70">
        <f t="shared" si="26"/>
        <v>46243</v>
      </c>
      <c r="D188" s="74" t="str">
        <f t="shared" si="27"/>
        <v>ÖMER KARTAL – müşteriden tahsilat: TYANA LTD.ŞTİ. – NAKİT ÖDENEN</v>
      </c>
      <c r="E188" s="2"/>
      <c r="F188" s="65" t="str">
        <f t="shared" si="28"/>
        <v>MÜŞTERİDEN ALDI</v>
      </c>
      <c r="G188" s="68">
        <f t="shared" si="29"/>
        <v>3000</v>
      </c>
      <c r="H188" s="68">
        <f t="shared" si="30"/>
        <v>0</v>
      </c>
      <c r="I188" s="68">
        <f t="shared" si="34"/>
        <v>710250.01</v>
      </c>
      <c r="J188" s="2"/>
      <c r="K188" s="2"/>
      <c r="L188" s="1"/>
      <c r="M188" s="1">
        <v>151</v>
      </c>
      <c r="N188" s="1" t="str">
        <f>IF($T188=0,"",INDEX(TAHSILAT!$E$7:$E$2503,$T188))</f>
        <v/>
      </c>
      <c r="O188" s="1" t="str">
        <f>IF($N188="","",$C$36&amp;" – müşteriden tahsilat: "&amp;INDEX(TAHSILAT!$N$7:$N$2503,$T188)&amp;IF(INDEX(TAHSILAT!$J$7:$J$2503,$T188)="",""," – "&amp;INDEX(TAHSILAT!$J$7:$J$2503,$T188)))</f>
        <v/>
      </c>
      <c r="P188" s="1" t="str">
        <f t="shared" si="24"/>
        <v/>
      </c>
      <c r="Q188" s="1">
        <f>IF($N188="",0,INDEX(TAHSILAT!$F$7:$F$2503,$T188))</f>
        <v>0</v>
      </c>
      <c r="R188" s="1">
        <v>0</v>
      </c>
      <c r="S188" s="1">
        <f t="shared" si="31"/>
        <v>10000000000</v>
      </c>
      <c r="T188" s="1">
        <f>IFERROR(MATCH($C$36&amp;"|115",TAHSILAT!$U$7:$U$2503,0),0)</f>
        <v>0</v>
      </c>
      <c r="U188" s="1"/>
      <c r="V188" s="1">
        <f t="shared" si="32"/>
        <v>4624300144</v>
      </c>
      <c r="W188" s="1">
        <f t="shared" si="33"/>
        <v>144</v>
      </c>
    </row>
    <row r="189" spans="1:23" ht="19.5" customHeight="1" x14ac:dyDescent="0.3">
      <c r="A189" s="2"/>
      <c r="B189" s="65">
        <f t="shared" si="25"/>
        <v>152</v>
      </c>
      <c r="C189" s="70">
        <f t="shared" si="26"/>
        <v>46243</v>
      </c>
      <c r="D189" s="74" t="str">
        <f t="shared" si="27"/>
        <v>MERKEZ KASA → ÖMER KARTAL – GRAND 06 ÖMER BAKİYE</v>
      </c>
      <c r="E189" s="2"/>
      <c r="F189" s="65" t="str">
        <f t="shared" si="28"/>
        <v>VİRMAN GELDİ</v>
      </c>
      <c r="G189" s="68">
        <f t="shared" si="29"/>
        <v>9400</v>
      </c>
      <c r="H189" s="68">
        <f t="shared" si="30"/>
        <v>0</v>
      </c>
      <c r="I189" s="68">
        <f t="shared" si="34"/>
        <v>719650.01</v>
      </c>
      <c r="J189" s="2"/>
      <c r="K189" s="2"/>
      <c r="L189" s="1"/>
      <c r="M189" s="1">
        <v>152</v>
      </c>
      <c r="N189" s="1" t="str">
        <f>IF($T189=0,"",INDEX(TAHSILAT!$E$7:$E$2503,$T189))</f>
        <v/>
      </c>
      <c r="O189" s="1" t="str">
        <f>IF($N189="","",$C$36&amp;" – müşteriden tahsilat: "&amp;INDEX(TAHSILAT!$N$7:$N$2503,$T189)&amp;IF(INDEX(TAHSILAT!$J$7:$J$2503,$T189)="",""," – "&amp;INDEX(TAHSILAT!$J$7:$J$2503,$T189)))</f>
        <v/>
      </c>
      <c r="P189" s="1" t="str">
        <f t="shared" si="24"/>
        <v/>
      </c>
      <c r="Q189" s="1">
        <f>IF($N189="",0,INDEX(TAHSILAT!$F$7:$F$2503,$T189))</f>
        <v>0</v>
      </c>
      <c r="R189" s="1">
        <v>0</v>
      </c>
      <c r="S189" s="1">
        <f t="shared" si="31"/>
        <v>10000000000</v>
      </c>
      <c r="T189" s="1">
        <f>IFERROR(MATCH($C$36&amp;"|116",TAHSILAT!$U$7:$U$2503,0),0)</f>
        <v>0</v>
      </c>
      <c r="U189" s="1"/>
      <c r="V189" s="1">
        <f t="shared" si="32"/>
        <v>4624300564</v>
      </c>
      <c r="W189" s="1">
        <f t="shared" si="33"/>
        <v>564</v>
      </c>
    </row>
    <row r="190" spans="1:23" ht="19.5" customHeight="1" x14ac:dyDescent="0.3">
      <c r="A190" s="2"/>
      <c r="B190" s="65">
        <f t="shared" si="25"/>
        <v>153</v>
      </c>
      <c r="C190" s="70">
        <f t="shared" si="26"/>
        <v>46249</v>
      </c>
      <c r="D190" s="74" t="str">
        <f t="shared" si="27"/>
        <v>ÖMER KARTAL – müşteriden tahsilat: UFUK YILMAZ – NAKİT ÖDENEN</v>
      </c>
      <c r="E190" s="2"/>
      <c r="F190" s="65" t="str">
        <f t="shared" si="28"/>
        <v>MÜŞTERİDEN ALDI</v>
      </c>
      <c r="G190" s="68">
        <f t="shared" si="29"/>
        <v>3000</v>
      </c>
      <c r="H190" s="68">
        <f t="shared" si="30"/>
        <v>0</v>
      </c>
      <c r="I190" s="68">
        <f t="shared" si="34"/>
        <v>722650.01</v>
      </c>
      <c r="J190" s="2"/>
      <c r="K190" s="2"/>
      <c r="L190" s="1"/>
      <c r="M190" s="1">
        <v>153</v>
      </c>
      <c r="N190" s="1" t="str">
        <f>IF($T190=0,"",INDEX(TAHSILAT!$E$7:$E$2503,$T190))</f>
        <v/>
      </c>
      <c r="O190" s="1" t="str">
        <f>IF($N190="","",$C$36&amp;" – müşteriden tahsilat: "&amp;INDEX(TAHSILAT!$N$7:$N$2503,$T190)&amp;IF(INDEX(TAHSILAT!$J$7:$J$2503,$T190)="",""," – "&amp;INDEX(TAHSILAT!$J$7:$J$2503,$T190)))</f>
        <v/>
      </c>
      <c r="P190" s="1" t="str">
        <f t="shared" si="24"/>
        <v/>
      </c>
      <c r="Q190" s="1">
        <f>IF($N190="",0,INDEX(TAHSILAT!$F$7:$F$2503,$T190))</f>
        <v>0</v>
      </c>
      <c r="R190" s="1">
        <v>0</v>
      </c>
      <c r="S190" s="1">
        <f t="shared" si="31"/>
        <v>10000000000</v>
      </c>
      <c r="T190" s="1">
        <f>IFERROR(MATCH($C$36&amp;"|117",TAHSILAT!$U$7:$U$2503,0),0)</f>
        <v>0</v>
      </c>
      <c r="U190" s="1"/>
      <c r="V190" s="1">
        <f t="shared" si="32"/>
        <v>4624900145</v>
      </c>
      <c r="W190" s="1">
        <f t="shared" si="33"/>
        <v>145</v>
      </c>
    </row>
    <row r="191" spans="1:23" ht="19.5" customHeight="1" x14ac:dyDescent="0.3">
      <c r="A191" s="2"/>
      <c r="B191" s="65">
        <f t="shared" si="25"/>
        <v>154</v>
      </c>
      <c r="C191" s="70">
        <f t="shared" si="26"/>
        <v>46265</v>
      </c>
      <c r="D191" s="74" t="str">
        <f t="shared" si="27"/>
        <v>ÖMER KARTAL – Ağustos 2026 kâr payı tahakkuku</v>
      </c>
      <c r="E191" s="2"/>
      <c r="F191" s="65" t="str">
        <f t="shared" si="28"/>
        <v>KÂR PAYI TAHAKKUKU</v>
      </c>
      <c r="G191" s="68">
        <f t="shared" si="29"/>
        <v>0</v>
      </c>
      <c r="H191" s="68">
        <f t="shared" si="30"/>
        <v>138800</v>
      </c>
      <c r="I191" s="68">
        <f t="shared" si="34"/>
        <v>583850.01</v>
      </c>
      <c r="J191" s="2"/>
      <c r="K191" s="2"/>
      <c r="L191" s="1"/>
      <c r="M191" s="1">
        <v>154</v>
      </c>
      <c r="N191" s="1" t="str">
        <f>IF($T191=0,"",INDEX(TAHSILAT!$E$7:$E$2503,$T191))</f>
        <v/>
      </c>
      <c r="O191" s="1" t="str">
        <f>IF($N191="","",$C$36&amp;" – müşteriden tahsilat: "&amp;INDEX(TAHSILAT!$N$7:$N$2503,$T191)&amp;IF(INDEX(TAHSILAT!$J$7:$J$2503,$T191)="",""," – "&amp;INDEX(TAHSILAT!$J$7:$J$2503,$T191)))</f>
        <v/>
      </c>
      <c r="P191" s="1" t="str">
        <f t="shared" si="24"/>
        <v/>
      </c>
      <c r="Q191" s="1">
        <f>IF($N191="",0,INDEX(TAHSILAT!$F$7:$F$2503,$T191))</f>
        <v>0</v>
      </c>
      <c r="R191" s="1">
        <v>0</v>
      </c>
      <c r="S191" s="1">
        <f t="shared" si="31"/>
        <v>10000000000</v>
      </c>
      <c r="T191" s="1">
        <f>IFERROR(MATCH($C$36&amp;"|118",TAHSILAT!$U$7:$U$2503,0),0)</f>
        <v>0</v>
      </c>
      <c r="U191" s="1"/>
      <c r="V191" s="1">
        <f t="shared" si="32"/>
        <v>4626500008</v>
      </c>
      <c r="W191" s="1">
        <f t="shared" si="33"/>
        <v>8</v>
      </c>
    </row>
    <row r="192" spans="1:23" ht="19.5" customHeight="1" x14ac:dyDescent="0.3">
      <c r="A192" s="2"/>
      <c r="B192" s="65">
        <f t="shared" si="25"/>
        <v>155</v>
      </c>
      <c r="C192" s="70">
        <f t="shared" si="26"/>
        <v>46265</v>
      </c>
      <c r="D192" s="74" t="str">
        <f t="shared" si="27"/>
        <v>MERKEZ KASA → ÖMER KARTAL – PARİS GAZİNOSU SGK'LAR</v>
      </c>
      <c r="E192" s="2"/>
      <c r="F192" s="65" t="str">
        <f t="shared" si="28"/>
        <v>VİRMAN GELDİ</v>
      </c>
      <c r="G192" s="68">
        <f t="shared" si="29"/>
        <v>12000</v>
      </c>
      <c r="H192" s="68">
        <f t="shared" si="30"/>
        <v>0</v>
      </c>
      <c r="I192" s="68">
        <f t="shared" si="34"/>
        <v>595850.01</v>
      </c>
      <c r="J192" s="2"/>
      <c r="K192" s="2"/>
      <c r="L192" s="1"/>
      <c r="M192" s="1">
        <v>155</v>
      </c>
      <c r="N192" s="1" t="str">
        <f>IF($T192=0,"",INDEX(TAHSILAT!$E$7:$E$2503,$T192))</f>
        <v/>
      </c>
      <c r="O192" s="1" t="str">
        <f>IF($N192="","",$C$36&amp;" – müşteriden tahsilat: "&amp;INDEX(TAHSILAT!$N$7:$N$2503,$T192)&amp;IF(INDEX(TAHSILAT!$J$7:$J$2503,$T192)="",""," – "&amp;INDEX(TAHSILAT!$J$7:$J$2503,$T192)))</f>
        <v/>
      </c>
      <c r="P192" s="1" t="str">
        <f t="shared" si="24"/>
        <v/>
      </c>
      <c r="Q192" s="1">
        <f>IF($N192="",0,INDEX(TAHSILAT!$F$7:$F$2503,$T192))</f>
        <v>0</v>
      </c>
      <c r="R192" s="1">
        <v>0</v>
      </c>
      <c r="S192" s="1">
        <f t="shared" si="31"/>
        <v>10000000000</v>
      </c>
      <c r="T192" s="1">
        <f>IFERROR(MATCH($C$36&amp;"|119",TAHSILAT!$U$7:$U$2503,0),0)</f>
        <v>0</v>
      </c>
      <c r="U192" s="1"/>
      <c r="V192" s="1">
        <f t="shared" si="32"/>
        <v>4626500565</v>
      </c>
      <c r="W192" s="1">
        <f t="shared" si="33"/>
        <v>565</v>
      </c>
    </row>
    <row r="193" spans="1:23" ht="19.5" customHeight="1" x14ac:dyDescent="0.3">
      <c r="A193" s="1"/>
      <c r="B193" s="65" t="str">
        <f t="shared" si="25"/>
        <v/>
      </c>
      <c r="C193" s="70" t="str">
        <f t="shared" si="26"/>
        <v/>
      </c>
      <c r="D193" s="74" t="str">
        <f t="shared" si="27"/>
        <v/>
      </c>
      <c r="E193" s="1"/>
      <c r="F193" s="65" t="str">
        <f t="shared" si="28"/>
        <v/>
      </c>
      <c r="G193" s="68" t="str">
        <f t="shared" si="29"/>
        <v/>
      </c>
      <c r="H193" s="68" t="str">
        <f t="shared" si="30"/>
        <v/>
      </c>
      <c r="I193" s="68" t="str">
        <f t="shared" si="34"/>
        <v/>
      </c>
      <c r="J193" s="1"/>
      <c r="K193" s="1"/>
      <c r="L193" s="1"/>
      <c r="M193" s="1">
        <v>156</v>
      </c>
      <c r="N193" s="1" t="str">
        <f>IF($T193=0,"",INDEX(TAHSILAT!$E$7:$E$2503,$T193))</f>
        <v/>
      </c>
      <c r="O193" s="1" t="str">
        <f>IF($N193="","",$C$36&amp;" – müşteriden tahsilat: "&amp;INDEX(TAHSILAT!$N$7:$N$2503,$T193)&amp;IF(INDEX(TAHSILAT!$J$7:$J$2503,$T193)="",""," – "&amp;INDEX(TAHSILAT!$J$7:$J$2503,$T193)))</f>
        <v/>
      </c>
      <c r="P193" s="1" t="str">
        <f t="shared" si="24"/>
        <v/>
      </c>
      <c r="Q193" s="1">
        <f>IF($N193="",0,INDEX(TAHSILAT!$F$7:$F$2503,$T193))</f>
        <v>0</v>
      </c>
      <c r="R193" s="1">
        <v>0</v>
      </c>
      <c r="S193" s="1">
        <f t="shared" si="31"/>
        <v>10000000000</v>
      </c>
      <c r="T193" s="1">
        <f>IFERROR(MATCH($C$36&amp;"|120",TAHSILAT!$U$7:$U$2503,0),0)</f>
        <v>0</v>
      </c>
      <c r="U193" s="1"/>
      <c r="V193" s="1">
        <f t="shared" si="32"/>
        <v>10000000000</v>
      </c>
      <c r="W193" s="1">
        <f t="shared" si="33"/>
        <v>9</v>
      </c>
    </row>
    <row r="194" spans="1:23" ht="14.25" customHeight="1" x14ac:dyDescent="0.3">
      <c r="B194" s="65" t="str">
        <f t="shared" si="25"/>
        <v/>
      </c>
      <c r="C194" s="70" t="str">
        <f t="shared" si="26"/>
        <v/>
      </c>
      <c r="D194" s="74" t="str">
        <f t="shared" si="27"/>
        <v/>
      </c>
      <c r="F194" s="65" t="str">
        <f t="shared" si="28"/>
        <v/>
      </c>
      <c r="G194" s="68" t="str">
        <f t="shared" si="29"/>
        <v/>
      </c>
      <c r="H194" s="68" t="str">
        <f t="shared" si="30"/>
        <v/>
      </c>
      <c r="I194" s="68" t="str">
        <f t="shared" si="34"/>
        <v/>
      </c>
      <c r="M194" s="1">
        <v>157</v>
      </c>
      <c r="N194" s="1" t="str">
        <f>IF($T194=0,"",INDEX(TAHSILAT!$E$7:$E$2503,$T194))</f>
        <v/>
      </c>
      <c r="O194" s="1" t="str">
        <f>IF($N194="","",$C$36&amp;" – müşteriden tahsilat: "&amp;INDEX(TAHSILAT!$N$7:$N$2503,$T194)&amp;IF(INDEX(TAHSILAT!$J$7:$J$2503,$T194)="",""," – "&amp;INDEX(TAHSILAT!$J$7:$J$2503,$T194)))</f>
        <v/>
      </c>
      <c r="P194" s="1" t="str">
        <f t="shared" si="24"/>
        <v/>
      </c>
      <c r="Q194" s="1">
        <f>IF($N194="",0,INDEX(TAHSILAT!$F$7:$F$2503,$T194))</f>
        <v>0</v>
      </c>
      <c r="R194" s="1">
        <v>0</v>
      </c>
      <c r="S194" s="1">
        <f t="shared" si="31"/>
        <v>10000000000</v>
      </c>
      <c r="T194" s="1">
        <f>IFERROR(MATCH($C$36&amp;"|121",TAHSILAT!$U$7:$U$2503,0),0)</f>
        <v>0</v>
      </c>
      <c r="V194" s="1">
        <f t="shared" si="32"/>
        <v>10000000000</v>
      </c>
      <c r="W194" s="1">
        <f t="shared" si="33"/>
        <v>9</v>
      </c>
    </row>
    <row r="195" spans="1:23" ht="14.25" customHeight="1" x14ac:dyDescent="0.3">
      <c r="B195" s="65" t="str">
        <f t="shared" si="25"/>
        <v/>
      </c>
      <c r="C195" s="70" t="str">
        <f t="shared" si="26"/>
        <v/>
      </c>
      <c r="D195" s="74" t="str">
        <f t="shared" si="27"/>
        <v/>
      </c>
      <c r="F195" s="65" t="str">
        <f t="shared" si="28"/>
        <v/>
      </c>
      <c r="G195" s="68" t="str">
        <f t="shared" si="29"/>
        <v/>
      </c>
      <c r="H195" s="68" t="str">
        <f t="shared" si="30"/>
        <v/>
      </c>
      <c r="I195" s="68" t="str">
        <f t="shared" si="34"/>
        <v/>
      </c>
      <c r="M195" s="1">
        <v>158</v>
      </c>
      <c r="N195" s="1" t="str">
        <f>IF($T195=0,"",INDEX(TAHSILAT!$E$7:$E$2503,$T195))</f>
        <v/>
      </c>
      <c r="O195" s="1" t="str">
        <f>IF($N195="","",$C$36&amp;" – müşteriden tahsilat: "&amp;INDEX(TAHSILAT!$N$7:$N$2503,$T195)&amp;IF(INDEX(TAHSILAT!$J$7:$J$2503,$T195)="",""," – "&amp;INDEX(TAHSILAT!$J$7:$J$2503,$T195)))</f>
        <v/>
      </c>
      <c r="P195" s="1" t="str">
        <f t="shared" si="24"/>
        <v/>
      </c>
      <c r="Q195" s="1">
        <f>IF($N195="",0,INDEX(TAHSILAT!$F$7:$F$2503,$T195))</f>
        <v>0</v>
      </c>
      <c r="R195" s="1">
        <v>0</v>
      </c>
      <c r="S195" s="1">
        <f t="shared" si="31"/>
        <v>10000000000</v>
      </c>
      <c r="T195" s="1">
        <f>IFERROR(MATCH($C$36&amp;"|122",TAHSILAT!$U$7:$U$2503,0),0)</f>
        <v>0</v>
      </c>
      <c r="V195" s="1">
        <f t="shared" si="32"/>
        <v>10000000000</v>
      </c>
      <c r="W195" s="1">
        <f t="shared" si="33"/>
        <v>9</v>
      </c>
    </row>
    <row r="196" spans="1:23" ht="14.25" customHeight="1" x14ac:dyDescent="0.3">
      <c r="B196" s="65" t="str">
        <f t="shared" si="25"/>
        <v/>
      </c>
      <c r="C196" s="70" t="str">
        <f t="shared" si="26"/>
        <v/>
      </c>
      <c r="D196" s="74" t="str">
        <f t="shared" si="27"/>
        <v/>
      </c>
      <c r="F196" s="65" t="str">
        <f t="shared" si="28"/>
        <v/>
      </c>
      <c r="G196" s="68" t="str">
        <f t="shared" si="29"/>
        <v/>
      </c>
      <c r="H196" s="68" t="str">
        <f t="shared" si="30"/>
        <v/>
      </c>
      <c r="I196" s="68" t="str">
        <f t="shared" si="34"/>
        <v/>
      </c>
      <c r="M196" s="1">
        <v>159</v>
      </c>
      <c r="N196" s="1" t="str">
        <f>IF($T196=0,"",INDEX(TAHSILAT!$E$7:$E$2503,$T196))</f>
        <v/>
      </c>
      <c r="O196" s="1" t="str">
        <f>IF($N196="","",$C$36&amp;" – müşteriden tahsilat: "&amp;INDEX(TAHSILAT!$N$7:$N$2503,$T196)&amp;IF(INDEX(TAHSILAT!$J$7:$J$2503,$T196)="",""," – "&amp;INDEX(TAHSILAT!$J$7:$J$2503,$T196)))</f>
        <v/>
      </c>
      <c r="P196" s="1" t="str">
        <f t="shared" si="24"/>
        <v/>
      </c>
      <c r="Q196" s="1">
        <f>IF($N196="",0,INDEX(TAHSILAT!$F$7:$F$2503,$T196))</f>
        <v>0</v>
      </c>
      <c r="R196" s="1">
        <v>0</v>
      </c>
      <c r="S196" s="1">
        <f t="shared" si="31"/>
        <v>10000000000</v>
      </c>
      <c r="T196" s="1">
        <f>IFERROR(MATCH($C$36&amp;"|123",TAHSILAT!$U$7:$U$2503,0),0)</f>
        <v>0</v>
      </c>
      <c r="V196" s="1">
        <f t="shared" si="32"/>
        <v>10000000000</v>
      </c>
      <c r="W196" s="1">
        <f t="shared" si="33"/>
        <v>9</v>
      </c>
    </row>
    <row r="197" spans="1:23" ht="14.25" customHeight="1" x14ac:dyDescent="0.3">
      <c r="B197" s="65" t="str">
        <f t="shared" si="25"/>
        <v/>
      </c>
      <c r="C197" s="70" t="str">
        <f t="shared" si="26"/>
        <v/>
      </c>
      <c r="D197" s="74" t="str">
        <f t="shared" si="27"/>
        <v/>
      </c>
      <c r="F197" s="65" t="str">
        <f t="shared" si="28"/>
        <v/>
      </c>
      <c r="G197" s="68" t="str">
        <f t="shared" si="29"/>
        <v/>
      </c>
      <c r="H197" s="68" t="str">
        <f t="shared" si="30"/>
        <v/>
      </c>
      <c r="I197" s="68" t="str">
        <f t="shared" si="34"/>
        <v/>
      </c>
      <c r="M197" s="1">
        <v>160</v>
      </c>
      <c r="N197" s="1" t="str">
        <f>IF($T197=0,"",INDEX(TAHSILAT!$E$7:$E$2503,$T197))</f>
        <v/>
      </c>
      <c r="O197" s="1" t="str">
        <f>IF($N197="","",$C$36&amp;" – müşteriden tahsilat: "&amp;INDEX(TAHSILAT!$N$7:$N$2503,$T197)&amp;IF(INDEX(TAHSILAT!$J$7:$J$2503,$T197)="",""," – "&amp;INDEX(TAHSILAT!$J$7:$J$2503,$T197)))</f>
        <v/>
      </c>
      <c r="P197" s="1" t="str">
        <f t="shared" si="24"/>
        <v/>
      </c>
      <c r="Q197" s="1">
        <f>IF($N197="",0,INDEX(TAHSILAT!$F$7:$F$2503,$T197))</f>
        <v>0</v>
      </c>
      <c r="R197" s="1">
        <v>0</v>
      </c>
      <c r="S197" s="1">
        <f t="shared" si="31"/>
        <v>10000000000</v>
      </c>
      <c r="T197" s="1">
        <f>IFERROR(MATCH($C$36&amp;"|124",TAHSILAT!$U$7:$U$2503,0),0)</f>
        <v>0</v>
      </c>
      <c r="V197" s="1">
        <f t="shared" si="32"/>
        <v>10000000000</v>
      </c>
      <c r="W197" s="1">
        <f t="shared" si="33"/>
        <v>9</v>
      </c>
    </row>
    <row r="198" spans="1:23" ht="14.25" customHeight="1" x14ac:dyDescent="0.3">
      <c r="B198" s="65" t="str">
        <f t="shared" si="25"/>
        <v/>
      </c>
      <c r="C198" s="70" t="str">
        <f t="shared" si="26"/>
        <v/>
      </c>
      <c r="D198" s="74" t="str">
        <f t="shared" si="27"/>
        <v/>
      </c>
      <c r="F198" s="65" t="str">
        <f t="shared" si="28"/>
        <v/>
      </c>
      <c r="G198" s="68" t="str">
        <f t="shared" si="29"/>
        <v/>
      </c>
      <c r="H198" s="68" t="str">
        <f t="shared" si="30"/>
        <v/>
      </c>
      <c r="I198" s="68" t="str">
        <f t="shared" si="34"/>
        <v/>
      </c>
      <c r="M198" s="1">
        <v>161</v>
      </c>
      <c r="N198" s="1" t="str">
        <f>IF($T198=0,"",INDEX(TAHSILAT!$E$7:$E$2503,$T198))</f>
        <v/>
      </c>
      <c r="O198" s="1" t="str">
        <f>IF($N198="","",$C$36&amp;" – müşteriden tahsilat: "&amp;INDEX(TAHSILAT!$N$7:$N$2503,$T198)&amp;IF(INDEX(TAHSILAT!$J$7:$J$2503,$T198)="",""," – "&amp;INDEX(TAHSILAT!$J$7:$J$2503,$T198)))</f>
        <v/>
      </c>
      <c r="P198" s="1" t="str">
        <f t="shared" si="24"/>
        <v/>
      </c>
      <c r="Q198" s="1">
        <f>IF($N198="",0,INDEX(TAHSILAT!$F$7:$F$2503,$T198))</f>
        <v>0</v>
      </c>
      <c r="R198" s="1">
        <v>0</v>
      </c>
      <c r="S198" s="1">
        <f t="shared" si="31"/>
        <v>10000000000</v>
      </c>
      <c r="T198" s="1">
        <f>IFERROR(MATCH($C$36&amp;"|125",TAHSILAT!$U$7:$U$2503,0),0)</f>
        <v>0</v>
      </c>
      <c r="V198" s="1">
        <f t="shared" si="32"/>
        <v>10000000000</v>
      </c>
      <c r="W198" s="1">
        <f t="shared" si="33"/>
        <v>9</v>
      </c>
    </row>
    <row r="199" spans="1:23" ht="14.25" customHeight="1" x14ac:dyDescent="0.3">
      <c r="B199" s="65" t="str">
        <f t="shared" si="25"/>
        <v/>
      </c>
      <c r="C199" s="70" t="str">
        <f t="shared" si="26"/>
        <v/>
      </c>
      <c r="D199" s="74" t="str">
        <f t="shared" si="27"/>
        <v/>
      </c>
      <c r="F199" s="65" t="str">
        <f t="shared" si="28"/>
        <v/>
      </c>
      <c r="G199" s="68" t="str">
        <f t="shared" si="29"/>
        <v/>
      </c>
      <c r="H199" s="68" t="str">
        <f t="shared" si="30"/>
        <v/>
      </c>
      <c r="I199" s="68" t="str">
        <f t="shared" si="34"/>
        <v/>
      </c>
      <c r="M199" s="1">
        <v>162</v>
      </c>
      <c r="N199" s="1" t="str">
        <f>IF($T199=0,"",INDEX(TAHSILAT!$E$7:$E$2503,$T199))</f>
        <v/>
      </c>
      <c r="O199" s="1" t="str">
        <f>IF($N199="","",$C$36&amp;" – müşteriden tahsilat: "&amp;INDEX(TAHSILAT!$N$7:$N$2503,$T199)&amp;IF(INDEX(TAHSILAT!$J$7:$J$2503,$T199)="",""," – "&amp;INDEX(TAHSILAT!$J$7:$J$2503,$T199)))</f>
        <v/>
      </c>
      <c r="P199" s="1" t="str">
        <f t="shared" si="24"/>
        <v/>
      </c>
      <c r="Q199" s="1">
        <f>IF($N199="",0,INDEX(TAHSILAT!$F$7:$F$2503,$T199))</f>
        <v>0</v>
      </c>
      <c r="R199" s="1">
        <v>0</v>
      </c>
      <c r="S199" s="1">
        <f t="shared" si="31"/>
        <v>10000000000</v>
      </c>
      <c r="T199" s="1">
        <f>IFERROR(MATCH($C$36&amp;"|126",TAHSILAT!$U$7:$U$2503,0),0)</f>
        <v>0</v>
      </c>
      <c r="V199" s="1">
        <f t="shared" si="32"/>
        <v>10000000000</v>
      </c>
      <c r="W199" s="1">
        <f t="shared" si="33"/>
        <v>9</v>
      </c>
    </row>
    <row r="200" spans="1:23" ht="14.25" customHeight="1" x14ac:dyDescent="0.3">
      <c r="B200" s="65" t="str">
        <f t="shared" si="25"/>
        <v/>
      </c>
      <c r="C200" s="70" t="str">
        <f t="shared" si="26"/>
        <v/>
      </c>
      <c r="D200" s="74" t="str">
        <f t="shared" si="27"/>
        <v/>
      </c>
      <c r="F200" s="65" t="str">
        <f t="shared" si="28"/>
        <v/>
      </c>
      <c r="G200" s="68" t="str">
        <f t="shared" si="29"/>
        <v/>
      </c>
      <c r="H200" s="68" t="str">
        <f t="shared" si="30"/>
        <v/>
      </c>
      <c r="I200" s="68" t="str">
        <f t="shared" si="34"/>
        <v/>
      </c>
      <c r="M200" s="1">
        <v>163</v>
      </c>
      <c r="N200" s="1" t="str">
        <f>IF($T200=0,"",INDEX(TAHSILAT!$E$7:$E$2503,$T200))</f>
        <v/>
      </c>
      <c r="O200" s="1" t="str">
        <f>IF($N200="","",$C$36&amp;" – müşteriden tahsilat: "&amp;INDEX(TAHSILAT!$N$7:$N$2503,$T200)&amp;IF(INDEX(TAHSILAT!$J$7:$J$2503,$T200)="",""," – "&amp;INDEX(TAHSILAT!$J$7:$J$2503,$T200)))</f>
        <v/>
      </c>
      <c r="P200" s="1" t="str">
        <f t="shared" si="24"/>
        <v/>
      </c>
      <c r="Q200" s="1">
        <f>IF($N200="",0,INDEX(TAHSILAT!$F$7:$F$2503,$T200))</f>
        <v>0</v>
      </c>
      <c r="R200" s="1">
        <v>0</v>
      </c>
      <c r="S200" s="1">
        <f t="shared" si="31"/>
        <v>10000000000</v>
      </c>
      <c r="T200" s="1">
        <f>IFERROR(MATCH($C$36&amp;"|127",TAHSILAT!$U$7:$U$2503,0),0)</f>
        <v>0</v>
      </c>
      <c r="V200" s="1">
        <f t="shared" si="32"/>
        <v>10000000000</v>
      </c>
      <c r="W200" s="1">
        <f t="shared" si="33"/>
        <v>9</v>
      </c>
    </row>
    <row r="201" spans="1:23" ht="14.25" customHeight="1" x14ac:dyDescent="0.3">
      <c r="B201" s="65" t="str">
        <f t="shared" si="25"/>
        <v/>
      </c>
      <c r="C201" s="70" t="str">
        <f t="shared" si="26"/>
        <v/>
      </c>
      <c r="D201" s="74" t="str">
        <f t="shared" si="27"/>
        <v/>
      </c>
      <c r="F201" s="65" t="str">
        <f t="shared" si="28"/>
        <v/>
      </c>
      <c r="G201" s="68" t="str">
        <f t="shared" si="29"/>
        <v/>
      </c>
      <c r="H201" s="68" t="str">
        <f t="shared" si="30"/>
        <v/>
      </c>
      <c r="I201" s="68" t="str">
        <f t="shared" si="34"/>
        <v/>
      </c>
      <c r="M201" s="1">
        <v>164</v>
      </c>
      <c r="N201" s="1" t="str">
        <f>IF($T201=0,"",INDEX(TAHSILAT!$E$7:$E$2503,$T201))</f>
        <v/>
      </c>
      <c r="O201" s="1" t="str">
        <f>IF($N201="","",$C$36&amp;" – müşteriden tahsilat: "&amp;INDEX(TAHSILAT!$N$7:$N$2503,$T201)&amp;IF(INDEX(TAHSILAT!$J$7:$J$2503,$T201)="",""," – "&amp;INDEX(TAHSILAT!$J$7:$J$2503,$T201)))</f>
        <v/>
      </c>
      <c r="P201" s="1" t="str">
        <f t="shared" si="24"/>
        <v/>
      </c>
      <c r="Q201" s="1">
        <f>IF($N201="",0,INDEX(TAHSILAT!$F$7:$F$2503,$T201))</f>
        <v>0</v>
      </c>
      <c r="R201" s="1">
        <v>0</v>
      </c>
      <c r="S201" s="1">
        <f t="shared" si="31"/>
        <v>10000000000</v>
      </c>
      <c r="T201" s="1">
        <f>IFERROR(MATCH($C$36&amp;"|128",TAHSILAT!$U$7:$U$2503,0),0)</f>
        <v>0</v>
      </c>
      <c r="V201" s="1">
        <f t="shared" si="32"/>
        <v>10000000000</v>
      </c>
      <c r="W201" s="1">
        <f t="shared" si="33"/>
        <v>9</v>
      </c>
    </row>
    <row r="202" spans="1:23" ht="14.25" customHeight="1" x14ac:dyDescent="0.3">
      <c r="B202" s="65" t="str">
        <f t="shared" si="25"/>
        <v/>
      </c>
      <c r="C202" s="70" t="str">
        <f t="shared" si="26"/>
        <v/>
      </c>
      <c r="D202" s="74" t="str">
        <f t="shared" si="27"/>
        <v/>
      </c>
      <c r="F202" s="65" t="str">
        <f t="shared" si="28"/>
        <v/>
      </c>
      <c r="G202" s="68" t="str">
        <f t="shared" si="29"/>
        <v/>
      </c>
      <c r="H202" s="68" t="str">
        <f t="shared" si="30"/>
        <v/>
      </c>
      <c r="I202" s="68" t="str">
        <f t="shared" si="34"/>
        <v/>
      </c>
      <c r="M202" s="1">
        <v>165</v>
      </c>
      <c r="N202" s="1" t="str">
        <f>IF($T202=0,"",INDEX(TAHSILAT!$E$7:$E$2503,$T202))</f>
        <v/>
      </c>
      <c r="O202" s="1" t="str">
        <f>IF($N202="","",$C$36&amp;" – müşteriden tahsilat: "&amp;INDEX(TAHSILAT!$N$7:$N$2503,$T202)&amp;IF(INDEX(TAHSILAT!$J$7:$J$2503,$T202)="",""," – "&amp;INDEX(TAHSILAT!$J$7:$J$2503,$T202)))</f>
        <v/>
      </c>
      <c r="P202" s="1" t="str">
        <f t="shared" ref="P202:P265" si="35">IF($N202="","","MÜŞTERİDEN ALDI")</f>
        <v/>
      </c>
      <c r="Q202" s="1">
        <f>IF($N202="",0,INDEX(TAHSILAT!$F$7:$F$2503,$T202))</f>
        <v>0</v>
      </c>
      <c r="R202" s="1">
        <v>0</v>
      </c>
      <c r="S202" s="1">
        <f t="shared" si="31"/>
        <v>10000000000</v>
      </c>
      <c r="T202" s="1">
        <f>IFERROR(MATCH($C$36&amp;"|129",TAHSILAT!$U$7:$U$2503,0),0)</f>
        <v>0</v>
      </c>
      <c r="V202" s="1">
        <f t="shared" si="32"/>
        <v>10000000000</v>
      </c>
      <c r="W202" s="1">
        <f t="shared" si="33"/>
        <v>9</v>
      </c>
    </row>
    <row r="203" spans="1:23" ht="14.25" customHeight="1" x14ac:dyDescent="0.3">
      <c r="B203" s="65" t="str">
        <f t="shared" si="25"/>
        <v/>
      </c>
      <c r="C203" s="70" t="str">
        <f t="shared" si="26"/>
        <v/>
      </c>
      <c r="D203" s="74" t="str">
        <f t="shared" si="27"/>
        <v/>
      </c>
      <c r="F203" s="65" t="str">
        <f t="shared" si="28"/>
        <v/>
      </c>
      <c r="G203" s="68" t="str">
        <f t="shared" si="29"/>
        <v/>
      </c>
      <c r="H203" s="68" t="str">
        <f t="shared" si="30"/>
        <v/>
      </c>
      <c r="I203" s="68" t="str">
        <f t="shared" si="34"/>
        <v/>
      </c>
      <c r="M203" s="1">
        <v>166</v>
      </c>
      <c r="N203" s="1" t="str">
        <f>IF($T203=0,"",INDEX(TAHSILAT!$E$7:$E$2503,$T203))</f>
        <v/>
      </c>
      <c r="O203" s="1" t="str">
        <f>IF($N203="","",$C$36&amp;" – müşteriden tahsilat: "&amp;INDEX(TAHSILAT!$N$7:$N$2503,$T203)&amp;IF(INDEX(TAHSILAT!$J$7:$J$2503,$T203)="",""," – "&amp;INDEX(TAHSILAT!$J$7:$J$2503,$T203)))</f>
        <v/>
      </c>
      <c r="P203" s="1" t="str">
        <f t="shared" si="35"/>
        <v/>
      </c>
      <c r="Q203" s="1">
        <f>IF($N203="",0,INDEX(TAHSILAT!$F$7:$F$2503,$T203))</f>
        <v>0</v>
      </c>
      <c r="R203" s="1">
        <v>0</v>
      </c>
      <c r="S203" s="1">
        <f t="shared" si="31"/>
        <v>10000000000</v>
      </c>
      <c r="T203" s="1">
        <f>IFERROR(MATCH($C$36&amp;"|130",TAHSILAT!$U$7:$U$2503,0),0)</f>
        <v>0</v>
      </c>
      <c r="V203" s="1">
        <f t="shared" si="32"/>
        <v>10000000000</v>
      </c>
      <c r="W203" s="1">
        <f t="shared" si="33"/>
        <v>9</v>
      </c>
    </row>
    <row r="204" spans="1:23" ht="14.25" customHeight="1" x14ac:dyDescent="0.3">
      <c r="B204" s="65" t="str">
        <f t="shared" si="25"/>
        <v/>
      </c>
      <c r="C204" s="70" t="str">
        <f t="shared" si="26"/>
        <v/>
      </c>
      <c r="D204" s="74" t="str">
        <f t="shared" si="27"/>
        <v/>
      </c>
      <c r="F204" s="65" t="str">
        <f t="shared" si="28"/>
        <v/>
      </c>
      <c r="G204" s="68" t="str">
        <f t="shared" si="29"/>
        <v/>
      </c>
      <c r="H204" s="68" t="str">
        <f t="shared" si="30"/>
        <v/>
      </c>
      <c r="I204" s="68" t="str">
        <f t="shared" si="34"/>
        <v/>
      </c>
      <c r="M204" s="1">
        <v>167</v>
      </c>
      <c r="N204" s="1" t="str">
        <f>IF($T204=0,"",INDEX(TAHSILAT!$E$7:$E$2503,$T204))</f>
        <v/>
      </c>
      <c r="O204" s="1" t="str">
        <f>IF($N204="","",$C$36&amp;" – müşteriden tahsilat: "&amp;INDEX(TAHSILAT!$N$7:$N$2503,$T204)&amp;IF(INDEX(TAHSILAT!$J$7:$J$2503,$T204)="",""," – "&amp;INDEX(TAHSILAT!$J$7:$J$2503,$T204)))</f>
        <v/>
      </c>
      <c r="P204" s="1" t="str">
        <f t="shared" si="35"/>
        <v/>
      </c>
      <c r="Q204" s="1">
        <f>IF($N204="",0,INDEX(TAHSILAT!$F$7:$F$2503,$T204))</f>
        <v>0</v>
      </c>
      <c r="R204" s="1">
        <v>0</v>
      </c>
      <c r="S204" s="1">
        <f t="shared" si="31"/>
        <v>10000000000</v>
      </c>
      <c r="T204" s="1">
        <f>IFERROR(MATCH($C$36&amp;"|131",TAHSILAT!$U$7:$U$2503,0),0)</f>
        <v>0</v>
      </c>
      <c r="V204" s="1">
        <f t="shared" si="32"/>
        <v>10000000000</v>
      </c>
      <c r="W204" s="1">
        <f t="shared" si="33"/>
        <v>9</v>
      </c>
    </row>
    <row r="205" spans="1:23" ht="14.25" customHeight="1" x14ac:dyDescent="0.3">
      <c r="B205" s="65" t="str">
        <f t="shared" si="25"/>
        <v/>
      </c>
      <c r="C205" s="70" t="str">
        <f t="shared" si="26"/>
        <v/>
      </c>
      <c r="D205" s="74" t="str">
        <f t="shared" si="27"/>
        <v/>
      </c>
      <c r="F205" s="65" t="str">
        <f t="shared" si="28"/>
        <v/>
      </c>
      <c r="G205" s="68" t="str">
        <f t="shared" si="29"/>
        <v/>
      </c>
      <c r="H205" s="68" t="str">
        <f t="shared" si="30"/>
        <v/>
      </c>
      <c r="I205" s="68" t="str">
        <f t="shared" si="34"/>
        <v/>
      </c>
      <c r="M205" s="1">
        <v>168</v>
      </c>
      <c r="N205" s="1" t="str">
        <f>IF($T205=0,"",INDEX(TAHSILAT!$E$7:$E$2503,$T205))</f>
        <v/>
      </c>
      <c r="O205" s="1" t="str">
        <f>IF($N205="","",$C$36&amp;" – müşteriden tahsilat: "&amp;INDEX(TAHSILAT!$N$7:$N$2503,$T205)&amp;IF(INDEX(TAHSILAT!$J$7:$J$2503,$T205)="",""," – "&amp;INDEX(TAHSILAT!$J$7:$J$2503,$T205)))</f>
        <v/>
      </c>
      <c r="P205" s="1" t="str">
        <f t="shared" si="35"/>
        <v/>
      </c>
      <c r="Q205" s="1">
        <f>IF($N205="",0,INDEX(TAHSILAT!$F$7:$F$2503,$T205))</f>
        <v>0</v>
      </c>
      <c r="R205" s="1">
        <v>0</v>
      </c>
      <c r="S205" s="1">
        <f t="shared" si="31"/>
        <v>10000000000</v>
      </c>
      <c r="T205" s="1">
        <f>IFERROR(MATCH($C$36&amp;"|132",TAHSILAT!$U$7:$U$2503,0),0)</f>
        <v>0</v>
      </c>
      <c r="V205" s="1">
        <f t="shared" si="32"/>
        <v>10000000000</v>
      </c>
      <c r="W205" s="1">
        <f t="shared" si="33"/>
        <v>9</v>
      </c>
    </row>
    <row r="206" spans="1:23" ht="14.25" customHeight="1" x14ac:dyDescent="0.3">
      <c r="B206" s="65" t="str">
        <f t="shared" si="25"/>
        <v/>
      </c>
      <c r="C206" s="70" t="str">
        <f t="shared" si="26"/>
        <v/>
      </c>
      <c r="D206" s="74" t="str">
        <f t="shared" si="27"/>
        <v/>
      </c>
      <c r="F206" s="65" t="str">
        <f t="shared" si="28"/>
        <v/>
      </c>
      <c r="G206" s="68" t="str">
        <f t="shared" si="29"/>
        <v/>
      </c>
      <c r="H206" s="68" t="str">
        <f t="shared" si="30"/>
        <v/>
      </c>
      <c r="I206" s="68" t="str">
        <f t="shared" si="34"/>
        <v/>
      </c>
      <c r="M206" s="1">
        <v>169</v>
      </c>
      <c r="N206" s="1" t="str">
        <f>IF($T206=0,"",INDEX(TAHSILAT!$E$7:$E$2503,$T206))</f>
        <v/>
      </c>
      <c r="O206" s="1" t="str">
        <f>IF($N206="","",$C$36&amp;" – müşteriden tahsilat: "&amp;INDEX(TAHSILAT!$N$7:$N$2503,$T206)&amp;IF(INDEX(TAHSILAT!$J$7:$J$2503,$T206)="",""," – "&amp;INDEX(TAHSILAT!$J$7:$J$2503,$T206)))</f>
        <v/>
      </c>
      <c r="P206" s="1" t="str">
        <f t="shared" si="35"/>
        <v/>
      </c>
      <c r="Q206" s="1">
        <f>IF($N206="",0,INDEX(TAHSILAT!$F$7:$F$2503,$T206))</f>
        <v>0</v>
      </c>
      <c r="R206" s="1">
        <v>0</v>
      </c>
      <c r="S206" s="1">
        <f t="shared" si="31"/>
        <v>10000000000</v>
      </c>
      <c r="T206" s="1">
        <f>IFERROR(MATCH($C$36&amp;"|133",TAHSILAT!$U$7:$U$2503,0),0)</f>
        <v>0</v>
      </c>
      <c r="V206" s="1">
        <f t="shared" si="32"/>
        <v>10000000000</v>
      </c>
      <c r="W206" s="1">
        <f t="shared" si="33"/>
        <v>9</v>
      </c>
    </row>
    <row r="207" spans="1:23" ht="14.25" customHeight="1" x14ac:dyDescent="0.3">
      <c r="B207" s="65" t="str">
        <f t="shared" si="25"/>
        <v/>
      </c>
      <c r="C207" s="70" t="str">
        <f t="shared" si="26"/>
        <v/>
      </c>
      <c r="D207" s="74" t="str">
        <f t="shared" si="27"/>
        <v/>
      </c>
      <c r="F207" s="65" t="str">
        <f t="shared" si="28"/>
        <v/>
      </c>
      <c r="G207" s="68" t="str">
        <f t="shared" si="29"/>
        <v/>
      </c>
      <c r="H207" s="68" t="str">
        <f t="shared" si="30"/>
        <v/>
      </c>
      <c r="I207" s="68" t="str">
        <f t="shared" si="34"/>
        <v/>
      </c>
      <c r="M207" s="1">
        <v>170</v>
      </c>
      <c r="N207" s="1" t="str">
        <f>IF($T207=0,"",INDEX(TAHSILAT!$E$7:$E$2503,$T207))</f>
        <v/>
      </c>
      <c r="O207" s="1" t="str">
        <f>IF($N207="","",$C$36&amp;" – müşteriden tahsilat: "&amp;INDEX(TAHSILAT!$N$7:$N$2503,$T207)&amp;IF(INDEX(TAHSILAT!$J$7:$J$2503,$T207)="",""," – "&amp;INDEX(TAHSILAT!$J$7:$J$2503,$T207)))</f>
        <v/>
      </c>
      <c r="P207" s="1" t="str">
        <f t="shared" si="35"/>
        <v/>
      </c>
      <c r="Q207" s="1">
        <f>IF($N207="",0,INDEX(TAHSILAT!$F$7:$F$2503,$T207))</f>
        <v>0</v>
      </c>
      <c r="R207" s="1">
        <v>0</v>
      </c>
      <c r="S207" s="1">
        <f t="shared" si="31"/>
        <v>10000000000</v>
      </c>
      <c r="T207" s="1">
        <f>IFERROR(MATCH($C$36&amp;"|134",TAHSILAT!$U$7:$U$2503,0),0)</f>
        <v>0</v>
      </c>
      <c r="V207" s="1">
        <f t="shared" si="32"/>
        <v>10000000000</v>
      </c>
      <c r="W207" s="1">
        <f t="shared" si="33"/>
        <v>9</v>
      </c>
    </row>
    <row r="208" spans="1:23" ht="14.25" customHeight="1" x14ac:dyDescent="0.3">
      <c r="B208" s="65" t="str">
        <f t="shared" si="25"/>
        <v/>
      </c>
      <c r="C208" s="70" t="str">
        <f t="shared" si="26"/>
        <v/>
      </c>
      <c r="D208" s="74" t="str">
        <f t="shared" si="27"/>
        <v/>
      </c>
      <c r="F208" s="65" t="str">
        <f t="shared" si="28"/>
        <v/>
      </c>
      <c r="G208" s="68" t="str">
        <f t="shared" si="29"/>
        <v/>
      </c>
      <c r="H208" s="68" t="str">
        <f t="shared" si="30"/>
        <v/>
      </c>
      <c r="I208" s="68" t="str">
        <f t="shared" si="34"/>
        <v/>
      </c>
      <c r="M208" s="1">
        <v>171</v>
      </c>
      <c r="N208" s="1" t="str">
        <f>IF($T208=0,"",INDEX(TAHSILAT!$E$7:$E$2503,$T208))</f>
        <v/>
      </c>
      <c r="O208" s="1" t="str">
        <f>IF($N208="","",$C$36&amp;" – müşteriden tahsilat: "&amp;INDEX(TAHSILAT!$N$7:$N$2503,$T208)&amp;IF(INDEX(TAHSILAT!$J$7:$J$2503,$T208)="",""," – "&amp;INDEX(TAHSILAT!$J$7:$J$2503,$T208)))</f>
        <v/>
      </c>
      <c r="P208" s="1" t="str">
        <f t="shared" si="35"/>
        <v/>
      </c>
      <c r="Q208" s="1">
        <f>IF($N208="",0,INDEX(TAHSILAT!$F$7:$F$2503,$T208))</f>
        <v>0</v>
      </c>
      <c r="R208" s="1">
        <v>0</v>
      </c>
      <c r="S208" s="1">
        <f t="shared" si="31"/>
        <v>10000000000</v>
      </c>
      <c r="T208" s="1">
        <f>IFERROR(MATCH($C$36&amp;"|135",TAHSILAT!$U$7:$U$2503,0),0)</f>
        <v>0</v>
      </c>
      <c r="V208" s="1">
        <f t="shared" si="32"/>
        <v>10000000000</v>
      </c>
      <c r="W208" s="1">
        <f t="shared" si="33"/>
        <v>9</v>
      </c>
    </row>
    <row r="209" spans="2:23" ht="14.25" customHeight="1" x14ac:dyDescent="0.3">
      <c r="B209" s="65" t="str">
        <f t="shared" si="25"/>
        <v/>
      </c>
      <c r="C209" s="70" t="str">
        <f t="shared" si="26"/>
        <v/>
      </c>
      <c r="D209" s="74" t="str">
        <f t="shared" si="27"/>
        <v/>
      </c>
      <c r="F209" s="65" t="str">
        <f t="shared" si="28"/>
        <v/>
      </c>
      <c r="G209" s="68" t="str">
        <f t="shared" si="29"/>
        <v/>
      </c>
      <c r="H209" s="68" t="str">
        <f t="shared" si="30"/>
        <v/>
      </c>
      <c r="I209" s="68" t="str">
        <f t="shared" si="34"/>
        <v/>
      </c>
      <c r="M209" s="1">
        <v>172</v>
      </c>
      <c r="N209" s="1" t="str">
        <f>IF($T209=0,"",INDEX(TAHSILAT!$E$7:$E$2503,$T209))</f>
        <v/>
      </c>
      <c r="O209" s="1" t="str">
        <f>IF($N209="","",$C$36&amp;" – müşteriden tahsilat: "&amp;INDEX(TAHSILAT!$N$7:$N$2503,$T209)&amp;IF(INDEX(TAHSILAT!$J$7:$J$2503,$T209)="",""," – "&amp;INDEX(TAHSILAT!$J$7:$J$2503,$T209)))</f>
        <v/>
      </c>
      <c r="P209" s="1" t="str">
        <f t="shared" si="35"/>
        <v/>
      </c>
      <c r="Q209" s="1">
        <f>IF($N209="",0,INDEX(TAHSILAT!$F$7:$F$2503,$T209))</f>
        <v>0</v>
      </c>
      <c r="R209" s="1">
        <v>0</v>
      </c>
      <c r="S209" s="1">
        <f t="shared" si="31"/>
        <v>10000000000</v>
      </c>
      <c r="T209" s="1">
        <f>IFERROR(MATCH($C$36&amp;"|136",TAHSILAT!$U$7:$U$2503,0),0)</f>
        <v>0</v>
      </c>
      <c r="V209" s="1">
        <f t="shared" si="32"/>
        <v>10000000000</v>
      </c>
      <c r="W209" s="1">
        <f t="shared" si="33"/>
        <v>9</v>
      </c>
    </row>
    <row r="210" spans="2:23" ht="14.25" customHeight="1" x14ac:dyDescent="0.3">
      <c r="B210" s="65" t="str">
        <f t="shared" si="25"/>
        <v/>
      </c>
      <c r="C210" s="70" t="str">
        <f t="shared" si="26"/>
        <v/>
      </c>
      <c r="D210" s="74" t="str">
        <f t="shared" si="27"/>
        <v/>
      </c>
      <c r="F210" s="65" t="str">
        <f t="shared" si="28"/>
        <v/>
      </c>
      <c r="G210" s="68" t="str">
        <f t="shared" si="29"/>
        <v/>
      </c>
      <c r="H210" s="68" t="str">
        <f t="shared" si="30"/>
        <v/>
      </c>
      <c r="I210" s="68" t="str">
        <f t="shared" si="34"/>
        <v/>
      </c>
      <c r="M210" s="1">
        <v>173</v>
      </c>
      <c r="N210" s="1" t="str">
        <f>IF($T210=0,"",INDEX(TAHSILAT!$E$7:$E$2503,$T210))</f>
        <v/>
      </c>
      <c r="O210" s="1" t="str">
        <f>IF($N210="","",$C$36&amp;" – müşteriden tahsilat: "&amp;INDEX(TAHSILAT!$N$7:$N$2503,$T210)&amp;IF(INDEX(TAHSILAT!$J$7:$J$2503,$T210)="",""," – "&amp;INDEX(TAHSILAT!$J$7:$J$2503,$T210)))</f>
        <v/>
      </c>
      <c r="P210" s="1" t="str">
        <f t="shared" si="35"/>
        <v/>
      </c>
      <c r="Q210" s="1">
        <f>IF($N210="",0,INDEX(TAHSILAT!$F$7:$F$2503,$T210))</f>
        <v>0</v>
      </c>
      <c r="R210" s="1">
        <v>0</v>
      </c>
      <c r="S210" s="1">
        <f t="shared" si="31"/>
        <v>10000000000</v>
      </c>
      <c r="T210" s="1">
        <f>IFERROR(MATCH($C$36&amp;"|137",TAHSILAT!$U$7:$U$2503,0),0)</f>
        <v>0</v>
      </c>
      <c r="V210" s="1">
        <f t="shared" si="32"/>
        <v>10000000000</v>
      </c>
      <c r="W210" s="1">
        <f t="shared" si="33"/>
        <v>9</v>
      </c>
    </row>
    <row r="211" spans="2:23" ht="14.25" customHeight="1" x14ac:dyDescent="0.3">
      <c r="B211" s="65" t="str">
        <f t="shared" si="25"/>
        <v/>
      </c>
      <c r="C211" s="70" t="str">
        <f t="shared" si="26"/>
        <v/>
      </c>
      <c r="D211" s="74" t="str">
        <f t="shared" si="27"/>
        <v/>
      </c>
      <c r="F211" s="65" t="str">
        <f t="shared" si="28"/>
        <v/>
      </c>
      <c r="G211" s="68" t="str">
        <f t="shared" si="29"/>
        <v/>
      </c>
      <c r="H211" s="68" t="str">
        <f t="shared" si="30"/>
        <v/>
      </c>
      <c r="I211" s="68" t="str">
        <f t="shared" si="34"/>
        <v/>
      </c>
      <c r="M211" s="1">
        <v>174</v>
      </c>
      <c r="N211" s="1" t="str">
        <f>IF($T211=0,"",INDEX(TAHSILAT!$E$7:$E$2503,$T211))</f>
        <v/>
      </c>
      <c r="O211" s="1" t="str">
        <f>IF($N211="","",$C$36&amp;" – müşteriden tahsilat: "&amp;INDEX(TAHSILAT!$N$7:$N$2503,$T211)&amp;IF(INDEX(TAHSILAT!$J$7:$J$2503,$T211)="",""," – "&amp;INDEX(TAHSILAT!$J$7:$J$2503,$T211)))</f>
        <v/>
      </c>
      <c r="P211" s="1" t="str">
        <f t="shared" si="35"/>
        <v/>
      </c>
      <c r="Q211" s="1">
        <f>IF($N211="",0,INDEX(TAHSILAT!$F$7:$F$2503,$T211))</f>
        <v>0</v>
      </c>
      <c r="R211" s="1">
        <v>0</v>
      </c>
      <c r="S211" s="1">
        <f t="shared" si="31"/>
        <v>10000000000</v>
      </c>
      <c r="T211" s="1">
        <f>IFERROR(MATCH($C$36&amp;"|138",TAHSILAT!$U$7:$U$2503,0),0)</f>
        <v>0</v>
      </c>
      <c r="V211" s="1">
        <f t="shared" si="32"/>
        <v>10000000000</v>
      </c>
      <c r="W211" s="1">
        <f t="shared" si="33"/>
        <v>9</v>
      </c>
    </row>
    <row r="212" spans="2:23" ht="14.25" customHeight="1" x14ac:dyDescent="0.3">
      <c r="B212" s="65" t="str">
        <f t="shared" si="25"/>
        <v/>
      </c>
      <c r="C212" s="70" t="str">
        <f t="shared" si="26"/>
        <v/>
      </c>
      <c r="D212" s="74" t="str">
        <f t="shared" si="27"/>
        <v/>
      </c>
      <c r="F212" s="65" t="str">
        <f t="shared" si="28"/>
        <v/>
      </c>
      <c r="G212" s="68" t="str">
        <f t="shared" si="29"/>
        <v/>
      </c>
      <c r="H212" s="68" t="str">
        <f t="shared" si="30"/>
        <v/>
      </c>
      <c r="I212" s="68" t="str">
        <f t="shared" si="34"/>
        <v/>
      </c>
      <c r="M212" s="1">
        <v>175</v>
      </c>
      <c r="N212" s="1" t="str">
        <f>IF($T212=0,"",INDEX(TAHSILAT!$E$7:$E$2503,$T212))</f>
        <v/>
      </c>
      <c r="O212" s="1" t="str">
        <f>IF($N212="","",$C$36&amp;" – müşteriden tahsilat: "&amp;INDEX(TAHSILAT!$N$7:$N$2503,$T212)&amp;IF(INDEX(TAHSILAT!$J$7:$J$2503,$T212)="",""," – "&amp;INDEX(TAHSILAT!$J$7:$J$2503,$T212)))</f>
        <v/>
      </c>
      <c r="P212" s="1" t="str">
        <f t="shared" si="35"/>
        <v/>
      </c>
      <c r="Q212" s="1">
        <f>IF($N212="",0,INDEX(TAHSILAT!$F$7:$F$2503,$T212))</f>
        <v>0</v>
      </c>
      <c r="R212" s="1">
        <v>0</v>
      </c>
      <c r="S212" s="1">
        <f t="shared" si="31"/>
        <v>10000000000</v>
      </c>
      <c r="T212" s="1">
        <f>IFERROR(MATCH($C$36&amp;"|139",TAHSILAT!$U$7:$U$2503,0),0)</f>
        <v>0</v>
      </c>
      <c r="V212" s="1">
        <f t="shared" si="32"/>
        <v>10000000000</v>
      </c>
      <c r="W212" s="1">
        <f t="shared" si="33"/>
        <v>9</v>
      </c>
    </row>
    <row r="213" spans="2:23" ht="14.25" customHeight="1" x14ac:dyDescent="0.3">
      <c r="B213" s="65" t="str">
        <f t="shared" si="25"/>
        <v/>
      </c>
      <c r="C213" s="70" t="str">
        <f t="shared" si="26"/>
        <v/>
      </c>
      <c r="D213" s="74" t="str">
        <f t="shared" si="27"/>
        <v/>
      </c>
      <c r="F213" s="65" t="str">
        <f t="shared" si="28"/>
        <v/>
      </c>
      <c r="G213" s="68" t="str">
        <f t="shared" si="29"/>
        <v/>
      </c>
      <c r="H213" s="68" t="str">
        <f t="shared" si="30"/>
        <v/>
      </c>
      <c r="I213" s="68" t="str">
        <f t="shared" si="34"/>
        <v/>
      </c>
      <c r="M213" s="1">
        <v>176</v>
      </c>
      <c r="N213" s="1" t="str">
        <f>IF($T213=0,"",INDEX(TAHSILAT!$E$7:$E$2503,$T213))</f>
        <v/>
      </c>
      <c r="O213" s="1" t="str">
        <f>IF($N213="","",$C$36&amp;" – müşteriden tahsilat: "&amp;INDEX(TAHSILAT!$N$7:$N$2503,$T213)&amp;IF(INDEX(TAHSILAT!$J$7:$J$2503,$T213)="",""," – "&amp;INDEX(TAHSILAT!$J$7:$J$2503,$T213)))</f>
        <v/>
      </c>
      <c r="P213" s="1" t="str">
        <f t="shared" si="35"/>
        <v/>
      </c>
      <c r="Q213" s="1">
        <f>IF($N213="",0,INDEX(TAHSILAT!$F$7:$F$2503,$T213))</f>
        <v>0</v>
      </c>
      <c r="R213" s="1">
        <v>0</v>
      </c>
      <c r="S213" s="1">
        <f t="shared" si="31"/>
        <v>10000000000</v>
      </c>
      <c r="T213" s="1">
        <f>IFERROR(MATCH($C$36&amp;"|140",TAHSILAT!$U$7:$U$2503,0),0)</f>
        <v>0</v>
      </c>
      <c r="V213" s="1">
        <f t="shared" si="32"/>
        <v>10000000000</v>
      </c>
      <c r="W213" s="1">
        <f t="shared" si="33"/>
        <v>9</v>
      </c>
    </row>
    <row r="214" spans="2:23" ht="14.25" customHeight="1" x14ac:dyDescent="0.3">
      <c r="B214" s="65" t="str">
        <f t="shared" si="25"/>
        <v/>
      </c>
      <c r="C214" s="70" t="str">
        <f t="shared" si="26"/>
        <v/>
      </c>
      <c r="D214" s="74" t="str">
        <f t="shared" si="27"/>
        <v/>
      </c>
      <c r="F214" s="65" t="str">
        <f t="shared" si="28"/>
        <v/>
      </c>
      <c r="G214" s="68" t="str">
        <f t="shared" si="29"/>
        <v/>
      </c>
      <c r="H214" s="68" t="str">
        <f t="shared" si="30"/>
        <v/>
      </c>
      <c r="I214" s="68" t="str">
        <f t="shared" si="34"/>
        <v/>
      </c>
      <c r="M214" s="1">
        <v>177</v>
      </c>
      <c r="N214" s="1" t="str">
        <f>IF($T214=0,"",INDEX(TAHSILAT!$E$7:$E$2503,$T214))</f>
        <v/>
      </c>
      <c r="O214" s="1" t="str">
        <f>IF($N214="","",$C$36&amp;" – müşteriden tahsilat: "&amp;INDEX(TAHSILAT!$N$7:$N$2503,$T214)&amp;IF(INDEX(TAHSILAT!$J$7:$J$2503,$T214)="",""," – "&amp;INDEX(TAHSILAT!$J$7:$J$2503,$T214)))</f>
        <v/>
      </c>
      <c r="P214" s="1" t="str">
        <f t="shared" si="35"/>
        <v/>
      </c>
      <c r="Q214" s="1">
        <f>IF($N214="",0,INDEX(TAHSILAT!$F$7:$F$2503,$T214))</f>
        <v>0</v>
      </c>
      <c r="R214" s="1">
        <v>0</v>
      </c>
      <c r="S214" s="1">
        <f t="shared" si="31"/>
        <v>10000000000</v>
      </c>
      <c r="T214" s="1">
        <f>IFERROR(MATCH($C$36&amp;"|141",TAHSILAT!$U$7:$U$2503,0),0)</f>
        <v>0</v>
      </c>
      <c r="V214" s="1">
        <f t="shared" si="32"/>
        <v>10000000000</v>
      </c>
      <c r="W214" s="1">
        <f t="shared" si="33"/>
        <v>9</v>
      </c>
    </row>
    <row r="215" spans="2:23" ht="14.25" customHeight="1" x14ac:dyDescent="0.3">
      <c r="B215" s="65" t="str">
        <f t="shared" si="25"/>
        <v/>
      </c>
      <c r="C215" s="70" t="str">
        <f t="shared" si="26"/>
        <v/>
      </c>
      <c r="D215" s="74" t="str">
        <f t="shared" si="27"/>
        <v/>
      </c>
      <c r="F215" s="65" t="str">
        <f t="shared" si="28"/>
        <v/>
      </c>
      <c r="G215" s="68" t="str">
        <f t="shared" si="29"/>
        <v/>
      </c>
      <c r="H215" s="68" t="str">
        <f t="shared" si="30"/>
        <v/>
      </c>
      <c r="I215" s="68" t="str">
        <f t="shared" si="34"/>
        <v/>
      </c>
      <c r="M215" s="1">
        <v>178</v>
      </c>
      <c r="N215" s="1" t="str">
        <f>IF($T215=0,"",INDEX(TAHSILAT!$E$7:$E$2503,$T215))</f>
        <v/>
      </c>
      <c r="O215" s="1" t="str">
        <f>IF($N215="","",$C$36&amp;" – müşteriden tahsilat: "&amp;INDEX(TAHSILAT!$N$7:$N$2503,$T215)&amp;IF(INDEX(TAHSILAT!$J$7:$J$2503,$T215)="",""," – "&amp;INDEX(TAHSILAT!$J$7:$J$2503,$T215)))</f>
        <v/>
      </c>
      <c r="P215" s="1" t="str">
        <f t="shared" si="35"/>
        <v/>
      </c>
      <c r="Q215" s="1">
        <f>IF($N215="",0,INDEX(TAHSILAT!$F$7:$F$2503,$T215))</f>
        <v>0</v>
      </c>
      <c r="R215" s="1">
        <v>0</v>
      </c>
      <c r="S215" s="1">
        <f t="shared" si="31"/>
        <v>10000000000</v>
      </c>
      <c r="T215" s="1">
        <f>IFERROR(MATCH($C$36&amp;"|142",TAHSILAT!$U$7:$U$2503,0),0)</f>
        <v>0</v>
      </c>
      <c r="V215" s="1">
        <f t="shared" si="32"/>
        <v>10000000000</v>
      </c>
      <c r="W215" s="1">
        <f t="shared" si="33"/>
        <v>9</v>
      </c>
    </row>
    <row r="216" spans="2:23" ht="14.25" customHeight="1" x14ac:dyDescent="0.3">
      <c r="B216" s="65" t="str">
        <f t="shared" si="25"/>
        <v/>
      </c>
      <c r="C216" s="70" t="str">
        <f t="shared" si="26"/>
        <v/>
      </c>
      <c r="D216" s="74" t="str">
        <f t="shared" si="27"/>
        <v/>
      </c>
      <c r="F216" s="65" t="str">
        <f t="shared" si="28"/>
        <v/>
      </c>
      <c r="G216" s="68" t="str">
        <f t="shared" si="29"/>
        <v/>
      </c>
      <c r="H216" s="68" t="str">
        <f t="shared" si="30"/>
        <v/>
      </c>
      <c r="I216" s="68" t="str">
        <f t="shared" si="34"/>
        <v/>
      </c>
      <c r="M216" s="1">
        <v>179</v>
      </c>
      <c r="N216" s="1" t="str">
        <f>IF($T216=0,"",INDEX(TAHSILAT!$E$7:$E$2503,$T216))</f>
        <v/>
      </c>
      <c r="O216" s="1" t="str">
        <f>IF($N216="","",$C$36&amp;" – müşteriden tahsilat: "&amp;INDEX(TAHSILAT!$N$7:$N$2503,$T216)&amp;IF(INDEX(TAHSILAT!$J$7:$J$2503,$T216)="",""," – "&amp;INDEX(TAHSILAT!$J$7:$J$2503,$T216)))</f>
        <v/>
      </c>
      <c r="P216" s="1" t="str">
        <f t="shared" si="35"/>
        <v/>
      </c>
      <c r="Q216" s="1">
        <f>IF($N216="",0,INDEX(TAHSILAT!$F$7:$F$2503,$T216))</f>
        <v>0</v>
      </c>
      <c r="R216" s="1">
        <v>0</v>
      </c>
      <c r="S216" s="1">
        <f t="shared" si="31"/>
        <v>10000000000</v>
      </c>
      <c r="T216" s="1">
        <f>IFERROR(MATCH($C$36&amp;"|143",TAHSILAT!$U$7:$U$2503,0),0)</f>
        <v>0</v>
      </c>
      <c r="V216" s="1">
        <f t="shared" si="32"/>
        <v>10000000000</v>
      </c>
      <c r="W216" s="1">
        <f t="shared" si="33"/>
        <v>9</v>
      </c>
    </row>
    <row r="217" spans="2:23" ht="14.25" customHeight="1" x14ac:dyDescent="0.3">
      <c r="B217" s="65" t="str">
        <f t="shared" si="25"/>
        <v/>
      </c>
      <c r="C217" s="70" t="str">
        <f t="shared" si="26"/>
        <v/>
      </c>
      <c r="D217" s="74" t="str">
        <f t="shared" si="27"/>
        <v/>
      </c>
      <c r="F217" s="65" t="str">
        <f t="shared" si="28"/>
        <v/>
      </c>
      <c r="G217" s="68" t="str">
        <f t="shared" si="29"/>
        <v/>
      </c>
      <c r="H217" s="68" t="str">
        <f t="shared" si="30"/>
        <v/>
      </c>
      <c r="I217" s="68" t="str">
        <f t="shared" si="34"/>
        <v/>
      </c>
      <c r="M217" s="1">
        <v>180</v>
      </c>
      <c r="N217" s="1" t="str">
        <f>IF($T217=0,"",INDEX(TAHSILAT!$E$7:$E$2503,$T217))</f>
        <v/>
      </c>
      <c r="O217" s="1" t="str">
        <f>IF($N217="","",$C$36&amp;" – müşteriden tahsilat: "&amp;INDEX(TAHSILAT!$N$7:$N$2503,$T217)&amp;IF(INDEX(TAHSILAT!$J$7:$J$2503,$T217)="",""," – "&amp;INDEX(TAHSILAT!$J$7:$J$2503,$T217)))</f>
        <v/>
      </c>
      <c r="P217" s="1" t="str">
        <f t="shared" si="35"/>
        <v/>
      </c>
      <c r="Q217" s="1">
        <f>IF($N217="",0,INDEX(TAHSILAT!$F$7:$F$2503,$T217))</f>
        <v>0</v>
      </c>
      <c r="R217" s="1">
        <v>0</v>
      </c>
      <c r="S217" s="1">
        <f t="shared" si="31"/>
        <v>10000000000</v>
      </c>
      <c r="T217" s="1">
        <f>IFERROR(MATCH($C$36&amp;"|144",TAHSILAT!$U$7:$U$2503,0),0)</f>
        <v>0</v>
      </c>
      <c r="V217" s="1">
        <f t="shared" si="32"/>
        <v>10000000000</v>
      </c>
      <c r="W217" s="1">
        <f t="shared" si="33"/>
        <v>9</v>
      </c>
    </row>
    <row r="218" spans="2:23" ht="14.25" customHeight="1" x14ac:dyDescent="0.3">
      <c r="B218" s="65" t="str">
        <f t="shared" si="25"/>
        <v/>
      </c>
      <c r="C218" s="70" t="str">
        <f t="shared" si="26"/>
        <v/>
      </c>
      <c r="D218" s="74" t="str">
        <f t="shared" si="27"/>
        <v/>
      </c>
      <c r="F218" s="65" t="str">
        <f t="shared" si="28"/>
        <v/>
      </c>
      <c r="G218" s="68" t="str">
        <f t="shared" si="29"/>
        <v/>
      </c>
      <c r="H218" s="68" t="str">
        <f t="shared" si="30"/>
        <v/>
      </c>
      <c r="I218" s="68" t="str">
        <f t="shared" si="34"/>
        <v/>
      </c>
      <c r="M218" s="1">
        <v>181</v>
      </c>
      <c r="N218" s="1" t="str">
        <f>IF($T218=0,"",INDEX(TAHSILAT!$E$7:$E$2503,$T218))</f>
        <v/>
      </c>
      <c r="O218" s="1" t="str">
        <f>IF($N218="","",$C$36&amp;" – müşteriden tahsilat: "&amp;INDEX(TAHSILAT!$N$7:$N$2503,$T218)&amp;IF(INDEX(TAHSILAT!$J$7:$J$2503,$T218)="",""," – "&amp;INDEX(TAHSILAT!$J$7:$J$2503,$T218)))</f>
        <v/>
      </c>
      <c r="P218" s="1" t="str">
        <f t="shared" si="35"/>
        <v/>
      </c>
      <c r="Q218" s="1">
        <f>IF($N218="",0,INDEX(TAHSILAT!$F$7:$F$2503,$T218))</f>
        <v>0</v>
      </c>
      <c r="R218" s="1">
        <v>0</v>
      </c>
      <c r="S218" s="1">
        <f t="shared" si="31"/>
        <v>10000000000</v>
      </c>
      <c r="T218" s="1">
        <f>IFERROR(MATCH($C$36&amp;"|145",TAHSILAT!$U$7:$U$2503,0),0)</f>
        <v>0</v>
      </c>
      <c r="V218" s="1">
        <f t="shared" si="32"/>
        <v>10000000000</v>
      </c>
      <c r="W218" s="1">
        <f t="shared" si="33"/>
        <v>9</v>
      </c>
    </row>
    <row r="219" spans="2:23" ht="14.25" customHeight="1" x14ac:dyDescent="0.3">
      <c r="B219" s="65" t="str">
        <f t="shared" si="25"/>
        <v/>
      </c>
      <c r="C219" s="70" t="str">
        <f t="shared" si="26"/>
        <v/>
      </c>
      <c r="D219" s="74" t="str">
        <f t="shared" si="27"/>
        <v/>
      </c>
      <c r="F219" s="65" t="str">
        <f t="shared" si="28"/>
        <v/>
      </c>
      <c r="G219" s="68" t="str">
        <f t="shared" si="29"/>
        <v/>
      </c>
      <c r="H219" s="68" t="str">
        <f t="shared" si="30"/>
        <v/>
      </c>
      <c r="I219" s="68" t="str">
        <f t="shared" si="34"/>
        <v/>
      </c>
      <c r="M219" s="1">
        <v>182</v>
      </c>
      <c r="N219" s="1" t="str">
        <f>IF($T219=0,"",INDEX(TAHSILAT!$E$7:$E$2503,$T219))</f>
        <v/>
      </c>
      <c r="O219" s="1" t="str">
        <f>IF($N219="","",$C$36&amp;" – müşteriden tahsilat: "&amp;INDEX(TAHSILAT!$N$7:$N$2503,$T219)&amp;IF(INDEX(TAHSILAT!$J$7:$J$2503,$T219)="",""," – "&amp;INDEX(TAHSILAT!$J$7:$J$2503,$T219)))</f>
        <v/>
      </c>
      <c r="P219" s="1" t="str">
        <f t="shared" si="35"/>
        <v/>
      </c>
      <c r="Q219" s="1">
        <f>IF($N219="",0,INDEX(TAHSILAT!$F$7:$F$2503,$T219))</f>
        <v>0</v>
      </c>
      <c r="R219" s="1">
        <v>0</v>
      </c>
      <c r="S219" s="1">
        <f t="shared" si="31"/>
        <v>10000000000</v>
      </c>
      <c r="T219" s="1">
        <f>IFERROR(MATCH($C$36&amp;"|146",TAHSILAT!$U$7:$U$2503,0),0)</f>
        <v>0</v>
      </c>
      <c r="V219" s="1">
        <f t="shared" si="32"/>
        <v>10000000000</v>
      </c>
      <c r="W219" s="1">
        <f t="shared" si="33"/>
        <v>9</v>
      </c>
    </row>
    <row r="220" spans="2:23" ht="14.25" customHeight="1" x14ac:dyDescent="0.3">
      <c r="B220" s="65" t="str">
        <f t="shared" si="25"/>
        <v/>
      </c>
      <c r="C220" s="70" t="str">
        <f t="shared" si="26"/>
        <v/>
      </c>
      <c r="D220" s="74" t="str">
        <f t="shared" si="27"/>
        <v/>
      </c>
      <c r="F220" s="65" t="str">
        <f t="shared" si="28"/>
        <v/>
      </c>
      <c r="G220" s="68" t="str">
        <f t="shared" si="29"/>
        <v/>
      </c>
      <c r="H220" s="68" t="str">
        <f t="shared" si="30"/>
        <v/>
      </c>
      <c r="I220" s="68" t="str">
        <f t="shared" si="34"/>
        <v/>
      </c>
      <c r="M220" s="1">
        <v>183</v>
      </c>
      <c r="N220" s="1" t="str">
        <f>IF($T220=0,"",INDEX(TAHSILAT!$E$7:$E$2503,$T220))</f>
        <v/>
      </c>
      <c r="O220" s="1" t="str">
        <f>IF($N220="","",$C$36&amp;" – müşteriden tahsilat: "&amp;INDEX(TAHSILAT!$N$7:$N$2503,$T220)&amp;IF(INDEX(TAHSILAT!$J$7:$J$2503,$T220)="",""," – "&amp;INDEX(TAHSILAT!$J$7:$J$2503,$T220)))</f>
        <v/>
      </c>
      <c r="P220" s="1" t="str">
        <f t="shared" si="35"/>
        <v/>
      </c>
      <c r="Q220" s="1">
        <f>IF($N220="",0,INDEX(TAHSILAT!$F$7:$F$2503,$T220))</f>
        <v>0</v>
      </c>
      <c r="R220" s="1">
        <v>0</v>
      </c>
      <c r="S220" s="1">
        <f t="shared" si="31"/>
        <v>10000000000</v>
      </c>
      <c r="T220" s="1">
        <f>IFERROR(MATCH($C$36&amp;"|147",TAHSILAT!$U$7:$U$2503,0),0)</f>
        <v>0</v>
      </c>
      <c r="V220" s="1">
        <f t="shared" si="32"/>
        <v>10000000000</v>
      </c>
      <c r="W220" s="1">
        <f t="shared" si="33"/>
        <v>9</v>
      </c>
    </row>
    <row r="221" spans="2:23" ht="14.25" customHeight="1" x14ac:dyDescent="0.3">
      <c r="B221" s="65" t="str">
        <f t="shared" si="25"/>
        <v/>
      </c>
      <c r="C221" s="70" t="str">
        <f t="shared" si="26"/>
        <v/>
      </c>
      <c r="D221" s="74" t="str">
        <f t="shared" si="27"/>
        <v/>
      </c>
      <c r="F221" s="65" t="str">
        <f t="shared" si="28"/>
        <v/>
      </c>
      <c r="G221" s="68" t="str">
        <f t="shared" si="29"/>
        <v/>
      </c>
      <c r="H221" s="68" t="str">
        <f t="shared" si="30"/>
        <v/>
      </c>
      <c r="I221" s="68" t="str">
        <f t="shared" si="34"/>
        <v/>
      </c>
      <c r="M221" s="1">
        <v>184</v>
      </c>
      <c r="N221" s="1" t="str">
        <f>IF($T221=0,"",INDEX(TAHSILAT!$E$7:$E$2503,$T221))</f>
        <v/>
      </c>
      <c r="O221" s="1" t="str">
        <f>IF($N221="","",$C$36&amp;" – müşteriden tahsilat: "&amp;INDEX(TAHSILAT!$N$7:$N$2503,$T221)&amp;IF(INDEX(TAHSILAT!$J$7:$J$2503,$T221)="",""," – "&amp;INDEX(TAHSILAT!$J$7:$J$2503,$T221)))</f>
        <v/>
      </c>
      <c r="P221" s="1" t="str">
        <f t="shared" si="35"/>
        <v/>
      </c>
      <c r="Q221" s="1">
        <f>IF($N221="",0,INDEX(TAHSILAT!$F$7:$F$2503,$T221))</f>
        <v>0</v>
      </c>
      <c r="R221" s="1">
        <v>0</v>
      </c>
      <c r="S221" s="1">
        <f t="shared" si="31"/>
        <v>10000000000</v>
      </c>
      <c r="T221" s="1">
        <f>IFERROR(MATCH($C$36&amp;"|148",TAHSILAT!$U$7:$U$2503,0),0)</f>
        <v>0</v>
      </c>
      <c r="V221" s="1">
        <f t="shared" si="32"/>
        <v>10000000000</v>
      </c>
      <c r="W221" s="1">
        <f t="shared" si="33"/>
        <v>9</v>
      </c>
    </row>
    <row r="222" spans="2:23" ht="14.25" customHeight="1" x14ac:dyDescent="0.3">
      <c r="B222" s="65" t="str">
        <f t="shared" si="25"/>
        <v/>
      </c>
      <c r="C222" s="70" t="str">
        <f t="shared" si="26"/>
        <v/>
      </c>
      <c r="D222" s="74" t="str">
        <f t="shared" si="27"/>
        <v/>
      </c>
      <c r="F222" s="65" t="str">
        <f t="shared" si="28"/>
        <v/>
      </c>
      <c r="G222" s="68" t="str">
        <f t="shared" si="29"/>
        <v/>
      </c>
      <c r="H222" s="68" t="str">
        <f t="shared" si="30"/>
        <v/>
      </c>
      <c r="I222" s="68" t="str">
        <f t="shared" si="34"/>
        <v/>
      </c>
      <c r="M222" s="1">
        <v>185</v>
      </c>
      <c r="N222" s="1" t="str">
        <f>IF($T222=0,"",INDEX(TAHSILAT!$E$7:$E$2503,$T222))</f>
        <v/>
      </c>
      <c r="O222" s="1" t="str">
        <f>IF($N222="","",$C$36&amp;" – müşteriden tahsilat: "&amp;INDEX(TAHSILAT!$N$7:$N$2503,$T222)&amp;IF(INDEX(TAHSILAT!$J$7:$J$2503,$T222)="",""," – "&amp;INDEX(TAHSILAT!$J$7:$J$2503,$T222)))</f>
        <v/>
      </c>
      <c r="P222" s="1" t="str">
        <f t="shared" si="35"/>
        <v/>
      </c>
      <c r="Q222" s="1">
        <f>IF($N222="",0,INDEX(TAHSILAT!$F$7:$F$2503,$T222))</f>
        <v>0</v>
      </c>
      <c r="R222" s="1">
        <v>0</v>
      </c>
      <c r="S222" s="1">
        <f t="shared" si="31"/>
        <v>10000000000</v>
      </c>
      <c r="T222" s="1">
        <f>IFERROR(MATCH($C$36&amp;"|149",TAHSILAT!$U$7:$U$2503,0),0)</f>
        <v>0</v>
      </c>
      <c r="V222" s="1">
        <f t="shared" si="32"/>
        <v>10000000000</v>
      </c>
      <c r="W222" s="1">
        <f t="shared" si="33"/>
        <v>9</v>
      </c>
    </row>
    <row r="223" spans="2:23" ht="14.25" customHeight="1" x14ac:dyDescent="0.3">
      <c r="B223" s="65" t="str">
        <f t="shared" si="25"/>
        <v/>
      </c>
      <c r="C223" s="70" t="str">
        <f t="shared" si="26"/>
        <v/>
      </c>
      <c r="D223" s="74" t="str">
        <f t="shared" si="27"/>
        <v/>
      </c>
      <c r="F223" s="65" t="str">
        <f t="shared" si="28"/>
        <v/>
      </c>
      <c r="G223" s="68" t="str">
        <f t="shared" si="29"/>
        <v/>
      </c>
      <c r="H223" s="68" t="str">
        <f t="shared" si="30"/>
        <v/>
      </c>
      <c r="I223" s="68" t="str">
        <f t="shared" si="34"/>
        <v/>
      </c>
      <c r="M223" s="1">
        <v>186</v>
      </c>
      <c r="N223" s="1" t="str">
        <f>IF($T223=0,"",INDEX(TAHSILAT!$E$7:$E$2503,$T223))</f>
        <v/>
      </c>
      <c r="O223" s="1" t="str">
        <f>IF($N223="","",$C$36&amp;" – müşteriden tahsilat: "&amp;INDEX(TAHSILAT!$N$7:$N$2503,$T223)&amp;IF(INDEX(TAHSILAT!$J$7:$J$2503,$T223)="",""," – "&amp;INDEX(TAHSILAT!$J$7:$J$2503,$T223)))</f>
        <v/>
      </c>
      <c r="P223" s="1" t="str">
        <f t="shared" si="35"/>
        <v/>
      </c>
      <c r="Q223" s="1">
        <f>IF($N223="",0,INDEX(TAHSILAT!$F$7:$F$2503,$T223))</f>
        <v>0</v>
      </c>
      <c r="R223" s="1">
        <v>0</v>
      </c>
      <c r="S223" s="1">
        <f t="shared" si="31"/>
        <v>10000000000</v>
      </c>
      <c r="T223" s="1">
        <f>IFERROR(MATCH($C$36&amp;"|150",TAHSILAT!$U$7:$U$2503,0),0)</f>
        <v>0</v>
      </c>
      <c r="V223" s="1">
        <f t="shared" si="32"/>
        <v>10000000000</v>
      </c>
      <c r="W223" s="1">
        <f t="shared" si="33"/>
        <v>9</v>
      </c>
    </row>
    <row r="224" spans="2:23" ht="14.25" customHeight="1" x14ac:dyDescent="0.3">
      <c r="B224" s="65" t="str">
        <f t="shared" si="25"/>
        <v/>
      </c>
      <c r="C224" s="70" t="str">
        <f t="shared" si="26"/>
        <v/>
      </c>
      <c r="D224" s="74" t="str">
        <f t="shared" si="27"/>
        <v/>
      </c>
      <c r="F224" s="65" t="str">
        <f t="shared" si="28"/>
        <v/>
      </c>
      <c r="G224" s="68" t="str">
        <f t="shared" si="29"/>
        <v/>
      </c>
      <c r="H224" s="68" t="str">
        <f t="shared" si="30"/>
        <v/>
      </c>
      <c r="I224" s="68" t="str">
        <f t="shared" si="34"/>
        <v/>
      </c>
      <c r="M224" s="1">
        <v>187</v>
      </c>
      <c r="N224" s="1" t="str">
        <f>IF($T224=0,"",INDEX(TAHSILAT!$E$7:$E$2503,$T224))</f>
        <v/>
      </c>
      <c r="O224" s="1" t="str">
        <f>IF($N224="","",$C$36&amp;" – müşteriden tahsilat: "&amp;INDEX(TAHSILAT!$N$7:$N$2503,$T224)&amp;IF(INDEX(TAHSILAT!$J$7:$J$2503,$T224)="",""," – "&amp;INDEX(TAHSILAT!$J$7:$J$2503,$T224)))</f>
        <v/>
      </c>
      <c r="P224" s="1" t="str">
        <f t="shared" si="35"/>
        <v/>
      </c>
      <c r="Q224" s="1">
        <f>IF($N224="",0,INDEX(TAHSILAT!$F$7:$F$2503,$T224))</f>
        <v>0</v>
      </c>
      <c r="R224" s="1">
        <v>0</v>
      </c>
      <c r="S224" s="1">
        <f t="shared" si="31"/>
        <v>10000000000</v>
      </c>
      <c r="T224" s="1">
        <f>IFERROR(MATCH($C$36&amp;"|151",TAHSILAT!$U$7:$U$2503,0),0)</f>
        <v>0</v>
      </c>
      <c r="V224" s="1">
        <f t="shared" si="32"/>
        <v>10000000000</v>
      </c>
      <c r="W224" s="1">
        <f t="shared" si="33"/>
        <v>9</v>
      </c>
    </row>
    <row r="225" spans="2:23" ht="14.25" customHeight="1" x14ac:dyDescent="0.3">
      <c r="B225" s="65" t="str">
        <f t="shared" si="25"/>
        <v/>
      </c>
      <c r="C225" s="70" t="str">
        <f t="shared" si="26"/>
        <v/>
      </c>
      <c r="D225" s="74" t="str">
        <f t="shared" si="27"/>
        <v/>
      </c>
      <c r="F225" s="65" t="str">
        <f t="shared" si="28"/>
        <v/>
      </c>
      <c r="G225" s="68" t="str">
        <f t="shared" si="29"/>
        <v/>
      </c>
      <c r="H225" s="68" t="str">
        <f t="shared" si="30"/>
        <v/>
      </c>
      <c r="I225" s="68" t="str">
        <f t="shared" si="34"/>
        <v/>
      </c>
      <c r="M225" s="1">
        <v>188</v>
      </c>
      <c r="N225" s="1" t="str">
        <f>IF($T225=0,"",INDEX(TAHSILAT!$E$7:$E$2503,$T225))</f>
        <v/>
      </c>
      <c r="O225" s="1" t="str">
        <f>IF($N225="","",$C$36&amp;" – müşteriden tahsilat: "&amp;INDEX(TAHSILAT!$N$7:$N$2503,$T225)&amp;IF(INDEX(TAHSILAT!$J$7:$J$2503,$T225)="",""," – "&amp;INDEX(TAHSILAT!$J$7:$J$2503,$T225)))</f>
        <v/>
      </c>
      <c r="P225" s="1" t="str">
        <f t="shared" si="35"/>
        <v/>
      </c>
      <c r="Q225" s="1">
        <f>IF($N225="",0,INDEX(TAHSILAT!$F$7:$F$2503,$T225))</f>
        <v>0</v>
      </c>
      <c r="R225" s="1">
        <v>0</v>
      </c>
      <c r="S225" s="1">
        <f t="shared" si="31"/>
        <v>10000000000</v>
      </c>
      <c r="T225" s="1">
        <f>IFERROR(MATCH($C$36&amp;"|152",TAHSILAT!$U$7:$U$2503,0),0)</f>
        <v>0</v>
      </c>
      <c r="V225" s="1">
        <f t="shared" si="32"/>
        <v>10000000000</v>
      </c>
      <c r="W225" s="1">
        <f t="shared" si="33"/>
        <v>9</v>
      </c>
    </row>
    <row r="226" spans="2:23" ht="14.25" customHeight="1" x14ac:dyDescent="0.3">
      <c r="B226" s="65" t="str">
        <f t="shared" si="25"/>
        <v/>
      </c>
      <c r="C226" s="70" t="str">
        <f t="shared" si="26"/>
        <v/>
      </c>
      <c r="D226" s="74" t="str">
        <f t="shared" si="27"/>
        <v/>
      </c>
      <c r="F226" s="65" t="str">
        <f t="shared" si="28"/>
        <v/>
      </c>
      <c r="G226" s="68" t="str">
        <f t="shared" si="29"/>
        <v/>
      </c>
      <c r="H226" s="68" t="str">
        <f t="shared" si="30"/>
        <v/>
      </c>
      <c r="I226" s="68" t="str">
        <f t="shared" si="34"/>
        <v/>
      </c>
      <c r="M226" s="1">
        <v>189</v>
      </c>
      <c r="N226" s="1" t="str">
        <f>IF($T226=0,"",INDEX(TAHSILAT!$E$7:$E$2503,$T226))</f>
        <v/>
      </c>
      <c r="O226" s="1" t="str">
        <f>IF($N226="","",$C$36&amp;" – müşteriden tahsilat: "&amp;INDEX(TAHSILAT!$N$7:$N$2503,$T226)&amp;IF(INDEX(TAHSILAT!$J$7:$J$2503,$T226)="",""," – "&amp;INDEX(TAHSILAT!$J$7:$J$2503,$T226)))</f>
        <v/>
      </c>
      <c r="P226" s="1" t="str">
        <f t="shared" si="35"/>
        <v/>
      </c>
      <c r="Q226" s="1">
        <f>IF($N226="",0,INDEX(TAHSILAT!$F$7:$F$2503,$T226))</f>
        <v>0</v>
      </c>
      <c r="R226" s="1">
        <v>0</v>
      </c>
      <c r="S226" s="1">
        <f t="shared" si="31"/>
        <v>10000000000</v>
      </c>
      <c r="T226" s="1">
        <f>IFERROR(MATCH($C$36&amp;"|153",TAHSILAT!$U$7:$U$2503,0),0)</f>
        <v>0</v>
      </c>
      <c r="V226" s="1">
        <f t="shared" si="32"/>
        <v>10000000000</v>
      </c>
      <c r="W226" s="1">
        <f t="shared" si="33"/>
        <v>9</v>
      </c>
    </row>
    <row r="227" spans="2:23" ht="14.25" customHeight="1" x14ac:dyDescent="0.3">
      <c r="B227" s="65" t="str">
        <f t="shared" si="25"/>
        <v/>
      </c>
      <c r="C227" s="70" t="str">
        <f t="shared" si="26"/>
        <v/>
      </c>
      <c r="D227" s="74" t="str">
        <f t="shared" si="27"/>
        <v/>
      </c>
      <c r="F227" s="65" t="str">
        <f t="shared" si="28"/>
        <v/>
      </c>
      <c r="G227" s="68" t="str">
        <f t="shared" si="29"/>
        <v/>
      </c>
      <c r="H227" s="68" t="str">
        <f t="shared" si="30"/>
        <v/>
      </c>
      <c r="I227" s="68" t="str">
        <f t="shared" si="34"/>
        <v/>
      </c>
      <c r="M227" s="1">
        <v>190</v>
      </c>
      <c r="N227" s="1" t="str">
        <f>IF($T227=0,"",INDEX(TAHSILAT!$E$7:$E$2503,$T227))</f>
        <v/>
      </c>
      <c r="O227" s="1" t="str">
        <f>IF($N227="","",$C$36&amp;" – müşteriden tahsilat: "&amp;INDEX(TAHSILAT!$N$7:$N$2503,$T227)&amp;IF(INDEX(TAHSILAT!$J$7:$J$2503,$T227)="",""," – "&amp;INDEX(TAHSILAT!$J$7:$J$2503,$T227)))</f>
        <v/>
      </c>
      <c r="P227" s="1" t="str">
        <f t="shared" si="35"/>
        <v/>
      </c>
      <c r="Q227" s="1">
        <f>IF($N227="",0,INDEX(TAHSILAT!$F$7:$F$2503,$T227))</f>
        <v>0</v>
      </c>
      <c r="R227" s="1">
        <v>0</v>
      </c>
      <c r="S227" s="1">
        <f t="shared" si="31"/>
        <v>10000000000</v>
      </c>
      <c r="T227" s="1">
        <f>IFERROR(MATCH($C$36&amp;"|154",TAHSILAT!$U$7:$U$2503,0),0)</f>
        <v>0</v>
      </c>
      <c r="V227" s="1">
        <f t="shared" si="32"/>
        <v>10000000000</v>
      </c>
      <c r="W227" s="1">
        <f t="shared" si="33"/>
        <v>9</v>
      </c>
    </row>
    <row r="228" spans="2:23" ht="14.25" customHeight="1" x14ac:dyDescent="0.3">
      <c r="B228" s="65" t="str">
        <f t="shared" si="25"/>
        <v/>
      </c>
      <c r="C228" s="70" t="str">
        <f t="shared" si="26"/>
        <v/>
      </c>
      <c r="D228" s="74" t="str">
        <f t="shared" si="27"/>
        <v/>
      </c>
      <c r="F228" s="65" t="str">
        <f t="shared" si="28"/>
        <v/>
      </c>
      <c r="G228" s="68" t="str">
        <f t="shared" si="29"/>
        <v/>
      </c>
      <c r="H228" s="68" t="str">
        <f t="shared" si="30"/>
        <v/>
      </c>
      <c r="I228" s="68" t="str">
        <f t="shared" si="34"/>
        <v/>
      </c>
      <c r="M228" s="1">
        <v>191</v>
      </c>
      <c r="N228" s="1" t="str">
        <f>IF($T228=0,"",INDEX(TAHSILAT!$E$7:$E$2503,$T228))</f>
        <v/>
      </c>
      <c r="O228" s="1" t="str">
        <f>IF($N228="","",$C$36&amp;" – müşteriden tahsilat: "&amp;INDEX(TAHSILAT!$N$7:$N$2503,$T228)&amp;IF(INDEX(TAHSILAT!$J$7:$J$2503,$T228)="",""," – "&amp;INDEX(TAHSILAT!$J$7:$J$2503,$T228)))</f>
        <v/>
      </c>
      <c r="P228" s="1" t="str">
        <f t="shared" si="35"/>
        <v/>
      </c>
      <c r="Q228" s="1">
        <f>IF($N228="",0,INDEX(TAHSILAT!$F$7:$F$2503,$T228))</f>
        <v>0</v>
      </c>
      <c r="R228" s="1">
        <v>0</v>
      </c>
      <c r="S228" s="1">
        <f t="shared" si="31"/>
        <v>10000000000</v>
      </c>
      <c r="T228" s="1">
        <f>IFERROR(MATCH($C$36&amp;"|155",TAHSILAT!$U$7:$U$2503,0),0)</f>
        <v>0</v>
      </c>
      <c r="V228" s="1">
        <f t="shared" si="32"/>
        <v>10000000000</v>
      </c>
      <c r="W228" s="1">
        <f t="shared" si="33"/>
        <v>9</v>
      </c>
    </row>
    <row r="229" spans="2:23" ht="14.25" customHeight="1" x14ac:dyDescent="0.3">
      <c r="B229" s="65" t="str">
        <f t="shared" si="25"/>
        <v/>
      </c>
      <c r="C229" s="70" t="str">
        <f t="shared" si="26"/>
        <v/>
      </c>
      <c r="D229" s="74" t="str">
        <f t="shared" si="27"/>
        <v/>
      </c>
      <c r="F229" s="65" t="str">
        <f t="shared" si="28"/>
        <v/>
      </c>
      <c r="G229" s="68" t="str">
        <f t="shared" si="29"/>
        <v/>
      </c>
      <c r="H229" s="68" t="str">
        <f t="shared" si="30"/>
        <v/>
      </c>
      <c r="I229" s="68" t="str">
        <f t="shared" si="34"/>
        <v/>
      </c>
      <c r="M229" s="1">
        <v>192</v>
      </c>
      <c r="N229" s="1" t="str">
        <f>IF($T229=0,"",INDEX(TAHSILAT!$E$7:$E$2503,$T229))</f>
        <v/>
      </c>
      <c r="O229" s="1" t="str">
        <f>IF($N229="","",$C$36&amp;" – müşteriden tahsilat: "&amp;INDEX(TAHSILAT!$N$7:$N$2503,$T229)&amp;IF(INDEX(TAHSILAT!$J$7:$J$2503,$T229)="",""," – "&amp;INDEX(TAHSILAT!$J$7:$J$2503,$T229)))</f>
        <v/>
      </c>
      <c r="P229" s="1" t="str">
        <f t="shared" si="35"/>
        <v/>
      </c>
      <c r="Q229" s="1">
        <f>IF($N229="",0,INDEX(TAHSILAT!$F$7:$F$2503,$T229))</f>
        <v>0</v>
      </c>
      <c r="R229" s="1">
        <v>0</v>
      </c>
      <c r="S229" s="1">
        <f t="shared" si="31"/>
        <v>10000000000</v>
      </c>
      <c r="T229" s="1">
        <f>IFERROR(MATCH($C$36&amp;"|156",TAHSILAT!$U$7:$U$2503,0),0)</f>
        <v>0</v>
      </c>
      <c r="V229" s="1">
        <f t="shared" si="32"/>
        <v>10000000000</v>
      </c>
      <c r="W229" s="1">
        <f t="shared" si="33"/>
        <v>9</v>
      </c>
    </row>
    <row r="230" spans="2:23" ht="14.25" customHeight="1" x14ac:dyDescent="0.3">
      <c r="B230" s="65" t="str">
        <f t="shared" ref="B230:B293" si="36">IF($C230="","",ROW()-37)</f>
        <v/>
      </c>
      <c r="C230" s="70" t="str">
        <f t="shared" ref="C230:C293" si="37">IF($W230="","",IF(INDEX($N$38:$N$953,$W230)="","",INDEX($N$38:$N$953,$W230)))</f>
        <v/>
      </c>
      <c r="D230" s="74" t="str">
        <f t="shared" ref="D230:D293" si="38">IF($C230="","",INDEX($O$38:$O$953,$W230))</f>
        <v/>
      </c>
      <c r="F230" s="65" t="str">
        <f t="shared" ref="F230:F293" si="39">IF($C230="","",INDEX($P$38:$P$953,$W230))</f>
        <v/>
      </c>
      <c r="G230" s="68" t="str">
        <f t="shared" ref="G230:G293" si="40">IF($C230="","",INDEX($Q$38:$Q$953,$W230))</f>
        <v/>
      </c>
      <c r="H230" s="68" t="str">
        <f t="shared" ref="H230:H293" si="41">IF($C230="","",INDEX($R$38:$R$953,$W230))</f>
        <v/>
      </c>
      <c r="I230" s="68" t="str">
        <f t="shared" si="34"/>
        <v/>
      </c>
      <c r="M230" s="1">
        <v>193</v>
      </c>
      <c r="N230" s="1" t="str">
        <f>IF($T230=0,"",INDEX(TAHSILAT!$E$7:$E$2503,$T230))</f>
        <v/>
      </c>
      <c r="O230" s="1" t="str">
        <f>IF($N230="","",$C$36&amp;" – müşteriden tahsilat: "&amp;INDEX(TAHSILAT!$N$7:$N$2503,$T230)&amp;IF(INDEX(TAHSILAT!$J$7:$J$2503,$T230)="",""," – "&amp;INDEX(TAHSILAT!$J$7:$J$2503,$T230)))</f>
        <v/>
      </c>
      <c r="P230" s="1" t="str">
        <f t="shared" si="35"/>
        <v/>
      </c>
      <c r="Q230" s="1">
        <f>IF($N230="",0,INDEX(TAHSILAT!$F$7:$F$2503,$T230))</f>
        <v>0</v>
      </c>
      <c r="R230" s="1">
        <v>0</v>
      </c>
      <c r="S230" s="1">
        <f t="shared" ref="S230:S293" si="42">IF($N230="",10000000000,$N230*100000+$M230)</f>
        <v>10000000000</v>
      </c>
      <c r="T230" s="1">
        <f>IFERROR(MATCH($C$36&amp;"|157",TAHSILAT!$U$7:$U$2503,0),0)</f>
        <v>0</v>
      </c>
      <c r="V230" s="1">
        <f t="shared" ref="V230:V293" si="43">IFERROR(SMALL($S$38:$S$953,ROW()-37),"")</f>
        <v>10000000000</v>
      </c>
      <c r="W230" s="1">
        <f t="shared" ref="W230:W293" si="44">IFERROR(MATCH($V230,$S$38:$S$953,0),"")</f>
        <v>9</v>
      </c>
    </row>
    <row r="231" spans="2:23" ht="14.25" customHeight="1" x14ac:dyDescent="0.3">
      <c r="B231" s="65" t="str">
        <f t="shared" si="36"/>
        <v/>
      </c>
      <c r="C231" s="70" t="str">
        <f t="shared" si="37"/>
        <v/>
      </c>
      <c r="D231" s="74" t="str">
        <f t="shared" si="38"/>
        <v/>
      </c>
      <c r="F231" s="65" t="str">
        <f t="shared" si="39"/>
        <v/>
      </c>
      <c r="G231" s="68" t="str">
        <f t="shared" si="40"/>
        <v/>
      </c>
      <c r="H231" s="68" t="str">
        <f t="shared" si="41"/>
        <v/>
      </c>
      <c r="I231" s="68" t="str">
        <f t="shared" ref="I231:I294" si="45">IF($C231="","",N($I230)+$G231-$H231)</f>
        <v/>
      </c>
      <c r="M231" s="1">
        <v>194</v>
      </c>
      <c r="N231" s="1" t="str">
        <f>IF($T231=0,"",INDEX(TAHSILAT!$E$7:$E$2503,$T231))</f>
        <v/>
      </c>
      <c r="O231" s="1" t="str">
        <f>IF($N231="","",$C$36&amp;" – müşteriden tahsilat: "&amp;INDEX(TAHSILAT!$N$7:$N$2503,$T231)&amp;IF(INDEX(TAHSILAT!$J$7:$J$2503,$T231)="",""," – "&amp;INDEX(TAHSILAT!$J$7:$J$2503,$T231)))</f>
        <v/>
      </c>
      <c r="P231" s="1" t="str">
        <f t="shared" si="35"/>
        <v/>
      </c>
      <c r="Q231" s="1">
        <f>IF($N231="",0,INDEX(TAHSILAT!$F$7:$F$2503,$T231))</f>
        <v>0</v>
      </c>
      <c r="R231" s="1">
        <v>0</v>
      </c>
      <c r="S231" s="1">
        <f t="shared" si="42"/>
        <v>10000000000</v>
      </c>
      <c r="T231" s="1">
        <f>IFERROR(MATCH($C$36&amp;"|158",TAHSILAT!$U$7:$U$2503,0),0)</f>
        <v>0</v>
      </c>
      <c r="V231" s="1">
        <f t="shared" si="43"/>
        <v>10000000000</v>
      </c>
      <c r="W231" s="1">
        <f t="shared" si="44"/>
        <v>9</v>
      </c>
    </row>
    <row r="232" spans="2:23" ht="14.25" customHeight="1" x14ac:dyDescent="0.3">
      <c r="B232" s="65" t="str">
        <f t="shared" si="36"/>
        <v/>
      </c>
      <c r="C232" s="70" t="str">
        <f t="shared" si="37"/>
        <v/>
      </c>
      <c r="D232" s="74" t="str">
        <f t="shared" si="38"/>
        <v/>
      </c>
      <c r="F232" s="65" t="str">
        <f t="shared" si="39"/>
        <v/>
      </c>
      <c r="G232" s="68" t="str">
        <f t="shared" si="40"/>
        <v/>
      </c>
      <c r="H232" s="68" t="str">
        <f t="shared" si="41"/>
        <v/>
      </c>
      <c r="I232" s="68" t="str">
        <f t="shared" si="45"/>
        <v/>
      </c>
      <c r="M232" s="1">
        <v>195</v>
      </c>
      <c r="N232" s="1" t="str">
        <f>IF($T232=0,"",INDEX(TAHSILAT!$E$7:$E$2503,$T232))</f>
        <v/>
      </c>
      <c r="O232" s="1" t="str">
        <f>IF($N232="","",$C$36&amp;" – müşteriden tahsilat: "&amp;INDEX(TAHSILAT!$N$7:$N$2503,$T232)&amp;IF(INDEX(TAHSILAT!$J$7:$J$2503,$T232)="",""," – "&amp;INDEX(TAHSILAT!$J$7:$J$2503,$T232)))</f>
        <v/>
      </c>
      <c r="P232" s="1" t="str">
        <f t="shared" si="35"/>
        <v/>
      </c>
      <c r="Q232" s="1">
        <f>IF($N232="",0,INDEX(TAHSILAT!$F$7:$F$2503,$T232))</f>
        <v>0</v>
      </c>
      <c r="R232" s="1">
        <v>0</v>
      </c>
      <c r="S232" s="1">
        <f t="shared" si="42"/>
        <v>10000000000</v>
      </c>
      <c r="T232" s="1">
        <f>IFERROR(MATCH($C$36&amp;"|159",TAHSILAT!$U$7:$U$2503,0),0)</f>
        <v>0</v>
      </c>
      <c r="V232" s="1">
        <f t="shared" si="43"/>
        <v>10000000000</v>
      </c>
      <c r="W232" s="1">
        <f t="shared" si="44"/>
        <v>9</v>
      </c>
    </row>
    <row r="233" spans="2:23" ht="14.25" customHeight="1" x14ac:dyDescent="0.3">
      <c r="B233" s="65" t="str">
        <f t="shared" si="36"/>
        <v/>
      </c>
      <c r="C233" s="70" t="str">
        <f t="shared" si="37"/>
        <v/>
      </c>
      <c r="D233" s="74" t="str">
        <f t="shared" si="38"/>
        <v/>
      </c>
      <c r="F233" s="65" t="str">
        <f t="shared" si="39"/>
        <v/>
      </c>
      <c r="G233" s="68" t="str">
        <f t="shared" si="40"/>
        <v/>
      </c>
      <c r="H233" s="68" t="str">
        <f t="shared" si="41"/>
        <v/>
      </c>
      <c r="I233" s="68" t="str">
        <f t="shared" si="45"/>
        <v/>
      </c>
      <c r="M233" s="1">
        <v>196</v>
      </c>
      <c r="N233" s="1" t="str">
        <f>IF($T233=0,"",INDEX(TAHSILAT!$E$7:$E$2503,$T233))</f>
        <v/>
      </c>
      <c r="O233" s="1" t="str">
        <f>IF($N233="","",$C$36&amp;" – müşteriden tahsilat: "&amp;INDEX(TAHSILAT!$N$7:$N$2503,$T233)&amp;IF(INDEX(TAHSILAT!$J$7:$J$2503,$T233)="",""," – "&amp;INDEX(TAHSILAT!$J$7:$J$2503,$T233)))</f>
        <v/>
      </c>
      <c r="P233" s="1" t="str">
        <f t="shared" si="35"/>
        <v/>
      </c>
      <c r="Q233" s="1">
        <f>IF($N233="",0,INDEX(TAHSILAT!$F$7:$F$2503,$T233))</f>
        <v>0</v>
      </c>
      <c r="R233" s="1">
        <v>0</v>
      </c>
      <c r="S233" s="1">
        <f t="shared" si="42"/>
        <v>10000000000</v>
      </c>
      <c r="T233" s="1">
        <f>IFERROR(MATCH($C$36&amp;"|160",TAHSILAT!$U$7:$U$2503,0),0)</f>
        <v>0</v>
      </c>
      <c r="V233" s="1">
        <f t="shared" si="43"/>
        <v>10000000000</v>
      </c>
      <c r="W233" s="1">
        <f t="shared" si="44"/>
        <v>9</v>
      </c>
    </row>
    <row r="234" spans="2:23" ht="14.25" customHeight="1" x14ac:dyDescent="0.3">
      <c r="B234" s="65" t="str">
        <f t="shared" si="36"/>
        <v/>
      </c>
      <c r="C234" s="70" t="str">
        <f t="shared" si="37"/>
        <v/>
      </c>
      <c r="D234" s="74" t="str">
        <f t="shared" si="38"/>
        <v/>
      </c>
      <c r="F234" s="65" t="str">
        <f t="shared" si="39"/>
        <v/>
      </c>
      <c r="G234" s="68" t="str">
        <f t="shared" si="40"/>
        <v/>
      </c>
      <c r="H234" s="68" t="str">
        <f t="shared" si="41"/>
        <v/>
      </c>
      <c r="I234" s="68" t="str">
        <f t="shared" si="45"/>
        <v/>
      </c>
      <c r="M234" s="1">
        <v>197</v>
      </c>
      <c r="N234" s="1" t="str">
        <f>IF($T234=0,"",INDEX(TAHSILAT!$E$7:$E$2503,$T234))</f>
        <v/>
      </c>
      <c r="O234" s="1" t="str">
        <f>IF($N234="","",$C$36&amp;" – müşteriden tahsilat: "&amp;INDEX(TAHSILAT!$N$7:$N$2503,$T234)&amp;IF(INDEX(TAHSILAT!$J$7:$J$2503,$T234)="",""," – "&amp;INDEX(TAHSILAT!$J$7:$J$2503,$T234)))</f>
        <v/>
      </c>
      <c r="P234" s="1" t="str">
        <f t="shared" si="35"/>
        <v/>
      </c>
      <c r="Q234" s="1">
        <f>IF($N234="",0,INDEX(TAHSILAT!$F$7:$F$2503,$T234))</f>
        <v>0</v>
      </c>
      <c r="R234" s="1">
        <v>0</v>
      </c>
      <c r="S234" s="1">
        <f t="shared" si="42"/>
        <v>10000000000</v>
      </c>
      <c r="T234" s="1">
        <f>IFERROR(MATCH($C$36&amp;"|161",TAHSILAT!$U$7:$U$2503,0),0)</f>
        <v>0</v>
      </c>
      <c r="V234" s="1">
        <f t="shared" si="43"/>
        <v>10000000000</v>
      </c>
      <c r="W234" s="1">
        <f t="shared" si="44"/>
        <v>9</v>
      </c>
    </row>
    <row r="235" spans="2:23" ht="14.25" customHeight="1" x14ac:dyDescent="0.3">
      <c r="B235" s="65" t="str">
        <f t="shared" si="36"/>
        <v/>
      </c>
      <c r="C235" s="70" t="str">
        <f t="shared" si="37"/>
        <v/>
      </c>
      <c r="D235" s="74" t="str">
        <f t="shared" si="38"/>
        <v/>
      </c>
      <c r="F235" s="65" t="str">
        <f t="shared" si="39"/>
        <v/>
      </c>
      <c r="G235" s="68" t="str">
        <f t="shared" si="40"/>
        <v/>
      </c>
      <c r="H235" s="68" t="str">
        <f t="shared" si="41"/>
        <v/>
      </c>
      <c r="I235" s="68" t="str">
        <f t="shared" si="45"/>
        <v/>
      </c>
      <c r="M235" s="1">
        <v>198</v>
      </c>
      <c r="N235" s="1" t="str">
        <f>IF($T235=0,"",INDEX(TAHSILAT!$E$7:$E$2503,$T235))</f>
        <v/>
      </c>
      <c r="O235" s="1" t="str">
        <f>IF($N235="","",$C$36&amp;" – müşteriden tahsilat: "&amp;INDEX(TAHSILAT!$N$7:$N$2503,$T235)&amp;IF(INDEX(TAHSILAT!$J$7:$J$2503,$T235)="",""," – "&amp;INDEX(TAHSILAT!$J$7:$J$2503,$T235)))</f>
        <v/>
      </c>
      <c r="P235" s="1" t="str">
        <f t="shared" si="35"/>
        <v/>
      </c>
      <c r="Q235" s="1">
        <f>IF($N235="",0,INDEX(TAHSILAT!$F$7:$F$2503,$T235))</f>
        <v>0</v>
      </c>
      <c r="R235" s="1">
        <v>0</v>
      </c>
      <c r="S235" s="1">
        <f t="shared" si="42"/>
        <v>10000000000</v>
      </c>
      <c r="T235" s="1">
        <f>IFERROR(MATCH($C$36&amp;"|162",TAHSILAT!$U$7:$U$2503,0),0)</f>
        <v>0</v>
      </c>
      <c r="V235" s="1">
        <f t="shared" si="43"/>
        <v>10000000000</v>
      </c>
      <c r="W235" s="1">
        <f t="shared" si="44"/>
        <v>9</v>
      </c>
    </row>
    <row r="236" spans="2:23" ht="14.25" customHeight="1" x14ac:dyDescent="0.3">
      <c r="B236" s="65" t="str">
        <f t="shared" si="36"/>
        <v/>
      </c>
      <c r="C236" s="70" t="str">
        <f t="shared" si="37"/>
        <v/>
      </c>
      <c r="D236" s="74" t="str">
        <f t="shared" si="38"/>
        <v/>
      </c>
      <c r="F236" s="65" t="str">
        <f t="shared" si="39"/>
        <v/>
      </c>
      <c r="G236" s="68" t="str">
        <f t="shared" si="40"/>
        <v/>
      </c>
      <c r="H236" s="68" t="str">
        <f t="shared" si="41"/>
        <v/>
      </c>
      <c r="I236" s="68" t="str">
        <f t="shared" si="45"/>
        <v/>
      </c>
      <c r="M236" s="1">
        <v>199</v>
      </c>
      <c r="N236" s="1" t="str">
        <f>IF($T236=0,"",INDEX(TAHSILAT!$E$7:$E$2503,$T236))</f>
        <v/>
      </c>
      <c r="O236" s="1" t="str">
        <f>IF($N236="","",$C$36&amp;" – müşteriden tahsilat: "&amp;INDEX(TAHSILAT!$N$7:$N$2503,$T236)&amp;IF(INDEX(TAHSILAT!$J$7:$J$2503,$T236)="",""," – "&amp;INDEX(TAHSILAT!$J$7:$J$2503,$T236)))</f>
        <v/>
      </c>
      <c r="P236" s="1" t="str">
        <f t="shared" si="35"/>
        <v/>
      </c>
      <c r="Q236" s="1">
        <f>IF($N236="",0,INDEX(TAHSILAT!$F$7:$F$2503,$T236))</f>
        <v>0</v>
      </c>
      <c r="R236" s="1">
        <v>0</v>
      </c>
      <c r="S236" s="1">
        <f t="shared" si="42"/>
        <v>10000000000</v>
      </c>
      <c r="T236" s="1">
        <f>IFERROR(MATCH($C$36&amp;"|163",TAHSILAT!$U$7:$U$2503,0),0)</f>
        <v>0</v>
      </c>
      <c r="V236" s="1">
        <f t="shared" si="43"/>
        <v>10000000000</v>
      </c>
      <c r="W236" s="1">
        <f t="shared" si="44"/>
        <v>9</v>
      </c>
    </row>
    <row r="237" spans="2:23" ht="14.25" customHeight="1" x14ac:dyDescent="0.3">
      <c r="B237" s="65" t="str">
        <f t="shared" si="36"/>
        <v/>
      </c>
      <c r="C237" s="70" t="str">
        <f t="shared" si="37"/>
        <v/>
      </c>
      <c r="D237" s="74" t="str">
        <f t="shared" si="38"/>
        <v/>
      </c>
      <c r="F237" s="65" t="str">
        <f t="shared" si="39"/>
        <v/>
      </c>
      <c r="G237" s="68" t="str">
        <f t="shared" si="40"/>
        <v/>
      </c>
      <c r="H237" s="68" t="str">
        <f t="shared" si="41"/>
        <v/>
      </c>
      <c r="I237" s="68" t="str">
        <f t="shared" si="45"/>
        <v/>
      </c>
      <c r="M237" s="1">
        <v>200</v>
      </c>
      <c r="N237" s="1" t="str">
        <f>IF($T237=0,"",INDEX(TAHSILAT!$E$7:$E$2503,$T237))</f>
        <v/>
      </c>
      <c r="O237" s="1" t="str">
        <f>IF($N237="","",$C$36&amp;" – müşteriden tahsilat: "&amp;INDEX(TAHSILAT!$N$7:$N$2503,$T237)&amp;IF(INDEX(TAHSILAT!$J$7:$J$2503,$T237)="",""," – "&amp;INDEX(TAHSILAT!$J$7:$J$2503,$T237)))</f>
        <v/>
      </c>
      <c r="P237" s="1" t="str">
        <f t="shared" si="35"/>
        <v/>
      </c>
      <c r="Q237" s="1">
        <f>IF($N237="",0,INDEX(TAHSILAT!$F$7:$F$2503,$T237))</f>
        <v>0</v>
      </c>
      <c r="R237" s="1">
        <v>0</v>
      </c>
      <c r="S237" s="1">
        <f t="shared" si="42"/>
        <v>10000000000</v>
      </c>
      <c r="T237" s="1">
        <f>IFERROR(MATCH($C$36&amp;"|164",TAHSILAT!$U$7:$U$2503,0),0)</f>
        <v>0</v>
      </c>
      <c r="V237" s="1">
        <f t="shared" si="43"/>
        <v>10000000000</v>
      </c>
      <c r="W237" s="1">
        <f t="shared" si="44"/>
        <v>9</v>
      </c>
    </row>
    <row r="238" spans="2:23" ht="14.25" customHeight="1" x14ac:dyDescent="0.3">
      <c r="B238" s="65" t="str">
        <f t="shared" si="36"/>
        <v/>
      </c>
      <c r="C238" s="70" t="str">
        <f t="shared" si="37"/>
        <v/>
      </c>
      <c r="D238" s="74" t="str">
        <f t="shared" si="38"/>
        <v/>
      </c>
      <c r="F238" s="65" t="str">
        <f t="shared" si="39"/>
        <v/>
      </c>
      <c r="G238" s="68" t="str">
        <f t="shared" si="40"/>
        <v/>
      </c>
      <c r="H238" s="68" t="str">
        <f t="shared" si="41"/>
        <v/>
      </c>
      <c r="I238" s="68" t="str">
        <f t="shared" si="45"/>
        <v/>
      </c>
      <c r="M238" s="1">
        <v>201</v>
      </c>
      <c r="N238" s="1" t="str">
        <f>IF($T238=0,"",INDEX(TAHSILAT!$E$7:$E$2503,$T238))</f>
        <v/>
      </c>
      <c r="O238" s="1" t="str">
        <f>IF($N238="","",$C$36&amp;" – müşteriden tahsilat: "&amp;INDEX(TAHSILAT!$N$7:$N$2503,$T238)&amp;IF(INDEX(TAHSILAT!$J$7:$J$2503,$T238)="",""," – "&amp;INDEX(TAHSILAT!$J$7:$J$2503,$T238)))</f>
        <v/>
      </c>
      <c r="P238" s="1" t="str">
        <f t="shared" si="35"/>
        <v/>
      </c>
      <c r="Q238" s="1">
        <f>IF($N238="",0,INDEX(TAHSILAT!$F$7:$F$2503,$T238))</f>
        <v>0</v>
      </c>
      <c r="R238" s="1">
        <v>0</v>
      </c>
      <c r="S238" s="1">
        <f t="shared" si="42"/>
        <v>10000000000</v>
      </c>
      <c r="T238" s="1">
        <f>IFERROR(MATCH($C$36&amp;"|165",TAHSILAT!$U$7:$U$2503,0),0)</f>
        <v>0</v>
      </c>
      <c r="V238" s="1">
        <f t="shared" si="43"/>
        <v>10000000000</v>
      </c>
      <c r="W238" s="1">
        <f t="shared" si="44"/>
        <v>9</v>
      </c>
    </row>
    <row r="239" spans="2:23" ht="14.25" customHeight="1" x14ac:dyDescent="0.3">
      <c r="B239" s="65" t="str">
        <f t="shared" si="36"/>
        <v/>
      </c>
      <c r="C239" s="70" t="str">
        <f t="shared" si="37"/>
        <v/>
      </c>
      <c r="D239" s="74" t="str">
        <f t="shared" si="38"/>
        <v/>
      </c>
      <c r="F239" s="65" t="str">
        <f t="shared" si="39"/>
        <v/>
      </c>
      <c r="G239" s="68" t="str">
        <f t="shared" si="40"/>
        <v/>
      </c>
      <c r="H239" s="68" t="str">
        <f t="shared" si="41"/>
        <v/>
      </c>
      <c r="I239" s="68" t="str">
        <f t="shared" si="45"/>
        <v/>
      </c>
      <c r="M239" s="1">
        <v>202</v>
      </c>
      <c r="N239" s="1" t="str">
        <f>IF($T239=0,"",INDEX(TAHSILAT!$E$7:$E$2503,$T239))</f>
        <v/>
      </c>
      <c r="O239" s="1" t="str">
        <f>IF($N239="","",$C$36&amp;" – müşteriden tahsilat: "&amp;INDEX(TAHSILAT!$N$7:$N$2503,$T239)&amp;IF(INDEX(TAHSILAT!$J$7:$J$2503,$T239)="",""," – "&amp;INDEX(TAHSILAT!$J$7:$J$2503,$T239)))</f>
        <v/>
      </c>
      <c r="P239" s="1" t="str">
        <f t="shared" si="35"/>
        <v/>
      </c>
      <c r="Q239" s="1">
        <f>IF($N239="",0,INDEX(TAHSILAT!$F$7:$F$2503,$T239))</f>
        <v>0</v>
      </c>
      <c r="R239" s="1">
        <v>0</v>
      </c>
      <c r="S239" s="1">
        <f t="shared" si="42"/>
        <v>10000000000</v>
      </c>
      <c r="T239" s="1">
        <f>IFERROR(MATCH($C$36&amp;"|166",TAHSILAT!$U$7:$U$2503,0),0)</f>
        <v>0</v>
      </c>
      <c r="V239" s="1">
        <f t="shared" si="43"/>
        <v>10000000000</v>
      </c>
      <c r="W239" s="1">
        <f t="shared" si="44"/>
        <v>9</v>
      </c>
    </row>
    <row r="240" spans="2:23" ht="14.25" customHeight="1" x14ac:dyDescent="0.3">
      <c r="B240" s="65" t="str">
        <f t="shared" si="36"/>
        <v/>
      </c>
      <c r="C240" s="70" t="str">
        <f t="shared" si="37"/>
        <v/>
      </c>
      <c r="D240" s="74" t="str">
        <f t="shared" si="38"/>
        <v/>
      </c>
      <c r="F240" s="65" t="str">
        <f t="shared" si="39"/>
        <v/>
      </c>
      <c r="G240" s="68" t="str">
        <f t="shared" si="40"/>
        <v/>
      </c>
      <c r="H240" s="68" t="str">
        <f t="shared" si="41"/>
        <v/>
      </c>
      <c r="I240" s="68" t="str">
        <f t="shared" si="45"/>
        <v/>
      </c>
      <c r="M240" s="1">
        <v>203</v>
      </c>
      <c r="N240" s="1" t="str">
        <f>IF($T240=0,"",INDEX(TAHSILAT!$E$7:$E$2503,$T240))</f>
        <v/>
      </c>
      <c r="O240" s="1" t="str">
        <f>IF($N240="","",$C$36&amp;" – müşteriden tahsilat: "&amp;INDEX(TAHSILAT!$N$7:$N$2503,$T240)&amp;IF(INDEX(TAHSILAT!$J$7:$J$2503,$T240)="",""," – "&amp;INDEX(TAHSILAT!$J$7:$J$2503,$T240)))</f>
        <v/>
      </c>
      <c r="P240" s="1" t="str">
        <f t="shared" si="35"/>
        <v/>
      </c>
      <c r="Q240" s="1">
        <f>IF($N240="",0,INDEX(TAHSILAT!$F$7:$F$2503,$T240))</f>
        <v>0</v>
      </c>
      <c r="R240" s="1">
        <v>0</v>
      </c>
      <c r="S240" s="1">
        <f t="shared" si="42"/>
        <v>10000000000</v>
      </c>
      <c r="T240" s="1">
        <f>IFERROR(MATCH($C$36&amp;"|167",TAHSILAT!$U$7:$U$2503,0),0)</f>
        <v>0</v>
      </c>
      <c r="V240" s="1">
        <f t="shared" si="43"/>
        <v>10000000000</v>
      </c>
      <c r="W240" s="1">
        <f t="shared" si="44"/>
        <v>9</v>
      </c>
    </row>
    <row r="241" spans="2:23" ht="14.25" customHeight="1" x14ac:dyDescent="0.3">
      <c r="B241" s="65" t="str">
        <f t="shared" si="36"/>
        <v/>
      </c>
      <c r="C241" s="70" t="str">
        <f t="shared" si="37"/>
        <v/>
      </c>
      <c r="D241" s="74" t="str">
        <f t="shared" si="38"/>
        <v/>
      </c>
      <c r="F241" s="65" t="str">
        <f t="shared" si="39"/>
        <v/>
      </c>
      <c r="G241" s="68" t="str">
        <f t="shared" si="40"/>
        <v/>
      </c>
      <c r="H241" s="68" t="str">
        <f t="shared" si="41"/>
        <v/>
      </c>
      <c r="I241" s="68" t="str">
        <f t="shared" si="45"/>
        <v/>
      </c>
      <c r="M241" s="1">
        <v>204</v>
      </c>
      <c r="N241" s="1" t="str">
        <f>IF($T241=0,"",INDEX(TAHSILAT!$E$7:$E$2503,$T241))</f>
        <v/>
      </c>
      <c r="O241" s="1" t="str">
        <f>IF($N241="","",$C$36&amp;" – müşteriden tahsilat: "&amp;INDEX(TAHSILAT!$N$7:$N$2503,$T241)&amp;IF(INDEX(TAHSILAT!$J$7:$J$2503,$T241)="",""," – "&amp;INDEX(TAHSILAT!$J$7:$J$2503,$T241)))</f>
        <v/>
      </c>
      <c r="P241" s="1" t="str">
        <f t="shared" si="35"/>
        <v/>
      </c>
      <c r="Q241" s="1">
        <f>IF($N241="",0,INDEX(TAHSILAT!$F$7:$F$2503,$T241))</f>
        <v>0</v>
      </c>
      <c r="R241" s="1">
        <v>0</v>
      </c>
      <c r="S241" s="1">
        <f t="shared" si="42"/>
        <v>10000000000</v>
      </c>
      <c r="T241" s="1">
        <f>IFERROR(MATCH($C$36&amp;"|168",TAHSILAT!$U$7:$U$2503,0),0)</f>
        <v>0</v>
      </c>
      <c r="V241" s="1">
        <f t="shared" si="43"/>
        <v>10000000000</v>
      </c>
      <c r="W241" s="1">
        <f t="shared" si="44"/>
        <v>9</v>
      </c>
    </row>
    <row r="242" spans="2:23" ht="14.25" customHeight="1" x14ac:dyDescent="0.3">
      <c r="B242" s="65" t="str">
        <f t="shared" si="36"/>
        <v/>
      </c>
      <c r="C242" s="70" t="str">
        <f t="shared" si="37"/>
        <v/>
      </c>
      <c r="D242" s="74" t="str">
        <f t="shared" si="38"/>
        <v/>
      </c>
      <c r="F242" s="65" t="str">
        <f t="shared" si="39"/>
        <v/>
      </c>
      <c r="G242" s="68" t="str">
        <f t="shared" si="40"/>
        <v/>
      </c>
      <c r="H242" s="68" t="str">
        <f t="shared" si="41"/>
        <v/>
      </c>
      <c r="I242" s="68" t="str">
        <f t="shared" si="45"/>
        <v/>
      </c>
      <c r="M242" s="1">
        <v>205</v>
      </c>
      <c r="N242" s="1" t="str">
        <f>IF($T242=0,"",INDEX(TAHSILAT!$E$7:$E$2503,$T242))</f>
        <v/>
      </c>
      <c r="O242" s="1" t="str">
        <f>IF($N242="","",$C$36&amp;" – müşteriden tahsilat: "&amp;INDEX(TAHSILAT!$N$7:$N$2503,$T242)&amp;IF(INDEX(TAHSILAT!$J$7:$J$2503,$T242)="",""," – "&amp;INDEX(TAHSILAT!$J$7:$J$2503,$T242)))</f>
        <v/>
      </c>
      <c r="P242" s="1" t="str">
        <f t="shared" si="35"/>
        <v/>
      </c>
      <c r="Q242" s="1">
        <f>IF($N242="",0,INDEX(TAHSILAT!$F$7:$F$2503,$T242))</f>
        <v>0</v>
      </c>
      <c r="R242" s="1">
        <v>0</v>
      </c>
      <c r="S242" s="1">
        <f t="shared" si="42"/>
        <v>10000000000</v>
      </c>
      <c r="T242" s="1">
        <f>IFERROR(MATCH($C$36&amp;"|169",TAHSILAT!$U$7:$U$2503,0),0)</f>
        <v>0</v>
      </c>
      <c r="V242" s="1">
        <f t="shared" si="43"/>
        <v>10000000000</v>
      </c>
      <c r="W242" s="1">
        <f t="shared" si="44"/>
        <v>9</v>
      </c>
    </row>
    <row r="243" spans="2:23" ht="14.25" customHeight="1" x14ac:dyDescent="0.3">
      <c r="B243" s="65" t="str">
        <f t="shared" si="36"/>
        <v/>
      </c>
      <c r="C243" s="70" t="str">
        <f t="shared" si="37"/>
        <v/>
      </c>
      <c r="D243" s="74" t="str">
        <f t="shared" si="38"/>
        <v/>
      </c>
      <c r="F243" s="65" t="str">
        <f t="shared" si="39"/>
        <v/>
      </c>
      <c r="G243" s="68" t="str">
        <f t="shared" si="40"/>
        <v/>
      </c>
      <c r="H243" s="68" t="str">
        <f t="shared" si="41"/>
        <v/>
      </c>
      <c r="I243" s="68" t="str">
        <f t="shared" si="45"/>
        <v/>
      </c>
      <c r="M243" s="1">
        <v>206</v>
      </c>
      <c r="N243" s="1" t="str">
        <f>IF($T243=0,"",INDEX(TAHSILAT!$E$7:$E$2503,$T243))</f>
        <v/>
      </c>
      <c r="O243" s="1" t="str">
        <f>IF($N243="","",$C$36&amp;" – müşteriden tahsilat: "&amp;INDEX(TAHSILAT!$N$7:$N$2503,$T243)&amp;IF(INDEX(TAHSILAT!$J$7:$J$2503,$T243)="",""," – "&amp;INDEX(TAHSILAT!$J$7:$J$2503,$T243)))</f>
        <v/>
      </c>
      <c r="P243" s="1" t="str">
        <f t="shared" si="35"/>
        <v/>
      </c>
      <c r="Q243" s="1">
        <f>IF($N243="",0,INDEX(TAHSILAT!$F$7:$F$2503,$T243))</f>
        <v>0</v>
      </c>
      <c r="R243" s="1">
        <v>0</v>
      </c>
      <c r="S243" s="1">
        <f t="shared" si="42"/>
        <v>10000000000</v>
      </c>
      <c r="T243" s="1">
        <f>IFERROR(MATCH($C$36&amp;"|170",TAHSILAT!$U$7:$U$2503,0),0)</f>
        <v>0</v>
      </c>
      <c r="V243" s="1">
        <f t="shared" si="43"/>
        <v>10000000000</v>
      </c>
      <c r="W243" s="1">
        <f t="shared" si="44"/>
        <v>9</v>
      </c>
    </row>
    <row r="244" spans="2:23" ht="14.25" customHeight="1" x14ac:dyDescent="0.3">
      <c r="B244" s="65" t="str">
        <f t="shared" si="36"/>
        <v/>
      </c>
      <c r="C244" s="70" t="str">
        <f t="shared" si="37"/>
        <v/>
      </c>
      <c r="D244" s="74" t="str">
        <f t="shared" si="38"/>
        <v/>
      </c>
      <c r="F244" s="65" t="str">
        <f t="shared" si="39"/>
        <v/>
      </c>
      <c r="G244" s="68" t="str">
        <f t="shared" si="40"/>
        <v/>
      </c>
      <c r="H244" s="68" t="str">
        <f t="shared" si="41"/>
        <v/>
      </c>
      <c r="I244" s="68" t="str">
        <f t="shared" si="45"/>
        <v/>
      </c>
      <c r="M244" s="1">
        <v>207</v>
      </c>
      <c r="N244" s="1" t="str">
        <f>IF($T244=0,"",INDEX(TAHSILAT!$E$7:$E$2503,$T244))</f>
        <v/>
      </c>
      <c r="O244" s="1" t="str">
        <f>IF($N244="","",$C$36&amp;" – müşteriden tahsilat: "&amp;INDEX(TAHSILAT!$N$7:$N$2503,$T244)&amp;IF(INDEX(TAHSILAT!$J$7:$J$2503,$T244)="",""," – "&amp;INDEX(TAHSILAT!$J$7:$J$2503,$T244)))</f>
        <v/>
      </c>
      <c r="P244" s="1" t="str">
        <f t="shared" si="35"/>
        <v/>
      </c>
      <c r="Q244" s="1">
        <f>IF($N244="",0,INDEX(TAHSILAT!$F$7:$F$2503,$T244))</f>
        <v>0</v>
      </c>
      <c r="R244" s="1">
        <v>0</v>
      </c>
      <c r="S244" s="1">
        <f t="shared" si="42"/>
        <v>10000000000</v>
      </c>
      <c r="T244" s="1">
        <f>IFERROR(MATCH($C$36&amp;"|171",TAHSILAT!$U$7:$U$2503,0),0)</f>
        <v>0</v>
      </c>
      <c r="V244" s="1">
        <f t="shared" si="43"/>
        <v>10000000000</v>
      </c>
      <c r="W244" s="1">
        <f t="shared" si="44"/>
        <v>9</v>
      </c>
    </row>
    <row r="245" spans="2:23" ht="14.25" customHeight="1" x14ac:dyDescent="0.3">
      <c r="B245" s="65" t="str">
        <f t="shared" si="36"/>
        <v/>
      </c>
      <c r="C245" s="70" t="str">
        <f t="shared" si="37"/>
        <v/>
      </c>
      <c r="D245" s="74" t="str">
        <f t="shared" si="38"/>
        <v/>
      </c>
      <c r="F245" s="65" t="str">
        <f t="shared" si="39"/>
        <v/>
      </c>
      <c r="G245" s="68" t="str">
        <f t="shared" si="40"/>
        <v/>
      </c>
      <c r="H245" s="68" t="str">
        <f t="shared" si="41"/>
        <v/>
      </c>
      <c r="I245" s="68" t="str">
        <f t="shared" si="45"/>
        <v/>
      </c>
      <c r="M245" s="1">
        <v>208</v>
      </c>
      <c r="N245" s="1" t="str">
        <f>IF($T245=0,"",INDEX(TAHSILAT!$E$7:$E$2503,$T245))</f>
        <v/>
      </c>
      <c r="O245" s="1" t="str">
        <f>IF($N245="","",$C$36&amp;" – müşteriden tahsilat: "&amp;INDEX(TAHSILAT!$N$7:$N$2503,$T245)&amp;IF(INDEX(TAHSILAT!$J$7:$J$2503,$T245)="",""," – "&amp;INDEX(TAHSILAT!$J$7:$J$2503,$T245)))</f>
        <v/>
      </c>
      <c r="P245" s="1" t="str">
        <f t="shared" si="35"/>
        <v/>
      </c>
      <c r="Q245" s="1">
        <f>IF($N245="",0,INDEX(TAHSILAT!$F$7:$F$2503,$T245))</f>
        <v>0</v>
      </c>
      <c r="R245" s="1">
        <v>0</v>
      </c>
      <c r="S245" s="1">
        <f t="shared" si="42"/>
        <v>10000000000</v>
      </c>
      <c r="T245" s="1">
        <f>IFERROR(MATCH($C$36&amp;"|172",TAHSILAT!$U$7:$U$2503,0),0)</f>
        <v>0</v>
      </c>
      <c r="V245" s="1">
        <f t="shared" si="43"/>
        <v>10000000000</v>
      </c>
      <c r="W245" s="1">
        <f t="shared" si="44"/>
        <v>9</v>
      </c>
    </row>
    <row r="246" spans="2:23" ht="14.25" customHeight="1" x14ac:dyDescent="0.3">
      <c r="B246" s="65" t="str">
        <f t="shared" si="36"/>
        <v/>
      </c>
      <c r="C246" s="70" t="str">
        <f t="shared" si="37"/>
        <v/>
      </c>
      <c r="D246" s="74" t="str">
        <f t="shared" si="38"/>
        <v/>
      </c>
      <c r="F246" s="65" t="str">
        <f t="shared" si="39"/>
        <v/>
      </c>
      <c r="G246" s="68" t="str">
        <f t="shared" si="40"/>
        <v/>
      </c>
      <c r="H246" s="68" t="str">
        <f t="shared" si="41"/>
        <v/>
      </c>
      <c r="I246" s="68" t="str">
        <f t="shared" si="45"/>
        <v/>
      </c>
      <c r="M246" s="1">
        <v>209</v>
      </c>
      <c r="N246" s="1" t="str">
        <f>IF($T246=0,"",INDEX(TAHSILAT!$E$7:$E$2503,$T246))</f>
        <v/>
      </c>
      <c r="O246" s="1" t="str">
        <f>IF($N246="","",$C$36&amp;" – müşteriden tahsilat: "&amp;INDEX(TAHSILAT!$N$7:$N$2503,$T246)&amp;IF(INDEX(TAHSILAT!$J$7:$J$2503,$T246)="",""," – "&amp;INDEX(TAHSILAT!$J$7:$J$2503,$T246)))</f>
        <v/>
      </c>
      <c r="P246" s="1" t="str">
        <f t="shared" si="35"/>
        <v/>
      </c>
      <c r="Q246" s="1">
        <f>IF($N246="",0,INDEX(TAHSILAT!$F$7:$F$2503,$T246))</f>
        <v>0</v>
      </c>
      <c r="R246" s="1">
        <v>0</v>
      </c>
      <c r="S246" s="1">
        <f t="shared" si="42"/>
        <v>10000000000</v>
      </c>
      <c r="T246" s="1">
        <f>IFERROR(MATCH($C$36&amp;"|173",TAHSILAT!$U$7:$U$2503,0),0)</f>
        <v>0</v>
      </c>
      <c r="V246" s="1">
        <f t="shared" si="43"/>
        <v>10000000000</v>
      </c>
      <c r="W246" s="1">
        <f t="shared" si="44"/>
        <v>9</v>
      </c>
    </row>
    <row r="247" spans="2:23" ht="14.25" customHeight="1" x14ac:dyDescent="0.3">
      <c r="B247" s="65" t="str">
        <f t="shared" si="36"/>
        <v/>
      </c>
      <c r="C247" s="70" t="str">
        <f t="shared" si="37"/>
        <v/>
      </c>
      <c r="D247" s="74" t="str">
        <f t="shared" si="38"/>
        <v/>
      </c>
      <c r="F247" s="65" t="str">
        <f t="shared" si="39"/>
        <v/>
      </c>
      <c r="G247" s="68" t="str">
        <f t="shared" si="40"/>
        <v/>
      </c>
      <c r="H247" s="68" t="str">
        <f t="shared" si="41"/>
        <v/>
      </c>
      <c r="I247" s="68" t="str">
        <f t="shared" si="45"/>
        <v/>
      </c>
      <c r="M247" s="1">
        <v>210</v>
      </c>
      <c r="N247" s="1" t="str">
        <f>IF($T247=0,"",INDEX(TAHSILAT!$E$7:$E$2503,$T247))</f>
        <v/>
      </c>
      <c r="O247" s="1" t="str">
        <f>IF($N247="","",$C$36&amp;" – müşteriden tahsilat: "&amp;INDEX(TAHSILAT!$N$7:$N$2503,$T247)&amp;IF(INDEX(TAHSILAT!$J$7:$J$2503,$T247)="",""," – "&amp;INDEX(TAHSILAT!$J$7:$J$2503,$T247)))</f>
        <v/>
      </c>
      <c r="P247" s="1" t="str">
        <f t="shared" si="35"/>
        <v/>
      </c>
      <c r="Q247" s="1">
        <f>IF($N247="",0,INDEX(TAHSILAT!$F$7:$F$2503,$T247))</f>
        <v>0</v>
      </c>
      <c r="R247" s="1">
        <v>0</v>
      </c>
      <c r="S247" s="1">
        <f t="shared" si="42"/>
        <v>10000000000</v>
      </c>
      <c r="T247" s="1">
        <f>IFERROR(MATCH($C$36&amp;"|174",TAHSILAT!$U$7:$U$2503,0),0)</f>
        <v>0</v>
      </c>
      <c r="V247" s="1">
        <f t="shared" si="43"/>
        <v>10000000000</v>
      </c>
      <c r="W247" s="1">
        <f t="shared" si="44"/>
        <v>9</v>
      </c>
    </row>
    <row r="248" spans="2:23" ht="14.25" customHeight="1" x14ac:dyDescent="0.3">
      <c r="B248" s="65" t="str">
        <f t="shared" si="36"/>
        <v/>
      </c>
      <c r="C248" s="70" t="str">
        <f t="shared" si="37"/>
        <v/>
      </c>
      <c r="D248" s="74" t="str">
        <f t="shared" si="38"/>
        <v/>
      </c>
      <c r="F248" s="65" t="str">
        <f t="shared" si="39"/>
        <v/>
      </c>
      <c r="G248" s="68" t="str">
        <f t="shared" si="40"/>
        <v/>
      </c>
      <c r="H248" s="68" t="str">
        <f t="shared" si="41"/>
        <v/>
      </c>
      <c r="I248" s="68" t="str">
        <f t="shared" si="45"/>
        <v/>
      </c>
      <c r="M248" s="1">
        <v>211</v>
      </c>
      <c r="N248" s="1" t="str">
        <f>IF($T248=0,"",INDEX(TAHSILAT!$E$7:$E$2503,$T248))</f>
        <v/>
      </c>
      <c r="O248" s="1" t="str">
        <f>IF($N248="","",$C$36&amp;" – müşteriden tahsilat: "&amp;INDEX(TAHSILAT!$N$7:$N$2503,$T248)&amp;IF(INDEX(TAHSILAT!$J$7:$J$2503,$T248)="",""," – "&amp;INDEX(TAHSILAT!$J$7:$J$2503,$T248)))</f>
        <v/>
      </c>
      <c r="P248" s="1" t="str">
        <f t="shared" si="35"/>
        <v/>
      </c>
      <c r="Q248" s="1">
        <f>IF($N248="",0,INDEX(TAHSILAT!$F$7:$F$2503,$T248))</f>
        <v>0</v>
      </c>
      <c r="R248" s="1">
        <v>0</v>
      </c>
      <c r="S248" s="1">
        <f t="shared" si="42"/>
        <v>10000000000</v>
      </c>
      <c r="T248" s="1">
        <f>IFERROR(MATCH($C$36&amp;"|175",TAHSILAT!$U$7:$U$2503,0),0)</f>
        <v>0</v>
      </c>
      <c r="V248" s="1">
        <f t="shared" si="43"/>
        <v>10000000000</v>
      </c>
      <c r="W248" s="1">
        <f t="shared" si="44"/>
        <v>9</v>
      </c>
    </row>
    <row r="249" spans="2:23" ht="14.25" customHeight="1" x14ac:dyDescent="0.3">
      <c r="B249" s="65" t="str">
        <f t="shared" si="36"/>
        <v/>
      </c>
      <c r="C249" s="70" t="str">
        <f t="shared" si="37"/>
        <v/>
      </c>
      <c r="D249" s="74" t="str">
        <f t="shared" si="38"/>
        <v/>
      </c>
      <c r="F249" s="65" t="str">
        <f t="shared" si="39"/>
        <v/>
      </c>
      <c r="G249" s="68" t="str">
        <f t="shared" si="40"/>
        <v/>
      </c>
      <c r="H249" s="68" t="str">
        <f t="shared" si="41"/>
        <v/>
      </c>
      <c r="I249" s="68" t="str">
        <f t="shared" si="45"/>
        <v/>
      </c>
      <c r="M249" s="1">
        <v>212</v>
      </c>
      <c r="N249" s="1" t="str">
        <f>IF($T249=0,"",INDEX(TAHSILAT!$E$7:$E$2503,$T249))</f>
        <v/>
      </c>
      <c r="O249" s="1" t="str">
        <f>IF($N249="","",$C$36&amp;" – müşteriden tahsilat: "&amp;INDEX(TAHSILAT!$N$7:$N$2503,$T249)&amp;IF(INDEX(TAHSILAT!$J$7:$J$2503,$T249)="",""," – "&amp;INDEX(TAHSILAT!$J$7:$J$2503,$T249)))</f>
        <v/>
      </c>
      <c r="P249" s="1" t="str">
        <f t="shared" si="35"/>
        <v/>
      </c>
      <c r="Q249" s="1">
        <f>IF($N249="",0,INDEX(TAHSILAT!$F$7:$F$2503,$T249))</f>
        <v>0</v>
      </c>
      <c r="R249" s="1">
        <v>0</v>
      </c>
      <c r="S249" s="1">
        <f t="shared" si="42"/>
        <v>10000000000</v>
      </c>
      <c r="T249" s="1">
        <f>IFERROR(MATCH($C$36&amp;"|176",TAHSILAT!$U$7:$U$2503,0),0)</f>
        <v>0</v>
      </c>
      <c r="V249" s="1">
        <f t="shared" si="43"/>
        <v>10000000000</v>
      </c>
      <c r="W249" s="1">
        <f t="shared" si="44"/>
        <v>9</v>
      </c>
    </row>
    <row r="250" spans="2:23" ht="14.25" customHeight="1" x14ac:dyDescent="0.3">
      <c r="B250" s="65" t="str">
        <f t="shared" si="36"/>
        <v/>
      </c>
      <c r="C250" s="70" t="str">
        <f t="shared" si="37"/>
        <v/>
      </c>
      <c r="D250" s="74" t="str">
        <f t="shared" si="38"/>
        <v/>
      </c>
      <c r="F250" s="65" t="str">
        <f t="shared" si="39"/>
        <v/>
      </c>
      <c r="G250" s="68" t="str">
        <f t="shared" si="40"/>
        <v/>
      </c>
      <c r="H250" s="68" t="str">
        <f t="shared" si="41"/>
        <v/>
      </c>
      <c r="I250" s="68" t="str">
        <f t="shared" si="45"/>
        <v/>
      </c>
      <c r="M250" s="1">
        <v>213</v>
      </c>
      <c r="N250" s="1" t="str">
        <f>IF($T250=0,"",INDEX(TAHSILAT!$E$7:$E$2503,$T250))</f>
        <v/>
      </c>
      <c r="O250" s="1" t="str">
        <f>IF($N250="","",$C$36&amp;" – müşteriden tahsilat: "&amp;INDEX(TAHSILAT!$N$7:$N$2503,$T250)&amp;IF(INDEX(TAHSILAT!$J$7:$J$2503,$T250)="",""," – "&amp;INDEX(TAHSILAT!$J$7:$J$2503,$T250)))</f>
        <v/>
      </c>
      <c r="P250" s="1" t="str">
        <f t="shared" si="35"/>
        <v/>
      </c>
      <c r="Q250" s="1">
        <f>IF($N250="",0,INDEX(TAHSILAT!$F$7:$F$2503,$T250))</f>
        <v>0</v>
      </c>
      <c r="R250" s="1">
        <v>0</v>
      </c>
      <c r="S250" s="1">
        <f t="shared" si="42"/>
        <v>10000000000</v>
      </c>
      <c r="T250" s="1">
        <f>IFERROR(MATCH($C$36&amp;"|177",TAHSILAT!$U$7:$U$2503,0),0)</f>
        <v>0</v>
      </c>
      <c r="V250" s="1">
        <f t="shared" si="43"/>
        <v>10000000000</v>
      </c>
      <c r="W250" s="1">
        <f t="shared" si="44"/>
        <v>9</v>
      </c>
    </row>
    <row r="251" spans="2:23" ht="14.25" customHeight="1" x14ac:dyDescent="0.3">
      <c r="B251" s="65" t="str">
        <f t="shared" si="36"/>
        <v/>
      </c>
      <c r="C251" s="70" t="str">
        <f t="shared" si="37"/>
        <v/>
      </c>
      <c r="D251" s="74" t="str">
        <f t="shared" si="38"/>
        <v/>
      </c>
      <c r="F251" s="65" t="str">
        <f t="shared" si="39"/>
        <v/>
      </c>
      <c r="G251" s="68" t="str">
        <f t="shared" si="40"/>
        <v/>
      </c>
      <c r="H251" s="68" t="str">
        <f t="shared" si="41"/>
        <v/>
      </c>
      <c r="I251" s="68" t="str">
        <f t="shared" si="45"/>
        <v/>
      </c>
      <c r="M251" s="1">
        <v>214</v>
      </c>
      <c r="N251" s="1" t="str">
        <f>IF($T251=0,"",INDEX(TAHSILAT!$E$7:$E$2503,$T251))</f>
        <v/>
      </c>
      <c r="O251" s="1" t="str">
        <f>IF($N251="","",$C$36&amp;" – müşteriden tahsilat: "&amp;INDEX(TAHSILAT!$N$7:$N$2503,$T251)&amp;IF(INDEX(TAHSILAT!$J$7:$J$2503,$T251)="",""," – "&amp;INDEX(TAHSILAT!$J$7:$J$2503,$T251)))</f>
        <v/>
      </c>
      <c r="P251" s="1" t="str">
        <f t="shared" si="35"/>
        <v/>
      </c>
      <c r="Q251" s="1">
        <f>IF($N251="",0,INDEX(TAHSILAT!$F$7:$F$2503,$T251))</f>
        <v>0</v>
      </c>
      <c r="R251" s="1">
        <v>0</v>
      </c>
      <c r="S251" s="1">
        <f t="shared" si="42"/>
        <v>10000000000</v>
      </c>
      <c r="T251" s="1">
        <f>IFERROR(MATCH($C$36&amp;"|178",TAHSILAT!$U$7:$U$2503,0),0)</f>
        <v>0</v>
      </c>
      <c r="V251" s="1">
        <f t="shared" si="43"/>
        <v>10000000000</v>
      </c>
      <c r="W251" s="1">
        <f t="shared" si="44"/>
        <v>9</v>
      </c>
    </row>
    <row r="252" spans="2:23" ht="14.25" customHeight="1" x14ac:dyDescent="0.3">
      <c r="B252" s="65" t="str">
        <f t="shared" si="36"/>
        <v/>
      </c>
      <c r="C252" s="70" t="str">
        <f t="shared" si="37"/>
        <v/>
      </c>
      <c r="D252" s="74" t="str">
        <f t="shared" si="38"/>
        <v/>
      </c>
      <c r="F252" s="65" t="str">
        <f t="shared" si="39"/>
        <v/>
      </c>
      <c r="G252" s="68" t="str">
        <f t="shared" si="40"/>
        <v/>
      </c>
      <c r="H252" s="68" t="str">
        <f t="shared" si="41"/>
        <v/>
      </c>
      <c r="I252" s="68" t="str">
        <f t="shared" si="45"/>
        <v/>
      </c>
      <c r="M252" s="1">
        <v>215</v>
      </c>
      <c r="N252" s="1" t="str">
        <f>IF($T252=0,"",INDEX(TAHSILAT!$E$7:$E$2503,$T252))</f>
        <v/>
      </c>
      <c r="O252" s="1" t="str">
        <f>IF($N252="","",$C$36&amp;" – müşteriden tahsilat: "&amp;INDEX(TAHSILAT!$N$7:$N$2503,$T252)&amp;IF(INDEX(TAHSILAT!$J$7:$J$2503,$T252)="",""," – "&amp;INDEX(TAHSILAT!$J$7:$J$2503,$T252)))</f>
        <v/>
      </c>
      <c r="P252" s="1" t="str">
        <f t="shared" si="35"/>
        <v/>
      </c>
      <c r="Q252" s="1">
        <f>IF($N252="",0,INDEX(TAHSILAT!$F$7:$F$2503,$T252))</f>
        <v>0</v>
      </c>
      <c r="R252" s="1">
        <v>0</v>
      </c>
      <c r="S252" s="1">
        <f t="shared" si="42"/>
        <v>10000000000</v>
      </c>
      <c r="T252" s="1">
        <f>IFERROR(MATCH($C$36&amp;"|179",TAHSILAT!$U$7:$U$2503,0),0)</f>
        <v>0</v>
      </c>
      <c r="V252" s="1">
        <f t="shared" si="43"/>
        <v>10000000000</v>
      </c>
      <c r="W252" s="1">
        <f t="shared" si="44"/>
        <v>9</v>
      </c>
    </row>
    <row r="253" spans="2:23" ht="14.25" customHeight="1" x14ac:dyDescent="0.3">
      <c r="B253" s="65" t="str">
        <f t="shared" si="36"/>
        <v/>
      </c>
      <c r="C253" s="70" t="str">
        <f t="shared" si="37"/>
        <v/>
      </c>
      <c r="D253" s="74" t="str">
        <f t="shared" si="38"/>
        <v/>
      </c>
      <c r="F253" s="65" t="str">
        <f t="shared" si="39"/>
        <v/>
      </c>
      <c r="G253" s="68" t="str">
        <f t="shared" si="40"/>
        <v/>
      </c>
      <c r="H253" s="68" t="str">
        <f t="shared" si="41"/>
        <v/>
      </c>
      <c r="I253" s="68" t="str">
        <f t="shared" si="45"/>
        <v/>
      </c>
      <c r="M253" s="1">
        <v>216</v>
      </c>
      <c r="N253" s="1" t="str">
        <f>IF($T253=0,"",INDEX(TAHSILAT!$E$7:$E$2503,$T253))</f>
        <v/>
      </c>
      <c r="O253" s="1" t="str">
        <f>IF($N253="","",$C$36&amp;" – müşteriden tahsilat: "&amp;INDEX(TAHSILAT!$N$7:$N$2503,$T253)&amp;IF(INDEX(TAHSILAT!$J$7:$J$2503,$T253)="",""," – "&amp;INDEX(TAHSILAT!$J$7:$J$2503,$T253)))</f>
        <v/>
      </c>
      <c r="P253" s="1" t="str">
        <f t="shared" si="35"/>
        <v/>
      </c>
      <c r="Q253" s="1">
        <f>IF($N253="",0,INDEX(TAHSILAT!$F$7:$F$2503,$T253))</f>
        <v>0</v>
      </c>
      <c r="R253" s="1">
        <v>0</v>
      </c>
      <c r="S253" s="1">
        <f t="shared" si="42"/>
        <v>10000000000</v>
      </c>
      <c r="T253" s="1">
        <f>IFERROR(MATCH($C$36&amp;"|180",TAHSILAT!$U$7:$U$2503,0),0)</f>
        <v>0</v>
      </c>
      <c r="V253" s="1">
        <f t="shared" si="43"/>
        <v>10000000000</v>
      </c>
      <c r="W253" s="1">
        <f t="shared" si="44"/>
        <v>9</v>
      </c>
    </row>
    <row r="254" spans="2:23" ht="14.25" customHeight="1" x14ac:dyDescent="0.3">
      <c r="B254" s="65" t="str">
        <f t="shared" si="36"/>
        <v/>
      </c>
      <c r="C254" s="70" t="str">
        <f t="shared" si="37"/>
        <v/>
      </c>
      <c r="D254" s="74" t="str">
        <f t="shared" si="38"/>
        <v/>
      </c>
      <c r="F254" s="65" t="str">
        <f t="shared" si="39"/>
        <v/>
      </c>
      <c r="G254" s="68" t="str">
        <f t="shared" si="40"/>
        <v/>
      </c>
      <c r="H254" s="68" t="str">
        <f t="shared" si="41"/>
        <v/>
      </c>
      <c r="I254" s="68" t="str">
        <f t="shared" si="45"/>
        <v/>
      </c>
      <c r="M254" s="1">
        <v>217</v>
      </c>
      <c r="N254" s="1" t="str">
        <f>IF($T254=0,"",INDEX(TAHSILAT!$E$7:$E$2503,$T254))</f>
        <v/>
      </c>
      <c r="O254" s="1" t="str">
        <f>IF($N254="","",$C$36&amp;" – müşteriden tahsilat: "&amp;INDEX(TAHSILAT!$N$7:$N$2503,$T254)&amp;IF(INDEX(TAHSILAT!$J$7:$J$2503,$T254)="",""," – "&amp;INDEX(TAHSILAT!$J$7:$J$2503,$T254)))</f>
        <v/>
      </c>
      <c r="P254" s="1" t="str">
        <f t="shared" si="35"/>
        <v/>
      </c>
      <c r="Q254" s="1">
        <f>IF($N254="",0,INDEX(TAHSILAT!$F$7:$F$2503,$T254))</f>
        <v>0</v>
      </c>
      <c r="R254" s="1">
        <v>0</v>
      </c>
      <c r="S254" s="1">
        <f t="shared" si="42"/>
        <v>10000000000</v>
      </c>
      <c r="T254" s="1">
        <f>IFERROR(MATCH($C$36&amp;"|181",TAHSILAT!$U$7:$U$2503,0),0)</f>
        <v>0</v>
      </c>
      <c r="V254" s="1">
        <f t="shared" si="43"/>
        <v>10000000000</v>
      </c>
      <c r="W254" s="1">
        <f t="shared" si="44"/>
        <v>9</v>
      </c>
    </row>
    <row r="255" spans="2:23" ht="14.25" customHeight="1" x14ac:dyDescent="0.3">
      <c r="B255" s="65" t="str">
        <f t="shared" si="36"/>
        <v/>
      </c>
      <c r="C255" s="70" t="str">
        <f t="shared" si="37"/>
        <v/>
      </c>
      <c r="D255" s="74" t="str">
        <f t="shared" si="38"/>
        <v/>
      </c>
      <c r="F255" s="65" t="str">
        <f t="shared" si="39"/>
        <v/>
      </c>
      <c r="G255" s="68" t="str">
        <f t="shared" si="40"/>
        <v/>
      </c>
      <c r="H255" s="68" t="str">
        <f t="shared" si="41"/>
        <v/>
      </c>
      <c r="I255" s="68" t="str">
        <f t="shared" si="45"/>
        <v/>
      </c>
      <c r="M255" s="1">
        <v>218</v>
      </c>
      <c r="N255" s="1" t="str">
        <f>IF($T255=0,"",INDEX(TAHSILAT!$E$7:$E$2503,$T255))</f>
        <v/>
      </c>
      <c r="O255" s="1" t="str">
        <f>IF($N255="","",$C$36&amp;" – müşteriden tahsilat: "&amp;INDEX(TAHSILAT!$N$7:$N$2503,$T255)&amp;IF(INDEX(TAHSILAT!$J$7:$J$2503,$T255)="",""," – "&amp;INDEX(TAHSILAT!$J$7:$J$2503,$T255)))</f>
        <v/>
      </c>
      <c r="P255" s="1" t="str">
        <f t="shared" si="35"/>
        <v/>
      </c>
      <c r="Q255" s="1">
        <f>IF($N255="",0,INDEX(TAHSILAT!$F$7:$F$2503,$T255))</f>
        <v>0</v>
      </c>
      <c r="R255" s="1">
        <v>0</v>
      </c>
      <c r="S255" s="1">
        <f t="shared" si="42"/>
        <v>10000000000</v>
      </c>
      <c r="T255" s="1">
        <f>IFERROR(MATCH($C$36&amp;"|182",TAHSILAT!$U$7:$U$2503,0),0)</f>
        <v>0</v>
      </c>
      <c r="V255" s="1">
        <f t="shared" si="43"/>
        <v>10000000000</v>
      </c>
      <c r="W255" s="1">
        <f t="shared" si="44"/>
        <v>9</v>
      </c>
    </row>
    <row r="256" spans="2:23" ht="14.25" customHeight="1" x14ac:dyDescent="0.3">
      <c r="B256" s="65" t="str">
        <f t="shared" si="36"/>
        <v/>
      </c>
      <c r="C256" s="70" t="str">
        <f t="shared" si="37"/>
        <v/>
      </c>
      <c r="D256" s="74" t="str">
        <f t="shared" si="38"/>
        <v/>
      </c>
      <c r="F256" s="65" t="str">
        <f t="shared" si="39"/>
        <v/>
      </c>
      <c r="G256" s="68" t="str">
        <f t="shared" si="40"/>
        <v/>
      </c>
      <c r="H256" s="68" t="str">
        <f t="shared" si="41"/>
        <v/>
      </c>
      <c r="I256" s="68" t="str">
        <f t="shared" si="45"/>
        <v/>
      </c>
      <c r="M256" s="1">
        <v>219</v>
      </c>
      <c r="N256" s="1" t="str">
        <f>IF($T256=0,"",INDEX(TAHSILAT!$E$7:$E$2503,$T256))</f>
        <v/>
      </c>
      <c r="O256" s="1" t="str">
        <f>IF($N256="","",$C$36&amp;" – müşteriden tahsilat: "&amp;INDEX(TAHSILAT!$N$7:$N$2503,$T256)&amp;IF(INDEX(TAHSILAT!$J$7:$J$2503,$T256)="",""," – "&amp;INDEX(TAHSILAT!$J$7:$J$2503,$T256)))</f>
        <v/>
      </c>
      <c r="P256" s="1" t="str">
        <f t="shared" si="35"/>
        <v/>
      </c>
      <c r="Q256" s="1">
        <f>IF($N256="",0,INDEX(TAHSILAT!$F$7:$F$2503,$T256))</f>
        <v>0</v>
      </c>
      <c r="R256" s="1">
        <v>0</v>
      </c>
      <c r="S256" s="1">
        <f t="shared" si="42"/>
        <v>10000000000</v>
      </c>
      <c r="T256" s="1">
        <f>IFERROR(MATCH($C$36&amp;"|183",TAHSILAT!$U$7:$U$2503,0),0)</f>
        <v>0</v>
      </c>
      <c r="V256" s="1">
        <f t="shared" si="43"/>
        <v>10000000000</v>
      </c>
      <c r="W256" s="1">
        <f t="shared" si="44"/>
        <v>9</v>
      </c>
    </row>
    <row r="257" spans="2:23" ht="14.25" customHeight="1" x14ac:dyDescent="0.3">
      <c r="B257" s="65" t="str">
        <f t="shared" si="36"/>
        <v/>
      </c>
      <c r="C257" s="70" t="str">
        <f t="shared" si="37"/>
        <v/>
      </c>
      <c r="D257" s="74" t="str">
        <f t="shared" si="38"/>
        <v/>
      </c>
      <c r="F257" s="65" t="str">
        <f t="shared" si="39"/>
        <v/>
      </c>
      <c r="G257" s="68" t="str">
        <f t="shared" si="40"/>
        <v/>
      </c>
      <c r="H257" s="68" t="str">
        <f t="shared" si="41"/>
        <v/>
      </c>
      <c r="I257" s="68" t="str">
        <f t="shared" si="45"/>
        <v/>
      </c>
      <c r="M257" s="1">
        <v>220</v>
      </c>
      <c r="N257" s="1" t="str">
        <f>IF($T257=0,"",INDEX(TAHSILAT!$E$7:$E$2503,$T257))</f>
        <v/>
      </c>
      <c r="O257" s="1" t="str">
        <f>IF($N257="","",$C$36&amp;" – müşteriden tahsilat: "&amp;INDEX(TAHSILAT!$N$7:$N$2503,$T257)&amp;IF(INDEX(TAHSILAT!$J$7:$J$2503,$T257)="",""," – "&amp;INDEX(TAHSILAT!$J$7:$J$2503,$T257)))</f>
        <v/>
      </c>
      <c r="P257" s="1" t="str">
        <f t="shared" si="35"/>
        <v/>
      </c>
      <c r="Q257" s="1">
        <f>IF($N257="",0,INDEX(TAHSILAT!$F$7:$F$2503,$T257))</f>
        <v>0</v>
      </c>
      <c r="R257" s="1">
        <v>0</v>
      </c>
      <c r="S257" s="1">
        <f t="shared" si="42"/>
        <v>10000000000</v>
      </c>
      <c r="T257" s="1">
        <f>IFERROR(MATCH($C$36&amp;"|184",TAHSILAT!$U$7:$U$2503,0),0)</f>
        <v>0</v>
      </c>
      <c r="V257" s="1">
        <f t="shared" si="43"/>
        <v>10000000000</v>
      </c>
      <c r="W257" s="1">
        <f t="shared" si="44"/>
        <v>9</v>
      </c>
    </row>
    <row r="258" spans="2:23" ht="14.25" customHeight="1" x14ac:dyDescent="0.3">
      <c r="B258" s="65" t="str">
        <f t="shared" si="36"/>
        <v/>
      </c>
      <c r="C258" s="70" t="str">
        <f t="shared" si="37"/>
        <v/>
      </c>
      <c r="D258" s="74" t="str">
        <f t="shared" si="38"/>
        <v/>
      </c>
      <c r="F258" s="65" t="str">
        <f t="shared" si="39"/>
        <v/>
      </c>
      <c r="G258" s="68" t="str">
        <f t="shared" si="40"/>
        <v/>
      </c>
      <c r="H258" s="68" t="str">
        <f t="shared" si="41"/>
        <v/>
      </c>
      <c r="I258" s="68" t="str">
        <f t="shared" si="45"/>
        <v/>
      </c>
      <c r="M258" s="1">
        <v>221</v>
      </c>
      <c r="N258" s="1" t="str">
        <f>IF($T258=0,"",INDEX(TAHSILAT!$E$7:$E$2503,$T258))</f>
        <v/>
      </c>
      <c r="O258" s="1" t="str">
        <f>IF($N258="","",$C$36&amp;" – müşteriden tahsilat: "&amp;INDEX(TAHSILAT!$N$7:$N$2503,$T258)&amp;IF(INDEX(TAHSILAT!$J$7:$J$2503,$T258)="",""," – "&amp;INDEX(TAHSILAT!$J$7:$J$2503,$T258)))</f>
        <v/>
      </c>
      <c r="P258" s="1" t="str">
        <f t="shared" si="35"/>
        <v/>
      </c>
      <c r="Q258" s="1">
        <f>IF($N258="",0,INDEX(TAHSILAT!$F$7:$F$2503,$T258))</f>
        <v>0</v>
      </c>
      <c r="R258" s="1">
        <v>0</v>
      </c>
      <c r="S258" s="1">
        <f t="shared" si="42"/>
        <v>10000000000</v>
      </c>
      <c r="T258" s="1">
        <f>IFERROR(MATCH($C$36&amp;"|185",TAHSILAT!$U$7:$U$2503,0),0)</f>
        <v>0</v>
      </c>
      <c r="V258" s="1">
        <f t="shared" si="43"/>
        <v>10000000000</v>
      </c>
      <c r="W258" s="1">
        <f t="shared" si="44"/>
        <v>9</v>
      </c>
    </row>
    <row r="259" spans="2:23" ht="14.25" customHeight="1" x14ac:dyDescent="0.3">
      <c r="B259" s="65" t="str">
        <f t="shared" si="36"/>
        <v/>
      </c>
      <c r="C259" s="70" t="str">
        <f t="shared" si="37"/>
        <v/>
      </c>
      <c r="D259" s="74" t="str">
        <f t="shared" si="38"/>
        <v/>
      </c>
      <c r="F259" s="65" t="str">
        <f t="shared" si="39"/>
        <v/>
      </c>
      <c r="G259" s="68" t="str">
        <f t="shared" si="40"/>
        <v/>
      </c>
      <c r="H259" s="68" t="str">
        <f t="shared" si="41"/>
        <v/>
      </c>
      <c r="I259" s="68" t="str">
        <f t="shared" si="45"/>
        <v/>
      </c>
      <c r="M259" s="1">
        <v>222</v>
      </c>
      <c r="N259" s="1" t="str">
        <f>IF($T259=0,"",INDEX(TAHSILAT!$E$7:$E$2503,$T259))</f>
        <v/>
      </c>
      <c r="O259" s="1" t="str">
        <f>IF($N259="","",$C$36&amp;" – müşteriden tahsilat: "&amp;INDEX(TAHSILAT!$N$7:$N$2503,$T259)&amp;IF(INDEX(TAHSILAT!$J$7:$J$2503,$T259)="",""," – "&amp;INDEX(TAHSILAT!$J$7:$J$2503,$T259)))</f>
        <v/>
      </c>
      <c r="P259" s="1" t="str">
        <f t="shared" si="35"/>
        <v/>
      </c>
      <c r="Q259" s="1">
        <f>IF($N259="",0,INDEX(TAHSILAT!$F$7:$F$2503,$T259))</f>
        <v>0</v>
      </c>
      <c r="R259" s="1">
        <v>0</v>
      </c>
      <c r="S259" s="1">
        <f t="shared" si="42"/>
        <v>10000000000</v>
      </c>
      <c r="T259" s="1">
        <f>IFERROR(MATCH($C$36&amp;"|186",TAHSILAT!$U$7:$U$2503,0),0)</f>
        <v>0</v>
      </c>
      <c r="V259" s="1">
        <f t="shared" si="43"/>
        <v>10000000000</v>
      </c>
      <c r="W259" s="1">
        <f t="shared" si="44"/>
        <v>9</v>
      </c>
    </row>
    <row r="260" spans="2:23" ht="14.25" customHeight="1" x14ac:dyDescent="0.3">
      <c r="B260" s="65" t="str">
        <f t="shared" si="36"/>
        <v/>
      </c>
      <c r="C260" s="70" t="str">
        <f t="shared" si="37"/>
        <v/>
      </c>
      <c r="D260" s="74" t="str">
        <f t="shared" si="38"/>
        <v/>
      </c>
      <c r="F260" s="65" t="str">
        <f t="shared" si="39"/>
        <v/>
      </c>
      <c r="G260" s="68" t="str">
        <f t="shared" si="40"/>
        <v/>
      </c>
      <c r="H260" s="68" t="str">
        <f t="shared" si="41"/>
        <v/>
      </c>
      <c r="I260" s="68" t="str">
        <f t="shared" si="45"/>
        <v/>
      </c>
      <c r="M260" s="1">
        <v>223</v>
      </c>
      <c r="N260" s="1" t="str">
        <f>IF($T260=0,"",INDEX(TAHSILAT!$E$7:$E$2503,$T260))</f>
        <v/>
      </c>
      <c r="O260" s="1" t="str">
        <f>IF($N260="","",$C$36&amp;" – müşteriden tahsilat: "&amp;INDEX(TAHSILAT!$N$7:$N$2503,$T260)&amp;IF(INDEX(TAHSILAT!$J$7:$J$2503,$T260)="",""," – "&amp;INDEX(TAHSILAT!$J$7:$J$2503,$T260)))</f>
        <v/>
      </c>
      <c r="P260" s="1" t="str">
        <f t="shared" si="35"/>
        <v/>
      </c>
      <c r="Q260" s="1">
        <f>IF($N260="",0,INDEX(TAHSILAT!$F$7:$F$2503,$T260))</f>
        <v>0</v>
      </c>
      <c r="R260" s="1">
        <v>0</v>
      </c>
      <c r="S260" s="1">
        <f t="shared" si="42"/>
        <v>10000000000</v>
      </c>
      <c r="T260" s="1">
        <f>IFERROR(MATCH($C$36&amp;"|187",TAHSILAT!$U$7:$U$2503,0),0)</f>
        <v>0</v>
      </c>
      <c r="V260" s="1">
        <f t="shared" si="43"/>
        <v>10000000000</v>
      </c>
      <c r="W260" s="1">
        <f t="shared" si="44"/>
        <v>9</v>
      </c>
    </row>
    <row r="261" spans="2:23" ht="14.25" customHeight="1" x14ac:dyDescent="0.3">
      <c r="B261" s="65" t="str">
        <f t="shared" si="36"/>
        <v/>
      </c>
      <c r="C261" s="70" t="str">
        <f t="shared" si="37"/>
        <v/>
      </c>
      <c r="D261" s="74" t="str">
        <f t="shared" si="38"/>
        <v/>
      </c>
      <c r="F261" s="65" t="str">
        <f t="shared" si="39"/>
        <v/>
      </c>
      <c r="G261" s="68" t="str">
        <f t="shared" si="40"/>
        <v/>
      </c>
      <c r="H261" s="68" t="str">
        <f t="shared" si="41"/>
        <v/>
      </c>
      <c r="I261" s="68" t="str">
        <f t="shared" si="45"/>
        <v/>
      </c>
      <c r="M261" s="1">
        <v>224</v>
      </c>
      <c r="N261" s="1" t="str">
        <f>IF($T261=0,"",INDEX(TAHSILAT!$E$7:$E$2503,$T261))</f>
        <v/>
      </c>
      <c r="O261" s="1" t="str">
        <f>IF($N261="","",$C$36&amp;" – müşteriden tahsilat: "&amp;INDEX(TAHSILAT!$N$7:$N$2503,$T261)&amp;IF(INDEX(TAHSILAT!$J$7:$J$2503,$T261)="",""," – "&amp;INDEX(TAHSILAT!$J$7:$J$2503,$T261)))</f>
        <v/>
      </c>
      <c r="P261" s="1" t="str">
        <f t="shared" si="35"/>
        <v/>
      </c>
      <c r="Q261" s="1">
        <f>IF($N261="",0,INDEX(TAHSILAT!$F$7:$F$2503,$T261))</f>
        <v>0</v>
      </c>
      <c r="R261" s="1">
        <v>0</v>
      </c>
      <c r="S261" s="1">
        <f t="shared" si="42"/>
        <v>10000000000</v>
      </c>
      <c r="T261" s="1">
        <f>IFERROR(MATCH($C$36&amp;"|188",TAHSILAT!$U$7:$U$2503,0),0)</f>
        <v>0</v>
      </c>
      <c r="V261" s="1">
        <f t="shared" si="43"/>
        <v>10000000000</v>
      </c>
      <c r="W261" s="1">
        <f t="shared" si="44"/>
        <v>9</v>
      </c>
    </row>
    <row r="262" spans="2:23" ht="14.25" customHeight="1" x14ac:dyDescent="0.3">
      <c r="B262" s="65" t="str">
        <f t="shared" si="36"/>
        <v/>
      </c>
      <c r="C262" s="70" t="str">
        <f t="shared" si="37"/>
        <v/>
      </c>
      <c r="D262" s="74" t="str">
        <f t="shared" si="38"/>
        <v/>
      </c>
      <c r="F262" s="65" t="str">
        <f t="shared" si="39"/>
        <v/>
      </c>
      <c r="G262" s="68" t="str">
        <f t="shared" si="40"/>
        <v/>
      </c>
      <c r="H262" s="68" t="str">
        <f t="shared" si="41"/>
        <v/>
      </c>
      <c r="I262" s="68" t="str">
        <f t="shared" si="45"/>
        <v/>
      </c>
      <c r="M262" s="1">
        <v>225</v>
      </c>
      <c r="N262" s="1" t="str">
        <f>IF($T262=0,"",INDEX(TAHSILAT!$E$7:$E$2503,$T262))</f>
        <v/>
      </c>
      <c r="O262" s="1" t="str">
        <f>IF($N262="","",$C$36&amp;" – müşteriden tahsilat: "&amp;INDEX(TAHSILAT!$N$7:$N$2503,$T262)&amp;IF(INDEX(TAHSILAT!$J$7:$J$2503,$T262)="",""," – "&amp;INDEX(TAHSILAT!$J$7:$J$2503,$T262)))</f>
        <v/>
      </c>
      <c r="P262" s="1" t="str">
        <f t="shared" si="35"/>
        <v/>
      </c>
      <c r="Q262" s="1">
        <f>IF($N262="",0,INDEX(TAHSILAT!$F$7:$F$2503,$T262))</f>
        <v>0</v>
      </c>
      <c r="R262" s="1">
        <v>0</v>
      </c>
      <c r="S262" s="1">
        <f t="shared" si="42"/>
        <v>10000000000</v>
      </c>
      <c r="T262" s="1">
        <f>IFERROR(MATCH($C$36&amp;"|189",TAHSILAT!$U$7:$U$2503,0),0)</f>
        <v>0</v>
      </c>
      <c r="V262" s="1">
        <f t="shared" si="43"/>
        <v>10000000000</v>
      </c>
      <c r="W262" s="1">
        <f t="shared" si="44"/>
        <v>9</v>
      </c>
    </row>
    <row r="263" spans="2:23" ht="14.25" customHeight="1" x14ac:dyDescent="0.3">
      <c r="B263" s="65" t="str">
        <f t="shared" si="36"/>
        <v/>
      </c>
      <c r="C263" s="70" t="str">
        <f t="shared" si="37"/>
        <v/>
      </c>
      <c r="D263" s="74" t="str">
        <f t="shared" si="38"/>
        <v/>
      </c>
      <c r="F263" s="65" t="str">
        <f t="shared" si="39"/>
        <v/>
      </c>
      <c r="G263" s="68" t="str">
        <f t="shared" si="40"/>
        <v/>
      </c>
      <c r="H263" s="68" t="str">
        <f t="shared" si="41"/>
        <v/>
      </c>
      <c r="I263" s="68" t="str">
        <f t="shared" si="45"/>
        <v/>
      </c>
      <c r="M263" s="1">
        <v>226</v>
      </c>
      <c r="N263" s="1" t="str">
        <f>IF($T263=0,"",INDEX(TAHSILAT!$E$7:$E$2503,$T263))</f>
        <v/>
      </c>
      <c r="O263" s="1" t="str">
        <f>IF($N263="","",$C$36&amp;" – müşteriden tahsilat: "&amp;INDEX(TAHSILAT!$N$7:$N$2503,$T263)&amp;IF(INDEX(TAHSILAT!$J$7:$J$2503,$T263)="",""," – "&amp;INDEX(TAHSILAT!$J$7:$J$2503,$T263)))</f>
        <v/>
      </c>
      <c r="P263" s="1" t="str">
        <f t="shared" si="35"/>
        <v/>
      </c>
      <c r="Q263" s="1">
        <f>IF($N263="",0,INDEX(TAHSILAT!$F$7:$F$2503,$T263))</f>
        <v>0</v>
      </c>
      <c r="R263" s="1">
        <v>0</v>
      </c>
      <c r="S263" s="1">
        <f t="shared" si="42"/>
        <v>10000000000</v>
      </c>
      <c r="T263" s="1">
        <f>IFERROR(MATCH($C$36&amp;"|190",TAHSILAT!$U$7:$U$2503,0),0)</f>
        <v>0</v>
      </c>
      <c r="V263" s="1">
        <f t="shared" si="43"/>
        <v>10000000000</v>
      </c>
      <c r="W263" s="1">
        <f t="shared" si="44"/>
        <v>9</v>
      </c>
    </row>
    <row r="264" spans="2:23" ht="14.25" customHeight="1" x14ac:dyDescent="0.3">
      <c r="B264" s="65" t="str">
        <f t="shared" si="36"/>
        <v/>
      </c>
      <c r="C264" s="70" t="str">
        <f t="shared" si="37"/>
        <v/>
      </c>
      <c r="D264" s="74" t="str">
        <f t="shared" si="38"/>
        <v/>
      </c>
      <c r="F264" s="65" t="str">
        <f t="shared" si="39"/>
        <v/>
      </c>
      <c r="G264" s="68" t="str">
        <f t="shared" si="40"/>
        <v/>
      </c>
      <c r="H264" s="68" t="str">
        <f t="shared" si="41"/>
        <v/>
      </c>
      <c r="I264" s="68" t="str">
        <f t="shared" si="45"/>
        <v/>
      </c>
      <c r="M264" s="1">
        <v>227</v>
      </c>
      <c r="N264" s="1" t="str">
        <f>IF($T264=0,"",INDEX(TAHSILAT!$E$7:$E$2503,$T264))</f>
        <v/>
      </c>
      <c r="O264" s="1" t="str">
        <f>IF($N264="","",$C$36&amp;" – müşteriden tahsilat: "&amp;INDEX(TAHSILAT!$N$7:$N$2503,$T264)&amp;IF(INDEX(TAHSILAT!$J$7:$J$2503,$T264)="",""," – "&amp;INDEX(TAHSILAT!$J$7:$J$2503,$T264)))</f>
        <v/>
      </c>
      <c r="P264" s="1" t="str">
        <f t="shared" si="35"/>
        <v/>
      </c>
      <c r="Q264" s="1">
        <f>IF($N264="",0,INDEX(TAHSILAT!$F$7:$F$2503,$T264))</f>
        <v>0</v>
      </c>
      <c r="R264" s="1">
        <v>0</v>
      </c>
      <c r="S264" s="1">
        <f t="shared" si="42"/>
        <v>10000000000</v>
      </c>
      <c r="T264" s="1">
        <f>IFERROR(MATCH($C$36&amp;"|191",TAHSILAT!$U$7:$U$2503,0),0)</f>
        <v>0</v>
      </c>
      <c r="V264" s="1">
        <f t="shared" si="43"/>
        <v>10000000000</v>
      </c>
      <c r="W264" s="1">
        <f t="shared" si="44"/>
        <v>9</v>
      </c>
    </row>
    <row r="265" spans="2:23" ht="14.25" customHeight="1" x14ac:dyDescent="0.3">
      <c r="B265" s="65" t="str">
        <f t="shared" si="36"/>
        <v/>
      </c>
      <c r="C265" s="70" t="str">
        <f t="shared" si="37"/>
        <v/>
      </c>
      <c r="D265" s="74" t="str">
        <f t="shared" si="38"/>
        <v/>
      </c>
      <c r="F265" s="65" t="str">
        <f t="shared" si="39"/>
        <v/>
      </c>
      <c r="G265" s="68" t="str">
        <f t="shared" si="40"/>
        <v/>
      </c>
      <c r="H265" s="68" t="str">
        <f t="shared" si="41"/>
        <v/>
      </c>
      <c r="I265" s="68" t="str">
        <f t="shared" si="45"/>
        <v/>
      </c>
      <c r="M265" s="1">
        <v>228</v>
      </c>
      <c r="N265" s="1" t="str">
        <f>IF($T265=0,"",INDEX(TAHSILAT!$E$7:$E$2503,$T265))</f>
        <v/>
      </c>
      <c r="O265" s="1" t="str">
        <f>IF($N265="","",$C$36&amp;" – müşteriden tahsilat: "&amp;INDEX(TAHSILAT!$N$7:$N$2503,$T265)&amp;IF(INDEX(TAHSILAT!$J$7:$J$2503,$T265)="",""," – "&amp;INDEX(TAHSILAT!$J$7:$J$2503,$T265)))</f>
        <v/>
      </c>
      <c r="P265" s="1" t="str">
        <f t="shared" si="35"/>
        <v/>
      </c>
      <c r="Q265" s="1">
        <f>IF($N265="",0,INDEX(TAHSILAT!$F$7:$F$2503,$T265))</f>
        <v>0</v>
      </c>
      <c r="R265" s="1">
        <v>0</v>
      </c>
      <c r="S265" s="1">
        <f t="shared" si="42"/>
        <v>10000000000</v>
      </c>
      <c r="T265" s="1">
        <f>IFERROR(MATCH($C$36&amp;"|192",TAHSILAT!$U$7:$U$2503,0),0)</f>
        <v>0</v>
      </c>
      <c r="V265" s="1">
        <f t="shared" si="43"/>
        <v>10000000000</v>
      </c>
      <c r="W265" s="1">
        <f t="shared" si="44"/>
        <v>9</v>
      </c>
    </row>
    <row r="266" spans="2:23" ht="14.25" customHeight="1" x14ac:dyDescent="0.3">
      <c r="B266" s="65" t="str">
        <f t="shared" si="36"/>
        <v/>
      </c>
      <c r="C266" s="70" t="str">
        <f t="shared" si="37"/>
        <v/>
      </c>
      <c r="D266" s="74" t="str">
        <f t="shared" si="38"/>
        <v/>
      </c>
      <c r="F266" s="65" t="str">
        <f t="shared" si="39"/>
        <v/>
      </c>
      <c r="G266" s="68" t="str">
        <f t="shared" si="40"/>
        <v/>
      </c>
      <c r="H266" s="68" t="str">
        <f t="shared" si="41"/>
        <v/>
      </c>
      <c r="I266" s="68" t="str">
        <f t="shared" si="45"/>
        <v/>
      </c>
      <c r="M266" s="1">
        <v>229</v>
      </c>
      <c r="N266" s="1" t="str">
        <f>IF($T266=0,"",INDEX(TAHSILAT!$E$7:$E$2503,$T266))</f>
        <v/>
      </c>
      <c r="O266" s="1" t="str">
        <f>IF($N266="","",$C$36&amp;" – müşteriden tahsilat: "&amp;INDEX(TAHSILAT!$N$7:$N$2503,$T266)&amp;IF(INDEX(TAHSILAT!$J$7:$J$2503,$T266)="",""," – "&amp;INDEX(TAHSILAT!$J$7:$J$2503,$T266)))</f>
        <v/>
      </c>
      <c r="P266" s="1" t="str">
        <f t="shared" ref="P266:P329" si="46">IF($N266="","","MÜŞTERİDEN ALDI")</f>
        <v/>
      </c>
      <c r="Q266" s="1">
        <f>IF($N266="",0,INDEX(TAHSILAT!$F$7:$F$2503,$T266))</f>
        <v>0</v>
      </c>
      <c r="R266" s="1">
        <v>0</v>
      </c>
      <c r="S266" s="1">
        <f t="shared" si="42"/>
        <v>10000000000</v>
      </c>
      <c r="T266" s="1">
        <f>IFERROR(MATCH($C$36&amp;"|193",TAHSILAT!$U$7:$U$2503,0),0)</f>
        <v>0</v>
      </c>
      <c r="V266" s="1">
        <f t="shared" si="43"/>
        <v>10000000000</v>
      </c>
      <c r="W266" s="1">
        <f t="shared" si="44"/>
        <v>9</v>
      </c>
    </row>
    <row r="267" spans="2:23" ht="14.25" customHeight="1" x14ac:dyDescent="0.3">
      <c r="B267" s="65" t="str">
        <f t="shared" si="36"/>
        <v/>
      </c>
      <c r="C267" s="70" t="str">
        <f t="shared" si="37"/>
        <v/>
      </c>
      <c r="D267" s="74" t="str">
        <f t="shared" si="38"/>
        <v/>
      </c>
      <c r="F267" s="65" t="str">
        <f t="shared" si="39"/>
        <v/>
      </c>
      <c r="G267" s="68" t="str">
        <f t="shared" si="40"/>
        <v/>
      </c>
      <c r="H267" s="68" t="str">
        <f t="shared" si="41"/>
        <v/>
      </c>
      <c r="I267" s="68" t="str">
        <f t="shared" si="45"/>
        <v/>
      </c>
      <c r="M267" s="1">
        <v>230</v>
      </c>
      <c r="N267" s="1" t="str">
        <f>IF($T267=0,"",INDEX(TAHSILAT!$E$7:$E$2503,$T267))</f>
        <v/>
      </c>
      <c r="O267" s="1" t="str">
        <f>IF($N267="","",$C$36&amp;" – müşteriden tahsilat: "&amp;INDEX(TAHSILAT!$N$7:$N$2503,$T267)&amp;IF(INDEX(TAHSILAT!$J$7:$J$2503,$T267)="",""," – "&amp;INDEX(TAHSILAT!$J$7:$J$2503,$T267)))</f>
        <v/>
      </c>
      <c r="P267" s="1" t="str">
        <f t="shared" si="46"/>
        <v/>
      </c>
      <c r="Q267" s="1">
        <f>IF($N267="",0,INDEX(TAHSILAT!$F$7:$F$2503,$T267))</f>
        <v>0</v>
      </c>
      <c r="R267" s="1">
        <v>0</v>
      </c>
      <c r="S267" s="1">
        <f t="shared" si="42"/>
        <v>10000000000</v>
      </c>
      <c r="T267" s="1">
        <f>IFERROR(MATCH($C$36&amp;"|194",TAHSILAT!$U$7:$U$2503,0),0)</f>
        <v>0</v>
      </c>
      <c r="V267" s="1">
        <f t="shared" si="43"/>
        <v>10000000000</v>
      </c>
      <c r="W267" s="1">
        <f t="shared" si="44"/>
        <v>9</v>
      </c>
    </row>
    <row r="268" spans="2:23" ht="14.25" customHeight="1" x14ac:dyDescent="0.3">
      <c r="B268" s="65" t="str">
        <f t="shared" si="36"/>
        <v/>
      </c>
      <c r="C268" s="70" t="str">
        <f t="shared" si="37"/>
        <v/>
      </c>
      <c r="D268" s="74" t="str">
        <f t="shared" si="38"/>
        <v/>
      </c>
      <c r="F268" s="65" t="str">
        <f t="shared" si="39"/>
        <v/>
      </c>
      <c r="G268" s="68" t="str">
        <f t="shared" si="40"/>
        <v/>
      </c>
      <c r="H268" s="68" t="str">
        <f t="shared" si="41"/>
        <v/>
      </c>
      <c r="I268" s="68" t="str">
        <f t="shared" si="45"/>
        <v/>
      </c>
      <c r="M268" s="1">
        <v>231</v>
      </c>
      <c r="N268" s="1" t="str">
        <f>IF($T268=0,"",INDEX(TAHSILAT!$E$7:$E$2503,$T268))</f>
        <v/>
      </c>
      <c r="O268" s="1" t="str">
        <f>IF($N268="","",$C$36&amp;" – müşteriden tahsilat: "&amp;INDEX(TAHSILAT!$N$7:$N$2503,$T268)&amp;IF(INDEX(TAHSILAT!$J$7:$J$2503,$T268)="",""," – "&amp;INDEX(TAHSILAT!$J$7:$J$2503,$T268)))</f>
        <v/>
      </c>
      <c r="P268" s="1" t="str">
        <f t="shared" si="46"/>
        <v/>
      </c>
      <c r="Q268" s="1">
        <f>IF($N268="",0,INDEX(TAHSILAT!$F$7:$F$2503,$T268))</f>
        <v>0</v>
      </c>
      <c r="R268" s="1">
        <v>0</v>
      </c>
      <c r="S268" s="1">
        <f t="shared" si="42"/>
        <v>10000000000</v>
      </c>
      <c r="T268" s="1">
        <f>IFERROR(MATCH($C$36&amp;"|195",TAHSILAT!$U$7:$U$2503,0),0)</f>
        <v>0</v>
      </c>
      <c r="V268" s="1">
        <f t="shared" si="43"/>
        <v>10000000000</v>
      </c>
      <c r="W268" s="1">
        <f t="shared" si="44"/>
        <v>9</v>
      </c>
    </row>
    <row r="269" spans="2:23" ht="14.25" customHeight="1" x14ac:dyDescent="0.3">
      <c r="B269" s="65" t="str">
        <f t="shared" si="36"/>
        <v/>
      </c>
      <c r="C269" s="70" t="str">
        <f t="shared" si="37"/>
        <v/>
      </c>
      <c r="D269" s="74" t="str">
        <f t="shared" si="38"/>
        <v/>
      </c>
      <c r="F269" s="65" t="str">
        <f t="shared" si="39"/>
        <v/>
      </c>
      <c r="G269" s="68" t="str">
        <f t="shared" si="40"/>
        <v/>
      </c>
      <c r="H269" s="68" t="str">
        <f t="shared" si="41"/>
        <v/>
      </c>
      <c r="I269" s="68" t="str">
        <f t="shared" si="45"/>
        <v/>
      </c>
      <c r="M269" s="1">
        <v>232</v>
      </c>
      <c r="N269" s="1" t="str">
        <f>IF($T269=0,"",INDEX(TAHSILAT!$E$7:$E$2503,$T269))</f>
        <v/>
      </c>
      <c r="O269" s="1" t="str">
        <f>IF($N269="","",$C$36&amp;" – müşteriden tahsilat: "&amp;INDEX(TAHSILAT!$N$7:$N$2503,$T269)&amp;IF(INDEX(TAHSILAT!$J$7:$J$2503,$T269)="",""," – "&amp;INDEX(TAHSILAT!$J$7:$J$2503,$T269)))</f>
        <v/>
      </c>
      <c r="P269" s="1" t="str">
        <f t="shared" si="46"/>
        <v/>
      </c>
      <c r="Q269" s="1">
        <f>IF($N269="",0,INDEX(TAHSILAT!$F$7:$F$2503,$T269))</f>
        <v>0</v>
      </c>
      <c r="R269" s="1">
        <v>0</v>
      </c>
      <c r="S269" s="1">
        <f t="shared" si="42"/>
        <v>10000000000</v>
      </c>
      <c r="T269" s="1">
        <f>IFERROR(MATCH($C$36&amp;"|196",TAHSILAT!$U$7:$U$2503,0),0)</f>
        <v>0</v>
      </c>
      <c r="V269" s="1">
        <f t="shared" si="43"/>
        <v>10000000000</v>
      </c>
      <c r="W269" s="1">
        <f t="shared" si="44"/>
        <v>9</v>
      </c>
    </row>
    <row r="270" spans="2:23" ht="14.25" customHeight="1" x14ac:dyDescent="0.3">
      <c r="B270" s="65" t="str">
        <f t="shared" si="36"/>
        <v/>
      </c>
      <c r="C270" s="70" t="str">
        <f t="shared" si="37"/>
        <v/>
      </c>
      <c r="D270" s="74" t="str">
        <f t="shared" si="38"/>
        <v/>
      </c>
      <c r="F270" s="65" t="str">
        <f t="shared" si="39"/>
        <v/>
      </c>
      <c r="G270" s="68" t="str">
        <f t="shared" si="40"/>
        <v/>
      </c>
      <c r="H270" s="68" t="str">
        <f t="shared" si="41"/>
        <v/>
      </c>
      <c r="I270" s="68" t="str">
        <f t="shared" si="45"/>
        <v/>
      </c>
      <c r="M270" s="1">
        <v>233</v>
      </c>
      <c r="N270" s="1" t="str">
        <f>IF($T270=0,"",INDEX(TAHSILAT!$E$7:$E$2503,$T270))</f>
        <v/>
      </c>
      <c r="O270" s="1" t="str">
        <f>IF($N270="","",$C$36&amp;" – müşteriden tahsilat: "&amp;INDEX(TAHSILAT!$N$7:$N$2503,$T270)&amp;IF(INDEX(TAHSILAT!$J$7:$J$2503,$T270)="",""," – "&amp;INDEX(TAHSILAT!$J$7:$J$2503,$T270)))</f>
        <v/>
      </c>
      <c r="P270" s="1" t="str">
        <f t="shared" si="46"/>
        <v/>
      </c>
      <c r="Q270" s="1">
        <f>IF($N270="",0,INDEX(TAHSILAT!$F$7:$F$2503,$T270))</f>
        <v>0</v>
      </c>
      <c r="R270" s="1">
        <v>0</v>
      </c>
      <c r="S270" s="1">
        <f t="shared" si="42"/>
        <v>10000000000</v>
      </c>
      <c r="T270" s="1">
        <f>IFERROR(MATCH($C$36&amp;"|197",TAHSILAT!$U$7:$U$2503,0),0)</f>
        <v>0</v>
      </c>
      <c r="V270" s="1">
        <f t="shared" si="43"/>
        <v>10000000000</v>
      </c>
      <c r="W270" s="1">
        <f t="shared" si="44"/>
        <v>9</v>
      </c>
    </row>
    <row r="271" spans="2:23" ht="14.25" customHeight="1" x14ac:dyDescent="0.3">
      <c r="B271" s="65" t="str">
        <f t="shared" si="36"/>
        <v/>
      </c>
      <c r="C271" s="70" t="str">
        <f t="shared" si="37"/>
        <v/>
      </c>
      <c r="D271" s="74" t="str">
        <f t="shared" si="38"/>
        <v/>
      </c>
      <c r="F271" s="65" t="str">
        <f t="shared" si="39"/>
        <v/>
      </c>
      <c r="G271" s="68" t="str">
        <f t="shared" si="40"/>
        <v/>
      </c>
      <c r="H271" s="68" t="str">
        <f t="shared" si="41"/>
        <v/>
      </c>
      <c r="I271" s="68" t="str">
        <f t="shared" si="45"/>
        <v/>
      </c>
      <c r="M271" s="1">
        <v>234</v>
      </c>
      <c r="N271" s="1" t="str">
        <f>IF($T271=0,"",INDEX(TAHSILAT!$E$7:$E$2503,$T271))</f>
        <v/>
      </c>
      <c r="O271" s="1" t="str">
        <f>IF($N271="","",$C$36&amp;" – müşteriden tahsilat: "&amp;INDEX(TAHSILAT!$N$7:$N$2503,$T271)&amp;IF(INDEX(TAHSILAT!$J$7:$J$2503,$T271)="",""," – "&amp;INDEX(TAHSILAT!$J$7:$J$2503,$T271)))</f>
        <v/>
      </c>
      <c r="P271" s="1" t="str">
        <f t="shared" si="46"/>
        <v/>
      </c>
      <c r="Q271" s="1">
        <f>IF($N271="",0,INDEX(TAHSILAT!$F$7:$F$2503,$T271))</f>
        <v>0</v>
      </c>
      <c r="R271" s="1">
        <v>0</v>
      </c>
      <c r="S271" s="1">
        <f t="shared" si="42"/>
        <v>10000000000</v>
      </c>
      <c r="T271" s="1">
        <f>IFERROR(MATCH($C$36&amp;"|198",TAHSILAT!$U$7:$U$2503,0),0)</f>
        <v>0</v>
      </c>
      <c r="V271" s="1">
        <f t="shared" si="43"/>
        <v>10000000000</v>
      </c>
      <c r="W271" s="1">
        <f t="shared" si="44"/>
        <v>9</v>
      </c>
    </row>
    <row r="272" spans="2:23" ht="14.25" customHeight="1" x14ac:dyDescent="0.3">
      <c r="B272" s="65" t="str">
        <f t="shared" si="36"/>
        <v/>
      </c>
      <c r="C272" s="70" t="str">
        <f t="shared" si="37"/>
        <v/>
      </c>
      <c r="D272" s="74" t="str">
        <f t="shared" si="38"/>
        <v/>
      </c>
      <c r="F272" s="65" t="str">
        <f t="shared" si="39"/>
        <v/>
      </c>
      <c r="G272" s="68" t="str">
        <f t="shared" si="40"/>
        <v/>
      </c>
      <c r="H272" s="68" t="str">
        <f t="shared" si="41"/>
        <v/>
      </c>
      <c r="I272" s="68" t="str">
        <f t="shared" si="45"/>
        <v/>
      </c>
      <c r="M272" s="1">
        <v>235</v>
      </c>
      <c r="N272" s="1" t="str">
        <f>IF($T272=0,"",INDEX(TAHSILAT!$E$7:$E$2503,$T272))</f>
        <v/>
      </c>
      <c r="O272" s="1" t="str">
        <f>IF($N272="","",$C$36&amp;" – müşteriden tahsilat: "&amp;INDEX(TAHSILAT!$N$7:$N$2503,$T272)&amp;IF(INDEX(TAHSILAT!$J$7:$J$2503,$T272)="",""," – "&amp;INDEX(TAHSILAT!$J$7:$J$2503,$T272)))</f>
        <v/>
      </c>
      <c r="P272" s="1" t="str">
        <f t="shared" si="46"/>
        <v/>
      </c>
      <c r="Q272" s="1">
        <f>IF($N272="",0,INDEX(TAHSILAT!$F$7:$F$2503,$T272))</f>
        <v>0</v>
      </c>
      <c r="R272" s="1">
        <v>0</v>
      </c>
      <c r="S272" s="1">
        <f t="shared" si="42"/>
        <v>10000000000</v>
      </c>
      <c r="T272" s="1">
        <f>IFERROR(MATCH($C$36&amp;"|199",TAHSILAT!$U$7:$U$2503,0),0)</f>
        <v>0</v>
      </c>
      <c r="V272" s="1">
        <f t="shared" si="43"/>
        <v>10000000000</v>
      </c>
      <c r="W272" s="1">
        <f t="shared" si="44"/>
        <v>9</v>
      </c>
    </row>
    <row r="273" spans="2:23" ht="14.25" customHeight="1" x14ac:dyDescent="0.3">
      <c r="B273" s="65" t="str">
        <f t="shared" si="36"/>
        <v/>
      </c>
      <c r="C273" s="70" t="str">
        <f t="shared" si="37"/>
        <v/>
      </c>
      <c r="D273" s="74" t="str">
        <f t="shared" si="38"/>
        <v/>
      </c>
      <c r="F273" s="65" t="str">
        <f t="shared" si="39"/>
        <v/>
      </c>
      <c r="G273" s="68" t="str">
        <f t="shared" si="40"/>
        <v/>
      </c>
      <c r="H273" s="68" t="str">
        <f t="shared" si="41"/>
        <v/>
      </c>
      <c r="I273" s="68" t="str">
        <f t="shared" si="45"/>
        <v/>
      </c>
      <c r="M273" s="1">
        <v>236</v>
      </c>
      <c r="N273" s="1" t="str">
        <f>IF($T273=0,"",INDEX(TAHSILAT!$E$7:$E$2503,$T273))</f>
        <v/>
      </c>
      <c r="O273" s="1" t="str">
        <f>IF($N273="","",$C$36&amp;" – müşteriden tahsilat: "&amp;INDEX(TAHSILAT!$N$7:$N$2503,$T273)&amp;IF(INDEX(TAHSILAT!$J$7:$J$2503,$T273)="",""," – "&amp;INDEX(TAHSILAT!$J$7:$J$2503,$T273)))</f>
        <v/>
      </c>
      <c r="P273" s="1" t="str">
        <f t="shared" si="46"/>
        <v/>
      </c>
      <c r="Q273" s="1">
        <f>IF($N273="",0,INDEX(TAHSILAT!$F$7:$F$2503,$T273))</f>
        <v>0</v>
      </c>
      <c r="R273" s="1">
        <v>0</v>
      </c>
      <c r="S273" s="1">
        <f t="shared" si="42"/>
        <v>10000000000</v>
      </c>
      <c r="T273" s="1">
        <f>IFERROR(MATCH($C$36&amp;"|200",TAHSILAT!$U$7:$U$2503,0),0)</f>
        <v>0</v>
      </c>
      <c r="V273" s="1">
        <f t="shared" si="43"/>
        <v>10000000000</v>
      </c>
      <c r="W273" s="1">
        <f t="shared" si="44"/>
        <v>9</v>
      </c>
    </row>
    <row r="274" spans="2:23" ht="14.25" customHeight="1" x14ac:dyDescent="0.3">
      <c r="B274" s="65" t="str">
        <f t="shared" si="36"/>
        <v/>
      </c>
      <c r="C274" s="70" t="str">
        <f t="shared" si="37"/>
        <v/>
      </c>
      <c r="D274" s="74" t="str">
        <f t="shared" si="38"/>
        <v/>
      </c>
      <c r="F274" s="65" t="str">
        <f t="shared" si="39"/>
        <v/>
      </c>
      <c r="G274" s="68" t="str">
        <f t="shared" si="40"/>
        <v/>
      </c>
      <c r="H274" s="68" t="str">
        <f t="shared" si="41"/>
        <v/>
      </c>
      <c r="I274" s="68" t="str">
        <f t="shared" si="45"/>
        <v/>
      </c>
      <c r="M274" s="1">
        <v>237</v>
      </c>
      <c r="N274" s="1" t="str">
        <f>IF($T274=0,"",INDEX(TAHSILAT!$E$7:$E$2503,$T274))</f>
        <v/>
      </c>
      <c r="O274" s="1" t="str">
        <f>IF($N274="","",$C$36&amp;" – müşteriden tahsilat: "&amp;INDEX(TAHSILAT!$N$7:$N$2503,$T274)&amp;IF(INDEX(TAHSILAT!$J$7:$J$2503,$T274)="",""," – "&amp;INDEX(TAHSILAT!$J$7:$J$2503,$T274)))</f>
        <v/>
      </c>
      <c r="P274" s="1" t="str">
        <f t="shared" si="46"/>
        <v/>
      </c>
      <c r="Q274" s="1">
        <f>IF($N274="",0,INDEX(TAHSILAT!$F$7:$F$2503,$T274))</f>
        <v>0</v>
      </c>
      <c r="R274" s="1">
        <v>0</v>
      </c>
      <c r="S274" s="1">
        <f t="shared" si="42"/>
        <v>10000000000</v>
      </c>
      <c r="T274" s="1">
        <f>IFERROR(MATCH($C$36&amp;"|201",TAHSILAT!$U$7:$U$2503,0),0)</f>
        <v>0</v>
      </c>
      <c r="V274" s="1">
        <f t="shared" si="43"/>
        <v>10000000000</v>
      </c>
      <c r="W274" s="1">
        <f t="shared" si="44"/>
        <v>9</v>
      </c>
    </row>
    <row r="275" spans="2:23" ht="14.25" customHeight="1" x14ac:dyDescent="0.3">
      <c r="B275" s="65" t="str">
        <f t="shared" si="36"/>
        <v/>
      </c>
      <c r="C275" s="70" t="str">
        <f t="shared" si="37"/>
        <v/>
      </c>
      <c r="D275" s="74" t="str">
        <f t="shared" si="38"/>
        <v/>
      </c>
      <c r="F275" s="65" t="str">
        <f t="shared" si="39"/>
        <v/>
      </c>
      <c r="G275" s="68" t="str">
        <f t="shared" si="40"/>
        <v/>
      </c>
      <c r="H275" s="68" t="str">
        <f t="shared" si="41"/>
        <v/>
      </c>
      <c r="I275" s="68" t="str">
        <f t="shared" si="45"/>
        <v/>
      </c>
      <c r="M275" s="1">
        <v>238</v>
      </c>
      <c r="N275" s="1" t="str">
        <f>IF($T275=0,"",INDEX(TAHSILAT!$E$7:$E$2503,$T275))</f>
        <v/>
      </c>
      <c r="O275" s="1" t="str">
        <f>IF($N275="","",$C$36&amp;" – müşteriden tahsilat: "&amp;INDEX(TAHSILAT!$N$7:$N$2503,$T275)&amp;IF(INDEX(TAHSILAT!$J$7:$J$2503,$T275)="",""," – "&amp;INDEX(TAHSILAT!$J$7:$J$2503,$T275)))</f>
        <v/>
      </c>
      <c r="P275" s="1" t="str">
        <f t="shared" si="46"/>
        <v/>
      </c>
      <c r="Q275" s="1">
        <f>IF($N275="",0,INDEX(TAHSILAT!$F$7:$F$2503,$T275))</f>
        <v>0</v>
      </c>
      <c r="R275" s="1">
        <v>0</v>
      </c>
      <c r="S275" s="1">
        <f t="shared" si="42"/>
        <v>10000000000</v>
      </c>
      <c r="T275" s="1">
        <f>IFERROR(MATCH($C$36&amp;"|202",TAHSILAT!$U$7:$U$2503,0),0)</f>
        <v>0</v>
      </c>
      <c r="V275" s="1">
        <f t="shared" si="43"/>
        <v>10000000000</v>
      </c>
      <c r="W275" s="1">
        <f t="shared" si="44"/>
        <v>9</v>
      </c>
    </row>
    <row r="276" spans="2:23" ht="14.25" customHeight="1" x14ac:dyDescent="0.3">
      <c r="B276" s="65" t="str">
        <f t="shared" si="36"/>
        <v/>
      </c>
      <c r="C276" s="70" t="str">
        <f t="shared" si="37"/>
        <v/>
      </c>
      <c r="D276" s="74" t="str">
        <f t="shared" si="38"/>
        <v/>
      </c>
      <c r="F276" s="65" t="str">
        <f t="shared" si="39"/>
        <v/>
      </c>
      <c r="G276" s="68" t="str">
        <f t="shared" si="40"/>
        <v/>
      </c>
      <c r="H276" s="68" t="str">
        <f t="shared" si="41"/>
        <v/>
      </c>
      <c r="I276" s="68" t="str">
        <f t="shared" si="45"/>
        <v/>
      </c>
      <c r="M276" s="1">
        <v>239</v>
      </c>
      <c r="N276" s="1" t="str">
        <f>IF($T276=0,"",INDEX(TAHSILAT!$E$7:$E$2503,$T276))</f>
        <v/>
      </c>
      <c r="O276" s="1" t="str">
        <f>IF($N276="","",$C$36&amp;" – müşteriden tahsilat: "&amp;INDEX(TAHSILAT!$N$7:$N$2503,$T276)&amp;IF(INDEX(TAHSILAT!$J$7:$J$2503,$T276)="",""," – "&amp;INDEX(TAHSILAT!$J$7:$J$2503,$T276)))</f>
        <v/>
      </c>
      <c r="P276" s="1" t="str">
        <f t="shared" si="46"/>
        <v/>
      </c>
      <c r="Q276" s="1">
        <f>IF($N276="",0,INDEX(TAHSILAT!$F$7:$F$2503,$T276))</f>
        <v>0</v>
      </c>
      <c r="R276" s="1">
        <v>0</v>
      </c>
      <c r="S276" s="1">
        <f t="shared" si="42"/>
        <v>10000000000</v>
      </c>
      <c r="T276" s="1">
        <f>IFERROR(MATCH($C$36&amp;"|203",TAHSILAT!$U$7:$U$2503,0),0)</f>
        <v>0</v>
      </c>
      <c r="V276" s="1">
        <f t="shared" si="43"/>
        <v>10000000000</v>
      </c>
      <c r="W276" s="1">
        <f t="shared" si="44"/>
        <v>9</v>
      </c>
    </row>
    <row r="277" spans="2:23" ht="14.25" customHeight="1" x14ac:dyDescent="0.3">
      <c r="B277" s="65" t="str">
        <f t="shared" si="36"/>
        <v/>
      </c>
      <c r="C277" s="70" t="str">
        <f t="shared" si="37"/>
        <v/>
      </c>
      <c r="D277" s="74" t="str">
        <f t="shared" si="38"/>
        <v/>
      </c>
      <c r="F277" s="65" t="str">
        <f t="shared" si="39"/>
        <v/>
      </c>
      <c r="G277" s="68" t="str">
        <f t="shared" si="40"/>
        <v/>
      </c>
      <c r="H277" s="68" t="str">
        <f t="shared" si="41"/>
        <v/>
      </c>
      <c r="I277" s="68" t="str">
        <f t="shared" si="45"/>
        <v/>
      </c>
      <c r="M277" s="1">
        <v>240</v>
      </c>
      <c r="N277" s="1" t="str">
        <f>IF($T277=0,"",INDEX(TAHSILAT!$E$7:$E$2503,$T277))</f>
        <v/>
      </c>
      <c r="O277" s="1" t="str">
        <f>IF($N277="","",$C$36&amp;" – müşteriden tahsilat: "&amp;INDEX(TAHSILAT!$N$7:$N$2503,$T277)&amp;IF(INDEX(TAHSILAT!$J$7:$J$2503,$T277)="",""," – "&amp;INDEX(TAHSILAT!$J$7:$J$2503,$T277)))</f>
        <v/>
      </c>
      <c r="P277" s="1" t="str">
        <f t="shared" si="46"/>
        <v/>
      </c>
      <c r="Q277" s="1">
        <f>IF($N277="",0,INDEX(TAHSILAT!$F$7:$F$2503,$T277))</f>
        <v>0</v>
      </c>
      <c r="R277" s="1">
        <v>0</v>
      </c>
      <c r="S277" s="1">
        <f t="shared" si="42"/>
        <v>10000000000</v>
      </c>
      <c r="T277" s="1">
        <f>IFERROR(MATCH($C$36&amp;"|204",TAHSILAT!$U$7:$U$2503,0),0)</f>
        <v>0</v>
      </c>
      <c r="V277" s="1">
        <f t="shared" si="43"/>
        <v>10000000000</v>
      </c>
      <c r="W277" s="1">
        <f t="shared" si="44"/>
        <v>9</v>
      </c>
    </row>
    <row r="278" spans="2:23" ht="14.25" customHeight="1" x14ac:dyDescent="0.3">
      <c r="B278" s="65" t="str">
        <f t="shared" si="36"/>
        <v/>
      </c>
      <c r="C278" s="70" t="str">
        <f t="shared" si="37"/>
        <v/>
      </c>
      <c r="D278" s="74" t="str">
        <f t="shared" si="38"/>
        <v/>
      </c>
      <c r="F278" s="65" t="str">
        <f t="shared" si="39"/>
        <v/>
      </c>
      <c r="G278" s="68" t="str">
        <f t="shared" si="40"/>
        <v/>
      </c>
      <c r="H278" s="68" t="str">
        <f t="shared" si="41"/>
        <v/>
      </c>
      <c r="I278" s="68" t="str">
        <f t="shared" si="45"/>
        <v/>
      </c>
      <c r="M278" s="1">
        <v>241</v>
      </c>
      <c r="N278" s="1" t="str">
        <f>IF($T278=0,"",INDEX(TAHSILAT!$E$7:$E$2503,$T278))</f>
        <v/>
      </c>
      <c r="O278" s="1" t="str">
        <f>IF($N278="","",$C$36&amp;" – müşteriden tahsilat: "&amp;INDEX(TAHSILAT!$N$7:$N$2503,$T278)&amp;IF(INDEX(TAHSILAT!$J$7:$J$2503,$T278)="",""," – "&amp;INDEX(TAHSILAT!$J$7:$J$2503,$T278)))</f>
        <v/>
      </c>
      <c r="P278" s="1" t="str">
        <f t="shared" si="46"/>
        <v/>
      </c>
      <c r="Q278" s="1">
        <f>IF($N278="",0,INDEX(TAHSILAT!$F$7:$F$2503,$T278))</f>
        <v>0</v>
      </c>
      <c r="R278" s="1">
        <v>0</v>
      </c>
      <c r="S278" s="1">
        <f t="shared" si="42"/>
        <v>10000000000</v>
      </c>
      <c r="T278" s="1">
        <f>IFERROR(MATCH($C$36&amp;"|205",TAHSILAT!$U$7:$U$2503,0),0)</f>
        <v>0</v>
      </c>
      <c r="V278" s="1">
        <f t="shared" si="43"/>
        <v>10000000000</v>
      </c>
      <c r="W278" s="1">
        <f t="shared" si="44"/>
        <v>9</v>
      </c>
    </row>
    <row r="279" spans="2:23" ht="14.25" customHeight="1" x14ac:dyDescent="0.3">
      <c r="B279" s="65" t="str">
        <f t="shared" si="36"/>
        <v/>
      </c>
      <c r="C279" s="70" t="str">
        <f t="shared" si="37"/>
        <v/>
      </c>
      <c r="D279" s="74" t="str">
        <f t="shared" si="38"/>
        <v/>
      </c>
      <c r="F279" s="65" t="str">
        <f t="shared" si="39"/>
        <v/>
      </c>
      <c r="G279" s="68" t="str">
        <f t="shared" si="40"/>
        <v/>
      </c>
      <c r="H279" s="68" t="str">
        <f t="shared" si="41"/>
        <v/>
      </c>
      <c r="I279" s="68" t="str">
        <f t="shared" si="45"/>
        <v/>
      </c>
      <c r="M279" s="1">
        <v>242</v>
      </c>
      <c r="N279" s="1" t="str">
        <f>IF($T279=0,"",INDEX(TAHSILAT!$E$7:$E$2503,$T279))</f>
        <v/>
      </c>
      <c r="O279" s="1" t="str">
        <f>IF($N279="","",$C$36&amp;" – müşteriden tahsilat: "&amp;INDEX(TAHSILAT!$N$7:$N$2503,$T279)&amp;IF(INDEX(TAHSILAT!$J$7:$J$2503,$T279)="",""," – "&amp;INDEX(TAHSILAT!$J$7:$J$2503,$T279)))</f>
        <v/>
      </c>
      <c r="P279" s="1" t="str">
        <f t="shared" si="46"/>
        <v/>
      </c>
      <c r="Q279" s="1">
        <f>IF($N279="",0,INDEX(TAHSILAT!$F$7:$F$2503,$T279))</f>
        <v>0</v>
      </c>
      <c r="R279" s="1">
        <v>0</v>
      </c>
      <c r="S279" s="1">
        <f t="shared" si="42"/>
        <v>10000000000</v>
      </c>
      <c r="T279" s="1">
        <f>IFERROR(MATCH($C$36&amp;"|206",TAHSILAT!$U$7:$U$2503,0),0)</f>
        <v>0</v>
      </c>
      <c r="V279" s="1">
        <f t="shared" si="43"/>
        <v>10000000000</v>
      </c>
      <c r="W279" s="1">
        <f t="shared" si="44"/>
        <v>9</v>
      </c>
    </row>
    <row r="280" spans="2:23" ht="14.25" customHeight="1" x14ac:dyDescent="0.3">
      <c r="B280" s="65" t="str">
        <f t="shared" si="36"/>
        <v/>
      </c>
      <c r="C280" s="70" t="str">
        <f t="shared" si="37"/>
        <v/>
      </c>
      <c r="D280" s="74" t="str">
        <f t="shared" si="38"/>
        <v/>
      </c>
      <c r="F280" s="65" t="str">
        <f t="shared" si="39"/>
        <v/>
      </c>
      <c r="G280" s="68" t="str">
        <f t="shared" si="40"/>
        <v/>
      </c>
      <c r="H280" s="68" t="str">
        <f t="shared" si="41"/>
        <v/>
      </c>
      <c r="I280" s="68" t="str">
        <f t="shared" si="45"/>
        <v/>
      </c>
      <c r="M280" s="1">
        <v>243</v>
      </c>
      <c r="N280" s="1" t="str">
        <f>IF($T280=0,"",INDEX(TAHSILAT!$E$7:$E$2503,$T280))</f>
        <v/>
      </c>
      <c r="O280" s="1" t="str">
        <f>IF($N280="","",$C$36&amp;" – müşteriden tahsilat: "&amp;INDEX(TAHSILAT!$N$7:$N$2503,$T280)&amp;IF(INDEX(TAHSILAT!$J$7:$J$2503,$T280)="",""," – "&amp;INDEX(TAHSILAT!$J$7:$J$2503,$T280)))</f>
        <v/>
      </c>
      <c r="P280" s="1" t="str">
        <f t="shared" si="46"/>
        <v/>
      </c>
      <c r="Q280" s="1">
        <f>IF($N280="",0,INDEX(TAHSILAT!$F$7:$F$2503,$T280))</f>
        <v>0</v>
      </c>
      <c r="R280" s="1">
        <v>0</v>
      </c>
      <c r="S280" s="1">
        <f t="shared" si="42"/>
        <v>10000000000</v>
      </c>
      <c r="T280" s="1">
        <f>IFERROR(MATCH($C$36&amp;"|207",TAHSILAT!$U$7:$U$2503,0),0)</f>
        <v>0</v>
      </c>
      <c r="V280" s="1">
        <f t="shared" si="43"/>
        <v>10000000000</v>
      </c>
      <c r="W280" s="1">
        <f t="shared" si="44"/>
        <v>9</v>
      </c>
    </row>
    <row r="281" spans="2:23" ht="14.25" customHeight="1" x14ac:dyDescent="0.3">
      <c r="B281" s="65" t="str">
        <f t="shared" si="36"/>
        <v/>
      </c>
      <c r="C281" s="70" t="str">
        <f t="shared" si="37"/>
        <v/>
      </c>
      <c r="D281" s="74" t="str">
        <f t="shared" si="38"/>
        <v/>
      </c>
      <c r="F281" s="65" t="str">
        <f t="shared" si="39"/>
        <v/>
      </c>
      <c r="G281" s="68" t="str">
        <f t="shared" si="40"/>
        <v/>
      </c>
      <c r="H281" s="68" t="str">
        <f t="shared" si="41"/>
        <v/>
      </c>
      <c r="I281" s="68" t="str">
        <f t="shared" si="45"/>
        <v/>
      </c>
      <c r="M281" s="1">
        <v>244</v>
      </c>
      <c r="N281" s="1" t="str">
        <f>IF($T281=0,"",INDEX(TAHSILAT!$E$7:$E$2503,$T281))</f>
        <v/>
      </c>
      <c r="O281" s="1" t="str">
        <f>IF($N281="","",$C$36&amp;" – müşteriden tahsilat: "&amp;INDEX(TAHSILAT!$N$7:$N$2503,$T281)&amp;IF(INDEX(TAHSILAT!$J$7:$J$2503,$T281)="",""," – "&amp;INDEX(TAHSILAT!$J$7:$J$2503,$T281)))</f>
        <v/>
      </c>
      <c r="P281" s="1" t="str">
        <f t="shared" si="46"/>
        <v/>
      </c>
      <c r="Q281" s="1">
        <f>IF($N281="",0,INDEX(TAHSILAT!$F$7:$F$2503,$T281))</f>
        <v>0</v>
      </c>
      <c r="R281" s="1">
        <v>0</v>
      </c>
      <c r="S281" s="1">
        <f t="shared" si="42"/>
        <v>10000000000</v>
      </c>
      <c r="T281" s="1">
        <f>IFERROR(MATCH($C$36&amp;"|208",TAHSILAT!$U$7:$U$2503,0),0)</f>
        <v>0</v>
      </c>
      <c r="V281" s="1">
        <f t="shared" si="43"/>
        <v>10000000000</v>
      </c>
      <c r="W281" s="1">
        <f t="shared" si="44"/>
        <v>9</v>
      </c>
    </row>
    <row r="282" spans="2:23" ht="14.25" customHeight="1" x14ac:dyDescent="0.3">
      <c r="B282" s="65" t="str">
        <f t="shared" si="36"/>
        <v/>
      </c>
      <c r="C282" s="70" t="str">
        <f t="shared" si="37"/>
        <v/>
      </c>
      <c r="D282" s="74" t="str">
        <f t="shared" si="38"/>
        <v/>
      </c>
      <c r="F282" s="65" t="str">
        <f t="shared" si="39"/>
        <v/>
      </c>
      <c r="G282" s="68" t="str">
        <f t="shared" si="40"/>
        <v/>
      </c>
      <c r="H282" s="68" t="str">
        <f t="shared" si="41"/>
        <v/>
      </c>
      <c r="I282" s="68" t="str">
        <f t="shared" si="45"/>
        <v/>
      </c>
      <c r="M282" s="1">
        <v>245</v>
      </c>
      <c r="N282" s="1" t="str">
        <f>IF($T282=0,"",INDEX(TAHSILAT!$E$7:$E$2503,$T282))</f>
        <v/>
      </c>
      <c r="O282" s="1" t="str">
        <f>IF($N282="","",$C$36&amp;" – müşteriden tahsilat: "&amp;INDEX(TAHSILAT!$N$7:$N$2503,$T282)&amp;IF(INDEX(TAHSILAT!$J$7:$J$2503,$T282)="",""," – "&amp;INDEX(TAHSILAT!$J$7:$J$2503,$T282)))</f>
        <v/>
      </c>
      <c r="P282" s="1" t="str">
        <f t="shared" si="46"/>
        <v/>
      </c>
      <c r="Q282" s="1">
        <f>IF($N282="",0,INDEX(TAHSILAT!$F$7:$F$2503,$T282))</f>
        <v>0</v>
      </c>
      <c r="R282" s="1">
        <v>0</v>
      </c>
      <c r="S282" s="1">
        <f t="shared" si="42"/>
        <v>10000000000</v>
      </c>
      <c r="T282" s="1">
        <f>IFERROR(MATCH($C$36&amp;"|209",TAHSILAT!$U$7:$U$2503,0),0)</f>
        <v>0</v>
      </c>
      <c r="V282" s="1">
        <f t="shared" si="43"/>
        <v>10000000000</v>
      </c>
      <c r="W282" s="1">
        <f t="shared" si="44"/>
        <v>9</v>
      </c>
    </row>
    <row r="283" spans="2:23" ht="14.25" customHeight="1" x14ac:dyDescent="0.3">
      <c r="B283" s="65" t="str">
        <f t="shared" si="36"/>
        <v/>
      </c>
      <c r="C283" s="70" t="str">
        <f t="shared" si="37"/>
        <v/>
      </c>
      <c r="D283" s="74" t="str">
        <f t="shared" si="38"/>
        <v/>
      </c>
      <c r="F283" s="65" t="str">
        <f t="shared" si="39"/>
        <v/>
      </c>
      <c r="G283" s="68" t="str">
        <f t="shared" si="40"/>
        <v/>
      </c>
      <c r="H283" s="68" t="str">
        <f t="shared" si="41"/>
        <v/>
      </c>
      <c r="I283" s="68" t="str">
        <f t="shared" si="45"/>
        <v/>
      </c>
      <c r="M283" s="1">
        <v>246</v>
      </c>
      <c r="N283" s="1" t="str">
        <f>IF($T283=0,"",INDEX(TAHSILAT!$E$7:$E$2503,$T283))</f>
        <v/>
      </c>
      <c r="O283" s="1" t="str">
        <f>IF($N283="","",$C$36&amp;" – müşteriden tahsilat: "&amp;INDEX(TAHSILAT!$N$7:$N$2503,$T283)&amp;IF(INDEX(TAHSILAT!$J$7:$J$2503,$T283)="",""," – "&amp;INDEX(TAHSILAT!$J$7:$J$2503,$T283)))</f>
        <v/>
      </c>
      <c r="P283" s="1" t="str">
        <f t="shared" si="46"/>
        <v/>
      </c>
      <c r="Q283" s="1">
        <f>IF($N283="",0,INDEX(TAHSILAT!$F$7:$F$2503,$T283))</f>
        <v>0</v>
      </c>
      <c r="R283" s="1">
        <v>0</v>
      </c>
      <c r="S283" s="1">
        <f t="shared" si="42"/>
        <v>10000000000</v>
      </c>
      <c r="T283" s="1">
        <f>IFERROR(MATCH($C$36&amp;"|210",TAHSILAT!$U$7:$U$2503,0),0)</f>
        <v>0</v>
      </c>
      <c r="V283" s="1">
        <f t="shared" si="43"/>
        <v>10000000000</v>
      </c>
      <c r="W283" s="1">
        <f t="shared" si="44"/>
        <v>9</v>
      </c>
    </row>
    <row r="284" spans="2:23" ht="14.25" customHeight="1" x14ac:dyDescent="0.3">
      <c r="B284" s="65" t="str">
        <f t="shared" si="36"/>
        <v/>
      </c>
      <c r="C284" s="70" t="str">
        <f t="shared" si="37"/>
        <v/>
      </c>
      <c r="D284" s="74" t="str">
        <f t="shared" si="38"/>
        <v/>
      </c>
      <c r="F284" s="65" t="str">
        <f t="shared" si="39"/>
        <v/>
      </c>
      <c r="G284" s="68" t="str">
        <f t="shared" si="40"/>
        <v/>
      </c>
      <c r="H284" s="68" t="str">
        <f t="shared" si="41"/>
        <v/>
      </c>
      <c r="I284" s="68" t="str">
        <f t="shared" si="45"/>
        <v/>
      </c>
      <c r="M284" s="1">
        <v>247</v>
      </c>
      <c r="N284" s="1" t="str">
        <f>IF($T284=0,"",INDEX(TAHSILAT!$E$7:$E$2503,$T284))</f>
        <v/>
      </c>
      <c r="O284" s="1" t="str">
        <f>IF($N284="","",$C$36&amp;" – müşteriden tahsilat: "&amp;INDEX(TAHSILAT!$N$7:$N$2503,$T284)&amp;IF(INDEX(TAHSILAT!$J$7:$J$2503,$T284)="",""," – "&amp;INDEX(TAHSILAT!$J$7:$J$2503,$T284)))</f>
        <v/>
      </c>
      <c r="P284" s="1" t="str">
        <f t="shared" si="46"/>
        <v/>
      </c>
      <c r="Q284" s="1">
        <f>IF($N284="",0,INDEX(TAHSILAT!$F$7:$F$2503,$T284))</f>
        <v>0</v>
      </c>
      <c r="R284" s="1">
        <v>0</v>
      </c>
      <c r="S284" s="1">
        <f t="shared" si="42"/>
        <v>10000000000</v>
      </c>
      <c r="T284" s="1">
        <f>IFERROR(MATCH($C$36&amp;"|211",TAHSILAT!$U$7:$U$2503,0),0)</f>
        <v>0</v>
      </c>
      <c r="V284" s="1">
        <f t="shared" si="43"/>
        <v>10000000000</v>
      </c>
      <c r="W284" s="1">
        <f t="shared" si="44"/>
        <v>9</v>
      </c>
    </row>
    <row r="285" spans="2:23" ht="14.25" customHeight="1" x14ac:dyDescent="0.3">
      <c r="B285" s="65" t="str">
        <f t="shared" si="36"/>
        <v/>
      </c>
      <c r="C285" s="70" t="str">
        <f t="shared" si="37"/>
        <v/>
      </c>
      <c r="D285" s="74" t="str">
        <f t="shared" si="38"/>
        <v/>
      </c>
      <c r="F285" s="65" t="str">
        <f t="shared" si="39"/>
        <v/>
      </c>
      <c r="G285" s="68" t="str">
        <f t="shared" si="40"/>
        <v/>
      </c>
      <c r="H285" s="68" t="str">
        <f t="shared" si="41"/>
        <v/>
      </c>
      <c r="I285" s="68" t="str">
        <f t="shared" si="45"/>
        <v/>
      </c>
      <c r="M285" s="1">
        <v>248</v>
      </c>
      <c r="N285" s="1" t="str">
        <f>IF($T285=0,"",INDEX(TAHSILAT!$E$7:$E$2503,$T285))</f>
        <v/>
      </c>
      <c r="O285" s="1" t="str">
        <f>IF($N285="","",$C$36&amp;" – müşteriden tahsilat: "&amp;INDEX(TAHSILAT!$N$7:$N$2503,$T285)&amp;IF(INDEX(TAHSILAT!$J$7:$J$2503,$T285)="",""," – "&amp;INDEX(TAHSILAT!$J$7:$J$2503,$T285)))</f>
        <v/>
      </c>
      <c r="P285" s="1" t="str">
        <f t="shared" si="46"/>
        <v/>
      </c>
      <c r="Q285" s="1">
        <f>IF($N285="",0,INDEX(TAHSILAT!$F$7:$F$2503,$T285))</f>
        <v>0</v>
      </c>
      <c r="R285" s="1">
        <v>0</v>
      </c>
      <c r="S285" s="1">
        <f t="shared" si="42"/>
        <v>10000000000</v>
      </c>
      <c r="T285" s="1">
        <f>IFERROR(MATCH($C$36&amp;"|212",TAHSILAT!$U$7:$U$2503,0),0)</f>
        <v>0</v>
      </c>
      <c r="V285" s="1">
        <f t="shared" si="43"/>
        <v>10000000000</v>
      </c>
      <c r="W285" s="1">
        <f t="shared" si="44"/>
        <v>9</v>
      </c>
    </row>
    <row r="286" spans="2:23" ht="14.25" customHeight="1" x14ac:dyDescent="0.3">
      <c r="B286" s="65" t="str">
        <f t="shared" si="36"/>
        <v/>
      </c>
      <c r="C286" s="70" t="str">
        <f t="shared" si="37"/>
        <v/>
      </c>
      <c r="D286" s="74" t="str">
        <f t="shared" si="38"/>
        <v/>
      </c>
      <c r="F286" s="65" t="str">
        <f t="shared" si="39"/>
        <v/>
      </c>
      <c r="G286" s="68" t="str">
        <f t="shared" si="40"/>
        <v/>
      </c>
      <c r="H286" s="68" t="str">
        <f t="shared" si="41"/>
        <v/>
      </c>
      <c r="I286" s="68" t="str">
        <f t="shared" si="45"/>
        <v/>
      </c>
      <c r="M286" s="1">
        <v>249</v>
      </c>
      <c r="N286" s="1" t="str">
        <f>IF($T286=0,"",INDEX(TAHSILAT!$E$7:$E$2503,$T286))</f>
        <v/>
      </c>
      <c r="O286" s="1" t="str">
        <f>IF($N286="","",$C$36&amp;" – müşteriden tahsilat: "&amp;INDEX(TAHSILAT!$N$7:$N$2503,$T286)&amp;IF(INDEX(TAHSILAT!$J$7:$J$2503,$T286)="",""," – "&amp;INDEX(TAHSILAT!$J$7:$J$2503,$T286)))</f>
        <v/>
      </c>
      <c r="P286" s="1" t="str">
        <f t="shared" si="46"/>
        <v/>
      </c>
      <c r="Q286" s="1">
        <f>IF($N286="",0,INDEX(TAHSILAT!$F$7:$F$2503,$T286))</f>
        <v>0</v>
      </c>
      <c r="R286" s="1">
        <v>0</v>
      </c>
      <c r="S286" s="1">
        <f t="shared" si="42"/>
        <v>10000000000</v>
      </c>
      <c r="T286" s="1">
        <f>IFERROR(MATCH($C$36&amp;"|213",TAHSILAT!$U$7:$U$2503,0),0)</f>
        <v>0</v>
      </c>
      <c r="V286" s="1">
        <f t="shared" si="43"/>
        <v>10000000000</v>
      </c>
      <c r="W286" s="1">
        <f t="shared" si="44"/>
        <v>9</v>
      </c>
    </row>
    <row r="287" spans="2:23" ht="14.25" customHeight="1" x14ac:dyDescent="0.3">
      <c r="B287" s="65" t="str">
        <f t="shared" si="36"/>
        <v/>
      </c>
      <c r="C287" s="70" t="str">
        <f t="shared" si="37"/>
        <v/>
      </c>
      <c r="D287" s="74" t="str">
        <f t="shared" si="38"/>
        <v/>
      </c>
      <c r="F287" s="65" t="str">
        <f t="shared" si="39"/>
        <v/>
      </c>
      <c r="G287" s="68" t="str">
        <f t="shared" si="40"/>
        <v/>
      </c>
      <c r="H287" s="68" t="str">
        <f t="shared" si="41"/>
        <v/>
      </c>
      <c r="I287" s="68" t="str">
        <f t="shared" si="45"/>
        <v/>
      </c>
      <c r="M287" s="1">
        <v>250</v>
      </c>
      <c r="N287" s="1" t="str">
        <f>IF($T287=0,"",INDEX(TAHSILAT!$E$7:$E$2503,$T287))</f>
        <v/>
      </c>
      <c r="O287" s="1" t="str">
        <f>IF($N287="","",$C$36&amp;" – müşteriden tahsilat: "&amp;INDEX(TAHSILAT!$N$7:$N$2503,$T287)&amp;IF(INDEX(TAHSILAT!$J$7:$J$2503,$T287)="",""," – "&amp;INDEX(TAHSILAT!$J$7:$J$2503,$T287)))</f>
        <v/>
      </c>
      <c r="P287" s="1" t="str">
        <f t="shared" si="46"/>
        <v/>
      </c>
      <c r="Q287" s="1">
        <f>IF($N287="",0,INDEX(TAHSILAT!$F$7:$F$2503,$T287))</f>
        <v>0</v>
      </c>
      <c r="R287" s="1">
        <v>0</v>
      </c>
      <c r="S287" s="1">
        <f t="shared" si="42"/>
        <v>10000000000</v>
      </c>
      <c r="T287" s="1">
        <f>IFERROR(MATCH($C$36&amp;"|214",TAHSILAT!$U$7:$U$2503,0),0)</f>
        <v>0</v>
      </c>
      <c r="V287" s="1">
        <f t="shared" si="43"/>
        <v>10000000000</v>
      </c>
      <c r="W287" s="1">
        <f t="shared" si="44"/>
        <v>9</v>
      </c>
    </row>
    <row r="288" spans="2:23" ht="14.25" customHeight="1" x14ac:dyDescent="0.3">
      <c r="B288" s="65" t="str">
        <f t="shared" si="36"/>
        <v/>
      </c>
      <c r="C288" s="70" t="str">
        <f t="shared" si="37"/>
        <v/>
      </c>
      <c r="D288" s="74" t="str">
        <f t="shared" si="38"/>
        <v/>
      </c>
      <c r="F288" s="65" t="str">
        <f t="shared" si="39"/>
        <v/>
      </c>
      <c r="G288" s="68" t="str">
        <f t="shared" si="40"/>
        <v/>
      </c>
      <c r="H288" s="68" t="str">
        <f t="shared" si="41"/>
        <v/>
      </c>
      <c r="I288" s="68" t="str">
        <f t="shared" si="45"/>
        <v/>
      </c>
      <c r="M288" s="1">
        <v>251</v>
      </c>
      <c r="N288" s="1" t="str">
        <f>IF($T288=0,"",INDEX(TAHSILAT!$E$7:$E$2503,$T288))</f>
        <v/>
      </c>
      <c r="O288" s="1" t="str">
        <f>IF($N288="","",$C$36&amp;" – müşteriden tahsilat: "&amp;INDEX(TAHSILAT!$N$7:$N$2503,$T288)&amp;IF(INDEX(TAHSILAT!$J$7:$J$2503,$T288)="",""," – "&amp;INDEX(TAHSILAT!$J$7:$J$2503,$T288)))</f>
        <v/>
      </c>
      <c r="P288" s="1" t="str">
        <f t="shared" si="46"/>
        <v/>
      </c>
      <c r="Q288" s="1">
        <f>IF($N288="",0,INDEX(TAHSILAT!$F$7:$F$2503,$T288))</f>
        <v>0</v>
      </c>
      <c r="R288" s="1">
        <v>0</v>
      </c>
      <c r="S288" s="1">
        <f t="shared" si="42"/>
        <v>10000000000</v>
      </c>
      <c r="T288" s="1">
        <f>IFERROR(MATCH($C$36&amp;"|215",TAHSILAT!$U$7:$U$2503,0),0)</f>
        <v>0</v>
      </c>
      <c r="V288" s="1">
        <f t="shared" si="43"/>
        <v>10000000000</v>
      </c>
      <c r="W288" s="1">
        <f t="shared" si="44"/>
        <v>9</v>
      </c>
    </row>
    <row r="289" spans="2:23" ht="14.25" customHeight="1" x14ac:dyDescent="0.3">
      <c r="B289" s="65" t="str">
        <f t="shared" si="36"/>
        <v/>
      </c>
      <c r="C289" s="70" t="str">
        <f t="shared" si="37"/>
        <v/>
      </c>
      <c r="D289" s="74" t="str">
        <f t="shared" si="38"/>
        <v/>
      </c>
      <c r="F289" s="65" t="str">
        <f t="shared" si="39"/>
        <v/>
      </c>
      <c r="G289" s="68" t="str">
        <f t="shared" si="40"/>
        <v/>
      </c>
      <c r="H289" s="68" t="str">
        <f t="shared" si="41"/>
        <v/>
      </c>
      <c r="I289" s="68" t="str">
        <f t="shared" si="45"/>
        <v/>
      </c>
      <c r="M289" s="1">
        <v>252</v>
      </c>
      <c r="N289" s="1" t="str">
        <f>IF($T289=0,"",INDEX(TAHSILAT!$E$7:$E$2503,$T289))</f>
        <v/>
      </c>
      <c r="O289" s="1" t="str">
        <f>IF($N289="","",$C$36&amp;" – müşteriden tahsilat: "&amp;INDEX(TAHSILAT!$N$7:$N$2503,$T289)&amp;IF(INDEX(TAHSILAT!$J$7:$J$2503,$T289)="",""," – "&amp;INDEX(TAHSILAT!$J$7:$J$2503,$T289)))</f>
        <v/>
      </c>
      <c r="P289" s="1" t="str">
        <f t="shared" si="46"/>
        <v/>
      </c>
      <c r="Q289" s="1">
        <f>IF($N289="",0,INDEX(TAHSILAT!$F$7:$F$2503,$T289))</f>
        <v>0</v>
      </c>
      <c r="R289" s="1">
        <v>0</v>
      </c>
      <c r="S289" s="1">
        <f t="shared" si="42"/>
        <v>10000000000</v>
      </c>
      <c r="T289" s="1">
        <f>IFERROR(MATCH($C$36&amp;"|216",TAHSILAT!$U$7:$U$2503,0),0)</f>
        <v>0</v>
      </c>
      <c r="V289" s="1">
        <f t="shared" si="43"/>
        <v>10000000000</v>
      </c>
      <c r="W289" s="1">
        <f t="shared" si="44"/>
        <v>9</v>
      </c>
    </row>
    <row r="290" spans="2:23" ht="14.25" customHeight="1" x14ac:dyDescent="0.3">
      <c r="B290" s="65" t="str">
        <f t="shared" si="36"/>
        <v/>
      </c>
      <c r="C290" s="70" t="str">
        <f t="shared" si="37"/>
        <v/>
      </c>
      <c r="D290" s="74" t="str">
        <f t="shared" si="38"/>
        <v/>
      </c>
      <c r="F290" s="65" t="str">
        <f t="shared" si="39"/>
        <v/>
      </c>
      <c r="G290" s="68" t="str">
        <f t="shared" si="40"/>
        <v/>
      </c>
      <c r="H290" s="68" t="str">
        <f t="shared" si="41"/>
        <v/>
      </c>
      <c r="I290" s="68" t="str">
        <f t="shared" si="45"/>
        <v/>
      </c>
      <c r="M290" s="1">
        <v>253</v>
      </c>
      <c r="N290" s="1" t="str">
        <f>IF($T290=0,"",INDEX(TAHSILAT!$E$7:$E$2503,$T290))</f>
        <v/>
      </c>
      <c r="O290" s="1" t="str">
        <f>IF($N290="","",$C$36&amp;" – müşteriden tahsilat: "&amp;INDEX(TAHSILAT!$N$7:$N$2503,$T290)&amp;IF(INDEX(TAHSILAT!$J$7:$J$2503,$T290)="",""," – "&amp;INDEX(TAHSILAT!$J$7:$J$2503,$T290)))</f>
        <v/>
      </c>
      <c r="P290" s="1" t="str">
        <f t="shared" si="46"/>
        <v/>
      </c>
      <c r="Q290" s="1">
        <f>IF($N290="",0,INDEX(TAHSILAT!$F$7:$F$2503,$T290))</f>
        <v>0</v>
      </c>
      <c r="R290" s="1">
        <v>0</v>
      </c>
      <c r="S290" s="1">
        <f t="shared" si="42"/>
        <v>10000000000</v>
      </c>
      <c r="T290" s="1">
        <f>IFERROR(MATCH($C$36&amp;"|217",TAHSILAT!$U$7:$U$2503,0),0)</f>
        <v>0</v>
      </c>
      <c r="V290" s="1">
        <f t="shared" si="43"/>
        <v>10000000000</v>
      </c>
      <c r="W290" s="1">
        <f t="shared" si="44"/>
        <v>9</v>
      </c>
    </row>
    <row r="291" spans="2:23" ht="14.25" customHeight="1" x14ac:dyDescent="0.3">
      <c r="B291" s="65" t="str">
        <f t="shared" si="36"/>
        <v/>
      </c>
      <c r="C291" s="70" t="str">
        <f t="shared" si="37"/>
        <v/>
      </c>
      <c r="D291" s="74" t="str">
        <f t="shared" si="38"/>
        <v/>
      </c>
      <c r="F291" s="65" t="str">
        <f t="shared" si="39"/>
        <v/>
      </c>
      <c r="G291" s="68" t="str">
        <f t="shared" si="40"/>
        <v/>
      </c>
      <c r="H291" s="68" t="str">
        <f t="shared" si="41"/>
        <v/>
      </c>
      <c r="I291" s="68" t="str">
        <f t="shared" si="45"/>
        <v/>
      </c>
      <c r="M291" s="1">
        <v>254</v>
      </c>
      <c r="N291" s="1" t="str">
        <f>IF($T291=0,"",INDEX(TAHSILAT!$E$7:$E$2503,$T291))</f>
        <v/>
      </c>
      <c r="O291" s="1" t="str">
        <f>IF($N291="","",$C$36&amp;" – müşteriden tahsilat: "&amp;INDEX(TAHSILAT!$N$7:$N$2503,$T291)&amp;IF(INDEX(TAHSILAT!$J$7:$J$2503,$T291)="",""," – "&amp;INDEX(TAHSILAT!$J$7:$J$2503,$T291)))</f>
        <v/>
      </c>
      <c r="P291" s="1" t="str">
        <f t="shared" si="46"/>
        <v/>
      </c>
      <c r="Q291" s="1">
        <f>IF($N291="",0,INDEX(TAHSILAT!$F$7:$F$2503,$T291))</f>
        <v>0</v>
      </c>
      <c r="R291" s="1">
        <v>0</v>
      </c>
      <c r="S291" s="1">
        <f t="shared" si="42"/>
        <v>10000000000</v>
      </c>
      <c r="T291" s="1">
        <f>IFERROR(MATCH($C$36&amp;"|218",TAHSILAT!$U$7:$U$2503,0),0)</f>
        <v>0</v>
      </c>
      <c r="V291" s="1">
        <f t="shared" si="43"/>
        <v>10000000000</v>
      </c>
      <c r="W291" s="1">
        <f t="shared" si="44"/>
        <v>9</v>
      </c>
    </row>
    <row r="292" spans="2:23" ht="14.25" customHeight="1" x14ac:dyDescent="0.3">
      <c r="B292" s="65" t="str">
        <f t="shared" si="36"/>
        <v/>
      </c>
      <c r="C292" s="70" t="str">
        <f t="shared" si="37"/>
        <v/>
      </c>
      <c r="D292" s="74" t="str">
        <f t="shared" si="38"/>
        <v/>
      </c>
      <c r="F292" s="65" t="str">
        <f t="shared" si="39"/>
        <v/>
      </c>
      <c r="G292" s="68" t="str">
        <f t="shared" si="40"/>
        <v/>
      </c>
      <c r="H292" s="68" t="str">
        <f t="shared" si="41"/>
        <v/>
      </c>
      <c r="I292" s="68" t="str">
        <f t="shared" si="45"/>
        <v/>
      </c>
      <c r="M292" s="1">
        <v>255</v>
      </c>
      <c r="N292" s="1" t="str">
        <f>IF($T292=0,"",INDEX(TAHSILAT!$E$7:$E$2503,$T292))</f>
        <v/>
      </c>
      <c r="O292" s="1" t="str">
        <f>IF($N292="","",$C$36&amp;" – müşteriden tahsilat: "&amp;INDEX(TAHSILAT!$N$7:$N$2503,$T292)&amp;IF(INDEX(TAHSILAT!$J$7:$J$2503,$T292)="",""," – "&amp;INDEX(TAHSILAT!$J$7:$J$2503,$T292)))</f>
        <v/>
      </c>
      <c r="P292" s="1" t="str">
        <f t="shared" si="46"/>
        <v/>
      </c>
      <c r="Q292" s="1">
        <f>IF($N292="",0,INDEX(TAHSILAT!$F$7:$F$2503,$T292))</f>
        <v>0</v>
      </c>
      <c r="R292" s="1">
        <v>0</v>
      </c>
      <c r="S292" s="1">
        <f t="shared" si="42"/>
        <v>10000000000</v>
      </c>
      <c r="T292" s="1">
        <f>IFERROR(MATCH($C$36&amp;"|219",TAHSILAT!$U$7:$U$2503,0),0)</f>
        <v>0</v>
      </c>
      <c r="V292" s="1">
        <f t="shared" si="43"/>
        <v>10000000000</v>
      </c>
      <c r="W292" s="1">
        <f t="shared" si="44"/>
        <v>9</v>
      </c>
    </row>
    <row r="293" spans="2:23" ht="14.25" customHeight="1" x14ac:dyDescent="0.3">
      <c r="B293" s="65" t="str">
        <f t="shared" si="36"/>
        <v/>
      </c>
      <c r="C293" s="70" t="str">
        <f t="shared" si="37"/>
        <v/>
      </c>
      <c r="D293" s="74" t="str">
        <f t="shared" si="38"/>
        <v/>
      </c>
      <c r="F293" s="65" t="str">
        <f t="shared" si="39"/>
        <v/>
      </c>
      <c r="G293" s="68" t="str">
        <f t="shared" si="40"/>
        <v/>
      </c>
      <c r="H293" s="68" t="str">
        <f t="shared" si="41"/>
        <v/>
      </c>
      <c r="I293" s="68" t="str">
        <f t="shared" si="45"/>
        <v/>
      </c>
      <c r="M293" s="1">
        <v>256</v>
      </c>
      <c r="N293" s="1" t="str">
        <f>IF($T293=0,"",INDEX(TAHSILAT!$E$7:$E$2503,$T293))</f>
        <v/>
      </c>
      <c r="O293" s="1" t="str">
        <f>IF($N293="","",$C$36&amp;" – müşteriden tahsilat: "&amp;INDEX(TAHSILAT!$N$7:$N$2503,$T293)&amp;IF(INDEX(TAHSILAT!$J$7:$J$2503,$T293)="",""," – "&amp;INDEX(TAHSILAT!$J$7:$J$2503,$T293)))</f>
        <v/>
      </c>
      <c r="P293" s="1" t="str">
        <f t="shared" si="46"/>
        <v/>
      </c>
      <c r="Q293" s="1">
        <f>IF($N293="",0,INDEX(TAHSILAT!$F$7:$F$2503,$T293))</f>
        <v>0</v>
      </c>
      <c r="R293" s="1">
        <v>0</v>
      </c>
      <c r="S293" s="1">
        <f t="shared" si="42"/>
        <v>10000000000</v>
      </c>
      <c r="T293" s="1">
        <f>IFERROR(MATCH($C$36&amp;"|220",TAHSILAT!$U$7:$U$2503,0),0)</f>
        <v>0</v>
      </c>
      <c r="V293" s="1">
        <f t="shared" si="43"/>
        <v>10000000000</v>
      </c>
      <c r="W293" s="1">
        <f t="shared" si="44"/>
        <v>9</v>
      </c>
    </row>
    <row r="294" spans="2:23" ht="14.25" customHeight="1" x14ac:dyDescent="0.3">
      <c r="B294" s="65" t="str">
        <f t="shared" ref="B294:B357" si="47">IF($C294="","",ROW()-37)</f>
        <v/>
      </c>
      <c r="C294" s="70" t="str">
        <f t="shared" ref="C294:C357" si="48">IF($W294="","",IF(INDEX($N$38:$N$953,$W294)="","",INDEX($N$38:$N$953,$W294)))</f>
        <v/>
      </c>
      <c r="D294" s="74" t="str">
        <f t="shared" ref="D294:D357" si="49">IF($C294="","",INDEX($O$38:$O$953,$W294))</f>
        <v/>
      </c>
      <c r="F294" s="65" t="str">
        <f t="shared" ref="F294:F357" si="50">IF($C294="","",INDEX($P$38:$P$953,$W294))</f>
        <v/>
      </c>
      <c r="G294" s="68" t="str">
        <f t="shared" ref="G294:G357" si="51">IF($C294="","",INDEX($Q$38:$Q$953,$W294))</f>
        <v/>
      </c>
      <c r="H294" s="68" t="str">
        <f t="shared" ref="H294:H357" si="52">IF($C294="","",INDEX($R$38:$R$953,$W294))</f>
        <v/>
      </c>
      <c r="I294" s="68" t="str">
        <f t="shared" si="45"/>
        <v/>
      </c>
      <c r="M294" s="1">
        <v>257</v>
      </c>
      <c r="N294" s="1" t="str">
        <f>IF($T294=0,"",INDEX(TAHSILAT!$E$7:$E$2503,$T294))</f>
        <v/>
      </c>
      <c r="O294" s="1" t="str">
        <f>IF($N294="","",$C$36&amp;" – müşteriden tahsilat: "&amp;INDEX(TAHSILAT!$N$7:$N$2503,$T294)&amp;IF(INDEX(TAHSILAT!$J$7:$J$2503,$T294)="",""," – "&amp;INDEX(TAHSILAT!$J$7:$J$2503,$T294)))</f>
        <v/>
      </c>
      <c r="P294" s="1" t="str">
        <f t="shared" si="46"/>
        <v/>
      </c>
      <c r="Q294" s="1">
        <f>IF($N294="",0,INDEX(TAHSILAT!$F$7:$F$2503,$T294))</f>
        <v>0</v>
      </c>
      <c r="R294" s="1">
        <v>0</v>
      </c>
      <c r="S294" s="1">
        <f t="shared" ref="S294:S357" si="53">IF($N294="",10000000000,$N294*100000+$M294)</f>
        <v>10000000000</v>
      </c>
      <c r="T294" s="1">
        <f>IFERROR(MATCH($C$36&amp;"|221",TAHSILAT!$U$7:$U$2503,0),0)</f>
        <v>0</v>
      </c>
      <c r="V294" s="1">
        <f t="shared" ref="V294:V357" si="54">IFERROR(SMALL($S$38:$S$953,ROW()-37),"")</f>
        <v>10000000000</v>
      </c>
      <c r="W294" s="1">
        <f t="shared" ref="W294:W357" si="55">IFERROR(MATCH($V294,$S$38:$S$953,0),"")</f>
        <v>9</v>
      </c>
    </row>
    <row r="295" spans="2:23" ht="14.25" customHeight="1" x14ac:dyDescent="0.3">
      <c r="B295" s="65" t="str">
        <f t="shared" si="47"/>
        <v/>
      </c>
      <c r="C295" s="70" t="str">
        <f t="shared" si="48"/>
        <v/>
      </c>
      <c r="D295" s="74" t="str">
        <f t="shared" si="49"/>
        <v/>
      </c>
      <c r="F295" s="65" t="str">
        <f t="shared" si="50"/>
        <v/>
      </c>
      <c r="G295" s="68" t="str">
        <f t="shared" si="51"/>
        <v/>
      </c>
      <c r="H295" s="68" t="str">
        <f t="shared" si="52"/>
        <v/>
      </c>
      <c r="I295" s="68" t="str">
        <f t="shared" ref="I295:I358" si="56">IF($C295="","",N($I294)+$G295-$H295)</f>
        <v/>
      </c>
      <c r="M295" s="1">
        <v>258</v>
      </c>
      <c r="N295" s="1" t="str">
        <f>IF($T295=0,"",INDEX(TAHSILAT!$E$7:$E$2503,$T295))</f>
        <v/>
      </c>
      <c r="O295" s="1" t="str">
        <f>IF($N295="","",$C$36&amp;" – müşteriden tahsilat: "&amp;INDEX(TAHSILAT!$N$7:$N$2503,$T295)&amp;IF(INDEX(TAHSILAT!$J$7:$J$2503,$T295)="",""," – "&amp;INDEX(TAHSILAT!$J$7:$J$2503,$T295)))</f>
        <v/>
      </c>
      <c r="P295" s="1" t="str">
        <f t="shared" si="46"/>
        <v/>
      </c>
      <c r="Q295" s="1">
        <f>IF($N295="",0,INDEX(TAHSILAT!$F$7:$F$2503,$T295))</f>
        <v>0</v>
      </c>
      <c r="R295" s="1">
        <v>0</v>
      </c>
      <c r="S295" s="1">
        <f t="shared" si="53"/>
        <v>10000000000</v>
      </c>
      <c r="T295" s="1">
        <f>IFERROR(MATCH($C$36&amp;"|222",TAHSILAT!$U$7:$U$2503,0),0)</f>
        <v>0</v>
      </c>
      <c r="V295" s="1">
        <f t="shared" si="54"/>
        <v>10000000000</v>
      </c>
      <c r="W295" s="1">
        <f t="shared" si="55"/>
        <v>9</v>
      </c>
    </row>
    <row r="296" spans="2:23" ht="14.25" customHeight="1" x14ac:dyDescent="0.3">
      <c r="B296" s="65" t="str">
        <f t="shared" si="47"/>
        <v/>
      </c>
      <c r="C296" s="70" t="str">
        <f t="shared" si="48"/>
        <v/>
      </c>
      <c r="D296" s="74" t="str">
        <f t="shared" si="49"/>
        <v/>
      </c>
      <c r="F296" s="65" t="str">
        <f t="shared" si="50"/>
        <v/>
      </c>
      <c r="G296" s="68" t="str">
        <f t="shared" si="51"/>
        <v/>
      </c>
      <c r="H296" s="68" t="str">
        <f t="shared" si="52"/>
        <v/>
      </c>
      <c r="I296" s="68" t="str">
        <f t="shared" si="56"/>
        <v/>
      </c>
      <c r="M296" s="1">
        <v>259</v>
      </c>
      <c r="N296" s="1" t="str">
        <f>IF($T296=0,"",INDEX(TAHSILAT!$E$7:$E$2503,$T296))</f>
        <v/>
      </c>
      <c r="O296" s="1" t="str">
        <f>IF($N296="","",$C$36&amp;" – müşteriden tahsilat: "&amp;INDEX(TAHSILAT!$N$7:$N$2503,$T296)&amp;IF(INDEX(TAHSILAT!$J$7:$J$2503,$T296)="",""," – "&amp;INDEX(TAHSILAT!$J$7:$J$2503,$T296)))</f>
        <v/>
      </c>
      <c r="P296" s="1" t="str">
        <f t="shared" si="46"/>
        <v/>
      </c>
      <c r="Q296" s="1">
        <f>IF($N296="",0,INDEX(TAHSILAT!$F$7:$F$2503,$T296))</f>
        <v>0</v>
      </c>
      <c r="R296" s="1">
        <v>0</v>
      </c>
      <c r="S296" s="1">
        <f t="shared" si="53"/>
        <v>10000000000</v>
      </c>
      <c r="T296" s="1">
        <f>IFERROR(MATCH($C$36&amp;"|223",TAHSILAT!$U$7:$U$2503,0),0)</f>
        <v>0</v>
      </c>
      <c r="V296" s="1">
        <f t="shared" si="54"/>
        <v>10000000000</v>
      </c>
      <c r="W296" s="1">
        <f t="shared" si="55"/>
        <v>9</v>
      </c>
    </row>
    <row r="297" spans="2:23" ht="14.25" customHeight="1" x14ac:dyDescent="0.3">
      <c r="B297" s="65" t="str">
        <f t="shared" si="47"/>
        <v/>
      </c>
      <c r="C297" s="70" t="str">
        <f t="shared" si="48"/>
        <v/>
      </c>
      <c r="D297" s="74" t="str">
        <f t="shared" si="49"/>
        <v/>
      </c>
      <c r="F297" s="65" t="str">
        <f t="shared" si="50"/>
        <v/>
      </c>
      <c r="G297" s="68" t="str">
        <f t="shared" si="51"/>
        <v/>
      </c>
      <c r="H297" s="68" t="str">
        <f t="shared" si="52"/>
        <v/>
      </c>
      <c r="I297" s="68" t="str">
        <f t="shared" si="56"/>
        <v/>
      </c>
      <c r="M297" s="1">
        <v>260</v>
      </c>
      <c r="N297" s="1" t="str">
        <f>IF($T297=0,"",INDEX(TAHSILAT!$E$7:$E$2503,$T297))</f>
        <v/>
      </c>
      <c r="O297" s="1" t="str">
        <f>IF($N297="","",$C$36&amp;" – müşteriden tahsilat: "&amp;INDEX(TAHSILAT!$N$7:$N$2503,$T297)&amp;IF(INDEX(TAHSILAT!$J$7:$J$2503,$T297)="",""," – "&amp;INDEX(TAHSILAT!$J$7:$J$2503,$T297)))</f>
        <v/>
      </c>
      <c r="P297" s="1" t="str">
        <f t="shared" si="46"/>
        <v/>
      </c>
      <c r="Q297" s="1">
        <f>IF($N297="",0,INDEX(TAHSILAT!$F$7:$F$2503,$T297))</f>
        <v>0</v>
      </c>
      <c r="R297" s="1">
        <v>0</v>
      </c>
      <c r="S297" s="1">
        <f t="shared" si="53"/>
        <v>10000000000</v>
      </c>
      <c r="T297" s="1">
        <f>IFERROR(MATCH($C$36&amp;"|224",TAHSILAT!$U$7:$U$2503,0),0)</f>
        <v>0</v>
      </c>
      <c r="V297" s="1">
        <f t="shared" si="54"/>
        <v>10000000000</v>
      </c>
      <c r="W297" s="1">
        <f t="shared" si="55"/>
        <v>9</v>
      </c>
    </row>
    <row r="298" spans="2:23" ht="14.25" customHeight="1" x14ac:dyDescent="0.3">
      <c r="B298" s="65" t="str">
        <f t="shared" si="47"/>
        <v/>
      </c>
      <c r="C298" s="70" t="str">
        <f t="shared" si="48"/>
        <v/>
      </c>
      <c r="D298" s="74" t="str">
        <f t="shared" si="49"/>
        <v/>
      </c>
      <c r="F298" s="65" t="str">
        <f t="shared" si="50"/>
        <v/>
      </c>
      <c r="G298" s="68" t="str">
        <f t="shared" si="51"/>
        <v/>
      </c>
      <c r="H298" s="68" t="str">
        <f t="shared" si="52"/>
        <v/>
      </c>
      <c r="I298" s="68" t="str">
        <f t="shared" si="56"/>
        <v/>
      </c>
      <c r="M298" s="1">
        <v>261</v>
      </c>
      <c r="N298" s="1" t="str">
        <f>IF($T298=0,"",INDEX(TAHSILAT!$E$7:$E$2503,$T298))</f>
        <v/>
      </c>
      <c r="O298" s="1" t="str">
        <f>IF($N298="","",$C$36&amp;" – müşteriden tahsilat: "&amp;INDEX(TAHSILAT!$N$7:$N$2503,$T298)&amp;IF(INDEX(TAHSILAT!$J$7:$J$2503,$T298)="",""," – "&amp;INDEX(TAHSILAT!$J$7:$J$2503,$T298)))</f>
        <v/>
      </c>
      <c r="P298" s="1" t="str">
        <f t="shared" si="46"/>
        <v/>
      </c>
      <c r="Q298" s="1">
        <f>IF($N298="",0,INDEX(TAHSILAT!$F$7:$F$2503,$T298))</f>
        <v>0</v>
      </c>
      <c r="R298" s="1">
        <v>0</v>
      </c>
      <c r="S298" s="1">
        <f t="shared" si="53"/>
        <v>10000000000</v>
      </c>
      <c r="T298" s="1">
        <f>IFERROR(MATCH($C$36&amp;"|225",TAHSILAT!$U$7:$U$2503,0),0)</f>
        <v>0</v>
      </c>
      <c r="V298" s="1">
        <f t="shared" si="54"/>
        <v>10000000000</v>
      </c>
      <c r="W298" s="1">
        <f t="shared" si="55"/>
        <v>9</v>
      </c>
    </row>
    <row r="299" spans="2:23" ht="14.25" customHeight="1" x14ac:dyDescent="0.3">
      <c r="B299" s="65" t="str">
        <f t="shared" si="47"/>
        <v/>
      </c>
      <c r="C299" s="70" t="str">
        <f t="shared" si="48"/>
        <v/>
      </c>
      <c r="D299" s="74" t="str">
        <f t="shared" si="49"/>
        <v/>
      </c>
      <c r="F299" s="65" t="str">
        <f t="shared" si="50"/>
        <v/>
      </c>
      <c r="G299" s="68" t="str">
        <f t="shared" si="51"/>
        <v/>
      </c>
      <c r="H299" s="68" t="str">
        <f t="shared" si="52"/>
        <v/>
      </c>
      <c r="I299" s="68" t="str">
        <f t="shared" si="56"/>
        <v/>
      </c>
      <c r="M299" s="1">
        <v>262</v>
      </c>
      <c r="N299" s="1" t="str">
        <f>IF($T299=0,"",INDEX(TAHSILAT!$E$7:$E$2503,$T299))</f>
        <v/>
      </c>
      <c r="O299" s="1" t="str">
        <f>IF($N299="","",$C$36&amp;" – müşteriden tahsilat: "&amp;INDEX(TAHSILAT!$N$7:$N$2503,$T299)&amp;IF(INDEX(TAHSILAT!$J$7:$J$2503,$T299)="",""," – "&amp;INDEX(TAHSILAT!$J$7:$J$2503,$T299)))</f>
        <v/>
      </c>
      <c r="P299" s="1" t="str">
        <f t="shared" si="46"/>
        <v/>
      </c>
      <c r="Q299" s="1">
        <f>IF($N299="",0,INDEX(TAHSILAT!$F$7:$F$2503,$T299))</f>
        <v>0</v>
      </c>
      <c r="R299" s="1">
        <v>0</v>
      </c>
      <c r="S299" s="1">
        <f t="shared" si="53"/>
        <v>10000000000</v>
      </c>
      <c r="T299" s="1">
        <f>IFERROR(MATCH($C$36&amp;"|226",TAHSILAT!$U$7:$U$2503,0),0)</f>
        <v>0</v>
      </c>
      <c r="V299" s="1">
        <f t="shared" si="54"/>
        <v>10000000000</v>
      </c>
      <c r="W299" s="1">
        <f t="shared" si="55"/>
        <v>9</v>
      </c>
    </row>
    <row r="300" spans="2:23" ht="14.25" customHeight="1" x14ac:dyDescent="0.3">
      <c r="B300" s="65" t="str">
        <f t="shared" si="47"/>
        <v/>
      </c>
      <c r="C300" s="70" t="str">
        <f t="shared" si="48"/>
        <v/>
      </c>
      <c r="D300" s="74" t="str">
        <f t="shared" si="49"/>
        <v/>
      </c>
      <c r="F300" s="65" t="str">
        <f t="shared" si="50"/>
        <v/>
      </c>
      <c r="G300" s="68" t="str">
        <f t="shared" si="51"/>
        <v/>
      </c>
      <c r="H300" s="68" t="str">
        <f t="shared" si="52"/>
        <v/>
      </c>
      <c r="I300" s="68" t="str">
        <f t="shared" si="56"/>
        <v/>
      </c>
      <c r="M300" s="1">
        <v>263</v>
      </c>
      <c r="N300" s="1" t="str">
        <f>IF($T300=0,"",INDEX(TAHSILAT!$E$7:$E$2503,$T300))</f>
        <v/>
      </c>
      <c r="O300" s="1" t="str">
        <f>IF($N300="","",$C$36&amp;" – müşteriden tahsilat: "&amp;INDEX(TAHSILAT!$N$7:$N$2503,$T300)&amp;IF(INDEX(TAHSILAT!$J$7:$J$2503,$T300)="",""," – "&amp;INDEX(TAHSILAT!$J$7:$J$2503,$T300)))</f>
        <v/>
      </c>
      <c r="P300" s="1" t="str">
        <f t="shared" si="46"/>
        <v/>
      </c>
      <c r="Q300" s="1">
        <f>IF($N300="",0,INDEX(TAHSILAT!$F$7:$F$2503,$T300))</f>
        <v>0</v>
      </c>
      <c r="R300" s="1">
        <v>0</v>
      </c>
      <c r="S300" s="1">
        <f t="shared" si="53"/>
        <v>10000000000</v>
      </c>
      <c r="T300" s="1">
        <f>IFERROR(MATCH($C$36&amp;"|227",TAHSILAT!$U$7:$U$2503,0),0)</f>
        <v>0</v>
      </c>
      <c r="V300" s="1">
        <f t="shared" si="54"/>
        <v>10000000000</v>
      </c>
      <c r="W300" s="1">
        <f t="shared" si="55"/>
        <v>9</v>
      </c>
    </row>
    <row r="301" spans="2:23" ht="14.25" customHeight="1" x14ac:dyDescent="0.3">
      <c r="B301" s="65" t="str">
        <f t="shared" si="47"/>
        <v/>
      </c>
      <c r="C301" s="70" t="str">
        <f t="shared" si="48"/>
        <v/>
      </c>
      <c r="D301" s="74" t="str">
        <f t="shared" si="49"/>
        <v/>
      </c>
      <c r="F301" s="65" t="str">
        <f t="shared" si="50"/>
        <v/>
      </c>
      <c r="G301" s="68" t="str">
        <f t="shared" si="51"/>
        <v/>
      </c>
      <c r="H301" s="68" t="str">
        <f t="shared" si="52"/>
        <v/>
      </c>
      <c r="I301" s="68" t="str">
        <f t="shared" si="56"/>
        <v/>
      </c>
      <c r="M301" s="1">
        <v>264</v>
      </c>
      <c r="N301" s="1" t="str">
        <f>IF($T301=0,"",INDEX(TAHSILAT!$E$7:$E$2503,$T301))</f>
        <v/>
      </c>
      <c r="O301" s="1" t="str">
        <f>IF($N301="","",$C$36&amp;" – müşteriden tahsilat: "&amp;INDEX(TAHSILAT!$N$7:$N$2503,$T301)&amp;IF(INDEX(TAHSILAT!$J$7:$J$2503,$T301)="",""," – "&amp;INDEX(TAHSILAT!$J$7:$J$2503,$T301)))</f>
        <v/>
      </c>
      <c r="P301" s="1" t="str">
        <f t="shared" si="46"/>
        <v/>
      </c>
      <c r="Q301" s="1">
        <f>IF($N301="",0,INDEX(TAHSILAT!$F$7:$F$2503,$T301))</f>
        <v>0</v>
      </c>
      <c r="R301" s="1">
        <v>0</v>
      </c>
      <c r="S301" s="1">
        <f t="shared" si="53"/>
        <v>10000000000</v>
      </c>
      <c r="T301" s="1">
        <f>IFERROR(MATCH($C$36&amp;"|228",TAHSILAT!$U$7:$U$2503,0),0)</f>
        <v>0</v>
      </c>
      <c r="V301" s="1">
        <f t="shared" si="54"/>
        <v>10000000000</v>
      </c>
      <c r="W301" s="1">
        <f t="shared" si="55"/>
        <v>9</v>
      </c>
    </row>
    <row r="302" spans="2:23" ht="14.25" customHeight="1" x14ac:dyDescent="0.3">
      <c r="B302" s="65" t="str">
        <f t="shared" si="47"/>
        <v/>
      </c>
      <c r="C302" s="70" t="str">
        <f t="shared" si="48"/>
        <v/>
      </c>
      <c r="D302" s="74" t="str">
        <f t="shared" si="49"/>
        <v/>
      </c>
      <c r="F302" s="65" t="str">
        <f t="shared" si="50"/>
        <v/>
      </c>
      <c r="G302" s="68" t="str">
        <f t="shared" si="51"/>
        <v/>
      </c>
      <c r="H302" s="68" t="str">
        <f t="shared" si="52"/>
        <v/>
      </c>
      <c r="I302" s="68" t="str">
        <f t="shared" si="56"/>
        <v/>
      </c>
      <c r="M302" s="1">
        <v>265</v>
      </c>
      <c r="N302" s="1" t="str">
        <f>IF($T302=0,"",INDEX(TAHSILAT!$E$7:$E$2503,$T302))</f>
        <v/>
      </c>
      <c r="O302" s="1" t="str">
        <f>IF($N302="","",$C$36&amp;" – müşteriden tahsilat: "&amp;INDEX(TAHSILAT!$N$7:$N$2503,$T302)&amp;IF(INDEX(TAHSILAT!$J$7:$J$2503,$T302)="",""," – "&amp;INDEX(TAHSILAT!$J$7:$J$2503,$T302)))</f>
        <v/>
      </c>
      <c r="P302" s="1" t="str">
        <f t="shared" si="46"/>
        <v/>
      </c>
      <c r="Q302" s="1">
        <f>IF($N302="",0,INDEX(TAHSILAT!$F$7:$F$2503,$T302))</f>
        <v>0</v>
      </c>
      <c r="R302" s="1">
        <v>0</v>
      </c>
      <c r="S302" s="1">
        <f t="shared" si="53"/>
        <v>10000000000</v>
      </c>
      <c r="T302" s="1">
        <f>IFERROR(MATCH($C$36&amp;"|229",TAHSILAT!$U$7:$U$2503,0),0)</f>
        <v>0</v>
      </c>
      <c r="V302" s="1">
        <f t="shared" si="54"/>
        <v>10000000000</v>
      </c>
      <c r="W302" s="1">
        <f t="shared" si="55"/>
        <v>9</v>
      </c>
    </row>
    <row r="303" spans="2:23" ht="14.25" customHeight="1" x14ac:dyDescent="0.3">
      <c r="B303" s="65" t="str">
        <f t="shared" si="47"/>
        <v/>
      </c>
      <c r="C303" s="70" t="str">
        <f t="shared" si="48"/>
        <v/>
      </c>
      <c r="D303" s="74" t="str">
        <f t="shared" si="49"/>
        <v/>
      </c>
      <c r="F303" s="65" t="str">
        <f t="shared" si="50"/>
        <v/>
      </c>
      <c r="G303" s="68" t="str">
        <f t="shared" si="51"/>
        <v/>
      </c>
      <c r="H303" s="68" t="str">
        <f t="shared" si="52"/>
        <v/>
      </c>
      <c r="I303" s="68" t="str">
        <f t="shared" si="56"/>
        <v/>
      </c>
      <c r="M303" s="1">
        <v>266</v>
      </c>
      <c r="N303" s="1" t="str">
        <f>IF($T303=0,"",INDEX(TAHSILAT!$E$7:$E$2503,$T303))</f>
        <v/>
      </c>
      <c r="O303" s="1" t="str">
        <f>IF($N303="","",$C$36&amp;" – müşteriden tahsilat: "&amp;INDEX(TAHSILAT!$N$7:$N$2503,$T303)&amp;IF(INDEX(TAHSILAT!$J$7:$J$2503,$T303)="",""," – "&amp;INDEX(TAHSILAT!$J$7:$J$2503,$T303)))</f>
        <v/>
      </c>
      <c r="P303" s="1" t="str">
        <f t="shared" si="46"/>
        <v/>
      </c>
      <c r="Q303" s="1">
        <f>IF($N303="",0,INDEX(TAHSILAT!$F$7:$F$2503,$T303))</f>
        <v>0</v>
      </c>
      <c r="R303" s="1">
        <v>0</v>
      </c>
      <c r="S303" s="1">
        <f t="shared" si="53"/>
        <v>10000000000</v>
      </c>
      <c r="T303" s="1">
        <f>IFERROR(MATCH($C$36&amp;"|230",TAHSILAT!$U$7:$U$2503,0),0)</f>
        <v>0</v>
      </c>
      <c r="V303" s="1">
        <f t="shared" si="54"/>
        <v>10000000000</v>
      </c>
      <c r="W303" s="1">
        <f t="shared" si="55"/>
        <v>9</v>
      </c>
    </row>
    <row r="304" spans="2:23" ht="14.25" customHeight="1" x14ac:dyDescent="0.3">
      <c r="B304" s="65" t="str">
        <f t="shared" si="47"/>
        <v/>
      </c>
      <c r="C304" s="70" t="str">
        <f t="shared" si="48"/>
        <v/>
      </c>
      <c r="D304" s="74" t="str">
        <f t="shared" si="49"/>
        <v/>
      </c>
      <c r="F304" s="65" t="str">
        <f t="shared" si="50"/>
        <v/>
      </c>
      <c r="G304" s="68" t="str">
        <f t="shared" si="51"/>
        <v/>
      </c>
      <c r="H304" s="68" t="str">
        <f t="shared" si="52"/>
        <v/>
      </c>
      <c r="I304" s="68" t="str">
        <f t="shared" si="56"/>
        <v/>
      </c>
      <c r="M304" s="1">
        <v>267</v>
      </c>
      <c r="N304" s="1" t="str">
        <f>IF($T304=0,"",INDEX(TAHSILAT!$E$7:$E$2503,$T304))</f>
        <v/>
      </c>
      <c r="O304" s="1" t="str">
        <f>IF($N304="","",$C$36&amp;" – müşteriden tahsilat: "&amp;INDEX(TAHSILAT!$N$7:$N$2503,$T304)&amp;IF(INDEX(TAHSILAT!$J$7:$J$2503,$T304)="",""," – "&amp;INDEX(TAHSILAT!$J$7:$J$2503,$T304)))</f>
        <v/>
      </c>
      <c r="P304" s="1" t="str">
        <f t="shared" si="46"/>
        <v/>
      </c>
      <c r="Q304" s="1">
        <f>IF($N304="",0,INDEX(TAHSILAT!$F$7:$F$2503,$T304))</f>
        <v>0</v>
      </c>
      <c r="R304" s="1">
        <v>0</v>
      </c>
      <c r="S304" s="1">
        <f t="shared" si="53"/>
        <v>10000000000</v>
      </c>
      <c r="T304" s="1">
        <f>IFERROR(MATCH($C$36&amp;"|231",TAHSILAT!$U$7:$U$2503,0),0)</f>
        <v>0</v>
      </c>
      <c r="V304" s="1">
        <f t="shared" si="54"/>
        <v>10000000000</v>
      </c>
      <c r="W304" s="1">
        <f t="shared" si="55"/>
        <v>9</v>
      </c>
    </row>
    <row r="305" spans="2:23" ht="14.25" customHeight="1" x14ac:dyDescent="0.3">
      <c r="B305" s="65" t="str">
        <f t="shared" si="47"/>
        <v/>
      </c>
      <c r="C305" s="70" t="str">
        <f t="shared" si="48"/>
        <v/>
      </c>
      <c r="D305" s="74" t="str">
        <f t="shared" si="49"/>
        <v/>
      </c>
      <c r="F305" s="65" t="str">
        <f t="shared" si="50"/>
        <v/>
      </c>
      <c r="G305" s="68" t="str">
        <f t="shared" si="51"/>
        <v/>
      </c>
      <c r="H305" s="68" t="str">
        <f t="shared" si="52"/>
        <v/>
      </c>
      <c r="I305" s="68" t="str">
        <f t="shared" si="56"/>
        <v/>
      </c>
      <c r="M305" s="1">
        <v>268</v>
      </c>
      <c r="N305" s="1" t="str">
        <f>IF($T305=0,"",INDEX(TAHSILAT!$E$7:$E$2503,$T305))</f>
        <v/>
      </c>
      <c r="O305" s="1" t="str">
        <f>IF($N305="","",$C$36&amp;" – müşteriden tahsilat: "&amp;INDEX(TAHSILAT!$N$7:$N$2503,$T305)&amp;IF(INDEX(TAHSILAT!$J$7:$J$2503,$T305)="",""," – "&amp;INDEX(TAHSILAT!$J$7:$J$2503,$T305)))</f>
        <v/>
      </c>
      <c r="P305" s="1" t="str">
        <f t="shared" si="46"/>
        <v/>
      </c>
      <c r="Q305" s="1">
        <f>IF($N305="",0,INDEX(TAHSILAT!$F$7:$F$2503,$T305))</f>
        <v>0</v>
      </c>
      <c r="R305" s="1">
        <v>0</v>
      </c>
      <c r="S305" s="1">
        <f t="shared" si="53"/>
        <v>10000000000</v>
      </c>
      <c r="T305" s="1">
        <f>IFERROR(MATCH($C$36&amp;"|232",TAHSILAT!$U$7:$U$2503,0),0)</f>
        <v>0</v>
      </c>
      <c r="V305" s="1">
        <f t="shared" si="54"/>
        <v>10000000000</v>
      </c>
      <c r="W305" s="1">
        <f t="shared" si="55"/>
        <v>9</v>
      </c>
    </row>
    <row r="306" spans="2:23" ht="14.25" customHeight="1" x14ac:dyDescent="0.3">
      <c r="B306" s="65" t="str">
        <f t="shared" si="47"/>
        <v/>
      </c>
      <c r="C306" s="70" t="str">
        <f t="shared" si="48"/>
        <v/>
      </c>
      <c r="D306" s="74" t="str">
        <f t="shared" si="49"/>
        <v/>
      </c>
      <c r="F306" s="65" t="str">
        <f t="shared" si="50"/>
        <v/>
      </c>
      <c r="G306" s="68" t="str">
        <f t="shared" si="51"/>
        <v/>
      </c>
      <c r="H306" s="68" t="str">
        <f t="shared" si="52"/>
        <v/>
      </c>
      <c r="I306" s="68" t="str">
        <f t="shared" si="56"/>
        <v/>
      </c>
      <c r="M306" s="1">
        <v>269</v>
      </c>
      <c r="N306" s="1" t="str">
        <f>IF($T306=0,"",INDEX(TAHSILAT!$E$7:$E$2503,$T306))</f>
        <v/>
      </c>
      <c r="O306" s="1" t="str">
        <f>IF($N306="","",$C$36&amp;" – müşteriden tahsilat: "&amp;INDEX(TAHSILAT!$N$7:$N$2503,$T306)&amp;IF(INDEX(TAHSILAT!$J$7:$J$2503,$T306)="",""," – "&amp;INDEX(TAHSILAT!$J$7:$J$2503,$T306)))</f>
        <v/>
      </c>
      <c r="P306" s="1" t="str">
        <f t="shared" si="46"/>
        <v/>
      </c>
      <c r="Q306" s="1">
        <f>IF($N306="",0,INDEX(TAHSILAT!$F$7:$F$2503,$T306))</f>
        <v>0</v>
      </c>
      <c r="R306" s="1">
        <v>0</v>
      </c>
      <c r="S306" s="1">
        <f t="shared" si="53"/>
        <v>10000000000</v>
      </c>
      <c r="T306" s="1">
        <f>IFERROR(MATCH($C$36&amp;"|233",TAHSILAT!$U$7:$U$2503,0),0)</f>
        <v>0</v>
      </c>
      <c r="V306" s="1">
        <f t="shared" si="54"/>
        <v>10000000000</v>
      </c>
      <c r="W306" s="1">
        <f t="shared" si="55"/>
        <v>9</v>
      </c>
    </row>
    <row r="307" spans="2:23" ht="14.25" customHeight="1" x14ac:dyDescent="0.3">
      <c r="B307" s="65" t="str">
        <f t="shared" si="47"/>
        <v/>
      </c>
      <c r="C307" s="70" t="str">
        <f t="shared" si="48"/>
        <v/>
      </c>
      <c r="D307" s="74" t="str">
        <f t="shared" si="49"/>
        <v/>
      </c>
      <c r="F307" s="65" t="str">
        <f t="shared" si="50"/>
        <v/>
      </c>
      <c r="G307" s="68" t="str">
        <f t="shared" si="51"/>
        <v/>
      </c>
      <c r="H307" s="68" t="str">
        <f t="shared" si="52"/>
        <v/>
      </c>
      <c r="I307" s="68" t="str">
        <f t="shared" si="56"/>
        <v/>
      </c>
      <c r="M307" s="1">
        <v>270</v>
      </c>
      <c r="N307" s="1" t="str">
        <f>IF($T307=0,"",INDEX(TAHSILAT!$E$7:$E$2503,$T307))</f>
        <v/>
      </c>
      <c r="O307" s="1" t="str">
        <f>IF($N307="","",$C$36&amp;" – müşteriden tahsilat: "&amp;INDEX(TAHSILAT!$N$7:$N$2503,$T307)&amp;IF(INDEX(TAHSILAT!$J$7:$J$2503,$T307)="",""," – "&amp;INDEX(TAHSILAT!$J$7:$J$2503,$T307)))</f>
        <v/>
      </c>
      <c r="P307" s="1" t="str">
        <f t="shared" si="46"/>
        <v/>
      </c>
      <c r="Q307" s="1">
        <f>IF($N307="",0,INDEX(TAHSILAT!$F$7:$F$2503,$T307))</f>
        <v>0</v>
      </c>
      <c r="R307" s="1">
        <v>0</v>
      </c>
      <c r="S307" s="1">
        <f t="shared" si="53"/>
        <v>10000000000</v>
      </c>
      <c r="T307" s="1">
        <f>IFERROR(MATCH($C$36&amp;"|234",TAHSILAT!$U$7:$U$2503,0),0)</f>
        <v>0</v>
      </c>
      <c r="V307" s="1">
        <f t="shared" si="54"/>
        <v>10000000000</v>
      </c>
      <c r="W307" s="1">
        <f t="shared" si="55"/>
        <v>9</v>
      </c>
    </row>
    <row r="308" spans="2:23" ht="14.25" customHeight="1" x14ac:dyDescent="0.3">
      <c r="B308" s="65" t="str">
        <f t="shared" si="47"/>
        <v/>
      </c>
      <c r="C308" s="70" t="str">
        <f t="shared" si="48"/>
        <v/>
      </c>
      <c r="D308" s="74" t="str">
        <f t="shared" si="49"/>
        <v/>
      </c>
      <c r="F308" s="65" t="str">
        <f t="shared" si="50"/>
        <v/>
      </c>
      <c r="G308" s="68" t="str">
        <f t="shared" si="51"/>
        <v/>
      </c>
      <c r="H308" s="68" t="str">
        <f t="shared" si="52"/>
        <v/>
      </c>
      <c r="I308" s="68" t="str">
        <f t="shared" si="56"/>
        <v/>
      </c>
      <c r="M308" s="1">
        <v>271</v>
      </c>
      <c r="N308" s="1" t="str">
        <f>IF($T308=0,"",INDEX(TAHSILAT!$E$7:$E$2503,$T308))</f>
        <v/>
      </c>
      <c r="O308" s="1" t="str">
        <f>IF($N308="","",$C$36&amp;" – müşteriden tahsilat: "&amp;INDEX(TAHSILAT!$N$7:$N$2503,$T308)&amp;IF(INDEX(TAHSILAT!$J$7:$J$2503,$T308)="",""," – "&amp;INDEX(TAHSILAT!$J$7:$J$2503,$T308)))</f>
        <v/>
      </c>
      <c r="P308" s="1" t="str">
        <f t="shared" si="46"/>
        <v/>
      </c>
      <c r="Q308" s="1">
        <f>IF($N308="",0,INDEX(TAHSILAT!$F$7:$F$2503,$T308))</f>
        <v>0</v>
      </c>
      <c r="R308" s="1">
        <v>0</v>
      </c>
      <c r="S308" s="1">
        <f t="shared" si="53"/>
        <v>10000000000</v>
      </c>
      <c r="T308" s="1">
        <f>IFERROR(MATCH($C$36&amp;"|235",TAHSILAT!$U$7:$U$2503,0),0)</f>
        <v>0</v>
      </c>
      <c r="V308" s="1">
        <f t="shared" si="54"/>
        <v>10000000000</v>
      </c>
      <c r="W308" s="1">
        <f t="shared" si="55"/>
        <v>9</v>
      </c>
    </row>
    <row r="309" spans="2:23" ht="14.25" customHeight="1" x14ac:dyDescent="0.3">
      <c r="B309" s="65" t="str">
        <f t="shared" si="47"/>
        <v/>
      </c>
      <c r="C309" s="70" t="str">
        <f t="shared" si="48"/>
        <v/>
      </c>
      <c r="D309" s="74" t="str">
        <f t="shared" si="49"/>
        <v/>
      </c>
      <c r="F309" s="65" t="str">
        <f t="shared" si="50"/>
        <v/>
      </c>
      <c r="G309" s="68" t="str">
        <f t="shared" si="51"/>
        <v/>
      </c>
      <c r="H309" s="68" t="str">
        <f t="shared" si="52"/>
        <v/>
      </c>
      <c r="I309" s="68" t="str">
        <f t="shared" si="56"/>
        <v/>
      </c>
      <c r="M309" s="1">
        <v>272</v>
      </c>
      <c r="N309" s="1" t="str">
        <f>IF($T309=0,"",INDEX(TAHSILAT!$E$7:$E$2503,$T309))</f>
        <v/>
      </c>
      <c r="O309" s="1" t="str">
        <f>IF($N309="","",$C$36&amp;" – müşteriden tahsilat: "&amp;INDEX(TAHSILAT!$N$7:$N$2503,$T309)&amp;IF(INDEX(TAHSILAT!$J$7:$J$2503,$T309)="",""," – "&amp;INDEX(TAHSILAT!$J$7:$J$2503,$T309)))</f>
        <v/>
      </c>
      <c r="P309" s="1" t="str">
        <f t="shared" si="46"/>
        <v/>
      </c>
      <c r="Q309" s="1">
        <f>IF($N309="",0,INDEX(TAHSILAT!$F$7:$F$2503,$T309))</f>
        <v>0</v>
      </c>
      <c r="R309" s="1">
        <v>0</v>
      </c>
      <c r="S309" s="1">
        <f t="shared" si="53"/>
        <v>10000000000</v>
      </c>
      <c r="T309" s="1">
        <f>IFERROR(MATCH($C$36&amp;"|236",TAHSILAT!$U$7:$U$2503,0),0)</f>
        <v>0</v>
      </c>
      <c r="V309" s="1">
        <f t="shared" si="54"/>
        <v>10000000000</v>
      </c>
      <c r="W309" s="1">
        <f t="shared" si="55"/>
        <v>9</v>
      </c>
    </row>
    <row r="310" spans="2:23" ht="14.25" customHeight="1" x14ac:dyDescent="0.3">
      <c r="B310" s="65" t="str">
        <f t="shared" si="47"/>
        <v/>
      </c>
      <c r="C310" s="70" t="str">
        <f t="shared" si="48"/>
        <v/>
      </c>
      <c r="D310" s="74" t="str">
        <f t="shared" si="49"/>
        <v/>
      </c>
      <c r="F310" s="65" t="str">
        <f t="shared" si="50"/>
        <v/>
      </c>
      <c r="G310" s="68" t="str">
        <f t="shared" si="51"/>
        <v/>
      </c>
      <c r="H310" s="68" t="str">
        <f t="shared" si="52"/>
        <v/>
      </c>
      <c r="I310" s="68" t="str">
        <f t="shared" si="56"/>
        <v/>
      </c>
      <c r="M310" s="1">
        <v>273</v>
      </c>
      <c r="N310" s="1" t="str">
        <f>IF($T310=0,"",INDEX(TAHSILAT!$E$7:$E$2503,$T310))</f>
        <v/>
      </c>
      <c r="O310" s="1" t="str">
        <f>IF($N310="","",$C$36&amp;" – müşteriden tahsilat: "&amp;INDEX(TAHSILAT!$N$7:$N$2503,$T310)&amp;IF(INDEX(TAHSILAT!$J$7:$J$2503,$T310)="",""," – "&amp;INDEX(TAHSILAT!$J$7:$J$2503,$T310)))</f>
        <v/>
      </c>
      <c r="P310" s="1" t="str">
        <f t="shared" si="46"/>
        <v/>
      </c>
      <c r="Q310" s="1">
        <f>IF($N310="",0,INDEX(TAHSILAT!$F$7:$F$2503,$T310))</f>
        <v>0</v>
      </c>
      <c r="R310" s="1">
        <v>0</v>
      </c>
      <c r="S310" s="1">
        <f t="shared" si="53"/>
        <v>10000000000</v>
      </c>
      <c r="T310" s="1">
        <f>IFERROR(MATCH($C$36&amp;"|237",TAHSILAT!$U$7:$U$2503,0),0)</f>
        <v>0</v>
      </c>
      <c r="V310" s="1">
        <f t="shared" si="54"/>
        <v>10000000000</v>
      </c>
      <c r="W310" s="1">
        <f t="shared" si="55"/>
        <v>9</v>
      </c>
    </row>
    <row r="311" spans="2:23" ht="14.25" customHeight="1" x14ac:dyDescent="0.3">
      <c r="B311" s="65" t="str">
        <f t="shared" si="47"/>
        <v/>
      </c>
      <c r="C311" s="70" t="str">
        <f t="shared" si="48"/>
        <v/>
      </c>
      <c r="D311" s="74" t="str">
        <f t="shared" si="49"/>
        <v/>
      </c>
      <c r="F311" s="65" t="str">
        <f t="shared" si="50"/>
        <v/>
      </c>
      <c r="G311" s="68" t="str">
        <f t="shared" si="51"/>
        <v/>
      </c>
      <c r="H311" s="68" t="str">
        <f t="shared" si="52"/>
        <v/>
      </c>
      <c r="I311" s="68" t="str">
        <f t="shared" si="56"/>
        <v/>
      </c>
      <c r="M311" s="1">
        <v>274</v>
      </c>
      <c r="N311" s="1" t="str">
        <f>IF($T311=0,"",INDEX(TAHSILAT!$E$7:$E$2503,$T311))</f>
        <v/>
      </c>
      <c r="O311" s="1" t="str">
        <f>IF($N311="","",$C$36&amp;" – müşteriden tahsilat: "&amp;INDEX(TAHSILAT!$N$7:$N$2503,$T311)&amp;IF(INDEX(TAHSILAT!$J$7:$J$2503,$T311)="",""," – "&amp;INDEX(TAHSILAT!$J$7:$J$2503,$T311)))</f>
        <v/>
      </c>
      <c r="P311" s="1" t="str">
        <f t="shared" si="46"/>
        <v/>
      </c>
      <c r="Q311" s="1">
        <f>IF($N311="",0,INDEX(TAHSILAT!$F$7:$F$2503,$T311))</f>
        <v>0</v>
      </c>
      <c r="R311" s="1">
        <v>0</v>
      </c>
      <c r="S311" s="1">
        <f t="shared" si="53"/>
        <v>10000000000</v>
      </c>
      <c r="T311" s="1">
        <f>IFERROR(MATCH($C$36&amp;"|238",TAHSILAT!$U$7:$U$2503,0),0)</f>
        <v>0</v>
      </c>
      <c r="V311" s="1">
        <f t="shared" si="54"/>
        <v>10000000000</v>
      </c>
      <c r="W311" s="1">
        <f t="shared" si="55"/>
        <v>9</v>
      </c>
    </row>
    <row r="312" spans="2:23" ht="14.25" customHeight="1" x14ac:dyDescent="0.3">
      <c r="B312" s="65" t="str">
        <f t="shared" si="47"/>
        <v/>
      </c>
      <c r="C312" s="70" t="str">
        <f t="shared" si="48"/>
        <v/>
      </c>
      <c r="D312" s="74" t="str">
        <f t="shared" si="49"/>
        <v/>
      </c>
      <c r="F312" s="65" t="str">
        <f t="shared" si="50"/>
        <v/>
      </c>
      <c r="G312" s="68" t="str">
        <f t="shared" si="51"/>
        <v/>
      </c>
      <c r="H312" s="68" t="str">
        <f t="shared" si="52"/>
        <v/>
      </c>
      <c r="I312" s="68" t="str">
        <f t="shared" si="56"/>
        <v/>
      </c>
      <c r="M312" s="1">
        <v>275</v>
      </c>
      <c r="N312" s="1" t="str">
        <f>IF($T312=0,"",INDEX(TAHSILAT!$E$7:$E$2503,$T312))</f>
        <v/>
      </c>
      <c r="O312" s="1" t="str">
        <f>IF($N312="","",$C$36&amp;" – müşteriden tahsilat: "&amp;INDEX(TAHSILAT!$N$7:$N$2503,$T312)&amp;IF(INDEX(TAHSILAT!$J$7:$J$2503,$T312)="",""," – "&amp;INDEX(TAHSILAT!$J$7:$J$2503,$T312)))</f>
        <v/>
      </c>
      <c r="P312" s="1" t="str">
        <f t="shared" si="46"/>
        <v/>
      </c>
      <c r="Q312" s="1">
        <f>IF($N312="",0,INDEX(TAHSILAT!$F$7:$F$2503,$T312))</f>
        <v>0</v>
      </c>
      <c r="R312" s="1">
        <v>0</v>
      </c>
      <c r="S312" s="1">
        <f t="shared" si="53"/>
        <v>10000000000</v>
      </c>
      <c r="T312" s="1">
        <f>IFERROR(MATCH($C$36&amp;"|239",TAHSILAT!$U$7:$U$2503,0),0)</f>
        <v>0</v>
      </c>
      <c r="V312" s="1">
        <f t="shared" si="54"/>
        <v>10000000000</v>
      </c>
      <c r="W312" s="1">
        <f t="shared" si="55"/>
        <v>9</v>
      </c>
    </row>
    <row r="313" spans="2:23" ht="14.25" customHeight="1" x14ac:dyDescent="0.3">
      <c r="B313" s="65" t="str">
        <f t="shared" si="47"/>
        <v/>
      </c>
      <c r="C313" s="70" t="str">
        <f t="shared" si="48"/>
        <v/>
      </c>
      <c r="D313" s="74" t="str">
        <f t="shared" si="49"/>
        <v/>
      </c>
      <c r="F313" s="65" t="str">
        <f t="shared" si="50"/>
        <v/>
      </c>
      <c r="G313" s="68" t="str">
        <f t="shared" si="51"/>
        <v/>
      </c>
      <c r="H313" s="68" t="str">
        <f t="shared" si="52"/>
        <v/>
      </c>
      <c r="I313" s="68" t="str">
        <f t="shared" si="56"/>
        <v/>
      </c>
      <c r="M313" s="1">
        <v>276</v>
      </c>
      <c r="N313" s="1" t="str">
        <f>IF($T313=0,"",INDEX(TAHSILAT!$E$7:$E$2503,$T313))</f>
        <v/>
      </c>
      <c r="O313" s="1" t="str">
        <f>IF($N313="","",$C$36&amp;" – müşteriden tahsilat: "&amp;INDEX(TAHSILAT!$N$7:$N$2503,$T313)&amp;IF(INDEX(TAHSILAT!$J$7:$J$2503,$T313)="",""," – "&amp;INDEX(TAHSILAT!$J$7:$J$2503,$T313)))</f>
        <v/>
      </c>
      <c r="P313" s="1" t="str">
        <f t="shared" si="46"/>
        <v/>
      </c>
      <c r="Q313" s="1">
        <f>IF($N313="",0,INDEX(TAHSILAT!$F$7:$F$2503,$T313))</f>
        <v>0</v>
      </c>
      <c r="R313" s="1">
        <v>0</v>
      </c>
      <c r="S313" s="1">
        <f t="shared" si="53"/>
        <v>10000000000</v>
      </c>
      <c r="T313" s="1">
        <f>IFERROR(MATCH($C$36&amp;"|240",TAHSILAT!$U$7:$U$2503,0),0)</f>
        <v>0</v>
      </c>
      <c r="V313" s="1">
        <f t="shared" si="54"/>
        <v>10000000000</v>
      </c>
      <c r="W313" s="1">
        <f t="shared" si="55"/>
        <v>9</v>
      </c>
    </row>
    <row r="314" spans="2:23" ht="14.25" customHeight="1" x14ac:dyDescent="0.3">
      <c r="B314" s="65" t="str">
        <f t="shared" si="47"/>
        <v/>
      </c>
      <c r="C314" s="70" t="str">
        <f t="shared" si="48"/>
        <v/>
      </c>
      <c r="D314" s="74" t="str">
        <f t="shared" si="49"/>
        <v/>
      </c>
      <c r="F314" s="65" t="str">
        <f t="shared" si="50"/>
        <v/>
      </c>
      <c r="G314" s="68" t="str">
        <f t="shared" si="51"/>
        <v/>
      </c>
      <c r="H314" s="68" t="str">
        <f t="shared" si="52"/>
        <v/>
      </c>
      <c r="I314" s="68" t="str">
        <f t="shared" si="56"/>
        <v/>
      </c>
      <c r="M314" s="1">
        <v>277</v>
      </c>
      <c r="N314" s="1" t="str">
        <f>IF($T314=0,"",INDEX(TAHSILAT!$E$7:$E$2503,$T314))</f>
        <v/>
      </c>
      <c r="O314" s="1" t="str">
        <f>IF($N314="","",$C$36&amp;" – müşteriden tahsilat: "&amp;INDEX(TAHSILAT!$N$7:$N$2503,$T314)&amp;IF(INDEX(TAHSILAT!$J$7:$J$2503,$T314)="",""," – "&amp;INDEX(TAHSILAT!$J$7:$J$2503,$T314)))</f>
        <v/>
      </c>
      <c r="P314" s="1" t="str">
        <f t="shared" si="46"/>
        <v/>
      </c>
      <c r="Q314" s="1">
        <f>IF($N314="",0,INDEX(TAHSILAT!$F$7:$F$2503,$T314))</f>
        <v>0</v>
      </c>
      <c r="R314" s="1">
        <v>0</v>
      </c>
      <c r="S314" s="1">
        <f t="shared" si="53"/>
        <v>10000000000</v>
      </c>
      <c r="T314" s="1">
        <f>IFERROR(MATCH($C$36&amp;"|241",TAHSILAT!$U$7:$U$2503,0),0)</f>
        <v>0</v>
      </c>
      <c r="V314" s="1">
        <f t="shared" si="54"/>
        <v>10000000000</v>
      </c>
      <c r="W314" s="1">
        <f t="shared" si="55"/>
        <v>9</v>
      </c>
    </row>
    <row r="315" spans="2:23" ht="14.25" customHeight="1" x14ac:dyDescent="0.3">
      <c r="B315" s="65" t="str">
        <f t="shared" si="47"/>
        <v/>
      </c>
      <c r="C315" s="70" t="str">
        <f t="shared" si="48"/>
        <v/>
      </c>
      <c r="D315" s="74" t="str">
        <f t="shared" si="49"/>
        <v/>
      </c>
      <c r="F315" s="65" t="str">
        <f t="shared" si="50"/>
        <v/>
      </c>
      <c r="G315" s="68" t="str">
        <f t="shared" si="51"/>
        <v/>
      </c>
      <c r="H315" s="68" t="str">
        <f t="shared" si="52"/>
        <v/>
      </c>
      <c r="I315" s="68" t="str">
        <f t="shared" si="56"/>
        <v/>
      </c>
      <c r="M315" s="1">
        <v>278</v>
      </c>
      <c r="N315" s="1" t="str">
        <f>IF($T315=0,"",INDEX(TAHSILAT!$E$7:$E$2503,$T315))</f>
        <v/>
      </c>
      <c r="O315" s="1" t="str">
        <f>IF($N315="","",$C$36&amp;" – müşteriden tahsilat: "&amp;INDEX(TAHSILAT!$N$7:$N$2503,$T315)&amp;IF(INDEX(TAHSILAT!$J$7:$J$2503,$T315)="",""," – "&amp;INDEX(TAHSILAT!$J$7:$J$2503,$T315)))</f>
        <v/>
      </c>
      <c r="P315" s="1" t="str">
        <f t="shared" si="46"/>
        <v/>
      </c>
      <c r="Q315" s="1">
        <f>IF($N315="",0,INDEX(TAHSILAT!$F$7:$F$2503,$T315))</f>
        <v>0</v>
      </c>
      <c r="R315" s="1">
        <v>0</v>
      </c>
      <c r="S315" s="1">
        <f t="shared" si="53"/>
        <v>10000000000</v>
      </c>
      <c r="T315" s="1">
        <f>IFERROR(MATCH($C$36&amp;"|242",TAHSILAT!$U$7:$U$2503,0),0)</f>
        <v>0</v>
      </c>
      <c r="V315" s="1">
        <f t="shared" si="54"/>
        <v>10000000000</v>
      </c>
      <c r="W315" s="1">
        <f t="shared" si="55"/>
        <v>9</v>
      </c>
    </row>
    <row r="316" spans="2:23" ht="14.25" customHeight="1" x14ac:dyDescent="0.3">
      <c r="B316" s="65" t="str">
        <f t="shared" si="47"/>
        <v/>
      </c>
      <c r="C316" s="70" t="str">
        <f t="shared" si="48"/>
        <v/>
      </c>
      <c r="D316" s="74" t="str">
        <f t="shared" si="49"/>
        <v/>
      </c>
      <c r="F316" s="65" t="str">
        <f t="shared" si="50"/>
        <v/>
      </c>
      <c r="G316" s="68" t="str">
        <f t="shared" si="51"/>
        <v/>
      </c>
      <c r="H316" s="68" t="str">
        <f t="shared" si="52"/>
        <v/>
      </c>
      <c r="I316" s="68" t="str">
        <f t="shared" si="56"/>
        <v/>
      </c>
      <c r="M316" s="1">
        <v>279</v>
      </c>
      <c r="N316" s="1" t="str">
        <f>IF($T316=0,"",INDEX(TAHSILAT!$E$7:$E$2503,$T316))</f>
        <v/>
      </c>
      <c r="O316" s="1" t="str">
        <f>IF($N316="","",$C$36&amp;" – müşteriden tahsilat: "&amp;INDEX(TAHSILAT!$N$7:$N$2503,$T316)&amp;IF(INDEX(TAHSILAT!$J$7:$J$2503,$T316)="",""," – "&amp;INDEX(TAHSILAT!$J$7:$J$2503,$T316)))</f>
        <v/>
      </c>
      <c r="P316" s="1" t="str">
        <f t="shared" si="46"/>
        <v/>
      </c>
      <c r="Q316" s="1">
        <f>IF($N316="",0,INDEX(TAHSILAT!$F$7:$F$2503,$T316))</f>
        <v>0</v>
      </c>
      <c r="R316" s="1">
        <v>0</v>
      </c>
      <c r="S316" s="1">
        <f t="shared" si="53"/>
        <v>10000000000</v>
      </c>
      <c r="T316" s="1">
        <f>IFERROR(MATCH($C$36&amp;"|243",TAHSILAT!$U$7:$U$2503,0),0)</f>
        <v>0</v>
      </c>
      <c r="V316" s="1">
        <f t="shared" si="54"/>
        <v>10000000000</v>
      </c>
      <c r="W316" s="1">
        <f t="shared" si="55"/>
        <v>9</v>
      </c>
    </row>
    <row r="317" spans="2:23" ht="14.25" customHeight="1" x14ac:dyDescent="0.3">
      <c r="B317" s="65" t="str">
        <f t="shared" si="47"/>
        <v/>
      </c>
      <c r="C317" s="70" t="str">
        <f t="shared" si="48"/>
        <v/>
      </c>
      <c r="D317" s="74" t="str">
        <f t="shared" si="49"/>
        <v/>
      </c>
      <c r="F317" s="65" t="str">
        <f t="shared" si="50"/>
        <v/>
      </c>
      <c r="G317" s="68" t="str">
        <f t="shared" si="51"/>
        <v/>
      </c>
      <c r="H317" s="68" t="str">
        <f t="shared" si="52"/>
        <v/>
      </c>
      <c r="I317" s="68" t="str">
        <f t="shared" si="56"/>
        <v/>
      </c>
      <c r="M317" s="1">
        <v>280</v>
      </c>
      <c r="N317" s="1" t="str">
        <f>IF($T317=0,"",INDEX(TAHSILAT!$E$7:$E$2503,$T317))</f>
        <v/>
      </c>
      <c r="O317" s="1" t="str">
        <f>IF($N317="","",$C$36&amp;" – müşteriden tahsilat: "&amp;INDEX(TAHSILAT!$N$7:$N$2503,$T317)&amp;IF(INDEX(TAHSILAT!$J$7:$J$2503,$T317)="",""," – "&amp;INDEX(TAHSILAT!$J$7:$J$2503,$T317)))</f>
        <v/>
      </c>
      <c r="P317" s="1" t="str">
        <f t="shared" si="46"/>
        <v/>
      </c>
      <c r="Q317" s="1">
        <f>IF($N317="",0,INDEX(TAHSILAT!$F$7:$F$2503,$T317))</f>
        <v>0</v>
      </c>
      <c r="R317" s="1">
        <v>0</v>
      </c>
      <c r="S317" s="1">
        <f t="shared" si="53"/>
        <v>10000000000</v>
      </c>
      <c r="T317" s="1">
        <f>IFERROR(MATCH($C$36&amp;"|244",TAHSILAT!$U$7:$U$2503,0),0)</f>
        <v>0</v>
      </c>
      <c r="V317" s="1">
        <f t="shared" si="54"/>
        <v>10000000000</v>
      </c>
      <c r="W317" s="1">
        <f t="shared" si="55"/>
        <v>9</v>
      </c>
    </row>
    <row r="318" spans="2:23" ht="14.25" customHeight="1" x14ac:dyDescent="0.3">
      <c r="B318" s="65" t="str">
        <f t="shared" si="47"/>
        <v/>
      </c>
      <c r="C318" s="70" t="str">
        <f t="shared" si="48"/>
        <v/>
      </c>
      <c r="D318" s="74" t="str">
        <f t="shared" si="49"/>
        <v/>
      </c>
      <c r="F318" s="65" t="str">
        <f t="shared" si="50"/>
        <v/>
      </c>
      <c r="G318" s="68" t="str">
        <f t="shared" si="51"/>
        <v/>
      </c>
      <c r="H318" s="68" t="str">
        <f t="shared" si="52"/>
        <v/>
      </c>
      <c r="I318" s="68" t="str">
        <f t="shared" si="56"/>
        <v/>
      </c>
      <c r="M318" s="1">
        <v>281</v>
      </c>
      <c r="N318" s="1" t="str">
        <f>IF($T318=0,"",INDEX(TAHSILAT!$E$7:$E$2503,$T318))</f>
        <v/>
      </c>
      <c r="O318" s="1" t="str">
        <f>IF($N318="","",$C$36&amp;" – müşteriden tahsilat: "&amp;INDEX(TAHSILAT!$N$7:$N$2503,$T318)&amp;IF(INDEX(TAHSILAT!$J$7:$J$2503,$T318)="",""," – "&amp;INDEX(TAHSILAT!$J$7:$J$2503,$T318)))</f>
        <v/>
      </c>
      <c r="P318" s="1" t="str">
        <f t="shared" si="46"/>
        <v/>
      </c>
      <c r="Q318" s="1">
        <f>IF($N318="",0,INDEX(TAHSILAT!$F$7:$F$2503,$T318))</f>
        <v>0</v>
      </c>
      <c r="R318" s="1">
        <v>0</v>
      </c>
      <c r="S318" s="1">
        <f t="shared" si="53"/>
        <v>10000000000</v>
      </c>
      <c r="T318" s="1">
        <f>IFERROR(MATCH($C$36&amp;"|245",TAHSILAT!$U$7:$U$2503,0),0)</f>
        <v>0</v>
      </c>
      <c r="V318" s="1">
        <f t="shared" si="54"/>
        <v>10000000000</v>
      </c>
      <c r="W318" s="1">
        <f t="shared" si="55"/>
        <v>9</v>
      </c>
    </row>
    <row r="319" spans="2:23" ht="14.25" customHeight="1" x14ac:dyDescent="0.3">
      <c r="B319" s="65" t="str">
        <f t="shared" si="47"/>
        <v/>
      </c>
      <c r="C319" s="70" t="str">
        <f t="shared" si="48"/>
        <v/>
      </c>
      <c r="D319" s="74" t="str">
        <f t="shared" si="49"/>
        <v/>
      </c>
      <c r="F319" s="65" t="str">
        <f t="shared" si="50"/>
        <v/>
      </c>
      <c r="G319" s="68" t="str">
        <f t="shared" si="51"/>
        <v/>
      </c>
      <c r="H319" s="68" t="str">
        <f t="shared" si="52"/>
        <v/>
      </c>
      <c r="I319" s="68" t="str">
        <f t="shared" si="56"/>
        <v/>
      </c>
      <c r="M319" s="1">
        <v>282</v>
      </c>
      <c r="N319" s="1" t="str">
        <f>IF($T319=0,"",INDEX(TAHSILAT!$E$7:$E$2503,$T319))</f>
        <v/>
      </c>
      <c r="O319" s="1" t="str">
        <f>IF($N319="","",$C$36&amp;" – müşteriden tahsilat: "&amp;INDEX(TAHSILAT!$N$7:$N$2503,$T319)&amp;IF(INDEX(TAHSILAT!$J$7:$J$2503,$T319)="",""," – "&amp;INDEX(TAHSILAT!$J$7:$J$2503,$T319)))</f>
        <v/>
      </c>
      <c r="P319" s="1" t="str">
        <f t="shared" si="46"/>
        <v/>
      </c>
      <c r="Q319" s="1">
        <f>IF($N319="",0,INDEX(TAHSILAT!$F$7:$F$2503,$T319))</f>
        <v>0</v>
      </c>
      <c r="R319" s="1">
        <v>0</v>
      </c>
      <c r="S319" s="1">
        <f t="shared" si="53"/>
        <v>10000000000</v>
      </c>
      <c r="T319" s="1">
        <f>IFERROR(MATCH($C$36&amp;"|246",TAHSILAT!$U$7:$U$2503,0),0)</f>
        <v>0</v>
      </c>
      <c r="V319" s="1">
        <f t="shared" si="54"/>
        <v>10000000000</v>
      </c>
      <c r="W319" s="1">
        <f t="shared" si="55"/>
        <v>9</v>
      </c>
    </row>
    <row r="320" spans="2:23" ht="14.25" customHeight="1" x14ac:dyDescent="0.3">
      <c r="B320" s="65" t="str">
        <f t="shared" si="47"/>
        <v/>
      </c>
      <c r="C320" s="70" t="str">
        <f t="shared" si="48"/>
        <v/>
      </c>
      <c r="D320" s="74" t="str">
        <f t="shared" si="49"/>
        <v/>
      </c>
      <c r="F320" s="65" t="str">
        <f t="shared" si="50"/>
        <v/>
      </c>
      <c r="G320" s="68" t="str">
        <f t="shared" si="51"/>
        <v/>
      </c>
      <c r="H320" s="68" t="str">
        <f t="shared" si="52"/>
        <v/>
      </c>
      <c r="I320" s="68" t="str">
        <f t="shared" si="56"/>
        <v/>
      </c>
      <c r="M320" s="1">
        <v>283</v>
      </c>
      <c r="N320" s="1" t="str">
        <f>IF($T320=0,"",INDEX(TAHSILAT!$E$7:$E$2503,$T320))</f>
        <v/>
      </c>
      <c r="O320" s="1" t="str">
        <f>IF($N320="","",$C$36&amp;" – müşteriden tahsilat: "&amp;INDEX(TAHSILAT!$N$7:$N$2503,$T320)&amp;IF(INDEX(TAHSILAT!$J$7:$J$2503,$T320)="",""," – "&amp;INDEX(TAHSILAT!$J$7:$J$2503,$T320)))</f>
        <v/>
      </c>
      <c r="P320" s="1" t="str">
        <f t="shared" si="46"/>
        <v/>
      </c>
      <c r="Q320" s="1">
        <f>IF($N320="",0,INDEX(TAHSILAT!$F$7:$F$2503,$T320))</f>
        <v>0</v>
      </c>
      <c r="R320" s="1">
        <v>0</v>
      </c>
      <c r="S320" s="1">
        <f t="shared" si="53"/>
        <v>10000000000</v>
      </c>
      <c r="T320" s="1">
        <f>IFERROR(MATCH($C$36&amp;"|247",TAHSILAT!$U$7:$U$2503,0),0)</f>
        <v>0</v>
      </c>
      <c r="V320" s="1">
        <f t="shared" si="54"/>
        <v>10000000000</v>
      </c>
      <c r="W320" s="1">
        <f t="shared" si="55"/>
        <v>9</v>
      </c>
    </row>
    <row r="321" spans="2:23" ht="14.25" customHeight="1" x14ac:dyDescent="0.3">
      <c r="B321" s="65" t="str">
        <f t="shared" si="47"/>
        <v/>
      </c>
      <c r="C321" s="70" t="str">
        <f t="shared" si="48"/>
        <v/>
      </c>
      <c r="D321" s="74" t="str">
        <f t="shared" si="49"/>
        <v/>
      </c>
      <c r="F321" s="65" t="str">
        <f t="shared" si="50"/>
        <v/>
      </c>
      <c r="G321" s="68" t="str">
        <f t="shared" si="51"/>
        <v/>
      </c>
      <c r="H321" s="68" t="str">
        <f t="shared" si="52"/>
        <v/>
      </c>
      <c r="I321" s="68" t="str">
        <f t="shared" si="56"/>
        <v/>
      </c>
      <c r="M321" s="1">
        <v>284</v>
      </c>
      <c r="N321" s="1" t="str">
        <f>IF($T321=0,"",INDEX(TAHSILAT!$E$7:$E$2503,$T321))</f>
        <v/>
      </c>
      <c r="O321" s="1" t="str">
        <f>IF($N321="","",$C$36&amp;" – müşteriden tahsilat: "&amp;INDEX(TAHSILAT!$N$7:$N$2503,$T321)&amp;IF(INDEX(TAHSILAT!$J$7:$J$2503,$T321)="",""," – "&amp;INDEX(TAHSILAT!$J$7:$J$2503,$T321)))</f>
        <v/>
      </c>
      <c r="P321" s="1" t="str">
        <f t="shared" si="46"/>
        <v/>
      </c>
      <c r="Q321" s="1">
        <f>IF($N321="",0,INDEX(TAHSILAT!$F$7:$F$2503,$T321))</f>
        <v>0</v>
      </c>
      <c r="R321" s="1">
        <v>0</v>
      </c>
      <c r="S321" s="1">
        <f t="shared" si="53"/>
        <v>10000000000</v>
      </c>
      <c r="T321" s="1">
        <f>IFERROR(MATCH($C$36&amp;"|248",TAHSILAT!$U$7:$U$2503,0),0)</f>
        <v>0</v>
      </c>
      <c r="V321" s="1">
        <f t="shared" si="54"/>
        <v>10000000000</v>
      </c>
      <c r="W321" s="1">
        <f t="shared" si="55"/>
        <v>9</v>
      </c>
    </row>
    <row r="322" spans="2:23" ht="14.25" customHeight="1" x14ac:dyDescent="0.3">
      <c r="B322" s="65" t="str">
        <f t="shared" si="47"/>
        <v/>
      </c>
      <c r="C322" s="70" t="str">
        <f t="shared" si="48"/>
        <v/>
      </c>
      <c r="D322" s="74" t="str">
        <f t="shared" si="49"/>
        <v/>
      </c>
      <c r="F322" s="65" t="str">
        <f t="shared" si="50"/>
        <v/>
      </c>
      <c r="G322" s="68" t="str">
        <f t="shared" si="51"/>
        <v/>
      </c>
      <c r="H322" s="68" t="str">
        <f t="shared" si="52"/>
        <v/>
      </c>
      <c r="I322" s="68" t="str">
        <f t="shared" si="56"/>
        <v/>
      </c>
      <c r="M322" s="1">
        <v>285</v>
      </c>
      <c r="N322" s="1" t="str">
        <f>IF($T322=0,"",INDEX(TAHSILAT!$E$7:$E$2503,$T322))</f>
        <v/>
      </c>
      <c r="O322" s="1" t="str">
        <f>IF($N322="","",$C$36&amp;" – müşteriden tahsilat: "&amp;INDEX(TAHSILAT!$N$7:$N$2503,$T322)&amp;IF(INDEX(TAHSILAT!$J$7:$J$2503,$T322)="",""," – "&amp;INDEX(TAHSILAT!$J$7:$J$2503,$T322)))</f>
        <v/>
      </c>
      <c r="P322" s="1" t="str">
        <f t="shared" si="46"/>
        <v/>
      </c>
      <c r="Q322" s="1">
        <f>IF($N322="",0,INDEX(TAHSILAT!$F$7:$F$2503,$T322))</f>
        <v>0</v>
      </c>
      <c r="R322" s="1">
        <v>0</v>
      </c>
      <c r="S322" s="1">
        <f t="shared" si="53"/>
        <v>10000000000</v>
      </c>
      <c r="T322" s="1">
        <f>IFERROR(MATCH($C$36&amp;"|249",TAHSILAT!$U$7:$U$2503,0),0)</f>
        <v>0</v>
      </c>
      <c r="V322" s="1">
        <f t="shared" si="54"/>
        <v>10000000000</v>
      </c>
      <c r="W322" s="1">
        <f t="shared" si="55"/>
        <v>9</v>
      </c>
    </row>
    <row r="323" spans="2:23" ht="14.25" customHeight="1" x14ac:dyDescent="0.3">
      <c r="B323" s="65" t="str">
        <f t="shared" si="47"/>
        <v/>
      </c>
      <c r="C323" s="70" t="str">
        <f t="shared" si="48"/>
        <v/>
      </c>
      <c r="D323" s="74" t="str">
        <f t="shared" si="49"/>
        <v/>
      </c>
      <c r="F323" s="65" t="str">
        <f t="shared" si="50"/>
        <v/>
      </c>
      <c r="G323" s="68" t="str">
        <f t="shared" si="51"/>
        <v/>
      </c>
      <c r="H323" s="68" t="str">
        <f t="shared" si="52"/>
        <v/>
      </c>
      <c r="I323" s="68" t="str">
        <f t="shared" si="56"/>
        <v/>
      </c>
      <c r="M323" s="1">
        <v>286</v>
      </c>
      <c r="N323" s="1" t="str">
        <f>IF($T323=0,"",INDEX(TAHSILAT!$E$7:$E$2503,$T323))</f>
        <v/>
      </c>
      <c r="O323" s="1" t="str">
        <f>IF($N323="","",$C$36&amp;" – müşteriden tahsilat: "&amp;INDEX(TAHSILAT!$N$7:$N$2503,$T323)&amp;IF(INDEX(TAHSILAT!$J$7:$J$2503,$T323)="",""," – "&amp;INDEX(TAHSILAT!$J$7:$J$2503,$T323)))</f>
        <v/>
      </c>
      <c r="P323" s="1" t="str">
        <f t="shared" si="46"/>
        <v/>
      </c>
      <c r="Q323" s="1">
        <f>IF($N323="",0,INDEX(TAHSILAT!$F$7:$F$2503,$T323))</f>
        <v>0</v>
      </c>
      <c r="R323" s="1">
        <v>0</v>
      </c>
      <c r="S323" s="1">
        <f t="shared" si="53"/>
        <v>10000000000</v>
      </c>
      <c r="T323" s="1">
        <f>IFERROR(MATCH($C$36&amp;"|250",TAHSILAT!$U$7:$U$2503,0),0)</f>
        <v>0</v>
      </c>
      <c r="V323" s="1">
        <f t="shared" si="54"/>
        <v>10000000000</v>
      </c>
      <c r="W323" s="1">
        <f t="shared" si="55"/>
        <v>9</v>
      </c>
    </row>
    <row r="324" spans="2:23" ht="14.25" customHeight="1" x14ac:dyDescent="0.3">
      <c r="B324" s="65" t="str">
        <f t="shared" si="47"/>
        <v/>
      </c>
      <c r="C324" s="70" t="str">
        <f t="shared" si="48"/>
        <v/>
      </c>
      <c r="D324" s="74" t="str">
        <f t="shared" si="49"/>
        <v/>
      </c>
      <c r="F324" s="65" t="str">
        <f t="shared" si="50"/>
        <v/>
      </c>
      <c r="G324" s="68" t="str">
        <f t="shared" si="51"/>
        <v/>
      </c>
      <c r="H324" s="68" t="str">
        <f t="shared" si="52"/>
        <v/>
      </c>
      <c r="I324" s="68" t="str">
        <f t="shared" si="56"/>
        <v/>
      </c>
      <c r="M324" s="1">
        <v>287</v>
      </c>
      <c r="N324" s="1" t="str">
        <f>IF($T324=0,"",INDEX(TAHSILAT!$E$7:$E$2503,$T324))</f>
        <v/>
      </c>
      <c r="O324" s="1" t="str">
        <f>IF($N324="","",$C$36&amp;" – müşteriden tahsilat: "&amp;INDEX(TAHSILAT!$N$7:$N$2503,$T324)&amp;IF(INDEX(TAHSILAT!$J$7:$J$2503,$T324)="",""," – "&amp;INDEX(TAHSILAT!$J$7:$J$2503,$T324)))</f>
        <v/>
      </c>
      <c r="P324" s="1" t="str">
        <f t="shared" si="46"/>
        <v/>
      </c>
      <c r="Q324" s="1">
        <f>IF($N324="",0,INDEX(TAHSILAT!$F$7:$F$2503,$T324))</f>
        <v>0</v>
      </c>
      <c r="R324" s="1">
        <v>0</v>
      </c>
      <c r="S324" s="1">
        <f t="shared" si="53"/>
        <v>10000000000</v>
      </c>
      <c r="T324" s="1">
        <f>IFERROR(MATCH($C$36&amp;"|251",TAHSILAT!$U$7:$U$2503,0),0)</f>
        <v>0</v>
      </c>
      <c r="V324" s="1">
        <f t="shared" si="54"/>
        <v>10000000000</v>
      </c>
      <c r="W324" s="1">
        <f t="shared" si="55"/>
        <v>9</v>
      </c>
    </row>
    <row r="325" spans="2:23" ht="14.25" customHeight="1" x14ac:dyDescent="0.3">
      <c r="B325" s="65" t="str">
        <f t="shared" si="47"/>
        <v/>
      </c>
      <c r="C325" s="70" t="str">
        <f t="shared" si="48"/>
        <v/>
      </c>
      <c r="D325" s="74" t="str">
        <f t="shared" si="49"/>
        <v/>
      </c>
      <c r="F325" s="65" t="str">
        <f t="shared" si="50"/>
        <v/>
      </c>
      <c r="G325" s="68" t="str">
        <f t="shared" si="51"/>
        <v/>
      </c>
      <c r="H325" s="68" t="str">
        <f t="shared" si="52"/>
        <v/>
      </c>
      <c r="I325" s="68" t="str">
        <f t="shared" si="56"/>
        <v/>
      </c>
      <c r="M325" s="1">
        <v>288</v>
      </c>
      <c r="N325" s="1" t="str">
        <f>IF($T325=0,"",INDEX(TAHSILAT!$E$7:$E$2503,$T325))</f>
        <v/>
      </c>
      <c r="O325" s="1" t="str">
        <f>IF($N325="","",$C$36&amp;" – müşteriden tahsilat: "&amp;INDEX(TAHSILAT!$N$7:$N$2503,$T325)&amp;IF(INDEX(TAHSILAT!$J$7:$J$2503,$T325)="",""," – "&amp;INDEX(TAHSILAT!$J$7:$J$2503,$T325)))</f>
        <v/>
      </c>
      <c r="P325" s="1" t="str">
        <f t="shared" si="46"/>
        <v/>
      </c>
      <c r="Q325" s="1">
        <f>IF($N325="",0,INDEX(TAHSILAT!$F$7:$F$2503,$T325))</f>
        <v>0</v>
      </c>
      <c r="R325" s="1">
        <v>0</v>
      </c>
      <c r="S325" s="1">
        <f t="shared" si="53"/>
        <v>10000000000</v>
      </c>
      <c r="T325" s="1">
        <f>IFERROR(MATCH($C$36&amp;"|252",TAHSILAT!$U$7:$U$2503,0),0)</f>
        <v>0</v>
      </c>
      <c r="V325" s="1">
        <f t="shared" si="54"/>
        <v>10000000000</v>
      </c>
      <c r="W325" s="1">
        <f t="shared" si="55"/>
        <v>9</v>
      </c>
    </row>
    <row r="326" spans="2:23" ht="14.25" customHeight="1" x14ac:dyDescent="0.3">
      <c r="B326" s="65" t="str">
        <f t="shared" si="47"/>
        <v/>
      </c>
      <c r="C326" s="70" t="str">
        <f t="shared" si="48"/>
        <v/>
      </c>
      <c r="D326" s="74" t="str">
        <f t="shared" si="49"/>
        <v/>
      </c>
      <c r="F326" s="65" t="str">
        <f t="shared" si="50"/>
        <v/>
      </c>
      <c r="G326" s="68" t="str">
        <f t="shared" si="51"/>
        <v/>
      </c>
      <c r="H326" s="68" t="str">
        <f t="shared" si="52"/>
        <v/>
      </c>
      <c r="I326" s="68" t="str">
        <f t="shared" si="56"/>
        <v/>
      </c>
      <c r="M326" s="1">
        <v>289</v>
      </c>
      <c r="N326" s="1" t="str">
        <f>IF($T326=0,"",INDEX(TAHSILAT!$E$7:$E$2503,$T326))</f>
        <v/>
      </c>
      <c r="O326" s="1" t="str">
        <f>IF($N326="","",$C$36&amp;" – müşteriden tahsilat: "&amp;INDEX(TAHSILAT!$N$7:$N$2503,$T326)&amp;IF(INDEX(TAHSILAT!$J$7:$J$2503,$T326)="",""," – "&amp;INDEX(TAHSILAT!$J$7:$J$2503,$T326)))</f>
        <v/>
      </c>
      <c r="P326" s="1" t="str">
        <f t="shared" si="46"/>
        <v/>
      </c>
      <c r="Q326" s="1">
        <f>IF($N326="",0,INDEX(TAHSILAT!$F$7:$F$2503,$T326))</f>
        <v>0</v>
      </c>
      <c r="R326" s="1">
        <v>0</v>
      </c>
      <c r="S326" s="1">
        <f t="shared" si="53"/>
        <v>10000000000</v>
      </c>
      <c r="T326" s="1">
        <f>IFERROR(MATCH($C$36&amp;"|253",TAHSILAT!$U$7:$U$2503,0),0)</f>
        <v>0</v>
      </c>
      <c r="V326" s="1">
        <f t="shared" si="54"/>
        <v>10000000000</v>
      </c>
      <c r="W326" s="1">
        <f t="shared" si="55"/>
        <v>9</v>
      </c>
    </row>
    <row r="327" spans="2:23" ht="14.25" customHeight="1" x14ac:dyDescent="0.3">
      <c r="B327" s="65" t="str">
        <f t="shared" si="47"/>
        <v/>
      </c>
      <c r="C327" s="70" t="str">
        <f t="shared" si="48"/>
        <v/>
      </c>
      <c r="D327" s="74" t="str">
        <f t="shared" si="49"/>
        <v/>
      </c>
      <c r="F327" s="65" t="str">
        <f t="shared" si="50"/>
        <v/>
      </c>
      <c r="G327" s="68" t="str">
        <f t="shared" si="51"/>
        <v/>
      </c>
      <c r="H327" s="68" t="str">
        <f t="shared" si="52"/>
        <v/>
      </c>
      <c r="I327" s="68" t="str">
        <f t="shared" si="56"/>
        <v/>
      </c>
      <c r="M327" s="1">
        <v>290</v>
      </c>
      <c r="N327" s="1" t="str">
        <f>IF($T327=0,"",INDEX(TAHSILAT!$E$7:$E$2503,$T327))</f>
        <v/>
      </c>
      <c r="O327" s="1" t="str">
        <f>IF($N327="","",$C$36&amp;" – müşteriden tahsilat: "&amp;INDEX(TAHSILAT!$N$7:$N$2503,$T327)&amp;IF(INDEX(TAHSILAT!$J$7:$J$2503,$T327)="",""," – "&amp;INDEX(TAHSILAT!$J$7:$J$2503,$T327)))</f>
        <v/>
      </c>
      <c r="P327" s="1" t="str">
        <f t="shared" si="46"/>
        <v/>
      </c>
      <c r="Q327" s="1">
        <f>IF($N327="",0,INDEX(TAHSILAT!$F$7:$F$2503,$T327))</f>
        <v>0</v>
      </c>
      <c r="R327" s="1">
        <v>0</v>
      </c>
      <c r="S327" s="1">
        <f t="shared" si="53"/>
        <v>10000000000</v>
      </c>
      <c r="T327" s="1">
        <f>IFERROR(MATCH($C$36&amp;"|254",TAHSILAT!$U$7:$U$2503,0),0)</f>
        <v>0</v>
      </c>
      <c r="V327" s="1">
        <f t="shared" si="54"/>
        <v>10000000000</v>
      </c>
      <c r="W327" s="1">
        <f t="shared" si="55"/>
        <v>9</v>
      </c>
    </row>
    <row r="328" spans="2:23" ht="14.25" customHeight="1" x14ac:dyDescent="0.3">
      <c r="B328" s="65" t="str">
        <f t="shared" si="47"/>
        <v/>
      </c>
      <c r="C328" s="70" t="str">
        <f t="shared" si="48"/>
        <v/>
      </c>
      <c r="D328" s="74" t="str">
        <f t="shared" si="49"/>
        <v/>
      </c>
      <c r="F328" s="65" t="str">
        <f t="shared" si="50"/>
        <v/>
      </c>
      <c r="G328" s="68" t="str">
        <f t="shared" si="51"/>
        <v/>
      </c>
      <c r="H328" s="68" t="str">
        <f t="shared" si="52"/>
        <v/>
      </c>
      <c r="I328" s="68" t="str">
        <f t="shared" si="56"/>
        <v/>
      </c>
      <c r="M328" s="1">
        <v>291</v>
      </c>
      <c r="N328" s="1" t="str">
        <f>IF($T328=0,"",INDEX(TAHSILAT!$E$7:$E$2503,$T328))</f>
        <v/>
      </c>
      <c r="O328" s="1" t="str">
        <f>IF($N328="","",$C$36&amp;" – müşteriden tahsilat: "&amp;INDEX(TAHSILAT!$N$7:$N$2503,$T328)&amp;IF(INDEX(TAHSILAT!$J$7:$J$2503,$T328)="",""," – "&amp;INDEX(TAHSILAT!$J$7:$J$2503,$T328)))</f>
        <v/>
      </c>
      <c r="P328" s="1" t="str">
        <f t="shared" si="46"/>
        <v/>
      </c>
      <c r="Q328" s="1">
        <f>IF($N328="",0,INDEX(TAHSILAT!$F$7:$F$2503,$T328))</f>
        <v>0</v>
      </c>
      <c r="R328" s="1">
        <v>0</v>
      </c>
      <c r="S328" s="1">
        <f t="shared" si="53"/>
        <v>10000000000</v>
      </c>
      <c r="T328" s="1">
        <f>IFERROR(MATCH($C$36&amp;"|255",TAHSILAT!$U$7:$U$2503,0),0)</f>
        <v>0</v>
      </c>
      <c r="V328" s="1">
        <f t="shared" si="54"/>
        <v>10000000000</v>
      </c>
      <c r="W328" s="1">
        <f t="shared" si="55"/>
        <v>9</v>
      </c>
    </row>
    <row r="329" spans="2:23" ht="14.25" customHeight="1" x14ac:dyDescent="0.3">
      <c r="B329" s="65" t="str">
        <f t="shared" si="47"/>
        <v/>
      </c>
      <c r="C329" s="70" t="str">
        <f t="shared" si="48"/>
        <v/>
      </c>
      <c r="D329" s="74" t="str">
        <f t="shared" si="49"/>
        <v/>
      </c>
      <c r="F329" s="65" t="str">
        <f t="shared" si="50"/>
        <v/>
      </c>
      <c r="G329" s="68" t="str">
        <f t="shared" si="51"/>
        <v/>
      </c>
      <c r="H329" s="68" t="str">
        <f t="shared" si="52"/>
        <v/>
      </c>
      <c r="I329" s="68" t="str">
        <f t="shared" si="56"/>
        <v/>
      </c>
      <c r="M329" s="1">
        <v>292</v>
      </c>
      <c r="N329" s="1" t="str">
        <f>IF($T329=0,"",INDEX(TAHSILAT!$E$7:$E$2503,$T329))</f>
        <v/>
      </c>
      <c r="O329" s="1" t="str">
        <f>IF($N329="","",$C$36&amp;" – müşteriden tahsilat: "&amp;INDEX(TAHSILAT!$N$7:$N$2503,$T329)&amp;IF(INDEX(TAHSILAT!$J$7:$J$2503,$T329)="",""," – "&amp;INDEX(TAHSILAT!$J$7:$J$2503,$T329)))</f>
        <v/>
      </c>
      <c r="P329" s="1" t="str">
        <f t="shared" si="46"/>
        <v/>
      </c>
      <c r="Q329" s="1">
        <f>IF($N329="",0,INDEX(TAHSILAT!$F$7:$F$2503,$T329))</f>
        <v>0</v>
      </c>
      <c r="R329" s="1">
        <v>0</v>
      </c>
      <c r="S329" s="1">
        <f t="shared" si="53"/>
        <v>10000000000</v>
      </c>
      <c r="T329" s="1">
        <f>IFERROR(MATCH($C$36&amp;"|256",TAHSILAT!$U$7:$U$2503,0),0)</f>
        <v>0</v>
      </c>
      <c r="V329" s="1">
        <f t="shared" si="54"/>
        <v>10000000000</v>
      </c>
      <c r="W329" s="1">
        <f t="shared" si="55"/>
        <v>9</v>
      </c>
    </row>
    <row r="330" spans="2:23" ht="14.25" customHeight="1" x14ac:dyDescent="0.3">
      <c r="B330" s="65" t="str">
        <f t="shared" si="47"/>
        <v/>
      </c>
      <c r="C330" s="70" t="str">
        <f t="shared" si="48"/>
        <v/>
      </c>
      <c r="D330" s="74" t="str">
        <f t="shared" si="49"/>
        <v/>
      </c>
      <c r="F330" s="65" t="str">
        <f t="shared" si="50"/>
        <v/>
      </c>
      <c r="G330" s="68" t="str">
        <f t="shared" si="51"/>
        <v/>
      </c>
      <c r="H330" s="68" t="str">
        <f t="shared" si="52"/>
        <v/>
      </c>
      <c r="I330" s="68" t="str">
        <f t="shared" si="56"/>
        <v/>
      </c>
      <c r="M330" s="1">
        <v>293</v>
      </c>
      <c r="N330" s="1" t="str">
        <f>IF($T330=0,"",INDEX(TAHSILAT!$E$7:$E$2503,$T330))</f>
        <v/>
      </c>
      <c r="O330" s="1" t="str">
        <f>IF($N330="","",$C$36&amp;" – müşteriden tahsilat: "&amp;INDEX(TAHSILAT!$N$7:$N$2503,$T330)&amp;IF(INDEX(TAHSILAT!$J$7:$J$2503,$T330)="",""," – "&amp;INDEX(TAHSILAT!$J$7:$J$2503,$T330)))</f>
        <v/>
      </c>
      <c r="P330" s="1" t="str">
        <f t="shared" ref="P330:P393" si="57">IF($N330="","","MÜŞTERİDEN ALDI")</f>
        <v/>
      </c>
      <c r="Q330" s="1">
        <f>IF($N330="",0,INDEX(TAHSILAT!$F$7:$F$2503,$T330))</f>
        <v>0</v>
      </c>
      <c r="R330" s="1">
        <v>0</v>
      </c>
      <c r="S330" s="1">
        <f t="shared" si="53"/>
        <v>10000000000</v>
      </c>
      <c r="T330" s="1">
        <f>IFERROR(MATCH($C$36&amp;"|257",TAHSILAT!$U$7:$U$2503,0),0)</f>
        <v>0</v>
      </c>
      <c r="V330" s="1">
        <f t="shared" si="54"/>
        <v>10000000000</v>
      </c>
      <c r="W330" s="1">
        <f t="shared" si="55"/>
        <v>9</v>
      </c>
    </row>
    <row r="331" spans="2:23" ht="14.25" customHeight="1" x14ac:dyDescent="0.3">
      <c r="B331" s="65" t="str">
        <f t="shared" si="47"/>
        <v/>
      </c>
      <c r="C331" s="70" t="str">
        <f t="shared" si="48"/>
        <v/>
      </c>
      <c r="D331" s="74" t="str">
        <f t="shared" si="49"/>
        <v/>
      </c>
      <c r="F331" s="65" t="str">
        <f t="shared" si="50"/>
        <v/>
      </c>
      <c r="G331" s="68" t="str">
        <f t="shared" si="51"/>
        <v/>
      </c>
      <c r="H331" s="68" t="str">
        <f t="shared" si="52"/>
        <v/>
      </c>
      <c r="I331" s="68" t="str">
        <f t="shared" si="56"/>
        <v/>
      </c>
      <c r="M331" s="1">
        <v>294</v>
      </c>
      <c r="N331" s="1" t="str">
        <f>IF($T331=0,"",INDEX(TAHSILAT!$E$7:$E$2503,$T331))</f>
        <v/>
      </c>
      <c r="O331" s="1" t="str">
        <f>IF($N331="","",$C$36&amp;" – müşteriden tahsilat: "&amp;INDEX(TAHSILAT!$N$7:$N$2503,$T331)&amp;IF(INDEX(TAHSILAT!$J$7:$J$2503,$T331)="",""," – "&amp;INDEX(TAHSILAT!$J$7:$J$2503,$T331)))</f>
        <v/>
      </c>
      <c r="P331" s="1" t="str">
        <f t="shared" si="57"/>
        <v/>
      </c>
      <c r="Q331" s="1">
        <f>IF($N331="",0,INDEX(TAHSILAT!$F$7:$F$2503,$T331))</f>
        <v>0</v>
      </c>
      <c r="R331" s="1">
        <v>0</v>
      </c>
      <c r="S331" s="1">
        <f t="shared" si="53"/>
        <v>10000000000</v>
      </c>
      <c r="T331" s="1">
        <f>IFERROR(MATCH($C$36&amp;"|258",TAHSILAT!$U$7:$U$2503,0),0)</f>
        <v>0</v>
      </c>
      <c r="V331" s="1">
        <f t="shared" si="54"/>
        <v>10000000000</v>
      </c>
      <c r="W331" s="1">
        <f t="shared" si="55"/>
        <v>9</v>
      </c>
    </row>
    <row r="332" spans="2:23" ht="14.25" customHeight="1" x14ac:dyDescent="0.3">
      <c r="B332" s="65" t="str">
        <f t="shared" si="47"/>
        <v/>
      </c>
      <c r="C332" s="70" t="str">
        <f t="shared" si="48"/>
        <v/>
      </c>
      <c r="D332" s="74" t="str">
        <f t="shared" si="49"/>
        <v/>
      </c>
      <c r="F332" s="65" t="str">
        <f t="shared" si="50"/>
        <v/>
      </c>
      <c r="G332" s="68" t="str">
        <f t="shared" si="51"/>
        <v/>
      </c>
      <c r="H332" s="68" t="str">
        <f t="shared" si="52"/>
        <v/>
      </c>
      <c r="I332" s="68" t="str">
        <f t="shared" si="56"/>
        <v/>
      </c>
      <c r="M332" s="1">
        <v>295</v>
      </c>
      <c r="N332" s="1" t="str">
        <f>IF($T332=0,"",INDEX(TAHSILAT!$E$7:$E$2503,$T332))</f>
        <v/>
      </c>
      <c r="O332" s="1" t="str">
        <f>IF($N332="","",$C$36&amp;" – müşteriden tahsilat: "&amp;INDEX(TAHSILAT!$N$7:$N$2503,$T332)&amp;IF(INDEX(TAHSILAT!$J$7:$J$2503,$T332)="",""," – "&amp;INDEX(TAHSILAT!$J$7:$J$2503,$T332)))</f>
        <v/>
      </c>
      <c r="P332" s="1" t="str">
        <f t="shared" si="57"/>
        <v/>
      </c>
      <c r="Q332" s="1">
        <f>IF($N332="",0,INDEX(TAHSILAT!$F$7:$F$2503,$T332))</f>
        <v>0</v>
      </c>
      <c r="R332" s="1">
        <v>0</v>
      </c>
      <c r="S332" s="1">
        <f t="shared" si="53"/>
        <v>10000000000</v>
      </c>
      <c r="T332" s="1">
        <f>IFERROR(MATCH($C$36&amp;"|259",TAHSILAT!$U$7:$U$2503,0),0)</f>
        <v>0</v>
      </c>
      <c r="V332" s="1">
        <f t="shared" si="54"/>
        <v>10000000000</v>
      </c>
      <c r="W332" s="1">
        <f t="shared" si="55"/>
        <v>9</v>
      </c>
    </row>
    <row r="333" spans="2:23" ht="14.25" customHeight="1" x14ac:dyDescent="0.3">
      <c r="B333" s="65" t="str">
        <f t="shared" si="47"/>
        <v/>
      </c>
      <c r="C333" s="70" t="str">
        <f t="shared" si="48"/>
        <v/>
      </c>
      <c r="D333" s="74" t="str">
        <f t="shared" si="49"/>
        <v/>
      </c>
      <c r="F333" s="65" t="str">
        <f t="shared" si="50"/>
        <v/>
      </c>
      <c r="G333" s="68" t="str">
        <f t="shared" si="51"/>
        <v/>
      </c>
      <c r="H333" s="68" t="str">
        <f t="shared" si="52"/>
        <v/>
      </c>
      <c r="I333" s="68" t="str">
        <f t="shared" si="56"/>
        <v/>
      </c>
      <c r="M333" s="1">
        <v>296</v>
      </c>
      <c r="N333" s="1" t="str">
        <f>IF($T333=0,"",INDEX(TAHSILAT!$E$7:$E$2503,$T333))</f>
        <v/>
      </c>
      <c r="O333" s="1" t="str">
        <f>IF($N333="","",$C$36&amp;" – müşteriden tahsilat: "&amp;INDEX(TAHSILAT!$N$7:$N$2503,$T333)&amp;IF(INDEX(TAHSILAT!$J$7:$J$2503,$T333)="",""," – "&amp;INDEX(TAHSILAT!$J$7:$J$2503,$T333)))</f>
        <v/>
      </c>
      <c r="P333" s="1" t="str">
        <f t="shared" si="57"/>
        <v/>
      </c>
      <c r="Q333" s="1">
        <f>IF($N333="",0,INDEX(TAHSILAT!$F$7:$F$2503,$T333))</f>
        <v>0</v>
      </c>
      <c r="R333" s="1">
        <v>0</v>
      </c>
      <c r="S333" s="1">
        <f t="shared" si="53"/>
        <v>10000000000</v>
      </c>
      <c r="T333" s="1">
        <f>IFERROR(MATCH($C$36&amp;"|260",TAHSILAT!$U$7:$U$2503,0),0)</f>
        <v>0</v>
      </c>
      <c r="V333" s="1">
        <f t="shared" si="54"/>
        <v>10000000000</v>
      </c>
      <c r="W333" s="1">
        <f t="shared" si="55"/>
        <v>9</v>
      </c>
    </row>
    <row r="334" spans="2:23" ht="14.25" customHeight="1" x14ac:dyDescent="0.3">
      <c r="B334" s="65" t="str">
        <f t="shared" si="47"/>
        <v/>
      </c>
      <c r="C334" s="70" t="str">
        <f t="shared" si="48"/>
        <v/>
      </c>
      <c r="D334" s="74" t="str">
        <f t="shared" si="49"/>
        <v/>
      </c>
      <c r="F334" s="65" t="str">
        <f t="shared" si="50"/>
        <v/>
      </c>
      <c r="G334" s="68" t="str">
        <f t="shared" si="51"/>
        <v/>
      </c>
      <c r="H334" s="68" t="str">
        <f t="shared" si="52"/>
        <v/>
      </c>
      <c r="I334" s="68" t="str">
        <f t="shared" si="56"/>
        <v/>
      </c>
      <c r="M334" s="1">
        <v>297</v>
      </c>
      <c r="N334" s="1" t="str">
        <f>IF($T334=0,"",INDEX(TAHSILAT!$E$7:$E$2503,$T334))</f>
        <v/>
      </c>
      <c r="O334" s="1" t="str">
        <f>IF($N334="","",$C$36&amp;" – müşteriden tahsilat: "&amp;INDEX(TAHSILAT!$N$7:$N$2503,$T334)&amp;IF(INDEX(TAHSILAT!$J$7:$J$2503,$T334)="",""," – "&amp;INDEX(TAHSILAT!$J$7:$J$2503,$T334)))</f>
        <v/>
      </c>
      <c r="P334" s="1" t="str">
        <f t="shared" si="57"/>
        <v/>
      </c>
      <c r="Q334" s="1">
        <f>IF($N334="",0,INDEX(TAHSILAT!$F$7:$F$2503,$T334))</f>
        <v>0</v>
      </c>
      <c r="R334" s="1">
        <v>0</v>
      </c>
      <c r="S334" s="1">
        <f t="shared" si="53"/>
        <v>10000000000</v>
      </c>
      <c r="T334" s="1">
        <f>IFERROR(MATCH($C$36&amp;"|261",TAHSILAT!$U$7:$U$2503,0),0)</f>
        <v>0</v>
      </c>
      <c r="V334" s="1">
        <f t="shared" si="54"/>
        <v>10000000000</v>
      </c>
      <c r="W334" s="1">
        <f t="shared" si="55"/>
        <v>9</v>
      </c>
    </row>
    <row r="335" spans="2:23" ht="14.25" customHeight="1" x14ac:dyDescent="0.3">
      <c r="B335" s="65" t="str">
        <f t="shared" si="47"/>
        <v/>
      </c>
      <c r="C335" s="70" t="str">
        <f t="shared" si="48"/>
        <v/>
      </c>
      <c r="D335" s="74" t="str">
        <f t="shared" si="49"/>
        <v/>
      </c>
      <c r="F335" s="65" t="str">
        <f t="shared" si="50"/>
        <v/>
      </c>
      <c r="G335" s="68" t="str">
        <f t="shared" si="51"/>
        <v/>
      </c>
      <c r="H335" s="68" t="str">
        <f t="shared" si="52"/>
        <v/>
      </c>
      <c r="I335" s="68" t="str">
        <f t="shared" si="56"/>
        <v/>
      </c>
      <c r="M335" s="1">
        <v>298</v>
      </c>
      <c r="N335" s="1" t="str">
        <f>IF($T335=0,"",INDEX(TAHSILAT!$E$7:$E$2503,$T335))</f>
        <v/>
      </c>
      <c r="O335" s="1" t="str">
        <f>IF($N335="","",$C$36&amp;" – müşteriden tahsilat: "&amp;INDEX(TAHSILAT!$N$7:$N$2503,$T335)&amp;IF(INDEX(TAHSILAT!$J$7:$J$2503,$T335)="",""," – "&amp;INDEX(TAHSILAT!$J$7:$J$2503,$T335)))</f>
        <v/>
      </c>
      <c r="P335" s="1" t="str">
        <f t="shared" si="57"/>
        <v/>
      </c>
      <c r="Q335" s="1">
        <f>IF($N335="",0,INDEX(TAHSILAT!$F$7:$F$2503,$T335))</f>
        <v>0</v>
      </c>
      <c r="R335" s="1">
        <v>0</v>
      </c>
      <c r="S335" s="1">
        <f t="shared" si="53"/>
        <v>10000000000</v>
      </c>
      <c r="T335" s="1">
        <f>IFERROR(MATCH($C$36&amp;"|262",TAHSILAT!$U$7:$U$2503,0),0)</f>
        <v>0</v>
      </c>
      <c r="V335" s="1">
        <f t="shared" si="54"/>
        <v>10000000000</v>
      </c>
      <c r="W335" s="1">
        <f t="shared" si="55"/>
        <v>9</v>
      </c>
    </row>
    <row r="336" spans="2:23" ht="14.25" customHeight="1" x14ac:dyDescent="0.3">
      <c r="B336" s="65" t="str">
        <f t="shared" si="47"/>
        <v/>
      </c>
      <c r="C336" s="70" t="str">
        <f t="shared" si="48"/>
        <v/>
      </c>
      <c r="D336" s="74" t="str">
        <f t="shared" si="49"/>
        <v/>
      </c>
      <c r="F336" s="65" t="str">
        <f t="shared" si="50"/>
        <v/>
      </c>
      <c r="G336" s="68" t="str">
        <f t="shared" si="51"/>
        <v/>
      </c>
      <c r="H336" s="68" t="str">
        <f t="shared" si="52"/>
        <v/>
      </c>
      <c r="I336" s="68" t="str">
        <f t="shared" si="56"/>
        <v/>
      </c>
      <c r="M336" s="1">
        <v>299</v>
      </c>
      <c r="N336" s="1" t="str">
        <f>IF($T336=0,"",INDEX(TAHSILAT!$E$7:$E$2503,$T336))</f>
        <v/>
      </c>
      <c r="O336" s="1" t="str">
        <f>IF($N336="","",$C$36&amp;" – müşteriden tahsilat: "&amp;INDEX(TAHSILAT!$N$7:$N$2503,$T336)&amp;IF(INDEX(TAHSILAT!$J$7:$J$2503,$T336)="",""," – "&amp;INDEX(TAHSILAT!$J$7:$J$2503,$T336)))</f>
        <v/>
      </c>
      <c r="P336" s="1" t="str">
        <f t="shared" si="57"/>
        <v/>
      </c>
      <c r="Q336" s="1">
        <f>IF($N336="",0,INDEX(TAHSILAT!$F$7:$F$2503,$T336))</f>
        <v>0</v>
      </c>
      <c r="R336" s="1">
        <v>0</v>
      </c>
      <c r="S336" s="1">
        <f t="shared" si="53"/>
        <v>10000000000</v>
      </c>
      <c r="T336" s="1">
        <f>IFERROR(MATCH($C$36&amp;"|263",TAHSILAT!$U$7:$U$2503,0),0)</f>
        <v>0</v>
      </c>
      <c r="V336" s="1">
        <f t="shared" si="54"/>
        <v>10000000000</v>
      </c>
      <c r="W336" s="1">
        <f t="shared" si="55"/>
        <v>9</v>
      </c>
    </row>
    <row r="337" spans="2:23" ht="14.25" customHeight="1" x14ac:dyDescent="0.3">
      <c r="B337" s="65" t="str">
        <f t="shared" si="47"/>
        <v/>
      </c>
      <c r="C337" s="70" t="str">
        <f t="shared" si="48"/>
        <v/>
      </c>
      <c r="D337" s="74" t="str">
        <f t="shared" si="49"/>
        <v/>
      </c>
      <c r="F337" s="65" t="str">
        <f t="shared" si="50"/>
        <v/>
      </c>
      <c r="G337" s="68" t="str">
        <f t="shared" si="51"/>
        <v/>
      </c>
      <c r="H337" s="68" t="str">
        <f t="shared" si="52"/>
        <v/>
      </c>
      <c r="I337" s="68" t="str">
        <f t="shared" si="56"/>
        <v/>
      </c>
      <c r="M337" s="1">
        <v>300</v>
      </c>
      <c r="N337" s="1" t="str">
        <f>IF($T337=0,"",INDEX(TAHSILAT!$E$7:$E$2503,$T337))</f>
        <v/>
      </c>
      <c r="O337" s="1" t="str">
        <f>IF($N337="","",$C$36&amp;" – müşteriden tahsilat: "&amp;INDEX(TAHSILAT!$N$7:$N$2503,$T337)&amp;IF(INDEX(TAHSILAT!$J$7:$J$2503,$T337)="",""," – "&amp;INDEX(TAHSILAT!$J$7:$J$2503,$T337)))</f>
        <v/>
      </c>
      <c r="P337" s="1" t="str">
        <f t="shared" si="57"/>
        <v/>
      </c>
      <c r="Q337" s="1">
        <f>IF($N337="",0,INDEX(TAHSILAT!$F$7:$F$2503,$T337))</f>
        <v>0</v>
      </c>
      <c r="R337" s="1">
        <v>0</v>
      </c>
      <c r="S337" s="1">
        <f t="shared" si="53"/>
        <v>10000000000</v>
      </c>
      <c r="T337" s="1">
        <f>IFERROR(MATCH($C$36&amp;"|264",TAHSILAT!$U$7:$U$2503,0),0)</f>
        <v>0</v>
      </c>
      <c r="V337" s="1">
        <f t="shared" si="54"/>
        <v>10000000000</v>
      </c>
      <c r="W337" s="1">
        <f t="shared" si="55"/>
        <v>9</v>
      </c>
    </row>
    <row r="338" spans="2:23" ht="14.25" customHeight="1" x14ac:dyDescent="0.3">
      <c r="B338" s="65" t="str">
        <f t="shared" si="47"/>
        <v/>
      </c>
      <c r="C338" s="70" t="str">
        <f t="shared" si="48"/>
        <v/>
      </c>
      <c r="D338" s="74" t="str">
        <f t="shared" si="49"/>
        <v/>
      </c>
      <c r="F338" s="65" t="str">
        <f t="shared" si="50"/>
        <v/>
      </c>
      <c r="G338" s="68" t="str">
        <f t="shared" si="51"/>
        <v/>
      </c>
      <c r="H338" s="68" t="str">
        <f t="shared" si="52"/>
        <v/>
      </c>
      <c r="I338" s="68" t="str">
        <f t="shared" si="56"/>
        <v/>
      </c>
      <c r="M338" s="1">
        <v>301</v>
      </c>
      <c r="N338" s="1" t="str">
        <f>IF($T338=0,"",INDEX(TAHSILAT!$E$7:$E$2503,$T338))</f>
        <v/>
      </c>
      <c r="O338" s="1" t="str">
        <f>IF($N338="","",$C$36&amp;" – müşteriden tahsilat: "&amp;INDEX(TAHSILAT!$N$7:$N$2503,$T338)&amp;IF(INDEX(TAHSILAT!$J$7:$J$2503,$T338)="",""," – "&amp;INDEX(TAHSILAT!$J$7:$J$2503,$T338)))</f>
        <v/>
      </c>
      <c r="P338" s="1" t="str">
        <f t="shared" si="57"/>
        <v/>
      </c>
      <c r="Q338" s="1">
        <f>IF($N338="",0,INDEX(TAHSILAT!$F$7:$F$2503,$T338))</f>
        <v>0</v>
      </c>
      <c r="R338" s="1">
        <v>0</v>
      </c>
      <c r="S338" s="1">
        <f t="shared" si="53"/>
        <v>10000000000</v>
      </c>
      <c r="T338" s="1">
        <f>IFERROR(MATCH($C$36&amp;"|265",TAHSILAT!$U$7:$U$2503,0),0)</f>
        <v>0</v>
      </c>
      <c r="V338" s="1">
        <f t="shared" si="54"/>
        <v>10000000000</v>
      </c>
      <c r="W338" s="1">
        <f t="shared" si="55"/>
        <v>9</v>
      </c>
    </row>
    <row r="339" spans="2:23" ht="14.25" customHeight="1" x14ac:dyDescent="0.3">
      <c r="B339" s="65" t="str">
        <f t="shared" si="47"/>
        <v/>
      </c>
      <c r="C339" s="70" t="str">
        <f t="shared" si="48"/>
        <v/>
      </c>
      <c r="D339" s="74" t="str">
        <f t="shared" si="49"/>
        <v/>
      </c>
      <c r="F339" s="65" t="str">
        <f t="shared" si="50"/>
        <v/>
      </c>
      <c r="G339" s="68" t="str">
        <f t="shared" si="51"/>
        <v/>
      </c>
      <c r="H339" s="68" t="str">
        <f t="shared" si="52"/>
        <v/>
      </c>
      <c r="I339" s="68" t="str">
        <f t="shared" si="56"/>
        <v/>
      </c>
      <c r="M339" s="1">
        <v>302</v>
      </c>
      <c r="N339" s="1" t="str">
        <f>IF($T339=0,"",INDEX(TAHSILAT!$E$7:$E$2503,$T339))</f>
        <v/>
      </c>
      <c r="O339" s="1" t="str">
        <f>IF($N339="","",$C$36&amp;" – müşteriden tahsilat: "&amp;INDEX(TAHSILAT!$N$7:$N$2503,$T339)&amp;IF(INDEX(TAHSILAT!$J$7:$J$2503,$T339)="",""," – "&amp;INDEX(TAHSILAT!$J$7:$J$2503,$T339)))</f>
        <v/>
      </c>
      <c r="P339" s="1" t="str">
        <f t="shared" si="57"/>
        <v/>
      </c>
      <c r="Q339" s="1">
        <f>IF($N339="",0,INDEX(TAHSILAT!$F$7:$F$2503,$T339))</f>
        <v>0</v>
      </c>
      <c r="R339" s="1">
        <v>0</v>
      </c>
      <c r="S339" s="1">
        <f t="shared" si="53"/>
        <v>10000000000</v>
      </c>
      <c r="T339" s="1">
        <f>IFERROR(MATCH($C$36&amp;"|266",TAHSILAT!$U$7:$U$2503,0),0)</f>
        <v>0</v>
      </c>
      <c r="V339" s="1">
        <f t="shared" si="54"/>
        <v>10000000000</v>
      </c>
      <c r="W339" s="1">
        <f t="shared" si="55"/>
        <v>9</v>
      </c>
    </row>
    <row r="340" spans="2:23" ht="14.25" customHeight="1" x14ac:dyDescent="0.3">
      <c r="B340" s="65" t="str">
        <f t="shared" si="47"/>
        <v/>
      </c>
      <c r="C340" s="70" t="str">
        <f t="shared" si="48"/>
        <v/>
      </c>
      <c r="D340" s="74" t="str">
        <f t="shared" si="49"/>
        <v/>
      </c>
      <c r="F340" s="65" t="str">
        <f t="shared" si="50"/>
        <v/>
      </c>
      <c r="G340" s="68" t="str">
        <f t="shared" si="51"/>
        <v/>
      </c>
      <c r="H340" s="68" t="str">
        <f t="shared" si="52"/>
        <v/>
      </c>
      <c r="I340" s="68" t="str">
        <f t="shared" si="56"/>
        <v/>
      </c>
      <c r="M340" s="1">
        <v>303</v>
      </c>
      <c r="N340" s="1" t="str">
        <f>IF($T340=0,"",INDEX(TAHSILAT!$E$7:$E$2503,$T340))</f>
        <v/>
      </c>
      <c r="O340" s="1" t="str">
        <f>IF($N340="","",$C$36&amp;" – müşteriden tahsilat: "&amp;INDEX(TAHSILAT!$N$7:$N$2503,$T340)&amp;IF(INDEX(TAHSILAT!$J$7:$J$2503,$T340)="",""," – "&amp;INDEX(TAHSILAT!$J$7:$J$2503,$T340)))</f>
        <v/>
      </c>
      <c r="P340" s="1" t="str">
        <f t="shared" si="57"/>
        <v/>
      </c>
      <c r="Q340" s="1">
        <f>IF($N340="",0,INDEX(TAHSILAT!$F$7:$F$2503,$T340))</f>
        <v>0</v>
      </c>
      <c r="R340" s="1">
        <v>0</v>
      </c>
      <c r="S340" s="1">
        <f t="shared" si="53"/>
        <v>10000000000</v>
      </c>
      <c r="T340" s="1">
        <f>IFERROR(MATCH($C$36&amp;"|267",TAHSILAT!$U$7:$U$2503,0),0)</f>
        <v>0</v>
      </c>
      <c r="V340" s="1">
        <f t="shared" si="54"/>
        <v>10000000000</v>
      </c>
      <c r="W340" s="1">
        <f t="shared" si="55"/>
        <v>9</v>
      </c>
    </row>
    <row r="341" spans="2:23" ht="14.25" customHeight="1" x14ac:dyDescent="0.3">
      <c r="B341" s="65" t="str">
        <f t="shared" si="47"/>
        <v/>
      </c>
      <c r="C341" s="70" t="str">
        <f t="shared" si="48"/>
        <v/>
      </c>
      <c r="D341" s="74" t="str">
        <f t="shared" si="49"/>
        <v/>
      </c>
      <c r="F341" s="65" t="str">
        <f t="shared" si="50"/>
        <v/>
      </c>
      <c r="G341" s="68" t="str">
        <f t="shared" si="51"/>
        <v/>
      </c>
      <c r="H341" s="68" t="str">
        <f t="shared" si="52"/>
        <v/>
      </c>
      <c r="I341" s="68" t="str">
        <f t="shared" si="56"/>
        <v/>
      </c>
      <c r="M341" s="1">
        <v>304</v>
      </c>
      <c r="N341" s="1" t="str">
        <f>IF($T341=0,"",INDEX(TAHSILAT!$E$7:$E$2503,$T341))</f>
        <v/>
      </c>
      <c r="O341" s="1" t="str">
        <f>IF($N341="","",$C$36&amp;" – müşteriden tahsilat: "&amp;INDEX(TAHSILAT!$N$7:$N$2503,$T341)&amp;IF(INDEX(TAHSILAT!$J$7:$J$2503,$T341)="",""," – "&amp;INDEX(TAHSILAT!$J$7:$J$2503,$T341)))</f>
        <v/>
      </c>
      <c r="P341" s="1" t="str">
        <f t="shared" si="57"/>
        <v/>
      </c>
      <c r="Q341" s="1">
        <f>IF($N341="",0,INDEX(TAHSILAT!$F$7:$F$2503,$T341))</f>
        <v>0</v>
      </c>
      <c r="R341" s="1">
        <v>0</v>
      </c>
      <c r="S341" s="1">
        <f t="shared" si="53"/>
        <v>10000000000</v>
      </c>
      <c r="T341" s="1">
        <f>IFERROR(MATCH($C$36&amp;"|268",TAHSILAT!$U$7:$U$2503,0),0)</f>
        <v>0</v>
      </c>
      <c r="V341" s="1">
        <f t="shared" si="54"/>
        <v>10000000000</v>
      </c>
      <c r="W341" s="1">
        <f t="shared" si="55"/>
        <v>9</v>
      </c>
    </row>
    <row r="342" spans="2:23" ht="14.25" customHeight="1" x14ac:dyDescent="0.3">
      <c r="B342" s="65" t="str">
        <f t="shared" si="47"/>
        <v/>
      </c>
      <c r="C342" s="70" t="str">
        <f t="shared" si="48"/>
        <v/>
      </c>
      <c r="D342" s="74" t="str">
        <f t="shared" si="49"/>
        <v/>
      </c>
      <c r="F342" s="65" t="str">
        <f t="shared" si="50"/>
        <v/>
      </c>
      <c r="G342" s="68" t="str">
        <f t="shared" si="51"/>
        <v/>
      </c>
      <c r="H342" s="68" t="str">
        <f t="shared" si="52"/>
        <v/>
      </c>
      <c r="I342" s="68" t="str">
        <f t="shared" si="56"/>
        <v/>
      </c>
      <c r="M342" s="1">
        <v>305</v>
      </c>
      <c r="N342" s="1" t="str">
        <f>IF($T342=0,"",INDEX(TAHSILAT!$E$7:$E$2503,$T342))</f>
        <v/>
      </c>
      <c r="O342" s="1" t="str">
        <f>IF($N342="","",$C$36&amp;" – müşteriden tahsilat: "&amp;INDEX(TAHSILAT!$N$7:$N$2503,$T342)&amp;IF(INDEX(TAHSILAT!$J$7:$J$2503,$T342)="",""," – "&amp;INDEX(TAHSILAT!$J$7:$J$2503,$T342)))</f>
        <v/>
      </c>
      <c r="P342" s="1" t="str">
        <f t="shared" si="57"/>
        <v/>
      </c>
      <c r="Q342" s="1">
        <f>IF($N342="",0,INDEX(TAHSILAT!$F$7:$F$2503,$T342))</f>
        <v>0</v>
      </c>
      <c r="R342" s="1">
        <v>0</v>
      </c>
      <c r="S342" s="1">
        <f t="shared" si="53"/>
        <v>10000000000</v>
      </c>
      <c r="T342" s="1">
        <f>IFERROR(MATCH($C$36&amp;"|269",TAHSILAT!$U$7:$U$2503,0),0)</f>
        <v>0</v>
      </c>
      <c r="V342" s="1">
        <f t="shared" si="54"/>
        <v>10000000000</v>
      </c>
      <c r="W342" s="1">
        <f t="shared" si="55"/>
        <v>9</v>
      </c>
    </row>
    <row r="343" spans="2:23" ht="14.25" customHeight="1" x14ac:dyDescent="0.3">
      <c r="B343" s="65" t="str">
        <f t="shared" si="47"/>
        <v/>
      </c>
      <c r="C343" s="70" t="str">
        <f t="shared" si="48"/>
        <v/>
      </c>
      <c r="D343" s="74" t="str">
        <f t="shared" si="49"/>
        <v/>
      </c>
      <c r="F343" s="65" t="str">
        <f t="shared" si="50"/>
        <v/>
      </c>
      <c r="G343" s="68" t="str">
        <f t="shared" si="51"/>
        <v/>
      </c>
      <c r="H343" s="68" t="str">
        <f t="shared" si="52"/>
        <v/>
      </c>
      <c r="I343" s="68" t="str">
        <f t="shared" si="56"/>
        <v/>
      </c>
      <c r="M343" s="1">
        <v>306</v>
      </c>
      <c r="N343" s="1" t="str">
        <f>IF($T343=0,"",INDEX(TAHSILAT!$E$7:$E$2503,$T343))</f>
        <v/>
      </c>
      <c r="O343" s="1" t="str">
        <f>IF($N343="","",$C$36&amp;" – müşteriden tahsilat: "&amp;INDEX(TAHSILAT!$N$7:$N$2503,$T343)&amp;IF(INDEX(TAHSILAT!$J$7:$J$2503,$T343)="",""," – "&amp;INDEX(TAHSILAT!$J$7:$J$2503,$T343)))</f>
        <v/>
      </c>
      <c r="P343" s="1" t="str">
        <f t="shared" si="57"/>
        <v/>
      </c>
      <c r="Q343" s="1">
        <f>IF($N343="",0,INDEX(TAHSILAT!$F$7:$F$2503,$T343))</f>
        <v>0</v>
      </c>
      <c r="R343" s="1">
        <v>0</v>
      </c>
      <c r="S343" s="1">
        <f t="shared" si="53"/>
        <v>10000000000</v>
      </c>
      <c r="T343" s="1">
        <f>IFERROR(MATCH($C$36&amp;"|270",TAHSILAT!$U$7:$U$2503,0),0)</f>
        <v>0</v>
      </c>
      <c r="V343" s="1">
        <f t="shared" si="54"/>
        <v>10000000000</v>
      </c>
      <c r="W343" s="1">
        <f t="shared" si="55"/>
        <v>9</v>
      </c>
    </row>
    <row r="344" spans="2:23" ht="14.25" customHeight="1" x14ac:dyDescent="0.3">
      <c r="B344" s="65" t="str">
        <f t="shared" si="47"/>
        <v/>
      </c>
      <c r="C344" s="70" t="str">
        <f t="shared" si="48"/>
        <v/>
      </c>
      <c r="D344" s="74" t="str">
        <f t="shared" si="49"/>
        <v/>
      </c>
      <c r="F344" s="65" t="str">
        <f t="shared" si="50"/>
        <v/>
      </c>
      <c r="G344" s="68" t="str">
        <f t="shared" si="51"/>
        <v/>
      </c>
      <c r="H344" s="68" t="str">
        <f t="shared" si="52"/>
        <v/>
      </c>
      <c r="I344" s="68" t="str">
        <f t="shared" si="56"/>
        <v/>
      </c>
      <c r="M344" s="1">
        <v>307</v>
      </c>
      <c r="N344" s="1" t="str">
        <f>IF($T344=0,"",INDEX(TAHSILAT!$E$7:$E$2503,$T344))</f>
        <v/>
      </c>
      <c r="O344" s="1" t="str">
        <f>IF($N344="","",$C$36&amp;" – müşteriden tahsilat: "&amp;INDEX(TAHSILAT!$N$7:$N$2503,$T344)&amp;IF(INDEX(TAHSILAT!$J$7:$J$2503,$T344)="",""," – "&amp;INDEX(TAHSILAT!$J$7:$J$2503,$T344)))</f>
        <v/>
      </c>
      <c r="P344" s="1" t="str">
        <f t="shared" si="57"/>
        <v/>
      </c>
      <c r="Q344" s="1">
        <f>IF($N344="",0,INDEX(TAHSILAT!$F$7:$F$2503,$T344))</f>
        <v>0</v>
      </c>
      <c r="R344" s="1">
        <v>0</v>
      </c>
      <c r="S344" s="1">
        <f t="shared" si="53"/>
        <v>10000000000</v>
      </c>
      <c r="T344" s="1">
        <f>IFERROR(MATCH($C$36&amp;"|271",TAHSILAT!$U$7:$U$2503,0),0)</f>
        <v>0</v>
      </c>
      <c r="V344" s="1">
        <f t="shared" si="54"/>
        <v>10000000000</v>
      </c>
      <c r="W344" s="1">
        <f t="shared" si="55"/>
        <v>9</v>
      </c>
    </row>
    <row r="345" spans="2:23" ht="14.25" customHeight="1" x14ac:dyDescent="0.3">
      <c r="B345" s="65" t="str">
        <f t="shared" si="47"/>
        <v/>
      </c>
      <c r="C345" s="70" t="str">
        <f t="shared" si="48"/>
        <v/>
      </c>
      <c r="D345" s="74" t="str">
        <f t="shared" si="49"/>
        <v/>
      </c>
      <c r="F345" s="65" t="str">
        <f t="shared" si="50"/>
        <v/>
      </c>
      <c r="G345" s="68" t="str">
        <f t="shared" si="51"/>
        <v/>
      </c>
      <c r="H345" s="68" t="str">
        <f t="shared" si="52"/>
        <v/>
      </c>
      <c r="I345" s="68" t="str">
        <f t="shared" si="56"/>
        <v/>
      </c>
      <c r="M345" s="1">
        <v>308</v>
      </c>
      <c r="N345" s="1" t="str">
        <f>IF($T345=0,"",INDEX(TAHSILAT!$E$7:$E$2503,$T345))</f>
        <v/>
      </c>
      <c r="O345" s="1" t="str">
        <f>IF($N345="","",$C$36&amp;" – müşteriden tahsilat: "&amp;INDEX(TAHSILAT!$N$7:$N$2503,$T345)&amp;IF(INDEX(TAHSILAT!$J$7:$J$2503,$T345)="",""," – "&amp;INDEX(TAHSILAT!$J$7:$J$2503,$T345)))</f>
        <v/>
      </c>
      <c r="P345" s="1" t="str">
        <f t="shared" si="57"/>
        <v/>
      </c>
      <c r="Q345" s="1">
        <f>IF($N345="",0,INDEX(TAHSILAT!$F$7:$F$2503,$T345))</f>
        <v>0</v>
      </c>
      <c r="R345" s="1">
        <v>0</v>
      </c>
      <c r="S345" s="1">
        <f t="shared" si="53"/>
        <v>10000000000</v>
      </c>
      <c r="T345" s="1">
        <f>IFERROR(MATCH($C$36&amp;"|272",TAHSILAT!$U$7:$U$2503,0),0)</f>
        <v>0</v>
      </c>
      <c r="V345" s="1">
        <f t="shared" si="54"/>
        <v>10000000000</v>
      </c>
      <c r="W345" s="1">
        <f t="shared" si="55"/>
        <v>9</v>
      </c>
    </row>
    <row r="346" spans="2:23" ht="14.25" customHeight="1" x14ac:dyDescent="0.3">
      <c r="B346" s="65" t="str">
        <f t="shared" si="47"/>
        <v/>
      </c>
      <c r="C346" s="70" t="str">
        <f t="shared" si="48"/>
        <v/>
      </c>
      <c r="D346" s="74" t="str">
        <f t="shared" si="49"/>
        <v/>
      </c>
      <c r="F346" s="65" t="str">
        <f t="shared" si="50"/>
        <v/>
      </c>
      <c r="G346" s="68" t="str">
        <f t="shared" si="51"/>
        <v/>
      </c>
      <c r="H346" s="68" t="str">
        <f t="shared" si="52"/>
        <v/>
      </c>
      <c r="I346" s="68" t="str">
        <f t="shared" si="56"/>
        <v/>
      </c>
      <c r="M346" s="1">
        <v>309</v>
      </c>
      <c r="N346" s="1" t="str">
        <f>IF($T346=0,"",INDEX(TAHSILAT!$E$7:$E$2503,$T346))</f>
        <v/>
      </c>
      <c r="O346" s="1" t="str">
        <f>IF($N346="","",$C$36&amp;" – müşteriden tahsilat: "&amp;INDEX(TAHSILAT!$N$7:$N$2503,$T346)&amp;IF(INDEX(TAHSILAT!$J$7:$J$2503,$T346)="",""," – "&amp;INDEX(TAHSILAT!$J$7:$J$2503,$T346)))</f>
        <v/>
      </c>
      <c r="P346" s="1" t="str">
        <f t="shared" si="57"/>
        <v/>
      </c>
      <c r="Q346" s="1">
        <f>IF($N346="",0,INDEX(TAHSILAT!$F$7:$F$2503,$T346))</f>
        <v>0</v>
      </c>
      <c r="R346" s="1">
        <v>0</v>
      </c>
      <c r="S346" s="1">
        <f t="shared" si="53"/>
        <v>10000000000</v>
      </c>
      <c r="T346" s="1">
        <f>IFERROR(MATCH($C$36&amp;"|273",TAHSILAT!$U$7:$U$2503,0),0)</f>
        <v>0</v>
      </c>
      <c r="V346" s="1">
        <f t="shared" si="54"/>
        <v>10000000000</v>
      </c>
      <c r="W346" s="1">
        <f t="shared" si="55"/>
        <v>9</v>
      </c>
    </row>
    <row r="347" spans="2:23" ht="14.25" customHeight="1" x14ac:dyDescent="0.3">
      <c r="B347" s="65" t="str">
        <f t="shared" si="47"/>
        <v/>
      </c>
      <c r="C347" s="70" t="str">
        <f t="shared" si="48"/>
        <v/>
      </c>
      <c r="D347" s="74" t="str">
        <f t="shared" si="49"/>
        <v/>
      </c>
      <c r="F347" s="65" t="str">
        <f t="shared" si="50"/>
        <v/>
      </c>
      <c r="G347" s="68" t="str">
        <f t="shared" si="51"/>
        <v/>
      </c>
      <c r="H347" s="68" t="str">
        <f t="shared" si="52"/>
        <v/>
      </c>
      <c r="I347" s="68" t="str">
        <f t="shared" si="56"/>
        <v/>
      </c>
      <c r="M347" s="1">
        <v>310</v>
      </c>
      <c r="N347" s="1" t="str">
        <f>IF($T347=0,"",INDEX(TAHSILAT!$E$7:$E$2503,$T347))</f>
        <v/>
      </c>
      <c r="O347" s="1" t="str">
        <f>IF($N347="","",$C$36&amp;" – müşteriden tahsilat: "&amp;INDEX(TAHSILAT!$N$7:$N$2503,$T347)&amp;IF(INDEX(TAHSILAT!$J$7:$J$2503,$T347)="",""," – "&amp;INDEX(TAHSILAT!$J$7:$J$2503,$T347)))</f>
        <v/>
      </c>
      <c r="P347" s="1" t="str">
        <f t="shared" si="57"/>
        <v/>
      </c>
      <c r="Q347" s="1">
        <f>IF($N347="",0,INDEX(TAHSILAT!$F$7:$F$2503,$T347))</f>
        <v>0</v>
      </c>
      <c r="R347" s="1">
        <v>0</v>
      </c>
      <c r="S347" s="1">
        <f t="shared" si="53"/>
        <v>10000000000</v>
      </c>
      <c r="T347" s="1">
        <f>IFERROR(MATCH($C$36&amp;"|274",TAHSILAT!$U$7:$U$2503,0),0)</f>
        <v>0</v>
      </c>
      <c r="V347" s="1">
        <f t="shared" si="54"/>
        <v>10000000000</v>
      </c>
      <c r="W347" s="1">
        <f t="shared" si="55"/>
        <v>9</v>
      </c>
    </row>
    <row r="348" spans="2:23" ht="14.25" customHeight="1" x14ac:dyDescent="0.3">
      <c r="B348" s="65" t="str">
        <f t="shared" si="47"/>
        <v/>
      </c>
      <c r="C348" s="70" t="str">
        <f t="shared" si="48"/>
        <v/>
      </c>
      <c r="D348" s="74" t="str">
        <f t="shared" si="49"/>
        <v/>
      </c>
      <c r="F348" s="65" t="str">
        <f t="shared" si="50"/>
        <v/>
      </c>
      <c r="G348" s="68" t="str">
        <f t="shared" si="51"/>
        <v/>
      </c>
      <c r="H348" s="68" t="str">
        <f t="shared" si="52"/>
        <v/>
      </c>
      <c r="I348" s="68" t="str">
        <f t="shared" si="56"/>
        <v/>
      </c>
      <c r="M348" s="1">
        <v>311</v>
      </c>
      <c r="N348" s="1" t="str">
        <f>IF($T348=0,"",INDEX(TAHSILAT!$E$7:$E$2503,$T348))</f>
        <v/>
      </c>
      <c r="O348" s="1" t="str">
        <f>IF($N348="","",$C$36&amp;" – müşteriden tahsilat: "&amp;INDEX(TAHSILAT!$N$7:$N$2503,$T348)&amp;IF(INDEX(TAHSILAT!$J$7:$J$2503,$T348)="",""," – "&amp;INDEX(TAHSILAT!$J$7:$J$2503,$T348)))</f>
        <v/>
      </c>
      <c r="P348" s="1" t="str">
        <f t="shared" si="57"/>
        <v/>
      </c>
      <c r="Q348" s="1">
        <f>IF($N348="",0,INDEX(TAHSILAT!$F$7:$F$2503,$T348))</f>
        <v>0</v>
      </c>
      <c r="R348" s="1">
        <v>0</v>
      </c>
      <c r="S348" s="1">
        <f t="shared" si="53"/>
        <v>10000000000</v>
      </c>
      <c r="T348" s="1">
        <f>IFERROR(MATCH($C$36&amp;"|275",TAHSILAT!$U$7:$U$2503,0),0)</f>
        <v>0</v>
      </c>
      <c r="V348" s="1">
        <f t="shared" si="54"/>
        <v>10000000000</v>
      </c>
      <c r="W348" s="1">
        <f t="shared" si="55"/>
        <v>9</v>
      </c>
    </row>
    <row r="349" spans="2:23" ht="14.25" customHeight="1" x14ac:dyDescent="0.3">
      <c r="B349" s="65" t="str">
        <f t="shared" si="47"/>
        <v/>
      </c>
      <c r="C349" s="70" t="str">
        <f t="shared" si="48"/>
        <v/>
      </c>
      <c r="D349" s="74" t="str">
        <f t="shared" si="49"/>
        <v/>
      </c>
      <c r="F349" s="65" t="str">
        <f t="shared" si="50"/>
        <v/>
      </c>
      <c r="G349" s="68" t="str">
        <f t="shared" si="51"/>
        <v/>
      </c>
      <c r="H349" s="68" t="str">
        <f t="shared" si="52"/>
        <v/>
      </c>
      <c r="I349" s="68" t="str">
        <f t="shared" si="56"/>
        <v/>
      </c>
      <c r="M349" s="1">
        <v>312</v>
      </c>
      <c r="N349" s="1" t="str">
        <f>IF($T349=0,"",INDEX(TAHSILAT!$E$7:$E$2503,$T349))</f>
        <v/>
      </c>
      <c r="O349" s="1" t="str">
        <f>IF($N349="","",$C$36&amp;" – müşteriden tahsilat: "&amp;INDEX(TAHSILAT!$N$7:$N$2503,$T349)&amp;IF(INDEX(TAHSILAT!$J$7:$J$2503,$T349)="",""," – "&amp;INDEX(TAHSILAT!$J$7:$J$2503,$T349)))</f>
        <v/>
      </c>
      <c r="P349" s="1" t="str">
        <f t="shared" si="57"/>
        <v/>
      </c>
      <c r="Q349" s="1">
        <f>IF($N349="",0,INDEX(TAHSILAT!$F$7:$F$2503,$T349))</f>
        <v>0</v>
      </c>
      <c r="R349" s="1">
        <v>0</v>
      </c>
      <c r="S349" s="1">
        <f t="shared" si="53"/>
        <v>10000000000</v>
      </c>
      <c r="T349" s="1">
        <f>IFERROR(MATCH($C$36&amp;"|276",TAHSILAT!$U$7:$U$2503,0),0)</f>
        <v>0</v>
      </c>
      <c r="V349" s="1">
        <f t="shared" si="54"/>
        <v>10000000000</v>
      </c>
      <c r="W349" s="1">
        <f t="shared" si="55"/>
        <v>9</v>
      </c>
    </row>
    <row r="350" spans="2:23" ht="14.25" customHeight="1" x14ac:dyDescent="0.3">
      <c r="B350" s="65" t="str">
        <f t="shared" si="47"/>
        <v/>
      </c>
      <c r="C350" s="70" t="str">
        <f t="shared" si="48"/>
        <v/>
      </c>
      <c r="D350" s="74" t="str">
        <f t="shared" si="49"/>
        <v/>
      </c>
      <c r="F350" s="65" t="str">
        <f t="shared" si="50"/>
        <v/>
      </c>
      <c r="G350" s="68" t="str">
        <f t="shared" si="51"/>
        <v/>
      </c>
      <c r="H350" s="68" t="str">
        <f t="shared" si="52"/>
        <v/>
      </c>
      <c r="I350" s="68" t="str">
        <f t="shared" si="56"/>
        <v/>
      </c>
      <c r="M350" s="1">
        <v>313</v>
      </c>
      <c r="N350" s="1" t="str">
        <f>IF($T350=0,"",INDEX(TAHSILAT!$E$7:$E$2503,$T350))</f>
        <v/>
      </c>
      <c r="O350" s="1" t="str">
        <f>IF($N350="","",$C$36&amp;" – müşteriden tahsilat: "&amp;INDEX(TAHSILAT!$N$7:$N$2503,$T350)&amp;IF(INDEX(TAHSILAT!$J$7:$J$2503,$T350)="",""," – "&amp;INDEX(TAHSILAT!$J$7:$J$2503,$T350)))</f>
        <v/>
      </c>
      <c r="P350" s="1" t="str">
        <f t="shared" si="57"/>
        <v/>
      </c>
      <c r="Q350" s="1">
        <f>IF($N350="",0,INDEX(TAHSILAT!$F$7:$F$2503,$T350))</f>
        <v>0</v>
      </c>
      <c r="R350" s="1">
        <v>0</v>
      </c>
      <c r="S350" s="1">
        <f t="shared" si="53"/>
        <v>10000000000</v>
      </c>
      <c r="T350" s="1">
        <f>IFERROR(MATCH($C$36&amp;"|277",TAHSILAT!$U$7:$U$2503,0),0)</f>
        <v>0</v>
      </c>
      <c r="V350" s="1">
        <f t="shared" si="54"/>
        <v>10000000000</v>
      </c>
      <c r="W350" s="1">
        <f t="shared" si="55"/>
        <v>9</v>
      </c>
    </row>
    <row r="351" spans="2:23" ht="14.25" customHeight="1" x14ac:dyDescent="0.3">
      <c r="B351" s="65" t="str">
        <f t="shared" si="47"/>
        <v/>
      </c>
      <c r="C351" s="70" t="str">
        <f t="shared" si="48"/>
        <v/>
      </c>
      <c r="D351" s="74" t="str">
        <f t="shared" si="49"/>
        <v/>
      </c>
      <c r="F351" s="65" t="str">
        <f t="shared" si="50"/>
        <v/>
      </c>
      <c r="G351" s="68" t="str">
        <f t="shared" si="51"/>
        <v/>
      </c>
      <c r="H351" s="68" t="str">
        <f t="shared" si="52"/>
        <v/>
      </c>
      <c r="I351" s="68" t="str">
        <f t="shared" si="56"/>
        <v/>
      </c>
      <c r="M351" s="1">
        <v>314</v>
      </c>
      <c r="N351" s="1" t="str">
        <f>IF($T351=0,"",INDEX(TAHSILAT!$E$7:$E$2503,$T351))</f>
        <v/>
      </c>
      <c r="O351" s="1" t="str">
        <f>IF($N351="","",$C$36&amp;" – müşteriden tahsilat: "&amp;INDEX(TAHSILAT!$N$7:$N$2503,$T351)&amp;IF(INDEX(TAHSILAT!$J$7:$J$2503,$T351)="",""," – "&amp;INDEX(TAHSILAT!$J$7:$J$2503,$T351)))</f>
        <v/>
      </c>
      <c r="P351" s="1" t="str">
        <f t="shared" si="57"/>
        <v/>
      </c>
      <c r="Q351" s="1">
        <f>IF($N351="",0,INDEX(TAHSILAT!$F$7:$F$2503,$T351))</f>
        <v>0</v>
      </c>
      <c r="R351" s="1">
        <v>0</v>
      </c>
      <c r="S351" s="1">
        <f t="shared" si="53"/>
        <v>10000000000</v>
      </c>
      <c r="T351" s="1">
        <f>IFERROR(MATCH($C$36&amp;"|278",TAHSILAT!$U$7:$U$2503,0),0)</f>
        <v>0</v>
      </c>
      <c r="V351" s="1">
        <f t="shared" si="54"/>
        <v>10000000000</v>
      </c>
      <c r="W351" s="1">
        <f t="shared" si="55"/>
        <v>9</v>
      </c>
    </row>
    <row r="352" spans="2:23" ht="14.25" customHeight="1" x14ac:dyDescent="0.3">
      <c r="B352" s="65" t="str">
        <f t="shared" si="47"/>
        <v/>
      </c>
      <c r="C352" s="70" t="str">
        <f t="shared" si="48"/>
        <v/>
      </c>
      <c r="D352" s="74" t="str">
        <f t="shared" si="49"/>
        <v/>
      </c>
      <c r="F352" s="65" t="str">
        <f t="shared" si="50"/>
        <v/>
      </c>
      <c r="G352" s="68" t="str">
        <f t="shared" si="51"/>
        <v/>
      </c>
      <c r="H352" s="68" t="str">
        <f t="shared" si="52"/>
        <v/>
      </c>
      <c r="I352" s="68" t="str">
        <f t="shared" si="56"/>
        <v/>
      </c>
      <c r="M352" s="1">
        <v>315</v>
      </c>
      <c r="N352" s="1" t="str">
        <f>IF($T352=0,"",INDEX(TAHSILAT!$E$7:$E$2503,$T352))</f>
        <v/>
      </c>
      <c r="O352" s="1" t="str">
        <f>IF($N352="","",$C$36&amp;" – müşteriden tahsilat: "&amp;INDEX(TAHSILAT!$N$7:$N$2503,$T352)&amp;IF(INDEX(TAHSILAT!$J$7:$J$2503,$T352)="",""," – "&amp;INDEX(TAHSILAT!$J$7:$J$2503,$T352)))</f>
        <v/>
      </c>
      <c r="P352" s="1" t="str">
        <f t="shared" si="57"/>
        <v/>
      </c>
      <c r="Q352" s="1">
        <f>IF($N352="",0,INDEX(TAHSILAT!$F$7:$F$2503,$T352))</f>
        <v>0</v>
      </c>
      <c r="R352" s="1">
        <v>0</v>
      </c>
      <c r="S352" s="1">
        <f t="shared" si="53"/>
        <v>10000000000</v>
      </c>
      <c r="T352" s="1">
        <f>IFERROR(MATCH($C$36&amp;"|279",TAHSILAT!$U$7:$U$2503,0),0)</f>
        <v>0</v>
      </c>
      <c r="V352" s="1">
        <f t="shared" si="54"/>
        <v>10000000000</v>
      </c>
      <c r="W352" s="1">
        <f t="shared" si="55"/>
        <v>9</v>
      </c>
    </row>
    <row r="353" spans="2:23" ht="14.25" customHeight="1" x14ac:dyDescent="0.3">
      <c r="B353" s="65" t="str">
        <f t="shared" si="47"/>
        <v/>
      </c>
      <c r="C353" s="70" t="str">
        <f t="shared" si="48"/>
        <v/>
      </c>
      <c r="D353" s="74" t="str">
        <f t="shared" si="49"/>
        <v/>
      </c>
      <c r="F353" s="65" t="str">
        <f t="shared" si="50"/>
        <v/>
      </c>
      <c r="G353" s="68" t="str">
        <f t="shared" si="51"/>
        <v/>
      </c>
      <c r="H353" s="68" t="str">
        <f t="shared" si="52"/>
        <v/>
      </c>
      <c r="I353" s="68" t="str">
        <f t="shared" si="56"/>
        <v/>
      </c>
      <c r="M353" s="1">
        <v>316</v>
      </c>
      <c r="N353" s="1" t="str">
        <f>IF($T353=0,"",INDEX(TAHSILAT!$E$7:$E$2503,$T353))</f>
        <v/>
      </c>
      <c r="O353" s="1" t="str">
        <f>IF($N353="","",$C$36&amp;" – müşteriden tahsilat: "&amp;INDEX(TAHSILAT!$N$7:$N$2503,$T353)&amp;IF(INDEX(TAHSILAT!$J$7:$J$2503,$T353)="",""," – "&amp;INDEX(TAHSILAT!$J$7:$J$2503,$T353)))</f>
        <v/>
      </c>
      <c r="P353" s="1" t="str">
        <f t="shared" si="57"/>
        <v/>
      </c>
      <c r="Q353" s="1">
        <f>IF($N353="",0,INDEX(TAHSILAT!$F$7:$F$2503,$T353))</f>
        <v>0</v>
      </c>
      <c r="R353" s="1">
        <v>0</v>
      </c>
      <c r="S353" s="1">
        <f t="shared" si="53"/>
        <v>10000000000</v>
      </c>
      <c r="T353" s="1">
        <f>IFERROR(MATCH($C$36&amp;"|280",TAHSILAT!$U$7:$U$2503,0),0)</f>
        <v>0</v>
      </c>
      <c r="V353" s="1">
        <f t="shared" si="54"/>
        <v>10000000000</v>
      </c>
      <c r="W353" s="1">
        <f t="shared" si="55"/>
        <v>9</v>
      </c>
    </row>
    <row r="354" spans="2:23" ht="14.25" customHeight="1" x14ac:dyDescent="0.3">
      <c r="B354" s="65" t="str">
        <f t="shared" si="47"/>
        <v/>
      </c>
      <c r="C354" s="70" t="str">
        <f t="shared" si="48"/>
        <v/>
      </c>
      <c r="D354" s="74" t="str">
        <f t="shared" si="49"/>
        <v/>
      </c>
      <c r="F354" s="65" t="str">
        <f t="shared" si="50"/>
        <v/>
      </c>
      <c r="G354" s="68" t="str">
        <f t="shared" si="51"/>
        <v/>
      </c>
      <c r="H354" s="68" t="str">
        <f t="shared" si="52"/>
        <v/>
      </c>
      <c r="I354" s="68" t="str">
        <f t="shared" si="56"/>
        <v/>
      </c>
      <c r="M354" s="1">
        <v>317</v>
      </c>
      <c r="N354" s="1" t="str">
        <f>IF($T354=0,"",INDEX(TAHSILAT!$E$7:$E$2503,$T354))</f>
        <v/>
      </c>
      <c r="O354" s="1" t="str">
        <f>IF($N354="","",$C$36&amp;" – müşteriden tahsilat: "&amp;INDEX(TAHSILAT!$N$7:$N$2503,$T354)&amp;IF(INDEX(TAHSILAT!$J$7:$J$2503,$T354)="",""," – "&amp;INDEX(TAHSILAT!$J$7:$J$2503,$T354)))</f>
        <v/>
      </c>
      <c r="P354" s="1" t="str">
        <f t="shared" si="57"/>
        <v/>
      </c>
      <c r="Q354" s="1">
        <f>IF($N354="",0,INDEX(TAHSILAT!$F$7:$F$2503,$T354))</f>
        <v>0</v>
      </c>
      <c r="R354" s="1">
        <v>0</v>
      </c>
      <c r="S354" s="1">
        <f t="shared" si="53"/>
        <v>10000000000</v>
      </c>
      <c r="T354" s="1">
        <f>IFERROR(MATCH($C$36&amp;"|281",TAHSILAT!$U$7:$U$2503,0),0)</f>
        <v>0</v>
      </c>
      <c r="V354" s="1">
        <f t="shared" si="54"/>
        <v>10000000000</v>
      </c>
      <c r="W354" s="1">
        <f t="shared" si="55"/>
        <v>9</v>
      </c>
    </row>
    <row r="355" spans="2:23" ht="14.25" customHeight="1" x14ac:dyDescent="0.3">
      <c r="B355" s="65" t="str">
        <f t="shared" si="47"/>
        <v/>
      </c>
      <c r="C355" s="70" t="str">
        <f t="shared" si="48"/>
        <v/>
      </c>
      <c r="D355" s="74" t="str">
        <f t="shared" si="49"/>
        <v/>
      </c>
      <c r="F355" s="65" t="str">
        <f t="shared" si="50"/>
        <v/>
      </c>
      <c r="G355" s="68" t="str">
        <f t="shared" si="51"/>
        <v/>
      </c>
      <c r="H355" s="68" t="str">
        <f t="shared" si="52"/>
        <v/>
      </c>
      <c r="I355" s="68" t="str">
        <f t="shared" si="56"/>
        <v/>
      </c>
      <c r="M355" s="1">
        <v>318</v>
      </c>
      <c r="N355" s="1" t="str">
        <f>IF($T355=0,"",INDEX(TAHSILAT!$E$7:$E$2503,$T355))</f>
        <v/>
      </c>
      <c r="O355" s="1" t="str">
        <f>IF($N355="","",$C$36&amp;" – müşteriden tahsilat: "&amp;INDEX(TAHSILAT!$N$7:$N$2503,$T355)&amp;IF(INDEX(TAHSILAT!$J$7:$J$2503,$T355)="",""," – "&amp;INDEX(TAHSILAT!$J$7:$J$2503,$T355)))</f>
        <v/>
      </c>
      <c r="P355" s="1" t="str">
        <f t="shared" si="57"/>
        <v/>
      </c>
      <c r="Q355" s="1">
        <f>IF($N355="",0,INDEX(TAHSILAT!$F$7:$F$2503,$T355))</f>
        <v>0</v>
      </c>
      <c r="R355" s="1">
        <v>0</v>
      </c>
      <c r="S355" s="1">
        <f t="shared" si="53"/>
        <v>10000000000</v>
      </c>
      <c r="T355" s="1">
        <f>IFERROR(MATCH($C$36&amp;"|282",TAHSILAT!$U$7:$U$2503,0),0)</f>
        <v>0</v>
      </c>
      <c r="V355" s="1">
        <f t="shared" si="54"/>
        <v>10000000000</v>
      </c>
      <c r="W355" s="1">
        <f t="shared" si="55"/>
        <v>9</v>
      </c>
    </row>
    <row r="356" spans="2:23" ht="14.25" customHeight="1" x14ac:dyDescent="0.3">
      <c r="B356" s="65" t="str">
        <f t="shared" si="47"/>
        <v/>
      </c>
      <c r="C356" s="70" t="str">
        <f t="shared" si="48"/>
        <v/>
      </c>
      <c r="D356" s="74" t="str">
        <f t="shared" si="49"/>
        <v/>
      </c>
      <c r="F356" s="65" t="str">
        <f t="shared" si="50"/>
        <v/>
      </c>
      <c r="G356" s="68" t="str">
        <f t="shared" si="51"/>
        <v/>
      </c>
      <c r="H356" s="68" t="str">
        <f t="shared" si="52"/>
        <v/>
      </c>
      <c r="I356" s="68" t="str">
        <f t="shared" si="56"/>
        <v/>
      </c>
      <c r="M356" s="1">
        <v>319</v>
      </c>
      <c r="N356" s="1" t="str">
        <f>IF($T356=0,"",INDEX(TAHSILAT!$E$7:$E$2503,$T356))</f>
        <v/>
      </c>
      <c r="O356" s="1" t="str">
        <f>IF($N356="","",$C$36&amp;" – müşteriden tahsilat: "&amp;INDEX(TAHSILAT!$N$7:$N$2503,$T356)&amp;IF(INDEX(TAHSILAT!$J$7:$J$2503,$T356)="",""," – "&amp;INDEX(TAHSILAT!$J$7:$J$2503,$T356)))</f>
        <v/>
      </c>
      <c r="P356" s="1" t="str">
        <f t="shared" si="57"/>
        <v/>
      </c>
      <c r="Q356" s="1">
        <f>IF($N356="",0,INDEX(TAHSILAT!$F$7:$F$2503,$T356))</f>
        <v>0</v>
      </c>
      <c r="R356" s="1">
        <v>0</v>
      </c>
      <c r="S356" s="1">
        <f t="shared" si="53"/>
        <v>10000000000</v>
      </c>
      <c r="T356" s="1">
        <f>IFERROR(MATCH($C$36&amp;"|283",TAHSILAT!$U$7:$U$2503,0),0)</f>
        <v>0</v>
      </c>
      <c r="V356" s="1">
        <f t="shared" si="54"/>
        <v>10000000000</v>
      </c>
      <c r="W356" s="1">
        <f t="shared" si="55"/>
        <v>9</v>
      </c>
    </row>
    <row r="357" spans="2:23" ht="14.25" customHeight="1" x14ac:dyDescent="0.3">
      <c r="B357" s="65" t="str">
        <f t="shared" si="47"/>
        <v/>
      </c>
      <c r="C357" s="70" t="str">
        <f t="shared" si="48"/>
        <v/>
      </c>
      <c r="D357" s="74" t="str">
        <f t="shared" si="49"/>
        <v/>
      </c>
      <c r="F357" s="65" t="str">
        <f t="shared" si="50"/>
        <v/>
      </c>
      <c r="G357" s="68" t="str">
        <f t="shared" si="51"/>
        <v/>
      </c>
      <c r="H357" s="68" t="str">
        <f t="shared" si="52"/>
        <v/>
      </c>
      <c r="I357" s="68" t="str">
        <f t="shared" si="56"/>
        <v/>
      </c>
      <c r="M357" s="1">
        <v>320</v>
      </c>
      <c r="N357" s="1" t="str">
        <f>IF($T357=0,"",INDEX(TAHSILAT!$E$7:$E$2503,$T357))</f>
        <v/>
      </c>
      <c r="O357" s="1" t="str">
        <f>IF($N357="","",$C$36&amp;" – müşteriden tahsilat: "&amp;INDEX(TAHSILAT!$N$7:$N$2503,$T357)&amp;IF(INDEX(TAHSILAT!$J$7:$J$2503,$T357)="",""," – "&amp;INDEX(TAHSILAT!$J$7:$J$2503,$T357)))</f>
        <v/>
      </c>
      <c r="P357" s="1" t="str">
        <f t="shared" si="57"/>
        <v/>
      </c>
      <c r="Q357" s="1">
        <f>IF($N357="",0,INDEX(TAHSILAT!$F$7:$F$2503,$T357))</f>
        <v>0</v>
      </c>
      <c r="R357" s="1">
        <v>0</v>
      </c>
      <c r="S357" s="1">
        <f t="shared" si="53"/>
        <v>10000000000</v>
      </c>
      <c r="T357" s="1">
        <f>IFERROR(MATCH($C$36&amp;"|284",TAHSILAT!$U$7:$U$2503,0),0)</f>
        <v>0</v>
      </c>
      <c r="V357" s="1">
        <f t="shared" si="54"/>
        <v>10000000000</v>
      </c>
      <c r="W357" s="1">
        <f t="shared" si="55"/>
        <v>9</v>
      </c>
    </row>
    <row r="358" spans="2:23" ht="14.25" customHeight="1" x14ac:dyDescent="0.3">
      <c r="B358" s="65" t="str">
        <f t="shared" ref="B358:B421" si="58">IF($C358="","",ROW()-37)</f>
        <v/>
      </c>
      <c r="C358" s="70" t="str">
        <f t="shared" ref="C358:C421" si="59">IF($W358="","",IF(INDEX($N$38:$N$953,$W358)="","",INDEX($N$38:$N$953,$W358)))</f>
        <v/>
      </c>
      <c r="D358" s="74" t="str">
        <f t="shared" ref="D358:D421" si="60">IF($C358="","",INDEX($O$38:$O$953,$W358))</f>
        <v/>
      </c>
      <c r="F358" s="65" t="str">
        <f t="shared" ref="F358:F421" si="61">IF($C358="","",INDEX($P$38:$P$953,$W358))</f>
        <v/>
      </c>
      <c r="G358" s="68" t="str">
        <f t="shared" ref="G358:G421" si="62">IF($C358="","",INDEX($Q$38:$Q$953,$W358))</f>
        <v/>
      </c>
      <c r="H358" s="68" t="str">
        <f t="shared" ref="H358:H421" si="63">IF($C358="","",INDEX($R$38:$R$953,$W358))</f>
        <v/>
      </c>
      <c r="I358" s="68" t="str">
        <f t="shared" si="56"/>
        <v/>
      </c>
      <c r="M358" s="1">
        <v>321</v>
      </c>
      <c r="N358" s="1" t="str">
        <f>IF($T358=0,"",INDEX(TAHSILAT!$E$7:$E$2503,$T358))</f>
        <v/>
      </c>
      <c r="O358" s="1" t="str">
        <f>IF($N358="","",$C$36&amp;" – müşteriden tahsilat: "&amp;INDEX(TAHSILAT!$N$7:$N$2503,$T358)&amp;IF(INDEX(TAHSILAT!$J$7:$J$2503,$T358)="",""," – "&amp;INDEX(TAHSILAT!$J$7:$J$2503,$T358)))</f>
        <v/>
      </c>
      <c r="P358" s="1" t="str">
        <f t="shared" si="57"/>
        <v/>
      </c>
      <c r="Q358" s="1">
        <f>IF($N358="",0,INDEX(TAHSILAT!$F$7:$F$2503,$T358))</f>
        <v>0</v>
      </c>
      <c r="R358" s="1">
        <v>0</v>
      </c>
      <c r="S358" s="1">
        <f t="shared" ref="S358:S421" si="64">IF($N358="",10000000000,$N358*100000+$M358)</f>
        <v>10000000000</v>
      </c>
      <c r="T358" s="1">
        <f>IFERROR(MATCH($C$36&amp;"|285",TAHSILAT!$U$7:$U$2503,0),0)</f>
        <v>0</v>
      </c>
      <c r="V358" s="1">
        <f t="shared" ref="V358:V421" si="65">IFERROR(SMALL($S$38:$S$953,ROW()-37),"")</f>
        <v>10000000000</v>
      </c>
      <c r="W358" s="1">
        <f t="shared" ref="W358:W421" si="66">IFERROR(MATCH($V358,$S$38:$S$953,0),"")</f>
        <v>9</v>
      </c>
    </row>
    <row r="359" spans="2:23" ht="14.25" customHeight="1" x14ac:dyDescent="0.3">
      <c r="B359" s="65" t="str">
        <f t="shared" si="58"/>
        <v/>
      </c>
      <c r="C359" s="70" t="str">
        <f t="shared" si="59"/>
        <v/>
      </c>
      <c r="D359" s="74" t="str">
        <f t="shared" si="60"/>
        <v/>
      </c>
      <c r="F359" s="65" t="str">
        <f t="shared" si="61"/>
        <v/>
      </c>
      <c r="G359" s="68" t="str">
        <f t="shared" si="62"/>
        <v/>
      </c>
      <c r="H359" s="68" t="str">
        <f t="shared" si="63"/>
        <v/>
      </c>
      <c r="I359" s="68" t="str">
        <f t="shared" ref="I359:I422" si="67">IF($C359="","",N($I358)+$G359-$H359)</f>
        <v/>
      </c>
      <c r="M359" s="1">
        <v>322</v>
      </c>
      <c r="N359" s="1" t="str">
        <f>IF($T359=0,"",INDEX(TAHSILAT!$E$7:$E$2503,$T359))</f>
        <v/>
      </c>
      <c r="O359" s="1" t="str">
        <f>IF($N359="","",$C$36&amp;" – müşteriden tahsilat: "&amp;INDEX(TAHSILAT!$N$7:$N$2503,$T359)&amp;IF(INDEX(TAHSILAT!$J$7:$J$2503,$T359)="",""," – "&amp;INDEX(TAHSILAT!$J$7:$J$2503,$T359)))</f>
        <v/>
      </c>
      <c r="P359" s="1" t="str">
        <f t="shared" si="57"/>
        <v/>
      </c>
      <c r="Q359" s="1">
        <f>IF($N359="",0,INDEX(TAHSILAT!$F$7:$F$2503,$T359))</f>
        <v>0</v>
      </c>
      <c r="R359" s="1">
        <v>0</v>
      </c>
      <c r="S359" s="1">
        <f t="shared" si="64"/>
        <v>10000000000</v>
      </c>
      <c r="T359" s="1">
        <f>IFERROR(MATCH($C$36&amp;"|286",TAHSILAT!$U$7:$U$2503,0),0)</f>
        <v>0</v>
      </c>
      <c r="V359" s="1">
        <f t="shared" si="65"/>
        <v>10000000000</v>
      </c>
      <c r="W359" s="1">
        <f t="shared" si="66"/>
        <v>9</v>
      </c>
    </row>
    <row r="360" spans="2:23" ht="14.25" customHeight="1" x14ac:dyDescent="0.3">
      <c r="B360" s="65" t="str">
        <f t="shared" si="58"/>
        <v/>
      </c>
      <c r="C360" s="70" t="str">
        <f t="shared" si="59"/>
        <v/>
      </c>
      <c r="D360" s="74" t="str">
        <f t="shared" si="60"/>
        <v/>
      </c>
      <c r="F360" s="65" t="str">
        <f t="shared" si="61"/>
        <v/>
      </c>
      <c r="G360" s="68" t="str">
        <f t="shared" si="62"/>
        <v/>
      </c>
      <c r="H360" s="68" t="str">
        <f t="shared" si="63"/>
        <v/>
      </c>
      <c r="I360" s="68" t="str">
        <f t="shared" si="67"/>
        <v/>
      </c>
      <c r="M360" s="1">
        <v>323</v>
      </c>
      <c r="N360" s="1" t="str">
        <f>IF($T360=0,"",INDEX(TAHSILAT!$E$7:$E$2503,$T360))</f>
        <v/>
      </c>
      <c r="O360" s="1" t="str">
        <f>IF($N360="","",$C$36&amp;" – müşteriden tahsilat: "&amp;INDEX(TAHSILAT!$N$7:$N$2503,$T360)&amp;IF(INDEX(TAHSILAT!$J$7:$J$2503,$T360)="",""," – "&amp;INDEX(TAHSILAT!$J$7:$J$2503,$T360)))</f>
        <v/>
      </c>
      <c r="P360" s="1" t="str">
        <f t="shared" si="57"/>
        <v/>
      </c>
      <c r="Q360" s="1">
        <f>IF($N360="",0,INDEX(TAHSILAT!$F$7:$F$2503,$T360))</f>
        <v>0</v>
      </c>
      <c r="R360" s="1">
        <v>0</v>
      </c>
      <c r="S360" s="1">
        <f t="shared" si="64"/>
        <v>10000000000</v>
      </c>
      <c r="T360" s="1">
        <f>IFERROR(MATCH($C$36&amp;"|287",TAHSILAT!$U$7:$U$2503,0),0)</f>
        <v>0</v>
      </c>
      <c r="V360" s="1">
        <f t="shared" si="65"/>
        <v>10000000000</v>
      </c>
      <c r="W360" s="1">
        <f t="shared" si="66"/>
        <v>9</v>
      </c>
    </row>
    <row r="361" spans="2:23" ht="14.25" customHeight="1" x14ac:dyDescent="0.3">
      <c r="B361" s="65" t="str">
        <f t="shared" si="58"/>
        <v/>
      </c>
      <c r="C361" s="70" t="str">
        <f t="shared" si="59"/>
        <v/>
      </c>
      <c r="D361" s="74" t="str">
        <f t="shared" si="60"/>
        <v/>
      </c>
      <c r="F361" s="65" t="str">
        <f t="shared" si="61"/>
        <v/>
      </c>
      <c r="G361" s="68" t="str">
        <f t="shared" si="62"/>
        <v/>
      </c>
      <c r="H361" s="68" t="str">
        <f t="shared" si="63"/>
        <v/>
      </c>
      <c r="I361" s="68" t="str">
        <f t="shared" si="67"/>
        <v/>
      </c>
      <c r="M361" s="1">
        <v>324</v>
      </c>
      <c r="N361" s="1" t="str">
        <f>IF($T361=0,"",INDEX(TAHSILAT!$E$7:$E$2503,$T361))</f>
        <v/>
      </c>
      <c r="O361" s="1" t="str">
        <f>IF($N361="","",$C$36&amp;" – müşteriden tahsilat: "&amp;INDEX(TAHSILAT!$N$7:$N$2503,$T361)&amp;IF(INDEX(TAHSILAT!$J$7:$J$2503,$T361)="",""," – "&amp;INDEX(TAHSILAT!$J$7:$J$2503,$T361)))</f>
        <v/>
      </c>
      <c r="P361" s="1" t="str">
        <f t="shared" si="57"/>
        <v/>
      </c>
      <c r="Q361" s="1">
        <f>IF($N361="",0,INDEX(TAHSILAT!$F$7:$F$2503,$T361))</f>
        <v>0</v>
      </c>
      <c r="R361" s="1">
        <v>0</v>
      </c>
      <c r="S361" s="1">
        <f t="shared" si="64"/>
        <v>10000000000</v>
      </c>
      <c r="T361" s="1">
        <f>IFERROR(MATCH($C$36&amp;"|288",TAHSILAT!$U$7:$U$2503,0),0)</f>
        <v>0</v>
      </c>
      <c r="V361" s="1">
        <f t="shared" si="65"/>
        <v>10000000000</v>
      </c>
      <c r="W361" s="1">
        <f t="shared" si="66"/>
        <v>9</v>
      </c>
    </row>
    <row r="362" spans="2:23" ht="14.25" customHeight="1" x14ac:dyDescent="0.3">
      <c r="B362" s="65" t="str">
        <f t="shared" si="58"/>
        <v/>
      </c>
      <c r="C362" s="70" t="str">
        <f t="shared" si="59"/>
        <v/>
      </c>
      <c r="D362" s="74" t="str">
        <f t="shared" si="60"/>
        <v/>
      </c>
      <c r="F362" s="65" t="str">
        <f t="shared" si="61"/>
        <v/>
      </c>
      <c r="G362" s="68" t="str">
        <f t="shared" si="62"/>
        <v/>
      </c>
      <c r="H362" s="68" t="str">
        <f t="shared" si="63"/>
        <v/>
      </c>
      <c r="I362" s="68" t="str">
        <f t="shared" si="67"/>
        <v/>
      </c>
      <c r="M362" s="1">
        <v>325</v>
      </c>
      <c r="N362" s="1" t="str">
        <f>IF($T362=0,"",INDEX(TAHSILAT!$E$7:$E$2503,$T362))</f>
        <v/>
      </c>
      <c r="O362" s="1" t="str">
        <f>IF($N362="","",$C$36&amp;" – müşteriden tahsilat: "&amp;INDEX(TAHSILAT!$N$7:$N$2503,$T362)&amp;IF(INDEX(TAHSILAT!$J$7:$J$2503,$T362)="",""," – "&amp;INDEX(TAHSILAT!$J$7:$J$2503,$T362)))</f>
        <v/>
      </c>
      <c r="P362" s="1" t="str">
        <f t="shared" si="57"/>
        <v/>
      </c>
      <c r="Q362" s="1">
        <f>IF($N362="",0,INDEX(TAHSILAT!$F$7:$F$2503,$T362))</f>
        <v>0</v>
      </c>
      <c r="R362" s="1">
        <v>0</v>
      </c>
      <c r="S362" s="1">
        <f t="shared" si="64"/>
        <v>10000000000</v>
      </c>
      <c r="T362" s="1">
        <f>IFERROR(MATCH($C$36&amp;"|289",TAHSILAT!$U$7:$U$2503,0),0)</f>
        <v>0</v>
      </c>
      <c r="V362" s="1">
        <f t="shared" si="65"/>
        <v>10000000000</v>
      </c>
      <c r="W362" s="1">
        <f t="shared" si="66"/>
        <v>9</v>
      </c>
    </row>
    <row r="363" spans="2:23" ht="14.25" customHeight="1" x14ac:dyDescent="0.3">
      <c r="B363" s="65" t="str">
        <f t="shared" si="58"/>
        <v/>
      </c>
      <c r="C363" s="70" t="str">
        <f t="shared" si="59"/>
        <v/>
      </c>
      <c r="D363" s="74" t="str">
        <f t="shared" si="60"/>
        <v/>
      </c>
      <c r="F363" s="65" t="str">
        <f t="shared" si="61"/>
        <v/>
      </c>
      <c r="G363" s="68" t="str">
        <f t="shared" si="62"/>
        <v/>
      </c>
      <c r="H363" s="68" t="str">
        <f t="shared" si="63"/>
        <v/>
      </c>
      <c r="I363" s="68" t="str">
        <f t="shared" si="67"/>
        <v/>
      </c>
      <c r="M363" s="1">
        <v>326</v>
      </c>
      <c r="N363" s="1" t="str">
        <f>IF($T363=0,"",INDEX(TAHSILAT!$E$7:$E$2503,$T363))</f>
        <v/>
      </c>
      <c r="O363" s="1" t="str">
        <f>IF($N363="","",$C$36&amp;" – müşteriden tahsilat: "&amp;INDEX(TAHSILAT!$N$7:$N$2503,$T363)&amp;IF(INDEX(TAHSILAT!$J$7:$J$2503,$T363)="",""," – "&amp;INDEX(TAHSILAT!$J$7:$J$2503,$T363)))</f>
        <v/>
      </c>
      <c r="P363" s="1" t="str">
        <f t="shared" si="57"/>
        <v/>
      </c>
      <c r="Q363" s="1">
        <f>IF($N363="",0,INDEX(TAHSILAT!$F$7:$F$2503,$T363))</f>
        <v>0</v>
      </c>
      <c r="R363" s="1">
        <v>0</v>
      </c>
      <c r="S363" s="1">
        <f t="shared" si="64"/>
        <v>10000000000</v>
      </c>
      <c r="T363" s="1">
        <f>IFERROR(MATCH($C$36&amp;"|290",TAHSILAT!$U$7:$U$2503,0),0)</f>
        <v>0</v>
      </c>
      <c r="V363" s="1">
        <f t="shared" si="65"/>
        <v>10000000000</v>
      </c>
      <c r="W363" s="1">
        <f t="shared" si="66"/>
        <v>9</v>
      </c>
    </row>
    <row r="364" spans="2:23" ht="14.25" customHeight="1" x14ac:dyDescent="0.3">
      <c r="B364" s="65" t="str">
        <f t="shared" si="58"/>
        <v/>
      </c>
      <c r="C364" s="70" t="str">
        <f t="shared" si="59"/>
        <v/>
      </c>
      <c r="D364" s="74" t="str">
        <f t="shared" si="60"/>
        <v/>
      </c>
      <c r="F364" s="65" t="str">
        <f t="shared" si="61"/>
        <v/>
      </c>
      <c r="G364" s="68" t="str">
        <f t="shared" si="62"/>
        <v/>
      </c>
      <c r="H364" s="68" t="str">
        <f t="shared" si="63"/>
        <v/>
      </c>
      <c r="I364" s="68" t="str">
        <f t="shared" si="67"/>
        <v/>
      </c>
      <c r="M364" s="1">
        <v>327</v>
      </c>
      <c r="N364" s="1" t="str">
        <f>IF($T364=0,"",INDEX(TAHSILAT!$E$7:$E$2503,$T364))</f>
        <v/>
      </c>
      <c r="O364" s="1" t="str">
        <f>IF($N364="","",$C$36&amp;" – müşteriden tahsilat: "&amp;INDEX(TAHSILAT!$N$7:$N$2503,$T364)&amp;IF(INDEX(TAHSILAT!$J$7:$J$2503,$T364)="",""," – "&amp;INDEX(TAHSILAT!$J$7:$J$2503,$T364)))</f>
        <v/>
      </c>
      <c r="P364" s="1" t="str">
        <f t="shared" si="57"/>
        <v/>
      </c>
      <c r="Q364" s="1">
        <f>IF($N364="",0,INDEX(TAHSILAT!$F$7:$F$2503,$T364))</f>
        <v>0</v>
      </c>
      <c r="R364" s="1">
        <v>0</v>
      </c>
      <c r="S364" s="1">
        <f t="shared" si="64"/>
        <v>10000000000</v>
      </c>
      <c r="T364" s="1">
        <f>IFERROR(MATCH($C$36&amp;"|291",TAHSILAT!$U$7:$U$2503,0),0)</f>
        <v>0</v>
      </c>
      <c r="V364" s="1">
        <f t="shared" si="65"/>
        <v>10000000000</v>
      </c>
      <c r="W364" s="1">
        <f t="shared" si="66"/>
        <v>9</v>
      </c>
    </row>
    <row r="365" spans="2:23" ht="14.25" customHeight="1" x14ac:dyDescent="0.3">
      <c r="B365" s="65" t="str">
        <f t="shared" si="58"/>
        <v/>
      </c>
      <c r="C365" s="70" t="str">
        <f t="shared" si="59"/>
        <v/>
      </c>
      <c r="D365" s="74" t="str">
        <f t="shared" si="60"/>
        <v/>
      </c>
      <c r="F365" s="65" t="str">
        <f t="shared" si="61"/>
        <v/>
      </c>
      <c r="G365" s="68" t="str">
        <f t="shared" si="62"/>
        <v/>
      </c>
      <c r="H365" s="68" t="str">
        <f t="shared" si="63"/>
        <v/>
      </c>
      <c r="I365" s="68" t="str">
        <f t="shared" si="67"/>
        <v/>
      </c>
      <c r="M365" s="1">
        <v>328</v>
      </c>
      <c r="N365" s="1" t="str">
        <f>IF($T365=0,"",INDEX(TAHSILAT!$E$7:$E$2503,$T365))</f>
        <v/>
      </c>
      <c r="O365" s="1" t="str">
        <f>IF($N365="","",$C$36&amp;" – müşteriden tahsilat: "&amp;INDEX(TAHSILAT!$N$7:$N$2503,$T365)&amp;IF(INDEX(TAHSILAT!$J$7:$J$2503,$T365)="",""," – "&amp;INDEX(TAHSILAT!$J$7:$J$2503,$T365)))</f>
        <v/>
      </c>
      <c r="P365" s="1" t="str">
        <f t="shared" si="57"/>
        <v/>
      </c>
      <c r="Q365" s="1">
        <f>IF($N365="",0,INDEX(TAHSILAT!$F$7:$F$2503,$T365))</f>
        <v>0</v>
      </c>
      <c r="R365" s="1">
        <v>0</v>
      </c>
      <c r="S365" s="1">
        <f t="shared" si="64"/>
        <v>10000000000</v>
      </c>
      <c r="T365" s="1">
        <f>IFERROR(MATCH($C$36&amp;"|292",TAHSILAT!$U$7:$U$2503,0),0)</f>
        <v>0</v>
      </c>
      <c r="V365" s="1">
        <f t="shared" si="65"/>
        <v>10000000000</v>
      </c>
      <c r="W365" s="1">
        <f t="shared" si="66"/>
        <v>9</v>
      </c>
    </row>
    <row r="366" spans="2:23" ht="14.25" customHeight="1" x14ac:dyDescent="0.3">
      <c r="B366" s="65" t="str">
        <f t="shared" si="58"/>
        <v/>
      </c>
      <c r="C366" s="70" t="str">
        <f t="shared" si="59"/>
        <v/>
      </c>
      <c r="D366" s="74" t="str">
        <f t="shared" si="60"/>
        <v/>
      </c>
      <c r="F366" s="65" t="str">
        <f t="shared" si="61"/>
        <v/>
      </c>
      <c r="G366" s="68" t="str">
        <f t="shared" si="62"/>
        <v/>
      </c>
      <c r="H366" s="68" t="str">
        <f t="shared" si="63"/>
        <v/>
      </c>
      <c r="I366" s="68" t="str">
        <f t="shared" si="67"/>
        <v/>
      </c>
      <c r="M366" s="1">
        <v>329</v>
      </c>
      <c r="N366" s="1" t="str">
        <f>IF($T366=0,"",INDEX(TAHSILAT!$E$7:$E$2503,$T366))</f>
        <v/>
      </c>
      <c r="O366" s="1" t="str">
        <f>IF($N366="","",$C$36&amp;" – müşteriden tahsilat: "&amp;INDEX(TAHSILAT!$N$7:$N$2503,$T366)&amp;IF(INDEX(TAHSILAT!$J$7:$J$2503,$T366)="",""," – "&amp;INDEX(TAHSILAT!$J$7:$J$2503,$T366)))</f>
        <v/>
      </c>
      <c r="P366" s="1" t="str">
        <f t="shared" si="57"/>
        <v/>
      </c>
      <c r="Q366" s="1">
        <f>IF($N366="",0,INDEX(TAHSILAT!$F$7:$F$2503,$T366))</f>
        <v>0</v>
      </c>
      <c r="R366" s="1">
        <v>0</v>
      </c>
      <c r="S366" s="1">
        <f t="shared" si="64"/>
        <v>10000000000</v>
      </c>
      <c r="T366" s="1">
        <f>IFERROR(MATCH($C$36&amp;"|293",TAHSILAT!$U$7:$U$2503,0),0)</f>
        <v>0</v>
      </c>
      <c r="V366" s="1">
        <f t="shared" si="65"/>
        <v>10000000000</v>
      </c>
      <c r="W366" s="1">
        <f t="shared" si="66"/>
        <v>9</v>
      </c>
    </row>
    <row r="367" spans="2:23" ht="14.25" customHeight="1" x14ac:dyDescent="0.3">
      <c r="B367" s="65" t="str">
        <f t="shared" si="58"/>
        <v/>
      </c>
      <c r="C367" s="70" t="str">
        <f t="shared" si="59"/>
        <v/>
      </c>
      <c r="D367" s="74" t="str">
        <f t="shared" si="60"/>
        <v/>
      </c>
      <c r="F367" s="65" t="str">
        <f t="shared" si="61"/>
        <v/>
      </c>
      <c r="G367" s="68" t="str">
        <f t="shared" si="62"/>
        <v/>
      </c>
      <c r="H367" s="68" t="str">
        <f t="shared" si="63"/>
        <v/>
      </c>
      <c r="I367" s="68" t="str">
        <f t="shared" si="67"/>
        <v/>
      </c>
      <c r="M367" s="1">
        <v>330</v>
      </c>
      <c r="N367" s="1" t="str">
        <f>IF($T367=0,"",INDEX(TAHSILAT!$E$7:$E$2503,$T367))</f>
        <v/>
      </c>
      <c r="O367" s="1" t="str">
        <f>IF($N367="","",$C$36&amp;" – müşteriden tahsilat: "&amp;INDEX(TAHSILAT!$N$7:$N$2503,$T367)&amp;IF(INDEX(TAHSILAT!$J$7:$J$2503,$T367)="",""," – "&amp;INDEX(TAHSILAT!$J$7:$J$2503,$T367)))</f>
        <v/>
      </c>
      <c r="P367" s="1" t="str">
        <f t="shared" si="57"/>
        <v/>
      </c>
      <c r="Q367" s="1">
        <f>IF($N367="",0,INDEX(TAHSILAT!$F$7:$F$2503,$T367))</f>
        <v>0</v>
      </c>
      <c r="R367" s="1">
        <v>0</v>
      </c>
      <c r="S367" s="1">
        <f t="shared" si="64"/>
        <v>10000000000</v>
      </c>
      <c r="T367" s="1">
        <f>IFERROR(MATCH($C$36&amp;"|294",TAHSILAT!$U$7:$U$2503,0),0)</f>
        <v>0</v>
      </c>
      <c r="V367" s="1">
        <f t="shared" si="65"/>
        <v>10000000000</v>
      </c>
      <c r="W367" s="1">
        <f t="shared" si="66"/>
        <v>9</v>
      </c>
    </row>
    <row r="368" spans="2:23" ht="14.25" customHeight="1" x14ac:dyDescent="0.3">
      <c r="B368" s="65" t="str">
        <f t="shared" si="58"/>
        <v/>
      </c>
      <c r="C368" s="70" t="str">
        <f t="shared" si="59"/>
        <v/>
      </c>
      <c r="D368" s="74" t="str">
        <f t="shared" si="60"/>
        <v/>
      </c>
      <c r="F368" s="65" t="str">
        <f t="shared" si="61"/>
        <v/>
      </c>
      <c r="G368" s="68" t="str">
        <f t="shared" si="62"/>
        <v/>
      </c>
      <c r="H368" s="68" t="str">
        <f t="shared" si="63"/>
        <v/>
      </c>
      <c r="I368" s="68" t="str">
        <f t="shared" si="67"/>
        <v/>
      </c>
      <c r="M368" s="1">
        <v>331</v>
      </c>
      <c r="N368" s="1" t="str">
        <f>IF($T368=0,"",INDEX(TAHSILAT!$E$7:$E$2503,$T368))</f>
        <v/>
      </c>
      <c r="O368" s="1" t="str">
        <f>IF($N368="","",$C$36&amp;" – müşteriden tahsilat: "&amp;INDEX(TAHSILAT!$N$7:$N$2503,$T368)&amp;IF(INDEX(TAHSILAT!$J$7:$J$2503,$T368)="",""," – "&amp;INDEX(TAHSILAT!$J$7:$J$2503,$T368)))</f>
        <v/>
      </c>
      <c r="P368" s="1" t="str">
        <f t="shared" si="57"/>
        <v/>
      </c>
      <c r="Q368" s="1">
        <f>IF($N368="",0,INDEX(TAHSILAT!$F$7:$F$2503,$T368))</f>
        <v>0</v>
      </c>
      <c r="R368" s="1">
        <v>0</v>
      </c>
      <c r="S368" s="1">
        <f t="shared" si="64"/>
        <v>10000000000</v>
      </c>
      <c r="T368" s="1">
        <f>IFERROR(MATCH($C$36&amp;"|295",TAHSILAT!$U$7:$U$2503,0),0)</f>
        <v>0</v>
      </c>
      <c r="V368" s="1">
        <f t="shared" si="65"/>
        <v>10000000000</v>
      </c>
      <c r="W368" s="1">
        <f t="shared" si="66"/>
        <v>9</v>
      </c>
    </row>
    <row r="369" spans="2:23" ht="14.25" customHeight="1" x14ac:dyDescent="0.3">
      <c r="B369" s="65" t="str">
        <f t="shared" si="58"/>
        <v/>
      </c>
      <c r="C369" s="70" t="str">
        <f t="shared" si="59"/>
        <v/>
      </c>
      <c r="D369" s="74" t="str">
        <f t="shared" si="60"/>
        <v/>
      </c>
      <c r="F369" s="65" t="str">
        <f t="shared" si="61"/>
        <v/>
      </c>
      <c r="G369" s="68" t="str">
        <f t="shared" si="62"/>
        <v/>
      </c>
      <c r="H369" s="68" t="str">
        <f t="shared" si="63"/>
        <v/>
      </c>
      <c r="I369" s="68" t="str">
        <f t="shared" si="67"/>
        <v/>
      </c>
      <c r="M369" s="1">
        <v>332</v>
      </c>
      <c r="N369" s="1" t="str">
        <f>IF($T369=0,"",INDEX(TAHSILAT!$E$7:$E$2503,$T369))</f>
        <v/>
      </c>
      <c r="O369" s="1" t="str">
        <f>IF($N369="","",$C$36&amp;" – müşteriden tahsilat: "&amp;INDEX(TAHSILAT!$N$7:$N$2503,$T369)&amp;IF(INDEX(TAHSILAT!$J$7:$J$2503,$T369)="",""," – "&amp;INDEX(TAHSILAT!$J$7:$J$2503,$T369)))</f>
        <v/>
      </c>
      <c r="P369" s="1" t="str">
        <f t="shared" si="57"/>
        <v/>
      </c>
      <c r="Q369" s="1">
        <f>IF($N369="",0,INDEX(TAHSILAT!$F$7:$F$2503,$T369))</f>
        <v>0</v>
      </c>
      <c r="R369" s="1">
        <v>0</v>
      </c>
      <c r="S369" s="1">
        <f t="shared" si="64"/>
        <v>10000000000</v>
      </c>
      <c r="T369" s="1">
        <f>IFERROR(MATCH($C$36&amp;"|296",TAHSILAT!$U$7:$U$2503,0),0)</f>
        <v>0</v>
      </c>
      <c r="V369" s="1">
        <f t="shared" si="65"/>
        <v>10000000000</v>
      </c>
      <c r="W369" s="1">
        <f t="shared" si="66"/>
        <v>9</v>
      </c>
    </row>
    <row r="370" spans="2:23" ht="14.25" customHeight="1" x14ac:dyDescent="0.3">
      <c r="B370" s="65" t="str">
        <f t="shared" si="58"/>
        <v/>
      </c>
      <c r="C370" s="70" t="str">
        <f t="shared" si="59"/>
        <v/>
      </c>
      <c r="D370" s="74" t="str">
        <f t="shared" si="60"/>
        <v/>
      </c>
      <c r="F370" s="65" t="str">
        <f t="shared" si="61"/>
        <v/>
      </c>
      <c r="G370" s="68" t="str">
        <f t="shared" si="62"/>
        <v/>
      </c>
      <c r="H370" s="68" t="str">
        <f t="shared" si="63"/>
        <v/>
      </c>
      <c r="I370" s="68" t="str">
        <f t="shared" si="67"/>
        <v/>
      </c>
      <c r="M370" s="1">
        <v>333</v>
      </c>
      <c r="N370" s="1" t="str">
        <f>IF($T370=0,"",INDEX(TAHSILAT!$E$7:$E$2503,$T370))</f>
        <v/>
      </c>
      <c r="O370" s="1" t="str">
        <f>IF($N370="","",$C$36&amp;" – müşteriden tahsilat: "&amp;INDEX(TAHSILAT!$N$7:$N$2503,$T370)&amp;IF(INDEX(TAHSILAT!$J$7:$J$2503,$T370)="",""," – "&amp;INDEX(TAHSILAT!$J$7:$J$2503,$T370)))</f>
        <v/>
      </c>
      <c r="P370" s="1" t="str">
        <f t="shared" si="57"/>
        <v/>
      </c>
      <c r="Q370" s="1">
        <f>IF($N370="",0,INDEX(TAHSILAT!$F$7:$F$2503,$T370))</f>
        <v>0</v>
      </c>
      <c r="R370" s="1">
        <v>0</v>
      </c>
      <c r="S370" s="1">
        <f t="shared" si="64"/>
        <v>10000000000</v>
      </c>
      <c r="T370" s="1">
        <f>IFERROR(MATCH($C$36&amp;"|297",TAHSILAT!$U$7:$U$2503,0),0)</f>
        <v>0</v>
      </c>
      <c r="V370" s="1">
        <f t="shared" si="65"/>
        <v>10000000000</v>
      </c>
      <c r="W370" s="1">
        <f t="shared" si="66"/>
        <v>9</v>
      </c>
    </row>
    <row r="371" spans="2:23" ht="14.25" customHeight="1" x14ac:dyDescent="0.3">
      <c r="B371" s="65" t="str">
        <f t="shared" si="58"/>
        <v/>
      </c>
      <c r="C371" s="70" t="str">
        <f t="shared" si="59"/>
        <v/>
      </c>
      <c r="D371" s="74" t="str">
        <f t="shared" si="60"/>
        <v/>
      </c>
      <c r="F371" s="65" t="str">
        <f t="shared" si="61"/>
        <v/>
      </c>
      <c r="G371" s="68" t="str">
        <f t="shared" si="62"/>
        <v/>
      </c>
      <c r="H371" s="68" t="str">
        <f t="shared" si="63"/>
        <v/>
      </c>
      <c r="I371" s="68" t="str">
        <f t="shared" si="67"/>
        <v/>
      </c>
      <c r="M371" s="1">
        <v>334</v>
      </c>
      <c r="N371" s="1" t="str">
        <f>IF($T371=0,"",INDEX(TAHSILAT!$E$7:$E$2503,$T371))</f>
        <v/>
      </c>
      <c r="O371" s="1" t="str">
        <f>IF($N371="","",$C$36&amp;" – müşteriden tahsilat: "&amp;INDEX(TAHSILAT!$N$7:$N$2503,$T371)&amp;IF(INDEX(TAHSILAT!$J$7:$J$2503,$T371)="",""," – "&amp;INDEX(TAHSILAT!$J$7:$J$2503,$T371)))</f>
        <v/>
      </c>
      <c r="P371" s="1" t="str">
        <f t="shared" si="57"/>
        <v/>
      </c>
      <c r="Q371" s="1">
        <f>IF($N371="",0,INDEX(TAHSILAT!$F$7:$F$2503,$T371))</f>
        <v>0</v>
      </c>
      <c r="R371" s="1">
        <v>0</v>
      </c>
      <c r="S371" s="1">
        <f t="shared" si="64"/>
        <v>10000000000</v>
      </c>
      <c r="T371" s="1">
        <f>IFERROR(MATCH($C$36&amp;"|298",TAHSILAT!$U$7:$U$2503,0),0)</f>
        <v>0</v>
      </c>
      <c r="V371" s="1">
        <f t="shared" si="65"/>
        <v>10000000000</v>
      </c>
      <c r="W371" s="1">
        <f t="shared" si="66"/>
        <v>9</v>
      </c>
    </row>
    <row r="372" spans="2:23" ht="14.25" customHeight="1" x14ac:dyDescent="0.3">
      <c r="B372" s="65" t="str">
        <f t="shared" si="58"/>
        <v/>
      </c>
      <c r="C372" s="70" t="str">
        <f t="shared" si="59"/>
        <v/>
      </c>
      <c r="D372" s="74" t="str">
        <f t="shared" si="60"/>
        <v/>
      </c>
      <c r="F372" s="65" t="str">
        <f t="shared" si="61"/>
        <v/>
      </c>
      <c r="G372" s="68" t="str">
        <f t="shared" si="62"/>
        <v/>
      </c>
      <c r="H372" s="68" t="str">
        <f t="shared" si="63"/>
        <v/>
      </c>
      <c r="I372" s="68" t="str">
        <f t="shared" si="67"/>
        <v/>
      </c>
      <c r="M372" s="1">
        <v>335</v>
      </c>
      <c r="N372" s="1" t="str">
        <f>IF($T372=0,"",INDEX(TAHSILAT!$E$7:$E$2503,$T372))</f>
        <v/>
      </c>
      <c r="O372" s="1" t="str">
        <f>IF($N372="","",$C$36&amp;" – müşteriden tahsilat: "&amp;INDEX(TAHSILAT!$N$7:$N$2503,$T372)&amp;IF(INDEX(TAHSILAT!$J$7:$J$2503,$T372)="",""," – "&amp;INDEX(TAHSILAT!$J$7:$J$2503,$T372)))</f>
        <v/>
      </c>
      <c r="P372" s="1" t="str">
        <f t="shared" si="57"/>
        <v/>
      </c>
      <c r="Q372" s="1">
        <f>IF($N372="",0,INDEX(TAHSILAT!$F$7:$F$2503,$T372))</f>
        <v>0</v>
      </c>
      <c r="R372" s="1">
        <v>0</v>
      </c>
      <c r="S372" s="1">
        <f t="shared" si="64"/>
        <v>10000000000</v>
      </c>
      <c r="T372" s="1">
        <f>IFERROR(MATCH($C$36&amp;"|299",TAHSILAT!$U$7:$U$2503,0),0)</f>
        <v>0</v>
      </c>
      <c r="V372" s="1">
        <f t="shared" si="65"/>
        <v>10000000000</v>
      </c>
      <c r="W372" s="1">
        <f t="shared" si="66"/>
        <v>9</v>
      </c>
    </row>
    <row r="373" spans="2:23" ht="14.25" customHeight="1" x14ac:dyDescent="0.3">
      <c r="B373" s="65" t="str">
        <f t="shared" si="58"/>
        <v/>
      </c>
      <c r="C373" s="70" t="str">
        <f t="shared" si="59"/>
        <v/>
      </c>
      <c r="D373" s="74" t="str">
        <f t="shared" si="60"/>
        <v/>
      </c>
      <c r="F373" s="65" t="str">
        <f t="shared" si="61"/>
        <v/>
      </c>
      <c r="G373" s="68" t="str">
        <f t="shared" si="62"/>
        <v/>
      </c>
      <c r="H373" s="68" t="str">
        <f t="shared" si="63"/>
        <v/>
      </c>
      <c r="I373" s="68" t="str">
        <f t="shared" si="67"/>
        <v/>
      </c>
      <c r="M373" s="1">
        <v>336</v>
      </c>
      <c r="N373" s="1" t="str">
        <f>IF($T373=0,"",INDEX(TAHSILAT!$E$7:$E$2503,$T373))</f>
        <v/>
      </c>
      <c r="O373" s="1" t="str">
        <f>IF($N373="","",$C$36&amp;" – müşteriden tahsilat: "&amp;INDEX(TAHSILAT!$N$7:$N$2503,$T373)&amp;IF(INDEX(TAHSILAT!$J$7:$J$2503,$T373)="",""," – "&amp;INDEX(TAHSILAT!$J$7:$J$2503,$T373)))</f>
        <v/>
      </c>
      <c r="P373" s="1" t="str">
        <f t="shared" si="57"/>
        <v/>
      </c>
      <c r="Q373" s="1">
        <f>IF($N373="",0,INDEX(TAHSILAT!$F$7:$F$2503,$T373))</f>
        <v>0</v>
      </c>
      <c r="R373" s="1">
        <v>0</v>
      </c>
      <c r="S373" s="1">
        <f t="shared" si="64"/>
        <v>10000000000</v>
      </c>
      <c r="T373" s="1">
        <f>IFERROR(MATCH($C$36&amp;"|300",TAHSILAT!$U$7:$U$2503,0),0)</f>
        <v>0</v>
      </c>
      <c r="V373" s="1">
        <f t="shared" si="65"/>
        <v>10000000000</v>
      </c>
      <c r="W373" s="1">
        <f t="shared" si="66"/>
        <v>9</v>
      </c>
    </row>
    <row r="374" spans="2:23" ht="14.25" customHeight="1" x14ac:dyDescent="0.3">
      <c r="B374" s="65" t="str">
        <f t="shared" si="58"/>
        <v/>
      </c>
      <c r="C374" s="70" t="str">
        <f t="shared" si="59"/>
        <v/>
      </c>
      <c r="D374" s="74" t="str">
        <f t="shared" si="60"/>
        <v/>
      </c>
      <c r="F374" s="65" t="str">
        <f t="shared" si="61"/>
        <v/>
      </c>
      <c r="G374" s="68" t="str">
        <f t="shared" si="62"/>
        <v/>
      </c>
      <c r="H374" s="68" t="str">
        <f t="shared" si="63"/>
        <v/>
      </c>
      <c r="I374" s="68" t="str">
        <f t="shared" si="67"/>
        <v/>
      </c>
      <c r="M374" s="1">
        <v>337</v>
      </c>
      <c r="N374" s="1" t="str">
        <f>IF($T374=0,"",INDEX(TAHSILAT!$E$7:$E$2503,$T374))</f>
        <v/>
      </c>
      <c r="O374" s="1" t="str">
        <f>IF($N374="","",$C$36&amp;" – müşteriden tahsilat: "&amp;INDEX(TAHSILAT!$N$7:$N$2503,$T374)&amp;IF(INDEX(TAHSILAT!$J$7:$J$2503,$T374)="",""," – "&amp;INDEX(TAHSILAT!$J$7:$J$2503,$T374)))</f>
        <v/>
      </c>
      <c r="P374" s="1" t="str">
        <f t="shared" si="57"/>
        <v/>
      </c>
      <c r="Q374" s="1">
        <f>IF($N374="",0,INDEX(TAHSILAT!$F$7:$F$2503,$T374))</f>
        <v>0</v>
      </c>
      <c r="R374" s="1">
        <v>0</v>
      </c>
      <c r="S374" s="1">
        <f t="shared" si="64"/>
        <v>10000000000</v>
      </c>
      <c r="T374" s="1">
        <f>IFERROR(MATCH($C$36&amp;"|301",TAHSILAT!$U$7:$U$2503,0),0)</f>
        <v>0</v>
      </c>
      <c r="V374" s="1">
        <f t="shared" si="65"/>
        <v>10000000000</v>
      </c>
      <c r="W374" s="1">
        <f t="shared" si="66"/>
        <v>9</v>
      </c>
    </row>
    <row r="375" spans="2:23" ht="14.25" customHeight="1" x14ac:dyDescent="0.3">
      <c r="B375" s="65" t="str">
        <f t="shared" si="58"/>
        <v/>
      </c>
      <c r="C375" s="70" t="str">
        <f t="shared" si="59"/>
        <v/>
      </c>
      <c r="D375" s="74" t="str">
        <f t="shared" si="60"/>
        <v/>
      </c>
      <c r="F375" s="65" t="str">
        <f t="shared" si="61"/>
        <v/>
      </c>
      <c r="G375" s="68" t="str">
        <f t="shared" si="62"/>
        <v/>
      </c>
      <c r="H375" s="68" t="str">
        <f t="shared" si="63"/>
        <v/>
      </c>
      <c r="I375" s="68" t="str">
        <f t="shared" si="67"/>
        <v/>
      </c>
      <c r="M375" s="1">
        <v>338</v>
      </c>
      <c r="N375" s="1" t="str">
        <f>IF($T375=0,"",INDEX(TAHSILAT!$E$7:$E$2503,$T375))</f>
        <v/>
      </c>
      <c r="O375" s="1" t="str">
        <f>IF($N375="","",$C$36&amp;" – müşteriden tahsilat: "&amp;INDEX(TAHSILAT!$N$7:$N$2503,$T375)&amp;IF(INDEX(TAHSILAT!$J$7:$J$2503,$T375)="",""," – "&amp;INDEX(TAHSILAT!$J$7:$J$2503,$T375)))</f>
        <v/>
      </c>
      <c r="P375" s="1" t="str">
        <f t="shared" si="57"/>
        <v/>
      </c>
      <c r="Q375" s="1">
        <f>IF($N375="",0,INDEX(TAHSILAT!$F$7:$F$2503,$T375))</f>
        <v>0</v>
      </c>
      <c r="R375" s="1">
        <v>0</v>
      </c>
      <c r="S375" s="1">
        <f t="shared" si="64"/>
        <v>10000000000</v>
      </c>
      <c r="T375" s="1">
        <f>IFERROR(MATCH($C$36&amp;"|302",TAHSILAT!$U$7:$U$2503,0),0)</f>
        <v>0</v>
      </c>
      <c r="V375" s="1">
        <f t="shared" si="65"/>
        <v>10000000000</v>
      </c>
      <c r="W375" s="1">
        <f t="shared" si="66"/>
        <v>9</v>
      </c>
    </row>
    <row r="376" spans="2:23" ht="14.25" customHeight="1" x14ac:dyDescent="0.3">
      <c r="B376" s="65" t="str">
        <f t="shared" si="58"/>
        <v/>
      </c>
      <c r="C376" s="70" t="str">
        <f t="shared" si="59"/>
        <v/>
      </c>
      <c r="D376" s="74" t="str">
        <f t="shared" si="60"/>
        <v/>
      </c>
      <c r="F376" s="65" t="str">
        <f t="shared" si="61"/>
        <v/>
      </c>
      <c r="G376" s="68" t="str">
        <f t="shared" si="62"/>
        <v/>
      </c>
      <c r="H376" s="68" t="str">
        <f t="shared" si="63"/>
        <v/>
      </c>
      <c r="I376" s="68" t="str">
        <f t="shared" si="67"/>
        <v/>
      </c>
      <c r="M376" s="1">
        <v>339</v>
      </c>
      <c r="N376" s="1" t="str">
        <f>IF($T376=0,"",INDEX(TAHSILAT!$E$7:$E$2503,$T376))</f>
        <v/>
      </c>
      <c r="O376" s="1" t="str">
        <f>IF($N376="","",$C$36&amp;" – müşteriden tahsilat: "&amp;INDEX(TAHSILAT!$N$7:$N$2503,$T376)&amp;IF(INDEX(TAHSILAT!$J$7:$J$2503,$T376)="",""," – "&amp;INDEX(TAHSILAT!$J$7:$J$2503,$T376)))</f>
        <v/>
      </c>
      <c r="P376" s="1" t="str">
        <f t="shared" si="57"/>
        <v/>
      </c>
      <c r="Q376" s="1">
        <f>IF($N376="",0,INDEX(TAHSILAT!$F$7:$F$2503,$T376))</f>
        <v>0</v>
      </c>
      <c r="R376" s="1">
        <v>0</v>
      </c>
      <c r="S376" s="1">
        <f t="shared" si="64"/>
        <v>10000000000</v>
      </c>
      <c r="T376" s="1">
        <f>IFERROR(MATCH($C$36&amp;"|303",TAHSILAT!$U$7:$U$2503,0),0)</f>
        <v>0</v>
      </c>
      <c r="V376" s="1">
        <f t="shared" si="65"/>
        <v>10000000000</v>
      </c>
      <c r="W376" s="1">
        <f t="shared" si="66"/>
        <v>9</v>
      </c>
    </row>
    <row r="377" spans="2:23" ht="14.25" customHeight="1" x14ac:dyDescent="0.3">
      <c r="B377" s="65" t="str">
        <f t="shared" si="58"/>
        <v/>
      </c>
      <c r="C377" s="70" t="str">
        <f t="shared" si="59"/>
        <v/>
      </c>
      <c r="D377" s="74" t="str">
        <f t="shared" si="60"/>
        <v/>
      </c>
      <c r="F377" s="65" t="str">
        <f t="shared" si="61"/>
        <v/>
      </c>
      <c r="G377" s="68" t="str">
        <f t="shared" si="62"/>
        <v/>
      </c>
      <c r="H377" s="68" t="str">
        <f t="shared" si="63"/>
        <v/>
      </c>
      <c r="I377" s="68" t="str">
        <f t="shared" si="67"/>
        <v/>
      </c>
      <c r="M377" s="1">
        <v>340</v>
      </c>
      <c r="N377" s="1" t="str">
        <f>IF($T377=0,"",INDEX(TAHSILAT!$E$7:$E$2503,$T377))</f>
        <v/>
      </c>
      <c r="O377" s="1" t="str">
        <f>IF($N377="","",$C$36&amp;" – müşteriden tahsilat: "&amp;INDEX(TAHSILAT!$N$7:$N$2503,$T377)&amp;IF(INDEX(TAHSILAT!$J$7:$J$2503,$T377)="",""," – "&amp;INDEX(TAHSILAT!$J$7:$J$2503,$T377)))</f>
        <v/>
      </c>
      <c r="P377" s="1" t="str">
        <f t="shared" si="57"/>
        <v/>
      </c>
      <c r="Q377" s="1">
        <f>IF($N377="",0,INDEX(TAHSILAT!$F$7:$F$2503,$T377))</f>
        <v>0</v>
      </c>
      <c r="R377" s="1">
        <v>0</v>
      </c>
      <c r="S377" s="1">
        <f t="shared" si="64"/>
        <v>10000000000</v>
      </c>
      <c r="T377" s="1">
        <f>IFERROR(MATCH($C$36&amp;"|304",TAHSILAT!$U$7:$U$2503,0),0)</f>
        <v>0</v>
      </c>
      <c r="V377" s="1">
        <f t="shared" si="65"/>
        <v>10000000000</v>
      </c>
      <c r="W377" s="1">
        <f t="shared" si="66"/>
        <v>9</v>
      </c>
    </row>
    <row r="378" spans="2:23" ht="14.25" customHeight="1" x14ac:dyDescent="0.3">
      <c r="B378" s="65" t="str">
        <f t="shared" si="58"/>
        <v/>
      </c>
      <c r="C378" s="70" t="str">
        <f t="shared" si="59"/>
        <v/>
      </c>
      <c r="D378" s="74" t="str">
        <f t="shared" si="60"/>
        <v/>
      </c>
      <c r="F378" s="65" t="str">
        <f t="shared" si="61"/>
        <v/>
      </c>
      <c r="G378" s="68" t="str">
        <f t="shared" si="62"/>
        <v/>
      </c>
      <c r="H378" s="68" t="str">
        <f t="shared" si="63"/>
        <v/>
      </c>
      <c r="I378" s="68" t="str">
        <f t="shared" si="67"/>
        <v/>
      </c>
      <c r="M378" s="1">
        <v>341</v>
      </c>
      <c r="N378" s="1" t="str">
        <f>IF($T378=0,"",INDEX(TAHSILAT!$E$7:$E$2503,$T378))</f>
        <v/>
      </c>
      <c r="O378" s="1" t="str">
        <f>IF($N378="","",$C$36&amp;" – müşteriden tahsilat: "&amp;INDEX(TAHSILAT!$N$7:$N$2503,$T378)&amp;IF(INDEX(TAHSILAT!$J$7:$J$2503,$T378)="",""," – "&amp;INDEX(TAHSILAT!$J$7:$J$2503,$T378)))</f>
        <v/>
      </c>
      <c r="P378" s="1" t="str">
        <f t="shared" si="57"/>
        <v/>
      </c>
      <c r="Q378" s="1">
        <f>IF($N378="",0,INDEX(TAHSILAT!$F$7:$F$2503,$T378))</f>
        <v>0</v>
      </c>
      <c r="R378" s="1">
        <v>0</v>
      </c>
      <c r="S378" s="1">
        <f t="shared" si="64"/>
        <v>10000000000</v>
      </c>
      <c r="T378" s="1">
        <f>IFERROR(MATCH($C$36&amp;"|305",TAHSILAT!$U$7:$U$2503,0),0)</f>
        <v>0</v>
      </c>
      <c r="V378" s="1">
        <f t="shared" si="65"/>
        <v>10000000000</v>
      </c>
      <c r="W378" s="1">
        <f t="shared" si="66"/>
        <v>9</v>
      </c>
    </row>
    <row r="379" spans="2:23" ht="14.25" customHeight="1" x14ac:dyDescent="0.3">
      <c r="B379" s="65" t="str">
        <f t="shared" si="58"/>
        <v/>
      </c>
      <c r="C379" s="70" t="str">
        <f t="shared" si="59"/>
        <v/>
      </c>
      <c r="D379" s="74" t="str">
        <f t="shared" si="60"/>
        <v/>
      </c>
      <c r="F379" s="65" t="str">
        <f t="shared" si="61"/>
        <v/>
      </c>
      <c r="G379" s="68" t="str">
        <f t="shared" si="62"/>
        <v/>
      </c>
      <c r="H379" s="68" t="str">
        <f t="shared" si="63"/>
        <v/>
      </c>
      <c r="I379" s="68" t="str">
        <f t="shared" si="67"/>
        <v/>
      </c>
      <c r="M379" s="1">
        <v>342</v>
      </c>
      <c r="N379" s="1" t="str">
        <f>IF($T379=0,"",INDEX(TAHSILAT!$E$7:$E$2503,$T379))</f>
        <v/>
      </c>
      <c r="O379" s="1" t="str">
        <f>IF($N379="","",$C$36&amp;" – müşteriden tahsilat: "&amp;INDEX(TAHSILAT!$N$7:$N$2503,$T379)&amp;IF(INDEX(TAHSILAT!$J$7:$J$2503,$T379)="",""," – "&amp;INDEX(TAHSILAT!$J$7:$J$2503,$T379)))</f>
        <v/>
      </c>
      <c r="P379" s="1" t="str">
        <f t="shared" si="57"/>
        <v/>
      </c>
      <c r="Q379" s="1">
        <f>IF($N379="",0,INDEX(TAHSILAT!$F$7:$F$2503,$T379))</f>
        <v>0</v>
      </c>
      <c r="R379" s="1">
        <v>0</v>
      </c>
      <c r="S379" s="1">
        <f t="shared" si="64"/>
        <v>10000000000</v>
      </c>
      <c r="T379" s="1">
        <f>IFERROR(MATCH($C$36&amp;"|306",TAHSILAT!$U$7:$U$2503,0),0)</f>
        <v>0</v>
      </c>
      <c r="V379" s="1">
        <f t="shared" si="65"/>
        <v>10000000000</v>
      </c>
      <c r="W379" s="1">
        <f t="shared" si="66"/>
        <v>9</v>
      </c>
    </row>
    <row r="380" spans="2:23" ht="14.25" customHeight="1" x14ac:dyDescent="0.3">
      <c r="B380" s="65" t="str">
        <f t="shared" si="58"/>
        <v/>
      </c>
      <c r="C380" s="70" t="str">
        <f t="shared" si="59"/>
        <v/>
      </c>
      <c r="D380" s="74" t="str">
        <f t="shared" si="60"/>
        <v/>
      </c>
      <c r="F380" s="65" t="str">
        <f t="shared" si="61"/>
        <v/>
      </c>
      <c r="G380" s="68" t="str">
        <f t="shared" si="62"/>
        <v/>
      </c>
      <c r="H380" s="68" t="str">
        <f t="shared" si="63"/>
        <v/>
      </c>
      <c r="I380" s="68" t="str">
        <f t="shared" si="67"/>
        <v/>
      </c>
      <c r="M380" s="1">
        <v>343</v>
      </c>
      <c r="N380" s="1" t="str">
        <f>IF($T380=0,"",INDEX(TAHSILAT!$E$7:$E$2503,$T380))</f>
        <v/>
      </c>
      <c r="O380" s="1" t="str">
        <f>IF($N380="","",$C$36&amp;" – müşteriden tahsilat: "&amp;INDEX(TAHSILAT!$N$7:$N$2503,$T380)&amp;IF(INDEX(TAHSILAT!$J$7:$J$2503,$T380)="",""," – "&amp;INDEX(TAHSILAT!$J$7:$J$2503,$T380)))</f>
        <v/>
      </c>
      <c r="P380" s="1" t="str">
        <f t="shared" si="57"/>
        <v/>
      </c>
      <c r="Q380" s="1">
        <f>IF($N380="",0,INDEX(TAHSILAT!$F$7:$F$2503,$T380))</f>
        <v>0</v>
      </c>
      <c r="R380" s="1">
        <v>0</v>
      </c>
      <c r="S380" s="1">
        <f t="shared" si="64"/>
        <v>10000000000</v>
      </c>
      <c r="T380" s="1">
        <f>IFERROR(MATCH($C$36&amp;"|307",TAHSILAT!$U$7:$U$2503,0),0)</f>
        <v>0</v>
      </c>
      <c r="V380" s="1">
        <f t="shared" si="65"/>
        <v>10000000000</v>
      </c>
      <c r="W380" s="1">
        <f t="shared" si="66"/>
        <v>9</v>
      </c>
    </row>
    <row r="381" spans="2:23" ht="14.25" customHeight="1" x14ac:dyDescent="0.3">
      <c r="B381" s="65" t="str">
        <f t="shared" si="58"/>
        <v/>
      </c>
      <c r="C381" s="70" t="str">
        <f t="shared" si="59"/>
        <v/>
      </c>
      <c r="D381" s="74" t="str">
        <f t="shared" si="60"/>
        <v/>
      </c>
      <c r="F381" s="65" t="str">
        <f t="shared" si="61"/>
        <v/>
      </c>
      <c r="G381" s="68" t="str">
        <f t="shared" si="62"/>
        <v/>
      </c>
      <c r="H381" s="68" t="str">
        <f t="shared" si="63"/>
        <v/>
      </c>
      <c r="I381" s="68" t="str">
        <f t="shared" si="67"/>
        <v/>
      </c>
      <c r="M381" s="1">
        <v>344</v>
      </c>
      <c r="N381" s="1" t="str">
        <f>IF($T381=0,"",INDEX(TAHSILAT!$E$7:$E$2503,$T381))</f>
        <v/>
      </c>
      <c r="O381" s="1" t="str">
        <f>IF($N381="","",$C$36&amp;" – müşteriden tahsilat: "&amp;INDEX(TAHSILAT!$N$7:$N$2503,$T381)&amp;IF(INDEX(TAHSILAT!$J$7:$J$2503,$T381)="",""," – "&amp;INDEX(TAHSILAT!$J$7:$J$2503,$T381)))</f>
        <v/>
      </c>
      <c r="P381" s="1" t="str">
        <f t="shared" si="57"/>
        <v/>
      </c>
      <c r="Q381" s="1">
        <f>IF($N381="",0,INDEX(TAHSILAT!$F$7:$F$2503,$T381))</f>
        <v>0</v>
      </c>
      <c r="R381" s="1">
        <v>0</v>
      </c>
      <c r="S381" s="1">
        <f t="shared" si="64"/>
        <v>10000000000</v>
      </c>
      <c r="T381" s="1">
        <f>IFERROR(MATCH($C$36&amp;"|308",TAHSILAT!$U$7:$U$2503,0),0)</f>
        <v>0</v>
      </c>
      <c r="V381" s="1">
        <f t="shared" si="65"/>
        <v>10000000000</v>
      </c>
      <c r="W381" s="1">
        <f t="shared" si="66"/>
        <v>9</v>
      </c>
    </row>
    <row r="382" spans="2:23" ht="14.25" customHeight="1" x14ac:dyDescent="0.3">
      <c r="B382" s="65" t="str">
        <f t="shared" si="58"/>
        <v/>
      </c>
      <c r="C382" s="70" t="str">
        <f t="shared" si="59"/>
        <v/>
      </c>
      <c r="D382" s="74" t="str">
        <f t="shared" si="60"/>
        <v/>
      </c>
      <c r="F382" s="65" t="str">
        <f t="shared" si="61"/>
        <v/>
      </c>
      <c r="G382" s="68" t="str">
        <f t="shared" si="62"/>
        <v/>
      </c>
      <c r="H382" s="68" t="str">
        <f t="shared" si="63"/>
        <v/>
      </c>
      <c r="I382" s="68" t="str">
        <f t="shared" si="67"/>
        <v/>
      </c>
      <c r="M382" s="1">
        <v>345</v>
      </c>
      <c r="N382" s="1" t="str">
        <f>IF($T382=0,"",INDEX(TAHSILAT!$E$7:$E$2503,$T382))</f>
        <v/>
      </c>
      <c r="O382" s="1" t="str">
        <f>IF($N382="","",$C$36&amp;" – müşteriden tahsilat: "&amp;INDEX(TAHSILAT!$N$7:$N$2503,$T382)&amp;IF(INDEX(TAHSILAT!$J$7:$J$2503,$T382)="",""," – "&amp;INDEX(TAHSILAT!$J$7:$J$2503,$T382)))</f>
        <v/>
      </c>
      <c r="P382" s="1" t="str">
        <f t="shared" si="57"/>
        <v/>
      </c>
      <c r="Q382" s="1">
        <f>IF($N382="",0,INDEX(TAHSILAT!$F$7:$F$2503,$T382))</f>
        <v>0</v>
      </c>
      <c r="R382" s="1">
        <v>0</v>
      </c>
      <c r="S382" s="1">
        <f t="shared" si="64"/>
        <v>10000000000</v>
      </c>
      <c r="T382" s="1">
        <f>IFERROR(MATCH($C$36&amp;"|309",TAHSILAT!$U$7:$U$2503,0),0)</f>
        <v>0</v>
      </c>
      <c r="V382" s="1">
        <f t="shared" si="65"/>
        <v>10000000000</v>
      </c>
      <c r="W382" s="1">
        <f t="shared" si="66"/>
        <v>9</v>
      </c>
    </row>
    <row r="383" spans="2:23" ht="14.25" customHeight="1" x14ac:dyDescent="0.3">
      <c r="B383" s="65" t="str">
        <f t="shared" si="58"/>
        <v/>
      </c>
      <c r="C383" s="70" t="str">
        <f t="shared" si="59"/>
        <v/>
      </c>
      <c r="D383" s="74" t="str">
        <f t="shared" si="60"/>
        <v/>
      </c>
      <c r="F383" s="65" t="str">
        <f t="shared" si="61"/>
        <v/>
      </c>
      <c r="G383" s="68" t="str">
        <f t="shared" si="62"/>
        <v/>
      </c>
      <c r="H383" s="68" t="str">
        <f t="shared" si="63"/>
        <v/>
      </c>
      <c r="I383" s="68" t="str">
        <f t="shared" si="67"/>
        <v/>
      </c>
      <c r="M383" s="1">
        <v>346</v>
      </c>
      <c r="N383" s="1" t="str">
        <f>IF($T383=0,"",INDEX(TAHSILAT!$E$7:$E$2503,$T383))</f>
        <v/>
      </c>
      <c r="O383" s="1" t="str">
        <f>IF($N383="","",$C$36&amp;" – müşteriden tahsilat: "&amp;INDEX(TAHSILAT!$N$7:$N$2503,$T383)&amp;IF(INDEX(TAHSILAT!$J$7:$J$2503,$T383)="",""," – "&amp;INDEX(TAHSILAT!$J$7:$J$2503,$T383)))</f>
        <v/>
      </c>
      <c r="P383" s="1" t="str">
        <f t="shared" si="57"/>
        <v/>
      </c>
      <c r="Q383" s="1">
        <f>IF($N383="",0,INDEX(TAHSILAT!$F$7:$F$2503,$T383))</f>
        <v>0</v>
      </c>
      <c r="R383" s="1">
        <v>0</v>
      </c>
      <c r="S383" s="1">
        <f t="shared" si="64"/>
        <v>10000000000</v>
      </c>
      <c r="T383" s="1">
        <f>IFERROR(MATCH($C$36&amp;"|310",TAHSILAT!$U$7:$U$2503,0),0)</f>
        <v>0</v>
      </c>
      <c r="V383" s="1">
        <f t="shared" si="65"/>
        <v>10000000000</v>
      </c>
      <c r="W383" s="1">
        <f t="shared" si="66"/>
        <v>9</v>
      </c>
    </row>
    <row r="384" spans="2:23" ht="14.25" customHeight="1" x14ac:dyDescent="0.3">
      <c r="B384" s="65" t="str">
        <f t="shared" si="58"/>
        <v/>
      </c>
      <c r="C384" s="70" t="str">
        <f t="shared" si="59"/>
        <v/>
      </c>
      <c r="D384" s="74" t="str">
        <f t="shared" si="60"/>
        <v/>
      </c>
      <c r="F384" s="65" t="str">
        <f t="shared" si="61"/>
        <v/>
      </c>
      <c r="G384" s="68" t="str">
        <f t="shared" si="62"/>
        <v/>
      </c>
      <c r="H384" s="68" t="str">
        <f t="shared" si="63"/>
        <v/>
      </c>
      <c r="I384" s="68" t="str">
        <f t="shared" si="67"/>
        <v/>
      </c>
      <c r="M384" s="1">
        <v>347</v>
      </c>
      <c r="N384" s="1" t="str">
        <f>IF($T384=0,"",INDEX(TAHSILAT!$E$7:$E$2503,$T384))</f>
        <v/>
      </c>
      <c r="O384" s="1" t="str">
        <f>IF($N384="","",$C$36&amp;" – müşteriden tahsilat: "&amp;INDEX(TAHSILAT!$N$7:$N$2503,$T384)&amp;IF(INDEX(TAHSILAT!$J$7:$J$2503,$T384)="",""," – "&amp;INDEX(TAHSILAT!$J$7:$J$2503,$T384)))</f>
        <v/>
      </c>
      <c r="P384" s="1" t="str">
        <f t="shared" si="57"/>
        <v/>
      </c>
      <c r="Q384" s="1">
        <f>IF($N384="",0,INDEX(TAHSILAT!$F$7:$F$2503,$T384))</f>
        <v>0</v>
      </c>
      <c r="R384" s="1">
        <v>0</v>
      </c>
      <c r="S384" s="1">
        <f t="shared" si="64"/>
        <v>10000000000</v>
      </c>
      <c r="T384" s="1">
        <f>IFERROR(MATCH($C$36&amp;"|311",TAHSILAT!$U$7:$U$2503,0),0)</f>
        <v>0</v>
      </c>
      <c r="V384" s="1">
        <f t="shared" si="65"/>
        <v>10000000000</v>
      </c>
      <c r="W384" s="1">
        <f t="shared" si="66"/>
        <v>9</v>
      </c>
    </row>
    <row r="385" spans="2:23" ht="14.25" customHeight="1" x14ac:dyDescent="0.3">
      <c r="B385" s="65" t="str">
        <f t="shared" si="58"/>
        <v/>
      </c>
      <c r="C385" s="70" t="str">
        <f t="shared" si="59"/>
        <v/>
      </c>
      <c r="D385" s="74" t="str">
        <f t="shared" si="60"/>
        <v/>
      </c>
      <c r="F385" s="65" t="str">
        <f t="shared" si="61"/>
        <v/>
      </c>
      <c r="G385" s="68" t="str">
        <f t="shared" si="62"/>
        <v/>
      </c>
      <c r="H385" s="68" t="str">
        <f t="shared" si="63"/>
        <v/>
      </c>
      <c r="I385" s="68" t="str">
        <f t="shared" si="67"/>
        <v/>
      </c>
      <c r="M385" s="1">
        <v>348</v>
      </c>
      <c r="N385" s="1" t="str">
        <f>IF($T385=0,"",INDEX(TAHSILAT!$E$7:$E$2503,$T385))</f>
        <v/>
      </c>
      <c r="O385" s="1" t="str">
        <f>IF($N385="","",$C$36&amp;" – müşteriden tahsilat: "&amp;INDEX(TAHSILAT!$N$7:$N$2503,$T385)&amp;IF(INDEX(TAHSILAT!$J$7:$J$2503,$T385)="",""," – "&amp;INDEX(TAHSILAT!$J$7:$J$2503,$T385)))</f>
        <v/>
      </c>
      <c r="P385" s="1" t="str">
        <f t="shared" si="57"/>
        <v/>
      </c>
      <c r="Q385" s="1">
        <f>IF($N385="",0,INDEX(TAHSILAT!$F$7:$F$2503,$T385))</f>
        <v>0</v>
      </c>
      <c r="R385" s="1">
        <v>0</v>
      </c>
      <c r="S385" s="1">
        <f t="shared" si="64"/>
        <v>10000000000</v>
      </c>
      <c r="T385" s="1">
        <f>IFERROR(MATCH($C$36&amp;"|312",TAHSILAT!$U$7:$U$2503,0),0)</f>
        <v>0</v>
      </c>
      <c r="V385" s="1">
        <f t="shared" si="65"/>
        <v>10000000000</v>
      </c>
      <c r="W385" s="1">
        <f t="shared" si="66"/>
        <v>9</v>
      </c>
    </row>
    <row r="386" spans="2:23" ht="14.25" customHeight="1" x14ac:dyDescent="0.3">
      <c r="B386" s="65" t="str">
        <f t="shared" si="58"/>
        <v/>
      </c>
      <c r="C386" s="70" t="str">
        <f t="shared" si="59"/>
        <v/>
      </c>
      <c r="D386" s="74" t="str">
        <f t="shared" si="60"/>
        <v/>
      </c>
      <c r="F386" s="65" t="str">
        <f t="shared" si="61"/>
        <v/>
      </c>
      <c r="G386" s="68" t="str">
        <f t="shared" si="62"/>
        <v/>
      </c>
      <c r="H386" s="68" t="str">
        <f t="shared" si="63"/>
        <v/>
      </c>
      <c r="I386" s="68" t="str">
        <f t="shared" si="67"/>
        <v/>
      </c>
      <c r="M386" s="1">
        <v>349</v>
      </c>
      <c r="N386" s="1" t="str">
        <f>IF($T386=0,"",INDEX(TAHSILAT!$E$7:$E$2503,$T386))</f>
        <v/>
      </c>
      <c r="O386" s="1" t="str">
        <f>IF($N386="","",$C$36&amp;" – müşteriden tahsilat: "&amp;INDEX(TAHSILAT!$N$7:$N$2503,$T386)&amp;IF(INDEX(TAHSILAT!$J$7:$J$2503,$T386)="",""," – "&amp;INDEX(TAHSILAT!$J$7:$J$2503,$T386)))</f>
        <v/>
      </c>
      <c r="P386" s="1" t="str">
        <f t="shared" si="57"/>
        <v/>
      </c>
      <c r="Q386" s="1">
        <f>IF($N386="",0,INDEX(TAHSILAT!$F$7:$F$2503,$T386))</f>
        <v>0</v>
      </c>
      <c r="R386" s="1">
        <v>0</v>
      </c>
      <c r="S386" s="1">
        <f t="shared" si="64"/>
        <v>10000000000</v>
      </c>
      <c r="T386" s="1">
        <f>IFERROR(MATCH($C$36&amp;"|313",TAHSILAT!$U$7:$U$2503,0),0)</f>
        <v>0</v>
      </c>
      <c r="V386" s="1">
        <f t="shared" si="65"/>
        <v>10000000000</v>
      </c>
      <c r="W386" s="1">
        <f t="shared" si="66"/>
        <v>9</v>
      </c>
    </row>
    <row r="387" spans="2:23" ht="14.25" customHeight="1" x14ac:dyDescent="0.3">
      <c r="B387" s="65" t="str">
        <f t="shared" si="58"/>
        <v/>
      </c>
      <c r="C387" s="70" t="str">
        <f t="shared" si="59"/>
        <v/>
      </c>
      <c r="D387" s="74" t="str">
        <f t="shared" si="60"/>
        <v/>
      </c>
      <c r="F387" s="65" t="str">
        <f t="shared" si="61"/>
        <v/>
      </c>
      <c r="G387" s="68" t="str">
        <f t="shared" si="62"/>
        <v/>
      </c>
      <c r="H387" s="68" t="str">
        <f t="shared" si="63"/>
        <v/>
      </c>
      <c r="I387" s="68" t="str">
        <f t="shared" si="67"/>
        <v/>
      </c>
      <c r="M387" s="1">
        <v>350</v>
      </c>
      <c r="N387" s="1" t="str">
        <f>IF($T387=0,"",INDEX(TAHSILAT!$E$7:$E$2503,$T387))</f>
        <v/>
      </c>
      <c r="O387" s="1" t="str">
        <f>IF($N387="","",$C$36&amp;" – müşteriden tahsilat: "&amp;INDEX(TAHSILAT!$N$7:$N$2503,$T387)&amp;IF(INDEX(TAHSILAT!$J$7:$J$2503,$T387)="",""," – "&amp;INDEX(TAHSILAT!$J$7:$J$2503,$T387)))</f>
        <v/>
      </c>
      <c r="P387" s="1" t="str">
        <f t="shared" si="57"/>
        <v/>
      </c>
      <c r="Q387" s="1">
        <f>IF($N387="",0,INDEX(TAHSILAT!$F$7:$F$2503,$T387))</f>
        <v>0</v>
      </c>
      <c r="R387" s="1">
        <v>0</v>
      </c>
      <c r="S387" s="1">
        <f t="shared" si="64"/>
        <v>10000000000</v>
      </c>
      <c r="T387" s="1">
        <f>IFERROR(MATCH($C$36&amp;"|314",TAHSILAT!$U$7:$U$2503,0),0)</f>
        <v>0</v>
      </c>
      <c r="V387" s="1">
        <f t="shared" si="65"/>
        <v>10000000000</v>
      </c>
      <c r="W387" s="1">
        <f t="shared" si="66"/>
        <v>9</v>
      </c>
    </row>
    <row r="388" spans="2:23" ht="14.25" customHeight="1" x14ac:dyDescent="0.3">
      <c r="B388" s="65" t="str">
        <f t="shared" si="58"/>
        <v/>
      </c>
      <c r="C388" s="70" t="str">
        <f t="shared" si="59"/>
        <v/>
      </c>
      <c r="D388" s="74" t="str">
        <f t="shared" si="60"/>
        <v/>
      </c>
      <c r="F388" s="65" t="str">
        <f t="shared" si="61"/>
        <v/>
      </c>
      <c r="G388" s="68" t="str">
        <f t="shared" si="62"/>
        <v/>
      </c>
      <c r="H388" s="68" t="str">
        <f t="shared" si="63"/>
        <v/>
      </c>
      <c r="I388" s="68" t="str">
        <f t="shared" si="67"/>
        <v/>
      </c>
      <c r="M388" s="1">
        <v>351</v>
      </c>
      <c r="N388" s="1" t="str">
        <f>IF($T388=0,"",INDEX(TAHSILAT!$E$7:$E$2503,$T388))</f>
        <v/>
      </c>
      <c r="O388" s="1" t="str">
        <f>IF($N388="","",$C$36&amp;" – müşteriden tahsilat: "&amp;INDEX(TAHSILAT!$N$7:$N$2503,$T388)&amp;IF(INDEX(TAHSILAT!$J$7:$J$2503,$T388)="",""," – "&amp;INDEX(TAHSILAT!$J$7:$J$2503,$T388)))</f>
        <v/>
      </c>
      <c r="P388" s="1" t="str">
        <f t="shared" si="57"/>
        <v/>
      </c>
      <c r="Q388" s="1">
        <f>IF($N388="",0,INDEX(TAHSILAT!$F$7:$F$2503,$T388))</f>
        <v>0</v>
      </c>
      <c r="R388" s="1">
        <v>0</v>
      </c>
      <c r="S388" s="1">
        <f t="shared" si="64"/>
        <v>10000000000</v>
      </c>
      <c r="T388" s="1">
        <f>IFERROR(MATCH($C$36&amp;"|315",TAHSILAT!$U$7:$U$2503,0),0)</f>
        <v>0</v>
      </c>
      <c r="V388" s="1">
        <f t="shared" si="65"/>
        <v>10000000000</v>
      </c>
      <c r="W388" s="1">
        <f t="shared" si="66"/>
        <v>9</v>
      </c>
    </row>
    <row r="389" spans="2:23" ht="14.25" customHeight="1" x14ac:dyDescent="0.3">
      <c r="B389" s="65" t="str">
        <f t="shared" si="58"/>
        <v/>
      </c>
      <c r="C389" s="70" t="str">
        <f t="shared" si="59"/>
        <v/>
      </c>
      <c r="D389" s="74" t="str">
        <f t="shared" si="60"/>
        <v/>
      </c>
      <c r="F389" s="65" t="str">
        <f t="shared" si="61"/>
        <v/>
      </c>
      <c r="G389" s="68" t="str">
        <f t="shared" si="62"/>
        <v/>
      </c>
      <c r="H389" s="68" t="str">
        <f t="shared" si="63"/>
        <v/>
      </c>
      <c r="I389" s="68" t="str">
        <f t="shared" si="67"/>
        <v/>
      </c>
      <c r="M389" s="1">
        <v>352</v>
      </c>
      <c r="N389" s="1" t="str">
        <f>IF($T389=0,"",INDEX(TAHSILAT!$E$7:$E$2503,$T389))</f>
        <v/>
      </c>
      <c r="O389" s="1" t="str">
        <f>IF($N389="","",$C$36&amp;" – müşteriden tahsilat: "&amp;INDEX(TAHSILAT!$N$7:$N$2503,$T389)&amp;IF(INDEX(TAHSILAT!$J$7:$J$2503,$T389)="",""," – "&amp;INDEX(TAHSILAT!$J$7:$J$2503,$T389)))</f>
        <v/>
      </c>
      <c r="P389" s="1" t="str">
        <f t="shared" si="57"/>
        <v/>
      </c>
      <c r="Q389" s="1">
        <f>IF($N389="",0,INDEX(TAHSILAT!$F$7:$F$2503,$T389))</f>
        <v>0</v>
      </c>
      <c r="R389" s="1">
        <v>0</v>
      </c>
      <c r="S389" s="1">
        <f t="shared" si="64"/>
        <v>10000000000</v>
      </c>
      <c r="T389" s="1">
        <f>IFERROR(MATCH($C$36&amp;"|316",TAHSILAT!$U$7:$U$2503,0),0)</f>
        <v>0</v>
      </c>
      <c r="V389" s="1">
        <f t="shared" si="65"/>
        <v>10000000000</v>
      </c>
      <c r="W389" s="1">
        <f t="shared" si="66"/>
        <v>9</v>
      </c>
    </row>
    <row r="390" spans="2:23" ht="14.25" customHeight="1" x14ac:dyDescent="0.3">
      <c r="B390" s="65" t="str">
        <f t="shared" si="58"/>
        <v/>
      </c>
      <c r="C390" s="70" t="str">
        <f t="shared" si="59"/>
        <v/>
      </c>
      <c r="D390" s="74" t="str">
        <f t="shared" si="60"/>
        <v/>
      </c>
      <c r="F390" s="65" t="str">
        <f t="shared" si="61"/>
        <v/>
      </c>
      <c r="G390" s="68" t="str">
        <f t="shared" si="62"/>
        <v/>
      </c>
      <c r="H390" s="68" t="str">
        <f t="shared" si="63"/>
        <v/>
      </c>
      <c r="I390" s="68" t="str">
        <f t="shared" si="67"/>
        <v/>
      </c>
      <c r="M390" s="1">
        <v>353</v>
      </c>
      <c r="N390" s="1" t="str">
        <f>IF($T390=0,"",INDEX(TAHSILAT!$E$7:$E$2503,$T390))</f>
        <v/>
      </c>
      <c r="O390" s="1" t="str">
        <f>IF($N390="","",$C$36&amp;" – müşteriden tahsilat: "&amp;INDEX(TAHSILAT!$N$7:$N$2503,$T390)&amp;IF(INDEX(TAHSILAT!$J$7:$J$2503,$T390)="",""," – "&amp;INDEX(TAHSILAT!$J$7:$J$2503,$T390)))</f>
        <v/>
      </c>
      <c r="P390" s="1" t="str">
        <f t="shared" si="57"/>
        <v/>
      </c>
      <c r="Q390" s="1">
        <f>IF($N390="",0,INDEX(TAHSILAT!$F$7:$F$2503,$T390))</f>
        <v>0</v>
      </c>
      <c r="R390" s="1">
        <v>0</v>
      </c>
      <c r="S390" s="1">
        <f t="shared" si="64"/>
        <v>10000000000</v>
      </c>
      <c r="T390" s="1">
        <f>IFERROR(MATCH($C$36&amp;"|317",TAHSILAT!$U$7:$U$2503,0),0)</f>
        <v>0</v>
      </c>
      <c r="V390" s="1">
        <f t="shared" si="65"/>
        <v>10000000000</v>
      </c>
      <c r="W390" s="1">
        <f t="shared" si="66"/>
        <v>9</v>
      </c>
    </row>
    <row r="391" spans="2:23" ht="14.25" customHeight="1" x14ac:dyDescent="0.3">
      <c r="B391" s="65" t="str">
        <f t="shared" si="58"/>
        <v/>
      </c>
      <c r="C391" s="70" t="str">
        <f t="shared" si="59"/>
        <v/>
      </c>
      <c r="D391" s="74" t="str">
        <f t="shared" si="60"/>
        <v/>
      </c>
      <c r="F391" s="65" t="str">
        <f t="shared" si="61"/>
        <v/>
      </c>
      <c r="G391" s="68" t="str">
        <f t="shared" si="62"/>
        <v/>
      </c>
      <c r="H391" s="68" t="str">
        <f t="shared" si="63"/>
        <v/>
      </c>
      <c r="I391" s="68" t="str">
        <f t="shared" si="67"/>
        <v/>
      </c>
      <c r="M391" s="1">
        <v>354</v>
      </c>
      <c r="N391" s="1" t="str">
        <f>IF($T391=0,"",INDEX(TAHSILAT!$E$7:$E$2503,$T391))</f>
        <v/>
      </c>
      <c r="O391" s="1" t="str">
        <f>IF($N391="","",$C$36&amp;" – müşteriden tahsilat: "&amp;INDEX(TAHSILAT!$N$7:$N$2503,$T391)&amp;IF(INDEX(TAHSILAT!$J$7:$J$2503,$T391)="",""," – "&amp;INDEX(TAHSILAT!$J$7:$J$2503,$T391)))</f>
        <v/>
      </c>
      <c r="P391" s="1" t="str">
        <f t="shared" si="57"/>
        <v/>
      </c>
      <c r="Q391" s="1">
        <f>IF($N391="",0,INDEX(TAHSILAT!$F$7:$F$2503,$T391))</f>
        <v>0</v>
      </c>
      <c r="R391" s="1">
        <v>0</v>
      </c>
      <c r="S391" s="1">
        <f t="shared" si="64"/>
        <v>10000000000</v>
      </c>
      <c r="T391" s="1">
        <f>IFERROR(MATCH($C$36&amp;"|318",TAHSILAT!$U$7:$U$2503,0),0)</f>
        <v>0</v>
      </c>
      <c r="V391" s="1">
        <f t="shared" si="65"/>
        <v>10000000000</v>
      </c>
      <c r="W391" s="1">
        <f t="shared" si="66"/>
        <v>9</v>
      </c>
    </row>
    <row r="392" spans="2:23" ht="14.25" customHeight="1" x14ac:dyDescent="0.3">
      <c r="B392" s="65" t="str">
        <f t="shared" si="58"/>
        <v/>
      </c>
      <c r="C392" s="70" t="str">
        <f t="shared" si="59"/>
        <v/>
      </c>
      <c r="D392" s="74" t="str">
        <f t="shared" si="60"/>
        <v/>
      </c>
      <c r="F392" s="65" t="str">
        <f t="shared" si="61"/>
        <v/>
      </c>
      <c r="G392" s="68" t="str">
        <f t="shared" si="62"/>
        <v/>
      </c>
      <c r="H392" s="68" t="str">
        <f t="shared" si="63"/>
        <v/>
      </c>
      <c r="I392" s="68" t="str">
        <f t="shared" si="67"/>
        <v/>
      </c>
      <c r="M392" s="1">
        <v>355</v>
      </c>
      <c r="N392" s="1" t="str">
        <f>IF($T392=0,"",INDEX(TAHSILAT!$E$7:$E$2503,$T392))</f>
        <v/>
      </c>
      <c r="O392" s="1" t="str">
        <f>IF($N392="","",$C$36&amp;" – müşteriden tahsilat: "&amp;INDEX(TAHSILAT!$N$7:$N$2503,$T392)&amp;IF(INDEX(TAHSILAT!$J$7:$J$2503,$T392)="",""," – "&amp;INDEX(TAHSILAT!$J$7:$J$2503,$T392)))</f>
        <v/>
      </c>
      <c r="P392" s="1" t="str">
        <f t="shared" si="57"/>
        <v/>
      </c>
      <c r="Q392" s="1">
        <f>IF($N392="",0,INDEX(TAHSILAT!$F$7:$F$2503,$T392))</f>
        <v>0</v>
      </c>
      <c r="R392" s="1">
        <v>0</v>
      </c>
      <c r="S392" s="1">
        <f t="shared" si="64"/>
        <v>10000000000</v>
      </c>
      <c r="T392" s="1">
        <f>IFERROR(MATCH($C$36&amp;"|319",TAHSILAT!$U$7:$U$2503,0),0)</f>
        <v>0</v>
      </c>
      <c r="V392" s="1">
        <f t="shared" si="65"/>
        <v>10000000000</v>
      </c>
      <c r="W392" s="1">
        <f t="shared" si="66"/>
        <v>9</v>
      </c>
    </row>
    <row r="393" spans="2:23" ht="14.25" customHeight="1" x14ac:dyDescent="0.3">
      <c r="B393" s="65" t="str">
        <f t="shared" si="58"/>
        <v/>
      </c>
      <c r="C393" s="70" t="str">
        <f t="shared" si="59"/>
        <v/>
      </c>
      <c r="D393" s="74" t="str">
        <f t="shared" si="60"/>
        <v/>
      </c>
      <c r="F393" s="65" t="str">
        <f t="shared" si="61"/>
        <v/>
      </c>
      <c r="G393" s="68" t="str">
        <f t="shared" si="62"/>
        <v/>
      </c>
      <c r="H393" s="68" t="str">
        <f t="shared" si="63"/>
        <v/>
      </c>
      <c r="I393" s="68" t="str">
        <f t="shared" si="67"/>
        <v/>
      </c>
      <c r="M393" s="1">
        <v>356</v>
      </c>
      <c r="N393" s="1" t="str">
        <f>IF($T393=0,"",INDEX(TAHSILAT!$E$7:$E$2503,$T393))</f>
        <v/>
      </c>
      <c r="O393" s="1" t="str">
        <f>IF($N393="","",$C$36&amp;" – müşteriden tahsilat: "&amp;INDEX(TAHSILAT!$N$7:$N$2503,$T393)&amp;IF(INDEX(TAHSILAT!$J$7:$J$2503,$T393)="",""," – "&amp;INDEX(TAHSILAT!$J$7:$J$2503,$T393)))</f>
        <v/>
      </c>
      <c r="P393" s="1" t="str">
        <f t="shared" si="57"/>
        <v/>
      </c>
      <c r="Q393" s="1">
        <f>IF($N393="",0,INDEX(TAHSILAT!$F$7:$F$2503,$T393))</f>
        <v>0</v>
      </c>
      <c r="R393" s="1">
        <v>0</v>
      </c>
      <c r="S393" s="1">
        <f t="shared" si="64"/>
        <v>10000000000</v>
      </c>
      <c r="T393" s="1">
        <f>IFERROR(MATCH($C$36&amp;"|320",TAHSILAT!$U$7:$U$2503,0),0)</f>
        <v>0</v>
      </c>
      <c r="V393" s="1">
        <f t="shared" si="65"/>
        <v>10000000000</v>
      </c>
      <c r="W393" s="1">
        <f t="shared" si="66"/>
        <v>9</v>
      </c>
    </row>
    <row r="394" spans="2:23" ht="14.25" customHeight="1" x14ac:dyDescent="0.3">
      <c r="B394" s="65" t="str">
        <f t="shared" si="58"/>
        <v/>
      </c>
      <c r="C394" s="70" t="str">
        <f t="shared" si="59"/>
        <v/>
      </c>
      <c r="D394" s="74" t="str">
        <f t="shared" si="60"/>
        <v/>
      </c>
      <c r="F394" s="65" t="str">
        <f t="shared" si="61"/>
        <v/>
      </c>
      <c r="G394" s="68" t="str">
        <f t="shared" si="62"/>
        <v/>
      </c>
      <c r="H394" s="68" t="str">
        <f t="shared" si="63"/>
        <v/>
      </c>
      <c r="I394" s="68" t="str">
        <f t="shared" si="67"/>
        <v/>
      </c>
      <c r="M394" s="1">
        <v>357</v>
      </c>
      <c r="N394" s="1" t="str">
        <f>IF($T394=0,"",INDEX(TAHSILAT!$E$7:$E$2503,$T394))</f>
        <v/>
      </c>
      <c r="O394" s="1" t="str">
        <f>IF($N394="","",$C$36&amp;" – müşteriden tahsilat: "&amp;INDEX(TAHSILAT!$N$7:$N$2503,$T394)&amp;IF(INDEX(TAHSILAT!$J$7:$J$2503,$T394)="",""," – "&amp;INDEX(TAHSILAT!$J$7:$J$2503,$T394)))</f>
        <v/>
      </c>
      <c r="P394" s="1" t="str">
        <f t="shared" ref="P394:P457" si="68">IF($N394="","","MÜŞTERİDEN ALDI")</f>
        <v/>
      </c>
      <c r="Q394" s="1">
        <f>IF($N394="",0,INDEX(TAHSILAT!$F$7:$F$2503,$T394))</f>
        <v>0</v>
      </c>
      <c r="R394" s="1">
        <v>0</v>
      </c>
      <c r="S394" s="1">
        <f t="shared" si="64"/>
        <v>10000000000</v>
      </c>
      <c r="T394" s="1">
        <f>IFERROR(MATCH($C$36&amp;"|321",TAHSILAT!$U$7:$U$2503,0),0)</f>
        <v>0</v>
      </c>
      <c r="V394" s="1">
        <f t="shared" si="65"/>
        <v>10000000000</v>
      </c>
      <c r="W394" s="1">
        <f t="shared" si="66"/>
        <v>9</v>
      </c>
    </row>
    <row r="395" spans="2:23" ht="14.25" customHeight="1" x14ac:dyDescent="0.3">
      <c r="B395" s="65" t="str">
        <f t="shared" si="58"/>
        <v/>
      </c>
      <c r="C395" s="70" t="str">
        <f t="shared" si="59"/>
        <v/>
      </c>
      <c r="D395" s="74" t="str">
        <f t="shared" si="60"/>
        <v/>
      </c>
      <c r="F395" s="65" t="str">
        <f t="shared" si="61"/>
        <v/>
      </c>
      <c r="G395" s="68" t="str">
        <f t="shared" si="62"/>
        <v/>
      </c>
      <c r="H395" s="68" t="str">
        <f t="shared" si="63"/>
        <v/>
      </c>
      <c r="I395" s="68" t="str">
        <f t="shared" si="67"/>
        <v/>
      </c>
      <c r="M395" s="1">
        <v>358</v>
      </c>
      <c r="N395" s="1" t="str">
        <f>IF($T395=0,"",INDEX(TAHSILAT!$E$7:$E$2503,$T395))</f>
        <v/>
      </c>
      <c r="O395" s="1" t="str">
        <f>IF($N395="","",$C$36&amp;" – müşteriden tahsilat: "&amp;INDEX(TAHSILAT!$N$7:$N$2503,$T395)&amp;IF(INDEX(TAHSILAT!$J$7:$J$2503,$T395)="",""," – "&amp;INDEX(TAHSILAT!$J$7:$J$2503,$T395)))</f>
        <v/>
      </c>
      <c r="P395" s="1" t="str">
        <f t="shared" si="68"/>
        <v/>
      </c>
      <c r="Q395" s="1">
        <f>IF($N395="",0,INDEX(TAHSILAT!$F$7:$F$2503,$T395))</f>
        <v>0</v>
      </c>
      <c r="R395" s="1">
        <v>0</v>
      </c>
      <c r="S395" s="1">
        <f t="shared" si="64"/>
        <v>10000000000</v>
      </c>
      <c r="T395" s="1">
        <f>IFERROR(MATCH($C$36&amp;"|322",TAHSILAT!$U$7:$U$2503,0),0)</f>
        <v>0</v>
      </c>
      <c r="V395" s="1">
        <f t="shared" si="65"/>
        <v>10000000000</v>
      </c>
      <c r="W395" s="1">
        <f t="shared" si="66"/>
        <v>9</v>
      </c>
    </row>
    <row r="396" spans="2:23" ht="14.25" customHeight="1" x14ac:dyDescent="0.3">
      <c r="B396" s="65" t="str">
        <f t="shared" si="58"/>
        <v/>
      </c>
      <c r="C396" s="70" t="str">
        <f t="shared" si="59"/>
        <v/>
      </c>
      <c r="D396" s="74" t="str">
        <f t="shared" si="60"/>
        <v/>
      </c>
      <c r="F396" s="65" t="str">
        <f t="shared" si="61"/>
        <v/>
      </c>
      <c r="G396" s="68" t="str">
        <f t="shared" si="62"/>
        <v/>
      </c>
      <c r="H396" s="68" t="str">
        <f t="shared" si="63"/>
        <v/>
      </c>
      <c r="I396" s="68" t="str">
        <f t="shared" si="67"/>
        <v/>
      </c>
      <c r="M396" s="1">
        <v>359</v>
      </c>
      <c r="N396" s="1" t="str">
        <f>IF($T396=0,"",INDEX(TAHSILAT!$E$7:$E$2503,$T396))</f>
        <v/>
      </c>
      <c r="O396" s="1" t="str">
        <f>IF($N396="","",$C$36&amp;" – müşteriden tahsilat: "&amp;INDEX(TAHSILAT!$N$7:$N$2503,$T396)&amp;IF(INDEX(TAHSILAT!$J$7:$J$2503,$T396)="",""," – "&amp;INDEX(TAHSILAT!$J$7:$J$2503,$T396)))</f>
        <v/>
      </c>
      <c r="P396" s="1" t="str">
        <f t="shared" si="68"/>
        <v/>
      </c>
      <c r="Q396" s="1">
        <f>IF($N396="",0,INDEX(TAHSILAT!$F$7:$F$2503,$T396))</f>
        <v>0</v>
      </c>
      <c r="R396" s="1">
        <v>0</v>
      </c>
      <c r="S396" s="1">
        <f t="shared" si="64"/>
        <v>10000000000</v>
      </c>
      <c r="T396" s="1">
        <f>IFERROR(MATCH($C$36&amp;"|323",TAHSILAT!$U$7:$U$2503,0),0)</f>
        <v>0</v>
      </c>
      <c r="V396" s="1">
        <f t="shared" si="65"/>
        <v>10000000000</v>
      </c>
      <c r="W396" s="1">
        <f t="shared" si="66"/>
        <v>9</v>
      </c>
    </row>
    <row r="397" spans="2:23" ht="14.25" customHeight="1" x14ac:dyDescent="0.3">
      <c r="B397" s="65" t="str">
        <f t="shared" si="58"/>
        <v/>
      </c>
      <c r="C397" s="70" t="str">
        <f t="shared" si="59"/>
        <v/>
      </c>
      <c r="D397" s="74" t="str">
        <f t="shared" si="60"/>
        <v/>
      </c>
      <c r="F397" s="65" t="str">
        <f t="shared" si="61"/>
        <v/>
      </c>
      <c r="G397" s="68" t="str">
        <f t="shared" si="62"/>
        <v/>
      </c>
      <c r="H397" s="68" t="str">
        <f t="shared" si="63"/>
        <v/>
      </c>
      <c r="I397" s="68" t="str">
        <f t="shared" si="67"/>
        <v/>
      </c>
      <c r="M397" s="1">
        <v>360</v>
      </c>
      <c r="N397" s="1" t="str">
        <f>IF($T397=0,"",INDEX(TAHSILAT!$E$7:$E$2503,$T397))</f>
        <v/>
      </c>
      <c r="O397" s="1" t="str">
        <f>IF($N397="","",$C$36&amp;" – müşteriden tahsilat: "&amp;INDEX(TAHSILAT!$N$7:$N$2503,$T397)&amp;IF(INDEX(TAHSILAT!$J$7:$J$2503,$T397)="",""," – "&amp;INDEX(TAHSILAT!$J$7:$J$2503,$T397)))</f>
        <v/>
      </c>
      <c r="P397" s="1" t="str">
        <f t="shared" si="68"/>
        <v/>
      </c>
      <c r="Q397" s="1">
        <f>IF($N397="",0,INDEX(TAHSILAT!$F$7:$F$2503,$T397))</f>
        <v>0</v>
      </c>
      <c r="R397" s="1">
        <v>0</v>
      </c>
      <c r="S397" s="1">
        <f t="shared" si="64"/>
        <v>10000000000</v>
      </c>
      <c r="T397" s="1">
        <f>IFERROR(MATCH($C$36&amp;"|324",TAHSILAT!$U$7:$U$2503,0),0)</f>
        <v>0</v>
      </c>
      <c r="V397" s="1">
        <f t="shared" si="65"/>
        <v>10000000000</v>
      </c>
      <c r="W397" s="1">
        <f t="shared" si="66"/>
        <v>9</v>
      </c>
    </row>
    <row r="398" spans="2:23" ht="14.25" customHeight="1" x14ac:dyDescent="0.3">
      <c r="B398" s="65" t="str">
        <f t="shared" si="58"/>
        <v/>
      </c>
      <c r="C398" s="70" t="str">
        <f t="shared" si="59"/>
        <v/>
      </c>
      <c r="D398" s="74" t="str">
        <f t="shared" si="60"/>
        <v/>
      </c>
      <c r="F398" s="65" t="str">
        <f t="shared" si="61"/>
        <v/>
      </c>
      <c r="G398" s="68" t="str">
        <f t="shared" si="62"/>
        <v/>
      </c>
      <c r="H398" s="68" t="str">
        <f t="shared" si="63"/>
        <v/>
      </c>
      <c r="I398" s="68" t="str">
        <f t="shared" si="67"/>
        <v/>
      </c>
      <c r="M398" s="1">
        <v>361</v>
      </c>
      <c r="N398" s="1" t="str">
        <f>IF($T398=0,"",INDEX(TAHSILAT!$E$7:$E$2503,$T398))</f>
        <v/>
      </c>
      <c r="O398" s="1" t="str">
        <f>IF($N398="","",$C$36&amp;" – müşteriden tahsilat: "&amp;INDEX(TAHSILAT!$N$7:$N$2503,$T398)&amp;IF(INDEX(TAHSILAT!$J$7:$J$2503,$T398)="",""," – "&amp;INDEX(TAHSILAT!$J$7:$J$2503,$T398)))</f>
        <v/>
      </c>
      <c r="P398" s="1" t="str">
        <f t="shared" si="68"/>
        <v/>
      </c>
      <c r="Q398" s="1">
        <f>IF($N398="",0,INDEX(TAHSILAT!$F$7:$F$2503,$T398))</f>
        <v>0</v>
      </c>
      <c r="R398" s="1">
        <v>0</v>
      </c>
      <c r="S398" s="1">
        <f t="shared" si="64"/>
        <v>10000000000</v>
      </c>
      <c r="T398" s="1">
        <f>IFERROR(MATCH($C$36&amp;"|325",TAHSILAT!$U$7:$U$2503,0),0)</f>
        <v>0</v>
      </c>
      <c r="V398" s="1">
        <f t="shared" si="65"/>
        <v>10000000000</v>
      </c>
      <c r="W398" s="1">
        <f t="shared" si="66"/>
        <v>9</v>
      </c>
    </row>
    <row r="399" spans="2:23" ht="14.25" customHeight="1" x14ac:dyDescent="0.3">
      <c r="B399" s="65" t="str">
        <f t="shared" si="58"/>
        <v/>
      </c>
      <c r="C399" s="70" t="str">
        <f t="shared" si="59"/>
        <v/>
      </c>
      <c r="D399" s="74" t="str">
        <f t="shared" si="60"/>
        <v/>
      </c>
      <c r="F399" s="65" t="str">
        <f t="shared" si="61"/>
        <v/>
      </c>
      <c r="G399" s="68" t="str">
        <f t="shared" si="62"/>
        <v/>
      </c>
      <c r="H399" s="68" t="str">
        <f t="shared" si="63"/>
        <v/>
      </c>
      <c r="I399" s="68" t="str">
        <f t="shared" si="67"/>
        <v/>
      </c>
      <c r="M399" s="1">
        <v>362</v>
      </c>
      <c r="N399" s="1" t="str">
        <f>IF($T399=0,"",INDEX(TAHSILAT!$E$7:$E$2503,$T399))</f>
        <v/>
      </c>
      <c r="O399" s="1" t="str">
        <f>IF($N399="","",$C$36&amp;" – müşteriden tahsilat: "&amp;INDEX(TAHSILAT!$N$7:$N$2503,$T399)&amp;IF(INDEX(TAHSILAT!$J$7:$J$2503,$T399)="",""," – "&amp;INDEX(TAHSILAT!$J$7:$J$2503,$T399)))</f>
        <v/>
      </c>
      <c r="P399" s="1" t="str">
        <f t="shared" si="68"/>
        <v/>
      </c>
      <c r="Q399" s="1">
        <f>IF($N399="",0,INDEX(TAHSILAT!$F$7:$F$2503,$T399))</f>
        <v>0</v>
      </c>
      <c r="R399" s="1">
        <v>0</v>
      </c>
      <c r="S399" s="1">
        <f t="shared" si="64"/>
        <v>10000000000</v>
      </c>
      <c r="T399" s="1">
        <f>IFERROR(MATCH($C$36&amp;"|326",TAHSILAT!$U$7:$U$2503,0),0)</f>
        <v>0</v>
      </c>
      <c r="V399" s="1">
        <f t="shared" si="65"/>
        <v>10000000000</v>
      </c>
      <c r="W399" s="1">
        <f t="shared" si="66"/>
        <v>9</v>
      </c>
    </row>
    <row r="400" spans="2:23" ht="14.25" customHeight="1" x14ac:dyDescent="0.3">
      <c r="B400" s="65" t="str">
        <f t="shared" si="58"/>
        <v/>
      </c>
      <c r="C400" s="70" t="str">
        <f t="shared" si="59"/>
        <v/>
      </c>
      <c r="D400" s="74" t="str">
        <f t="shared" si="60"/>
        <v/>
      </c>
      <c r="F400" s="65" t="str">
        <f t="shared" si="61"/>
        <v/>
      </c>
      <c r="G400" s="68" t="str">
        <f t="shared" si="62"/>
        <v/>
      </c>
      <c r="H400" s="68" t="str">
        <f t="shared" si="63"/>
        <v/>
      </c>
      <c r="I400" s="68" t="str">
        <f t="shared" si="67"/>
        <v/>
      </c>
      <c r="M400" s="1">
        <v>363</v>
      </c>
      <c r="N400" s="1" t="str">
        <f>IF($T400=0,"",INDEX(TAHSILAT!$E$7:$E$2503,$T400))</f>
        <v/>
      </c>
      <c r="O400" s="1" t="str">
        <f>IF($N400="","",$C$36&amp;" – müşteriden tahsilat: "&amp;INDEX(TAHSILAT!$N$7:$N$2503,$T400)&amp;IF(INDEX(TAHSILAT!$J$7:$J$2503,$T400)="",""," – "&amp;INDEX(TAHSILAT!$J$7:$J$2503,$T400)))</f>
        <v/>
      </c>
      <c r="P400" s="1" t="str">
        <f t="shared" si="68"/>
        <v/>
      </c>
      <c r="Q400" s="1">
        <f>IF($N400="",0,INDEX(TAHSILAT!$F$7:$F$2503,$T400))</f>
        <v>0</v>
      </c>
      <c r="R400" s="1">
        <v>0</v>
      </c>
      <c r="S400" s="1">
        <f t="shared" si="64"/>
        <v>10000000000</v>
      </c>
      <c r="T400" s="1">
        <f>IFERROR(MATCH($C$36&amp;"|327",TAHSILAT!$U$7:$U$2503,0),0)</f>
        <v>0</v>
      </c>
      <c r="V400" s="1">
        <f t="shared" si="65"/>
        <v>10000000000</v>
      </c>
      <c r="W400" s="1">
        <f t="shared" si="66"/>
        <v>9</v>
      </c>
    </row>
    <row r="401" spans="2:23" ht="14.25" customHeight="1" x14ac:dyDescent="0.3">
      <c r="B401" s="65" t="str">
        <f t="shared" si="58"/>
        <v/>
      </c>
      <c r="C401" s="70" t="str">
        <f t="shared" si="59"/>
        <v/>
      </c>
      <c r="D401" s="74" t="str">
        <f t="shared" si="60"/>
        <v/>
      </c>
      <c r="F401" s="65" t="str">
        <f t="shared" si="61"/>
        <v/>
      </c>
      <c r="G401" s="68" t="str">
        <f t="shared" si="62"/>
        <v/>
      </c>
      <c r="H401" s="68" t="str">
        <f t="shared" si="63"/>
        <v/>
      </c>
      <c r="I401" s="68" t="str">
        <f t="shared" si="67"/>
        <v/>
      </c>
      <c r="M401" s="1">
        <v>364</v>
      </c>
      <c r="N401" s="1" t="str">
        <f>IF($T401=0,"",INDEX(TAHSILAT!$E$7:$E$2503,$T401))</f>
        <v/>
      </c>
      <c r="O401" s="1" t="str">
        <f>IF($N401="","",$C$36&amp;" – müşteriden tahsilat: "&amp;INDEX(TAHSILAT!$N$7:$N$2503,$T401)&amp;IF(INDEX(TAHSILAT!$J$7:$J$2503,$T401)="",""," – "&amp;INDEX(TAHSILAT!$J$7:$J$2503,$T401)))</f>
        <v/>
      </c>
      <c r="P401" s="1" t="str">
        <f t="shared" si="68"/>
        <v/>
      </c>
      <c r="Q401" s="1">
        <f>IF($N401="",0,INDEX(TAHSILAT!$F$7:$F$2503,$T401))</f>
        <v>0</v>
      </c>
      <c r="R401" s="1">
        <v>0</v>
      </c>
      <c r="S401" s="1">
        <f t="shared" si="64"/>
        <v>10000000000</v>
      </c>
      <c r="T401" s="1">
        <f>IFERROR(MATCH($C$36&amp;"|328",TAHSILAT!$U$7:$U$2503,0),0)</f>
        <v>0</v>
      </c>
      <c r="V401" s="1">
        <f t="shared" si="65"/>
        <v>10000000000</v>
      </c>
      <c r="W401" s="1">
        <f t="shared" si="66"/>
        <v>9</v>
      </c>
    </row>
    <row r="402" spans="2:23" ht="14.25" customHeight="1" x14ac:dyDescent="0.3">
      <c r="B402" s="65" t="str">
        <f t="shared" si="58"/>
        <v/>
      </c>
      <c r="C402" s="70" t="str">
        <f t="shared" si="59"/>
        <v/>
      </c>
      <c r="D402" s="74" t="str">
        <f t="shared" si="60"/>
        <v/>
      </c>
      <c r="F402" s="65" t="str">
        <f t="shared" si="61"/>
        <v/>
      </c>
      <c r="G402" s="68" t="str">
        <f t="shared" si="62"/>
        <v/>
      </c>
      <c r="H402" s="68" t="str">
        <f t="shared" si="63"/>
        <v/>
      </c>
      <c r="I402" s="68" t="str">
        <f t="shared" si="67"/>
        <v/>
      </c>
      <c r="M402" s="1">
        <v>365</v>
      </c>
      <c r="N402" s="1" t="str">
        <f>IF($T402=0,"",INDEX(TAHSILAT!$E$7:$E$2503,$T402))</f>
        <v/>
      </c>
      <c r="O402" s="1" t="str">
        <f>IF($N402="","",$C$36&amp;" – müşteriden tahsilat: "&amp;INDEX(TAHSILAT!$N$7:$N$2503,$T402)&amp;IF(INDEX(TAHSILAT!$J$7:$J$2503,$T402)="",""," – "&amp;INDEX(TAHSILAT!$J$7:$J$2503,$T402)))</f>
        <v/>
      </c>
      <c r="P402" s="1" t="str">
        <f t="shared" si="68"/>
        <v/>
      </c>
      <c r="Q402" s="1">
        <f>IF($N402="",0,INDEX(TAHSILAT!$F$7:$F$2503,$T402))</f>
        <v>0</v>
      </c>
      <c r="R402" s="1">
        <v>0</v>
      </c>
      <c r="S402" s="1">
        <f t="shared" si="64"/>
        <v>10000000000</v>
      </c>
      <c r="T402" s="1">
        <f>IFERROR(MATCH($C$36&amp;"|329",TAHSILAT!$U$7:$U$2503,0),0)</f>
        <v>0</v>
      </c>
      <c r="V402" s="1">
        <f t="shared" si="65"/>
        <v>10000000000</v>
      </c>
      <c r="W402" s="1">
        <f t="shared" si="66"/>
        <v>9</v>
      </c>
    </row>
    <row r="403" spans="2:23" ht="14.25" customHeight="1" x14ac:dyDescent="0.3">
      <c r="B403" s="65" t="str">
        <f t="shared" si="58"/>
        <v/>
      </c>
      <c r="C403" s="70" t="str">
        <f t="shared" si="59"/>
        <v/>
      </c>
      <c r="D403" s="74" t="str">
        <f t="shared" si="60"/>
        <v/>
      </c>
      <c r="F403" s="65" t="str">
        <f t="shared" si="61"/>
        <v/>
      </c>
      <c r="G403" s="68" t="str">
        <f t="shared" si="62"/>
        <v/>
      </c>
      <c r="H403" s="68" t="str">
        <f t="shared" si="63"/>
        <v/>
      </c>
      <c r="I403" s="68" t="str">
        <f t="shared" si="67"/>
        <v/>
      </c>
      <c r="M403" s="1">
        <v>366</v>
      </c>
      <c r="N403" s="1" t="str">
        <f>IF($T403=0,"",INDEX(TAHSILAT!$E$7:$E$2503,$T403))</f>
        <v/>
      </c>
      <c r="O403" s="1" t="str">
        <f>IF($N403="","",$C$36&amp;" – müşteriden tahsilat: "&amp;INDEX(TAHSILAT!$N$7:$N$2503,$T403)&amp;IF(INDEX(TAHSILAT!$J$7:$J$2503,$T403)="",""," – "&amp;INDEX(TAHSILAT!$J$7:$J$2503,$T403)))</f>
        <v/>
      </c>
      <c r="P403" s="1" t="str">
        <f t="shared" si="68"/>
        <v/>
      </c>
      <c r="Q403" s="1">
        <f>IF($N403="",0,INDEX(TAHSILAT!$F$7:$F$2503,$T403))</f>
        <v>0</v>
      </c>
      <c r="R403" s="1">
        <v>0</v>
      </c>
      <c r="S403" s="1">
        <f t="shared" si="64"/>
        <v>10000000000</v>
      </c>
      <c r="T403" s="1">
        <f>IFERROR(MATCH($C$36&amp;"|330",TAHSILAT!$U$7:$U$2503,0),0)</f>
        <v>0</v>
      </c>
      <c r="V403" s="1">
        <f t="shared" si="65"/>
        <v>10000000000</v>
      </c>
      <c r="W403" s="1">
        <f t="shared" si="66"/>
        <v>9</v>
      </c>
    </row>
    <row r="404" spans="2:23" ht="14.25" customHeight="1" x14ac:dyDescent="0.3">
      <c r="B404" s="65" t="str">
        <f t="shared" si="58"/>
        <v/>
      </c>
      <c r="C404" s="70" t="str">
        <f t="shared" si="59"/>
        <v/>
      </c>
      <c r="D404" s="74" t="str">
        <f t="shared" si="60"/>
        <v/>
      </c>
      <c r="F404" s="65" t="str">
        <f t="shared" si="61"/>
        <v/>
      </c>
      <c r="G404" s="68" t="str">
        <f t="shared" si="62"/>
        <v/>
      </c>
      <c r="H404" s="68" t="str">
        <f t="shared" si="63"/>
        <v/>
      </c>
      <c r="I404" s="68" t="str">
        <f t="shared" si="67"/>
        <v/>
      </c>
      <c r="M404" s="1">
        <v>367</v>
      </c>
      <c r="N404" s="1" t="str">
        <f>IF($T404=0,"",INDEX(TAHSILAT!$E$7:$E$2503,$T404))</f>
        <v/>
      </c>
      <c r="O404" s="1" t="str">
        <f>IF($N404="","",$C$36&amp;" – müşteriden tahsilat: "&amp;INDEX(TAHSILAT!$N$7:$N$2503,$T404)&amp;IF(INDEX(TAHSILAT!$J$7:$J$2503,$T404)="",""," – "&amp;INDEX(TAHSILAT!$J$7:$J$2503,$T404)))</f>
        <v/>
      </c>
      <c r="P404" s="1" t="str">
        <f t="shared" si="68"/>
        <v/>
      </c>
      <c r="Q404" s="1">
        <f>IF($N404="",0,INDEX(TAHSILAT!$F$7:$F$2503,$T404))</f>
        <v>0</v>
      </c>
      <c r="R404" s="1">
        <v>0</v>
      </c>
      <c r="S404" s="1">
        <f t="shared" si="64"/>
        <v>10000000000</v>
      </c>
      <c r="T404" s="1">
        <f>IFERROR(MATCH($C$36&amp;"|331",TAHSILAT!$U$7:$U$2503,0),0)</f>
        <v>0</v>
      </c>
      <c r="V404" s="1">
        <f t="shared" si="65"/>
        <v>10000000000</v>
      </c>
      <c r="W404" s="1">
        <f t="shared" si="66"/>
        <v>9</v>
      </c>
    </row>
    <row r="405" spans="2:23" ht="14.25" customHeight="1" x14ac:dyDescent="0.3">
      <c r="B405" s="65" t="str">
        <f t="shared" si="58"/>
        <v/>
      </c>
      <c r="C405" s="70" t="str">
        <f t="shared" si="59"/>
        <v/>
      </c>
      <c r="D405" s="74" t="str">
        <f t="shared" si="60"/>
        <v/>
      </c>
      <c r="F405" s="65" t="str">
        <f t="shared" si="61"/>
        <v/>
      </c>
      <c r="G405" s="68" t="str">
        <f t="shared" si="62"/>
        <v/>
      </c>
      <c r="H405" s="68" t="str">
        <f t="shared" si="63"/>
        <v/>
      </c>
      <c r="I405" s="68" t="str">
        <f t="shared" si="67"/>
        <v/>
      </c>
      <c r="M405" s="1">
        <v>368</v>
      </c>
      <c r="N405" s="1" t="str">
        <f>IF($T405=0,"",INDEX(TAHSILAT!$E$7:$E$2503,$T405))</f>
        <v/>
      </c>
      <c r="O405" s="1" t="str">
        <f>IF($N405="","",$C$36&amp;" – müşteriden tahsilat: "&amp;INDEX(TAHSILAT!$N$7:$N$2503,$T405)&amp;IF(INDEX(TAHSILAT!$J$7:$J$2503,$T405)="",""," – "&amp;INDEX(TAHSILAT!$J$7:$J$2503,$T405)))</f>
        <v/>
      </c>
      <c r="P405" s="1" t="str">
        <f t="shared" si="68"/>
        <v/>
      </c>
      <c r="Q405" s="1">
        <f>IF($N405="",0,INDEX(TAHSILAT!$F$7:$F$2503,$T405))</f>
        <v>0</v>
      </c>
      <c r="R405" s="1">
        <v>0</v>
      </c>
      <c r="S405" s="1">
        <f t="shared" si="64"/>
        <v>10000000000</v>
      </c>
      <c r="T405" s="1">
        <f>IFERROR(MATCH($C$36&amp;"|332",TAHSILAT!$U$7:$U$2503,0),0)</f>
        <v>0</v>
      </c>
      <c r="V405" s="1">
        <f t="shared" si="65"/>
        <v>10000000000</v>
      </c>
      <c r="W405" s="1">
        <f t="shared" si="66"/>
        <v>9</v>
      </c>
    </row>
    <row r="406" spans="2:23" ht="14.25" customHeight="1" x14ac:dyDescent="0.3">
      <c r="B406" s="65" t="str">
        <f t="shared" si="58"/>
        <v/>
      </c>
      <c r="C406" s="70" t="str">
        <f t="shared" si="59"/>
        <v/>
      </c>
      <c r="D406" s="74" t="str">
        <f t="shared" si="60"/>
        <v/>
      </c>
      <c r="F406" s="65" t="str">
        <f t="shared" si="61"/>
        <v/>
      </c>
      <c r="G406" s="68" t="str">
        <f t="shared" si="62"/>
        <v/>
      </c>
      <c r="H406" s="68" t="str">
        <f t="shared" si="63"/>
        <v/>
      </c>
      <c r="I406" s="68" t="str">
        <f t="shared" si="67"/>
        <v/>
      </c>
      <c r="M406" s="1">
        <v>369</v>
      </c>
      <c r="N406" s="1" t="str">
        <f>IF($T406=0,"",INDEX(TAHSILAT!$E$7:$E$2503,$T406))</f>
        <v/>
      </c>
      <c r="O406" s="1" t="str">
        <f>IF($N406="","",$C$36&amp;" – müşteriden tahsilat: "&amp;INDEX(TAHSILAT!$N$7:$N$2503,$T406)&amp;IF(INDEX(TAHSILAT!$J$7:$J$2503,$T406)="",""," – "&amp;INDEX(TAHSILAT!$J$7:$J$2503,$T406)))</f>
        <v/>
      </c>
      <c r="P406" s="1" t="str">
        <f t="shared" si="68"/>
        <v/>
      </c>
      <c r="Q406" s="1">
        <f>IF($N406="",0,INDEX(TAHSILAT!$F$7:$F$2503,$T406))</f>
        <v>0</v>
      </c>
      <c r="R406" s="1">
        <v>0</v>
      </c>
      <c r="S406" s="1">
        <f t="shared" si="64"/>
        <v>10000000000</v>
      </c>
      <c r="T406" s="1">
        <f>IFERROR(MATCH($C$36&amp;"|333",TAHSILAT!$U$7:$U$2503,0),0)</f>
        <v>0</v>
      </c>
      <c r="V406" s="1">
        <f t="shared" si="65"/>
        <v>10000000000</v>
      </c>
      <c r="W406" s="1">
        <f t="shared" si="66"/>
        <v>9</v>
      </c>
    </row>
    <row r="407" spans="2:23" ht="14.25" customHeight="1" x14ac:dyDescent="0.3">
      <c r="B407" s="65" t="str">
        <f t="shared" si="58"/>
        <v/>
      </c>
      <c r="C407" s="70" t="str">
        <f t="shared" si="59"/>
        <v/>
      </c>
      <c r="D407" s="74" t="str">
        <f t="shared" si="60"/>
        <v/>
      </c>
      <c r="F407" s="65" t="str">
        <f t="shared" si="61"/>
        <v/>
      </c>
      <c r="G407" s="68" t="str">
        <f t="shared" si="62"/>
        <v/>
      </c>
      <c r="H407" s="68" t="str">
        <f t="shared" si="63"/>
        <v/>
      </c>
      <c r="I407" s="68" t="str">
        <f t="shared" si="67"/>
        <v/>
      </c>
      <c r="M407" s="1">
        <v>370</v>
      </c>
      <c r="N407" s="1" t="str">
        <f>IF($T407=0,"",INDEX(TAHSILAT!$E$7:$E$2503,$T407))</f>
        <v/>
      </c>
      <c r="O407" s="1" t="str">
        <f>IF($N407="","",$C$36&amp;" – müşteriden tahsilat: "&amp;INDEX(TAHSILAT!$N$7:$N$2503,$T407)&amp;IF(INDEX(TAHSILAT!$J$7:$J$2503,$T407)="",""," – "&amp;INDEX(TAHSILAT!$J$7:$J$2503,$T407)))</f>
        <v/>
      </c>
      <c r="P407" s="1" t="str">
        <f t="shared" si="68"/>
        <v/>
      </c>
      <c r="Q407" s="1">
        <f>IF($N407="",0,INDEX(TAHSILAT!$F$7:$F$2503,$T407))</f>
        <v>0</v>
      </c>
      <c r="R407" s="1">
        <v>0</v>
      </c>
      <c r="S407" s="1">
        <f t="shared" si="64"/>
        <v>10000000000</v>
      </c>
      <c r="T407" s="1">
        <f>IFERROR(MATCH($C$36&amp;"|334",TAHSILAT!$U$7:$U$2503,0),0)</f>
        <v>0</v>
      </c>
      <c r="V407" s="1">
        <f t="shared" si="65"/>
        <v>10000000000</v>
      </c>
      <c r="W407" s="1">
        <f t="shared" si="66"/>
        <v>9</v>
      </c>
    </row>
    <row r="408" spans="2:23" ht="14.25" customHeight="1" x14ac:dyDescent="0.3">
      <c r="B408" s="65" t="str">
        <f t="shared" si="58"/>
        <v/>
      </c>
      <c r="C408" s="70" t="str">
        <f t="shared" si="59"/>
        <v/>
      </c>
      <c r="D408" s="74" t="str">
        <f t="shared" si="60"/>
        <v/>
      </c>
      <c r="F408" s="65" t="str">
        <f t="shared" si="61"/>
        <v/>
      </c>
      <c r="G408" s="68" t="str">
        <f t="shared" si="62"/>
        <v/>
      </c>
      <c r="H408" s="68" t="str">
        <f t="shared" si="63"/>
        <v/>
      </c>
      <c r="I408" s="68" t="str">
        <f t="shared" si="67"/>
        <v/>
      </c>
      <c r="M408" s="1">
        <v>371</v>
      </c>
      <c r="N408" s="1" t="str">
        <f>IF($T408=0,"",INDEX(TAHSILAT!$E$7:$E$2503,$T408))</f>
        <v/>
      </c>
      <c r="O408" s="1" t="str">
        <f>IF($N408="","",$C$36&amp;" – müşteriden tahsilat: "&amp;INDEX(TAHSILAT!$N$7:$N$2503,$T408)&amp;IF(INDEX(TAHSILAT!$J$7:$J$2503,$T408)="",""," – "&amp;INDEX(TAHSILAT!$J$7:$J$2503,$T408)))</f>
        <v/>
      </c>
      <c r="P408" s="1" t="str">
        <f t="shared" si="68"/>
        <v/>
      </c>
      <c r="Q408" s="1">
        <f>IF($N408="",0,INDEX(TAHSILAT!$F$7:$F$2503,$T408))</f>
        <v>0</v>
      </c>
      <c r="R408" s="1">
        <v>0</v>
      </c>
      <c r="S408" s="1">
        <f t="shared" si="64"/>
        <v>10000000000</v>
      </c>
      <c r="T408" s="1">
        <f>IFERROR(MATCH($C$36&amp;"|335",TAHSILAT!$U$7:$U$2503,0),0)</f>
        <v>0</v>
      </c>
      <c r="V408" s="1">
        <f t="shared" si="65"/>
        <v>10000000000</v>
      </c>
      <c r="W408" s="1">
        <f t="shared" si="66"/>
        <v>9</v>
      </c>
    </row>
    <row r="409" spans="2:23" ht="14.25" customHeight="1" x14ac:dyDescent="0.3">
      <c r="B409" s="65" t="str">
        <f t="shared" si="58"/>
        <v/>
      </c>
      <c r="C409" s="70" t="str">
        <f t="shared" si="59"/>
        <v/>
      </c>
      <c r="D409" s="74" t="str">
        <f t="shared" si="60"/>
        <v/>
      </c>
      <c r="F409" s="65" t="str">
        <f t="shared" si="61"/>
        <v/>
      </c>
      <c r="G409" s="68" t="str">
        <f t="shared" si="62"/>
        <v/>
      </c>
      <c r="H409" s="68" t="str">
        <f t="shared" si="63"/>
        <v/>
      </c>
      <c r="I409" s="68" t="str">
        <f t="shared" si="67"/>
        <v/>
      </c>
      <c r="M409" s="1">
        <v>372</v>
      </c>
      <c r="N409" s="1" t="str">
        <f>IF($T409=0,"",INDEX(TAHSILAT!$E$7:$E$2503,$T409))</f>
        <v/>
      </c>
      <c r="O409" s="1" t="str">
        <f>IF($N409="","",$C$36&amp;" – müşteriden tahsilat: "&amp;INDEX(TAHSILAT!$N$7:$N$2503,$T409)&amp;IF(INDEX(TAHSILAT!$J$7:$J$2503,$T409)="",""," – "&amp;INDEX(TAHSILAT!$J$7:$J$2503,$T409)))</f>
        <v/>
      </c>
      <c r="P409" s="1" t="str">
        <f t="shared" si="68"/>
        <v/>
      </c>
      <c r="Q409" s="1">
        <f>IF($N409="",0,INDEX(TAHSILAT!$F$7:$F$2503,$T409))</f>
        <v>0</v>
      </c>
      <c r="R409" s="1">
        <v>0</v>
      </c>
      <c r="S409" s="1">
        <f t="shared" si="64"/>
        <v>10000000000</v>
      </c>
      <c r="T409" s="1">
        <f>IFERROR(MATCH($C$36&amp;"|336",TAHSILAT!$U$7:$U$2503,0),0)</f>
        <v>0</v>
      </c>
      <c r="V409" s="1">
        <f t="shared" si="65"/>
        <v>10000000000</v>
      </c>
      <c r="W409" s="1">
        <f t="shared" si="66"/>
        <v>9</v>
      </c>
    </row>
    <row r="410" spans="2:23" ht="14.25" customHeight="1" x14ac:dyDescent="0.3">
      <c r="B410" s="65" t="str">
        <f t="shared" si="58"/>
        <v/>
      </c>
      <c r="C410" s="70" t="str">
        <f t="shared" si="59"/>
        <v/>
      </c>
      <c r="D410" s="74" t="str">
        <f t="shared" si="60"/>
        <v/>
      </c>
      <c r="F410" s="65" t="str">
        <f t="shared" si="61"/>
        <v/>
      </c>
      <c r="G410" s="68" t="str">
        <f t="shared" si="62"/>
        <v/>
      </c>
      <c r="H410" s="68" t="str">
        <f t="shared" si="63"/>
        <v/>
      </c>
      <c r="I410" s="68" t="str">
        <f t="shared" si="67"/>
        <v/>
      </c>
      <c r="M410" s="1">
        <v>373</v>
      </c>
      <c r="N410" s="1" t="str">
        <f>IF($T410=0,"",INDEX(TAHSILAT!$E$7:$E$2503,$T410))</f>
        <v/>
      </c>
      <c r="O410" s="1" t="str">
        <f>IF($N410="","",$C$36&amp;" – müşteriden tahsilat: "&amp;INDEX(TAHSILAT!$N$7:$N$2503,$T410)&amp;IF(INDEX(TAHSILAT!$J$7:$J$2503,$T410)="",""," – "&amp;INDEX(TAHSILAT!$J$7:$J$2503,$T410)))</f>
        <v/>
      </c>
      <c r="P410" s="1" t="str">
        <f t="shared" si="68"/>
        <v/>
      </c>
      <c r="Q410" s="1">
        <f>IF($N410="",0,INDEX(TAHSILAT!$F$7:$F$2503,$T410))</f>
        <v>0</v>
      </c>
      <c r="R410" s="1">
        <v>0</v>
      </c>
      <c r="S410" s="1">
        <f t="shared" si="64"/>
        <v>10000000000</v>
      </c>
      <c r="T410" s="1">
        <f>IFERROR(MATCH($C$36&amp;"|337",TAHSILAT!$U$7:$U$2503,0),0)</f>
        <v>0</v>
      </c>
      <c r="V410" s="1">
        <f t="shared" si="65"/>
        <v>10000000000</v>
      </c>
      <c r="W410" s="1">
        <f t="shared" si="66"/>
        <v>9</v>
      </c>
    </row>
    <row r="411" spans="2:23" ht="14.25" customHeight="1" x14ac:dyDescent="0.3">
      <c r="B411" s="65" t="str">
        <f t="shared" si="58"/>
        <v/>
      </c>
      <c r="C411" s="70" t="str">
        <f t="shared" si="59"/>
        <v/>
      </c>
      <c r="D411" s="74" t="str">
        <f t="shared" si="60"/>
        <v/>
      </c>
      <c r="F411" s="65" t="str">
        <f t="shared" si="61"/>
        <v/>
      </c>
      <c r="G411" s="68" t="str">
        <f t="shared" si="62"/>
        <v/>
      </c>
      <c r="H411" s="68" t="str">
        <f t="shared" si="63"/>
        <v/>
      </c>
      <c r="I411" s="68" t="str">
        <f t="shared" si="67"/>
        <v/>
      </c>
      <c r="M411" s="1">
        <v>374</v>
      </c>
      <c r="N411" s="1" t="str">
        <f>IF($T411=0,"",INDEX(TAHSILAT!$E$7:$E$2503,$T411))</f>
        <v/>
      </c>
      <c r="O411" s="1" t="str">
        <f>IF($N411="","",$C$36&amp;" – müşteriden tahsilat: "&amp;INDEX(TAHSILAT!$N$7:$N$2503,$T411)&amp;IF(INDEX(TAHSILAT!$J$7:$J$2503,$T411)="",""," – "&amp;INDEX(TAHSILAT!$J$7:$J$2503,$T411)))</f>
        <v/>
      </c>
      <c r="P411" s="1" t="str">
        <f t="shared" si="68"/>
        <v/>
      </c>
      <c r="Q411" s="1">
        <f>IF($N411="",0,INDEX(TAHSILAT!$F$7:$F$2503,$T411))</f>
        <v>0</v>
      </c>
      <c r="R411" s="1">
        <v>0</v>
      </c>
      <c r="S411" s="1">
        <f t="shared" si="64"/>
        <v>10000000000</v>
      </c>
      <c r="T411" s="1">
        <f>IFERROR(MATCH($C$36&amp;"|338",TAHSILAT!$U$7:$U$2503,0),0)</f>
        <v>0</v>
      </c>
      <c r="V411" s="1">
        <f t="shared" si="65"/>
        <v>10000000000</v>
      </c>
      <c r="W411" s="1">
        <f t="shared" si="66"/>
        <v>9</v>
      </c>
    </row>
    <row r="412" spans="2:23" ht="14.25" customHeight="1" x14ac:dyDescent="0.3">
      <c r="B412" s="65" t="str">
        <f t="shared" si="58"/>
        <v/>
      </c>
      <c r="C412" s="70" t="str">
        <f t="shared" si="59"/>
        <v/>
      </c>
      <c r="D412" s="74" t="str">
        <f t="shared" si="60"/>
        <v/>
      </c>
      <c r="F412" s="65" t="str">
        <f t="shared" si="61"/>
        <v/>
      </c>
      <c r="G412" s="68" t="str">
        <f t="shared" si="62"/>
        <v/>
      </c>
      <c r="H412" s="68" t="str">
        <f t="shared" si="63"/>
        <v/>
      </c>
      <c r="I412" s="68" t="str">
        <f t="shared" si="67"/>
        <v/>
      </c>
      <c r="M412" s="1">
        <v>375</v>
      </c>
      <c r="N412" s="1" t="str">
        <f>IF($T412=0,"",INDEX(TAHSILAT!$E$7:$E$2503,$T412))</f>
        <v/>
      </c>
      <c r="O412" s="1" t="str">
        <f>IF($N412="","",$C$36&amp;" – müşteriden tahsilat: "&amp;INDEX(TAHSILAT!$N$7:$N$2503,$T412)&amp;IF(INDEX(TAHSILAT!$J$7:$J$2503,$T412)="",""," – "&amp;INDEX(TAHSILAT!$J$7:$J$2503,$T412)))</f>
        <v/>
      </c>
      <c r="P412" s="1" t="str">
        <f t="shared" si="68"/>
        <v/>
      </c>
      <c r="Q412" s="1">
        <f>IF($N412="",0,INDEX(TAHSILAT!$F$7:$F$2503,$T412))</f>
        <v>0</v>
      </c>
      <c r="R412" s="1">
        <v>0</v>
      </c>
      <c r="S412" s="1">
        <f t="shared" si="64"/>
        <v>10000000000</v>
      </c>
      <c r="T412" s="1">
        <f>IFERROR(MATCH($C$36&amp;"|339",TAHSILAT!$U$7:$U$2503,0),0)</f>
        <v>0</v>
      </c>
      <c r="V412" s="1">
        <f t="shared" si="65"/>
        <v>10000000000</v>
      </c>
      <c r="W412" s="1">
        <f t="shared" si="66"/>
        <v>9</v>
      </c>
    </row>
    <row r="413" spans="2:23" ht="14.25" customHeight="1" x14ac:dyDescent="0.3">
      <c r="B413" s="65" t="str">
        <f t="shared" si="58"/>
        <v/>
      </c>
      <c r="C413" s="70" t="str">
        <f t="shared" si="59"/>
        <v/>
      </c>
      <c r="D413" s="74" t="str">
        <f t="shared" si="60"/>
        <v/>
      </c>
      <c r="F413" s="65" t="str">
        <f t="shared" si="61"/>
        <v/>
      </c>
      <c r="G413" s="68" t="str">
        <f t="shared" si="62"/>
        <v/>
      </c>
      <c r="H413" s="68" t="str">
        <f t="shared" si="63"/>
        <v/>
      </c>
      <c r="I413" s="68" t="str">
        <f t="shared" si="67"/>
        <v/>
      </c>
      <c r="M413" s="1">
        <v>376</v>
      </c>
      <c r="N413" s="1" t="str">
        <f>IF($T413=0,"",INDEX(TAHSILAT!$E$7:$E$2503,$T413))</f>
        <v/>
      </c>
      <c r="O413" s="1" t="str">
        <f>IF($N413="","",$C$36&amp;" – müşteriden tahsilat: "&amp;INDEX(TAHSILAT!$N$7:$N$2503,$T413)&amp;IF(INDEX(TAHSILAT!$J$7:$J$2503,$T413)="",""," – "&amp;INDEX(TAHSILAT!$J$7:$J$2503,$T413)))</f>
        <v/>
      </c>
      <c r="P413" s="1" t="str">
        <f t="shared" si="68"/>
        <v/>
      </c>
      <c r="Q413" s="1">
        <f>IF($N413="",0,INDEX(TAHSILAT!$F$7:$F$2503,$T413))</f>
        <v>0</v>
      </c>
      <c r="R413" s="1">
        <v>0</v>
      </c>
      <c r="S413" s="1">
        <f t="shared" si="64"/>
        <v>10000000000</v>
      </c>
      <c r="T413" s="1">
        <f>IFERROR(MATCH($C$36&amp;"|340",TAHSILAT!$U$7:$U$2503,0),0)</f>
        <v>0</v>
      </c>
      <c r="V413" s="1">
        <f t="shared" si="65"/>
        <v>10000000000</v>
      </c>
      <c r="W413" s="1">
        <f t="shared" si="66"/>
        <v>9</v>
      </c>
    </row>
    <row r="414" spans="2:23" ht="14.25" customHeight="1" x14ac:dyDescent="0.3">
      <c r="B414" s="65" t="str">
        <f t="shared" si="58"/>
        <v/>
      </c>
      <c r="C414" s="70" t="str">
        <f t="shared" si="59"/>
        <v/>
      </c>
      <c r="D414" s="74" t="str">
        <f t="shared" si="60"/>
        <v/>
      </c>
      <c r="F414" s="65" t="str">
        <f t="shared" si="61"/>
        <v/>
      </c>
      <c r="G414" s="68" t="str">
        <f t="shared" si="62"/>
        <v/>
      </c>
      <c r="H414" s="68" t="str">
        <f t="shared" si="63"/>
        <v/>
      </c>
      <c r="I414" s="68" t="str">
        <f t="shared" si="67"/>
        <v/>
      </c>
      <c r="M414" s="1">
        <v>377</v>
      </c>
      <c r="N414" s="1" t="str">
        <f>IF($T414=0,"",INDEX(TAHSILAT!$E$7:$E$2503,$T414))</f>
        <v/>
      </c>
      <c r="O414" s="1" t="str">
        <f>IF($N414="","",$C$36&amp;" – müşteriden tahsilat: "&amp;INDEX(TAHSILAT!$N$7:$N$2503,$T414)&amp;IF(INDEX(TAHSILAT!$J$7:$J$2503,$T414)="",""," – "&amp;INDEX(TAHSILAT!$J$7:$J$2503,$T414)))</f>
        <v/>
      </c>
      <c r="P414" s="1" t="str">
        <f t="shared" si="68"/>
        <v/>
      </c>
      <c r="Q414" s="1">
        <f>IF($N414="",0,INDEX(TAHSILAT!$F$7:$F$2503,$T414))</f>
        <v>0</v>
      </c>
      <c r="R414" s="1">
        <v>0</v>
      </c>
      <c r="S414" s="1">
        <f t="shared" si="64"/>
        <v>10000000000</v>
      </c>
      <c r="T414" s="1">
        <f>IFERROR(MATCH($C$36&amp;"|341",TAHSILAT!$U$7:$U$2503,0),0)</f>
        <v>0</v>
      </c>
      <c r="V414" s="1">
        <f t="shared" si="65"/>
        <v>10000000000</v>
      </c>
      <c r="W414" s="1">
        <f t="shared" si="66"/>
        <v>9</v>
      </c>
    </row>
    <row r="415" spans="2:23" ht="14.25" customHeight="1" x14ac:dyDescent="0.3">
      <c r="B415" s="65" t="str">
        <f t="shared" si="58"/>
        <v/>
      </c>
      <c r="C415" s="70" t="str">
        <f t="shared" si="59"/>
        <v/>
      </c>
      <c r="D415" s="74" t="str">
        <f t="shared" si="60"/>
        <v/>
      </c>
      <c r="F415" s="65" t="str">
        <f t="shared" si="61"/>
        <v/>
      </c>
      <c r="G415" s="68" t="str">
        <f t="shared" si="62"/>
        <v/>
      </c>
      <c r="H415" s="68" t="str">
        <f t="shared" si="63"/>
        <v/>
      </c>
      <c r="I415" s="68" t="str">
        <f t="shared" si="67"/>
        <v/>
      </c>
      <c r="M415" s="1">
        <v>378</v>
      </c>
      <c r="N415" s="1" t="str">
        <f>IF($T415=0,"",INDEX(TAHSILAT!$E$7:$E$2503,$T415))</f>
        <v/>
      </c>
      <c r="O415" s="1" t="str">
        <f>IF($N415="","",$C$36&amp;" – müşteriden tahsilat: "&amp;INDEX(TAHSILAT!$N$7:$N$2503,$T415)&amp;IF(INDEX(TAHSILAT!$J$7:$J$2503,$T415)="",""," – "&amp;INDEX(TAHSILAT!$J$7:$J$2503,$T415)))</f>
        <v/>
      </c>
      <c r="P415" s="1" t="str">
        <f t="shared" si="68"/>
        <v/>
      </c>
      <c r="Q415" s="1">
        <f>IF($N415="",0,INDEX(TAHSILAT!$F$7:$F$2503,$T415))</f>
        <v>0</v>
      </c>
      <c r="R415" s="1">
        <v>0</v>
      </c>
      <c r="S415" s="1">
        <f t="shared" si="64"/>
        <v>10000000000</v>
      </c>
      <c r="T415" s="1">
        <f>IFERROR(MATCH($C$36&amp;"|342",TAHSILAT!$U$7:$U$2503,0),0)</f>
        <v>0</v>
      </c>
      <c r="V415" s="1">
        <f t="shared" si="65"/>
        <v>10000000000</v>
      </c>
      <c r="W415" s="1">
        <f t="shared" si="66"/>
        <v>9</v>
      </c>
    </row>
    <row r="416" spans="2:23" ht="14.25" customHeight="1" x14ac:dyDescent="0.3">
      <c r="B416" s="65" t="str">
        <f t="shared" si="58"/>
        <v/>
      </c>
      <c r="C416" s="70" t="str">
        <f t="shared" si="59"/>
        <v/>
      </c>
      <c r="D416" s="74" t="str">
        <f t="shared" si="60"/>
        <v/>
      </c>
      <c r="F416" s="65" t="str">
        <f t="shared" si="61"/>
        <v/>
      </c>
      <c r="G416" s="68" t="str">
        <f t="shared" si="62"/>
        <v/>
      </c>
      <c r="H416" s="68" t="str">
        <f t="shared" si="63"/>
        <v/>
      </c>
      <c r="I416" s="68" t="str">
        <f t="shared" si="67"/>
        <v/>
      </c>
      <c r="M416" s="1">
        <v>379</v>
      </c>
      <c r="N416" s="1" t="str">
        <f>IF($T416=0,"",INDEX(TAHSILAT!$E$7:$E$2503,$T416))</f>
        <v/>
      </c>
      <c r="O416" s="1" t="str">
        <f>IF($N416="","",$C$36&amp;" – müşteriden tahsilat: "&amp;INDEX(TAHSILAT!$N$7:$N$2503,$T416)&amp;IF(INDEX(TAHSILAT!$J$7:$J$2503,$T416)="",""," – "&amp;INDEX(TAHSILAT!$J$7:$J$2503,$T416)))</f>
        <v/>
      </c>
      <c r="P416" s="1" t="str">
        <f t="shared" si="68"/>
        <v/>
      </c>
      <c r="Q416" s="1">
        <f>IF($N416="",0,INDEX(TAHSILAT!$F$7:$F$2503,$T416))</f>
        <v>0</v>
      </c>
      <c r="R416" s="1">
        <v>0</v>
      </c>
      <c r="S416" s="1">
        <f t="shared" si="64"/>
        <v>10000000000</v>
      </c>
      <c r="T416" s="1">
        <f>IFERROR(MATCH($C$36&amp;"|343",TAHSILAT!$U$7:$U$2503,0),0)</f>
        <v>0</v>
      </c>
      <c r="V416" s="1">
        <f t="shared" si="65"/>
        <v>10000000000</v>
      </c>
      <c r="W416" s="1">
        <f t="shared" si="66"/>
        <v>9</v>
      </c>
    </row>
    <row r="417" spans="2:23" ht="14.25" customHeight="1" x14ac:dyDescent="0.3">
      <c r="B417" s="65" t="str">
        <f t="shared" si="58"/>
        <v/>
      </c>
      <c r="C417" s="70" t="str">
        <f t="shared" si="59"/>
        <v/>
      </c>
      <c r="D417" s="74" t="str">
        <f t="shared" si="60"/>
        <v/>
      </c>
      <c r="F417" s="65" t="str">
        <f t="shared" si="61"/>
        <v/>
      </c>
      <c r="G417" s="68" t="str">
        <f t="shared" si="62"/>
        <v/>
      </c>
      <c r="H417" s="68" t="str">
        <f t="shared" si="63"/>
        <v/>
      </c>
      <c r="I417" s="68" t="str">
        <f t="shared" si="67"/>
        <v/>
      </c>
      <c r="M417" s="1">
        <v>380</v>
      </c>
      <c r="N417" s="1" t="str">
        <f>IF($T417=0,"",INDEX(TAHSILAT!$E$7:$E$2503,$T417))</f>
        <v/>
      </c>
      <c r="O417" s="1" t="str">
        <f>IF($N417="","",$C$36&amp;" – müşteriden tahsilat: "&amp;INDEX(TAHSILAT!$N$7:$N$2503,$T417)&amp;IF(INDEX(TAHSILAT!$J$7:$J$2503,$T417)="",""," – "&amp;INDEX(TAHSILAT!$J$7:$J$2503,$T417)))</f>
        <v/>
      </c>
      <c r="P417" s="1" t="str">
        <f t="shared" si="68"/>
        <v/>
      </c>
      <c r="Q417" s="1">
        <f>IF($N417="",0,INDEX(TAHSILAT!$F$7:$F$2503,$T417))</f>
        <v>0</v>
      </c>
      <c r="R417" s="1">
        <v>0</v>
      </c>
      <c r="S417" s="1">
        <f t="shared" si="64"/>
        <v>10000000000</v>
      </c>
      <c r="T417" s="1">
        <f>IFERROR(MATCH($C$36&amp;"|344",TAHSILAT!$U$7:$U$2503,0),0)</f>
        <v>0</v>
      </c>
      <c r="V417" s="1">
        <f t="shared" si="65"/>
        <v>10000000000</v>
      </c>
      <c r="W417" s="1">
        <f t="shared" si="66"/>
        <v>9</v>
      </c>
    </row>
    <row r="418" spans="2:23" ht="14.25" customHeight="1" x14ac:dyDescent="0.3">
      <c r="B418" s="65" t="str">
        <f t="shared" si="58"/>
        <v/>
      </c>
      <c r="C418" s="70" t="str">
        <f t="shared" si="59"/>
        <v/>
      </c>
      <c r="D418" s="74" t="str">
        <f t="shared" si="60"/>
        <v/>
      </c>
      <c r="F418" s="65" t="str">
        <f t="shared" si="61"/>
        <v/>
      </c>
      <c r="G418" s="68" t="str">
        <f t="shared" si="62"/>
        <v/>
      </c>
      <c r="H418" s="68" t="str">
        <f t="shared" si="63"/>
        <v/>
      </c>
      <c r="I418" s="68" t="str">
        <f t="shared" si="67"/>
        <v/>
      </c>
      <c r="M418" s="1">
        <v>381</v>
      </c>
      <c r="N418" s="1" t="str">
        <f>IF($T418=0,"",INDEX(TAHSILAT!$E$7:$E$2503,$T418))</f>
        <v/>
      </c>
      <c r="O418" s="1" t="str">
        <f>IF($N418="","",$C$36&amp;" – müşteriden tahsilat: "&amp;INDEX(TAHSILAT!$N$7:$N$2503,$T418)&amp;IF(INDEX(TAHSILAT!$J$7:$J$2503,$T418)="",""," – "&amp;INDEX(TAHSILAT!$J$7:$J$2503,$T418)))</f>
        <v/>
      </c>
      <c r="P418" s="1" t="str">
        <f t="shared" si="68"/>
        <v/>
      </c>
      <c r="Q418" s="1">
        <f>IF($N418="",0,INDEX(TAHSILAT!$F$7:$F$2503,$T418))</f>
        <v>0</v>
      </c>
      <c r="R418" s="1">
        <v>0</v>
      </c>
      <c r="S418" s="1">
        <f t="shared" si="64"/>
        <v>10000000000</v>
      </c>
      <c r="T418" s="1">
        <f>IFERROR(MATCH($C$36&amp;"|345",TAHSILAT!$U$7:$U$2503,0),0)</f>
        <v>0</v>
      </c>
      <c r="V418" s="1">
        <f t="shared" si="65"/>
        <v>10000000000</v>
      </c>
      <c r="W418" s="1">
        <f t="shared" si="66"/>
        <v>9</v>
      </c>
    </row>
    <row r="419" spans="2:23" ht="14.25" customHeight="1" x14ac:dyDescent="0.3">
      <c r="B419" s="65" t="str">
        <f t="shared" si="58"/>
        <v/>
      </c>
      <c r="C419" s="70" t="str">
        <f t="shared" si="59"/>
        <v/>
      </c>
      <c r="D419" s="74" t="str">
        <f t="shared" si="60"/>
        <v/>
      </c>
      <c r="F419" s="65" t="str">
        <f t="shared" si="61"/>
        <v/>
      </c>
      <c r="G419" s="68" t="str">
        <f t="shared" si="62"/>
        <v/>
      </c>
      <c r="H419" s="68" t="str">
        <f t="shared" si="63"/>
        <v/>
      </c>
      <c r="I419" s="68" t="str">
        <f t="shared" si="67"/>
        <v/>
      </c>
      <c r="M419" s="1">
        <v>382</v>
      </c>
      <c r="N419" s="1" t="str">
        <f>IF($T419=0,"",INDEX(TAHSILAT!$E$7:$E$2503,$T419))</f>
        <v/>
      </c>
      <c r="O419" s="1" t="str">
        <f>IF($N419="","",$C$36&amp;" – müşteriden tahsilat: "&amp;INDEX(TAHSILAT!$N$7:$N$2503,$T419)&amp;IF(INDEX(TAHSILAT!$J$7:$J$2503,$T419)="",""," – "&amp;INDEX(TAHSILAT!$J$7:$J$2503,$T419)))</f>
        <v/>
      </c>
      <c r="P419" s="1" t="str">
        <f t="shared" si="68"/>
        <v/>
      </c>
      <c r="Q419" s="1">
        <f>IF($N419="",0,INDEX(TAHSILAT!$F$7:$F$2503,$T419))</f>
        <v>0</v>
      </c>
      <c r="R419" s="1">
        <v>0</v>
      </c>
      <c r="S419" s="1">
        <f t="shared" si="64"/>
        <v>10000000000</v>
      </c>
      <c r="T419" s="1">
        <f>IFERROR(MATCH($C$36&amp;"|346",TAHSILAT!$U$7:$U$2503,0),0)</f>
        <v>0</v>
      </c>
      <c r="V419" s="1">
        <f t="shared" si="65"/>
        <v>10000000000</v>
      </c>
      <c r="W419" s="1">
        <f t="shared" si="66"/>
        <v>9</v>
      </c>
    </row>
    <row r="420" spans="2:23" ht="14.25" customHeight="1" x14ac:dyDescent="0.3">
      <c r="B420" s="65" t="str">
        <f t="shared" si="58"/>
        <v/>
      </c>
      <c r="C420" s="70" t="str">
        <f t="shared" si="59"/>
        <v/>
      </c>
      <c r="D420" s="74" t="str">
        <f t="shared" si="60"/>
        <v/>
      </c>
      <c r="F420" s="65" t="str">
        <f t="shared" si="61"/>
        <v/>
      </c>
      <c r="G420" s="68" t="str">
        <f t="shared" si="62"/>
        <v/>
      </c>
      <c r="H420" s="68" t="str">
        <f t="shared" si="63"/>
        <v/>
      </c>
      <c r="I420" s="68" t="str">
        <f t="shared" si="67"/>
        <v/>
      </c>
      <c r="M420" s="1">
        <v>383</v>
      </c>
      <c r="N420" s="1" t="str">
        <f>IF($T420=0,"",INDEX(TAHSILAT!$E$7:$E$2503,$T420))</f>
        <v/>
      </c>
      <c r="O420" s="1" t="str">
        <f>IF($N420="","",$C$36&amp;" – müşteriden tahsilat: "&amp;INDEX(TAHSILAT!$N$7:$N$2503,$T420)&amp;IF(INDEX(TAHSILAT!$J$7:$J$2503,$T420)="",""," – "&amp;INDEX(TAHSILAT!$J$7:$J$2503,$T420)))</f>
        <v/>
      </c>
      <c r="P420" s="1" t="str">
        <f t="shared" si="68"/>
        <v/>
      </c>
      <c r="Q420" s="1">
        <f>IF($N420="",0,INDEX(TAHSILAT!$F$7:$F$2503,$T420))</f>
        <v>0</v>
      </c>
      <c r="R420" s="1">
        <v>0</v>
      </c>
      <c r="S420" s="1">
        <f t="shared" si="64"/>
        <v>10000000000</v>
      </c>
      <c r="T420" s="1">
        <f>IFERROR(MATCH($C$36&amp;"|347",TAHSILAT!$U$7:$U$2503,0),0)</f>
        <v>0</v>
      </c>
      <c r="V420" s="1">
        <f t="shared" si="65"/>
        <v>10000000000</v>
      </c>
      <c r="W420" s="1">
        <f t="shared" si="66"/>
        <v>9</v>
      </c>
    </row>
    <row r="421" spans="2:23" ht="14.25" customHeight="1" x14ac:dyDescent="0.3">
      <c r="B421" s="65" t="str">
        <f t="shared" si="58"/>
        <v/>
      </c>
      <c r="C421" s="70" t="str">
        <f t="shared" si="59"/>
        <v/>
      </c>
      <c r="D421" s="74" t="str">
        <f t="shared" si="60"/>
        <v/>
      </c>
      <c r="F421" s="65" t="str">
        <f t="shared" si="61"/>
        <v/>
      </c>
      <c r="G421" s="68" t="str">
        <f t="shared" si="62"/>
        <v/>
      </c>
      <c r="H421" s="68" t="str">
        <f t="shared" si="63"/>
        <v/>
      </c>
      <c r="I421" s="68" t="str">
        <f t="shared" si="67"/>
        <v/>
      </c>
      <c r="M421" s="1">
        <v>384</v>
      </c>
      <c r="N421" s="1" t="str">
        <f>IF($T421=0,"",INDEX(TAHSILAT!$E$7:$E$2503,$T421))</f>
        <v/>
      </c>
      <c r="O421" s="1" t="str">
        <f>IF($N421="","",$C$36&amp;" – müşteriden tahsilat: "&amp;INDEX(TAHSILAT!$N$7:$N$2503,$T421)&amp;IF(INDEX(TAHSILAT!$J$7:$J$2503,$T421)="",""," – "&amp;INDEX(TAHSILAT!$J$7:$J$2503,$T421)))</f>
        <v/>
      </c>
      <c r="P421" s="1" t="str">
        <f t="shared" si="68"/>
        <v/>
      </c>
      <c r="Q421" s="1">
        <f>IF($N421="",0,INDEX(TAHSILAT!$F$7:$F$2503,$T421))</f>
        <v>0</v>
      </c>
      <c r="R421" s="1">
        <v>0</v>
      </c>
      <c r="S421" s="1">
        <f t="shared" si="64"/>
        <v>10000000000</v>
      </c>
      <c r="T421" s="1">
        <f>IFERROR(MATCH($C$36&amp;"|348",TAHSILAT!$U$7:$U$2503,0),0)</f>
        <v>0</v>
      </c>
      <c r="V421" s="1">
        <f t="shared" si="65"/>
        <v>10000000000</v>
      </c>
      <c r="W421" s="1">
        <f t="shared" si="66"/>
        <v>9</v>
      </c>
    </row>
    <row r="422" spans="2:23" ht="14.25" customHeight="1" x14ac:dyDescent="0.3">
      <c r="B422" s="65" t="str">
        <f t="shared" ref="B422:B485" si="69">IF($C422="","",ROW()-37)</f>
        <v/>
      </c>
      <c r="C422" s="70" t="str">
        <f t="shared" ref="C422:C485" si="70">IF($W422="","",IF(INDEX($N$38:$N$953,$W422)="","",INDEX($N$38:$N$953,$W422)))</f>
        <v/>
      </c>
      <c r="D422" s="74" t="str">
        <f t="shared" ref="D422:D485" si="71">IF($C422="","",INDEX($O$38:$O$953,$W422))</f>
        <v/>
      </c>
      <c r="F422" s="65" t="str">
        <f t="shared" ref="F422:F485" si="72">IF($C422="","",INDEX($P$38:$P$953,$W422))</f>
        <v/>
      </c>
      <c r="G422" s="68" t="str">
        <f t="shared" ref="G422:G485" si="73">IF($C422="","",INDEX($Q$38:$Q$953,$W422))</f>
        <v/>
      </c>
      <c r="H422" s="68" t="str">
        <f t="shared" ref="H422:H485" si="74">IF($C422="","",INDEX($R$38:$R$953,$W422))</f>
        <v/>
      </c>
      <c r="I422" s="68" t="str">
        <f t="shared" si="67"/>
        <v/>
      </c>
      <c r="M422" s="1">
        <v>385</v>
      </c>
      <c r="N422" s="1" t="str">
        <f>IF($T422=0,"",INDEX(TAHSILAT!$E$7:$E$2503,$T422))</f>
        <v/>
      </c>
      <c r="O422" s="1" t="str">
        <f>IF($N422="","",$C$36&amp;" – müşteriden tahsilat: "&amp;INDEX(TAHSILAT!$N$7:$N$2503,$T422)&amp;IF(INDEX(TAHSILAT!$J$7:$J$2503,$T422)="",""," – "&amp;INDEX(TAHSILAT!$J$7:$J$2503,$T422)))</f>
        <v/>
      </c>
      <c r="P422" s="1" t="str">
        <f t="shared" si="68"/>
        <v/>
      </c>
      <c r="Q422" s="1">
        <f>IF($N422="",0,INDEX(TAHSILAT!$F$7:$F$2503,$T422))</f>
        <v>0</v>
      </c>
      <c r="R422" s="1">
        <v>0</v>
      </c>
      <c r="S422" s="1">
        <f t="shared" ref="S422:S485" si="75">IF($N422="",10000000000,$N422*100000+$M422)</f>
        <v>10000000000</v>
      </c>
      <c r="T422" s="1">
        <f>IFERROR(MATCH($C$36&amp;"|349",TAHSILAT!$U$7:$U$2503,0),0)</f>
        <v>0</v>
      </c>
      <c r="V422" s="1">
        <f t="shared" ref="V422:V485" si="76">IFERROR(SMALL($S$38:$S$953,ROW()-37),"")</f>
        <v>10000000000</v>
      </c>
      <c r="W422" s="1">
        <f t="shared" ref="W422:W485" si="77">IFERROR(MATCH($V422,$S$38:$S$953,0),"")</f>
        <v>9</v>
      </c>
    </row>
    <row r="423" spans="2:23" ht="14.25" customHeight="1" x14ac:dyDescent="0.3">
      <c r="B423" s="65" t="str">
        <f t="shared" si="69"/>
        <v/>
      </c>
      <c r="C423" s="70" t="str">
        <f t="shared" si="70"/>
        <v/>
      </c>
      <c r="D423" s="74" t="str">
        <f t="shared" si="71"/>
        <v/>
      </c>
      <c r="F423" s="65" t="str">
        <f t="shared" si="72"/>
        <v/>
      </c>
      <c r="G423" s="68" t="str">
        <f t="shared" si="73"/>
        <v/>
      </c>
      <c r="H423" s="68" t="str">
        <f t="shared" si="74"/>
        <v/>
      </c>
      <c r="I423" s="68" t="str">
        <f t="shared" ref="I423:I486" si="78">IF($C423="","",N($I422)+$G423-$H423)</f>
        <v/>
      </c>
      <c r="M423" s="1">
        <v>386</v>
      </c>
      <c r="N423" s="1" t="str">
        <f>IF($T423=0,"",INDEX(TAHSILAT!$E$7:$E$2503,$T423))</f>
        <v/>
      </c>
      <c r="O423" s="1" t="str">
        <f>IF($N423="","",$C$36&amp;" – müşteriden tahsilat: "&amp;INDEX(TAHSILAT!$N$7:$N$2503,$T423)&amp;IF(INDEX(TAHSILAT!$J$7:$J$2503,$T423)="",""," – "&amp;INDEX(TAHSILAT!$J$7:$J$2503,$T423)))</f>
        <v/>
      </c>
      <c r="P423" s="1" t="str">
        <f t="shared" si="68"/>
        <v/>
      </c>
      <c r="Q423" s="1">
        <f>IF($N423="",0,INDEX(TAHSILAT!$F$7:$F$2503,$T423))</f>
        <v>0</v>
      </c>
      <c r="R423" s="1">
        <v>0</v>
      </c>
      <c r="S423" s="1">
        <f t="shared" si="75"/>
        <v>10000000000</v>
      </c>
      <c r="T423" s="1">
        <f>IFERROR(MATCH($C$36&amp;"|350",TAHSILAT!$U$7:$U$2503,0),0)</f>
        <v>0</v>
      </c>
      <c r="V423" s="1">
        <f t="shared" si="76"/>
        <v>10000000000</v>
      </c>
      <c r="W423" s="1">
        <f t="shared" si="77"/>
        <v>9</v>
      </c>
    </row>
    <row r="424" spans="2:23" ht="14.25" customHeight="1" x14ac:dyDescent="0.3">
      <c r="B424" s="65" t="str">
        <f t="shared" si="69"/>
        <v/>
      </c>
      <c r="C424" s="70" t="str">
        <f t="shared" si="70"/>
        <v/>
      </c>
      <c r="D424" s="74" t="str">
        <f t="shared" si="71"/>
        <v/>
      </c>
      <c r="F424" s="65" t="str">
        <f t="shared" si="72"/>
        <v/>
      </c>
      <c r="G424" s="68" t="str">
        <f t="shared" si="73"/>
        <v/>
      </c>
      <c r="H424" s="68" t="str">
        <f t="shared" si="74"/>
        <v/>
      </c>
      <c r="I424" s="68" t="str">
        <f t="shared" si="78"/>
        <v/>
      </c>
      <c r="M424" s="1">
        <v>387</v>
      </c>
      <c r="N424" s="1" t="str">
        <f>IF($T424=0,"",INDEX(TAHSILAT!$E$7:$E$2503,$T424))</f>
        <v/>
      </c>
      <c r="O424" s="1" t="str">
        <f>IF($N424="","",$C$36&amp;" – müşteriden tahsilat: "&amp;INDEX(TAHSILAT!$N$7:$N$2503,$T424)&amp;IF(INDEX(TAHSILAT!$J$7:$J$2503,$T424)="",""," – "&amp;INDEX(TAHSILAT!$J$7:$J$2503,$T424)))</f>
        <v/>
      </c>
      <c r="P424" s="1" t="str">
        <f t="shared" si="68"/>
        <v/>
      </c>
      <c r="Q424" s="1">
        <f>IF($N424="",0,INDEX(TAHSILAT!$F$7:$F$2503,$T424))</f>
        <v>0</v>
      </c>
      <c r="R424" s="1">
        <v>0</v>
      </c>
      <c r="S424" s="1">
        <f t="shared" si="75"/>
        <v>10000000000</v>
      </c>
      <c r="T424" s="1">
        <f>IFERROR(MATCH($C$36&amp;"|351",TAHSILAT!$U$7:$U$2503,0),0)</f>
        <v>0</v>
      </c>
      <c r="V424" s="1">
        <f t="shared" si="76"/>
        <v>10000000000</v>
      </c>
      <c r="W424" s="1">
        <f t="shared" si="77"/>
        <v>9</v>
      </c>
    </row>
    <row r="425" spans="2:23" ht="14.25" customHeight="1" x14ac:dyDescent="0.3">
      <c r="B425" s="65" t="str">
        <f t="shared" si="69"/>
        <v/>
      </c>
      <c r="C425" s="70" t="str">
        <f t="shared" si="70"/>
        <v/>
      </c>
      <c r="D425" s="74" t="str">
        <f t="shared" si="71"/>
        <v/>
      </c>
      <c r="F425" s="65" t="str">
        <f t="shared" si="72"/>
        <v/>
      </c>
      <c r="G425" s="68" t="str">
        <f t="shared" si="73"/>
        <v/>
      </c>
      <c r="H425" s="68" t="str">
        <f t="shared" si="74"/>
        <v/>
      </c>
      <c r="I425" s="68" t="str">
        <f t="shared" si="78"/>
        <v/>
      </c>
      <c r="M425" s="1">
        <v>388</v>
      </c>
      <c r="N425" s="1" t="str">
        <f>IF($T425=0,"",INDEX(TAHSILAT!$E$7:$E$2503,$T425))</f>
        <v/>
      </c>
      <c r="O425" s="1" t="str">
        <f>IF($N425="","",$C$36&amp;" – müşteriden tahsilat: "&amp;INDEX(TAHSILAT!$N$7:$N$2503,$T425)&amp;IF(INDEX(TAHSILAT!$J$7:$J$2503,$T425)="",""," – "&amp;INDEX(TAHSILAT!$J$7:$J$2503,$T425)))</f>
        <v/>
      </c>
      <c r="P425" s="1" t="str">
        <f t="shared" si="68"/>
        <v/>
      </c>
      <c r="Q425" s="1">
        <f>IF($N425="",0,INDEX(TAHSILAT!$F$7:$F$2503,$T425))</f>
        <v>0</v>
      </c>
      <c r="R425" s="1">
        <v>0</v>
      </c>
      <c r="S425" s="1">
        <f t="shared" si="75"/>
        <v>10000000000</v>
      </c>
      <c r="T425" s="1">
        <f>IFERROR(MATCH($C$36&amp;"|352",TAHSILAT!$U$7:$U$2503,0),0)</f>
        <v>0</v>
      </c>
      <c r="V425" s="1">
        <f t="shared" si="76"/>
        <v>10000000000</v>
      </c>
      <c r="W425" s="1">
        <f t="shared" si="77"/>
        <v>9</v>
      </c>
    </row>
    <row r="426" spans="2:23" ht="14.25" customHeight="1" x14ac:dyDescent="0.3">
      <c r="B426" s="65" t="str">
        <f t="shared" si="69"/>
        <v/>
      </c>
      <c r="C426" s="70" t="str">
        <f t="shared" si="70"/>
        <v/>
      </c>
      <c r="D426" s="74" t="str">
        <f t="shared" si="71"/>
        <v/>
      </c>
      <c r="F426" s="65" t="str">
        <f t="shared" si="72"/>
        <v/>
      </c>
      <c r="G426" s="68" t="str">
        <f t="shared" si="73"/>
        <v/>
      </c>
      <c r="H426" s="68" t="str">
        <f t="shared" si="74"/>
        <v/>
      </c>
      <c r="I426" s="68" t="str">
        <f t="shared" si="78"/>
        <v/>
      </c>
      <c r="M426" s="1">
        <v>389</v>
      </c>
      <c r="N426" s="1" t="str">
        <f>IF($T426=0,"",INDEX(TAHSILAT!$E$7:$E$2503,$T426))</f>
        <v/>
      </c>
      <c r="O426" s="1" t="str">
        <f>IF($N426="","",$C$36&amp;" – müşteriden tahsilat: "&amp;INDEX(TAHSILAT!$N$7:$N$2503,$T426)&amp;IF(INDEX(TAHSILAT!$J$7:$J$2503,$T426)="",""," – "&amp;INDEX(TAHSILAT!$J$7:$J$2503,$T426)))</f>
        <v/>
      </c>
      <c r="P426" s="1" t="str">
        <f t="shared" si="68"/>
        <v/>
      </c>
      <c r="Q426" s="1">
        <f>IF($N426="",0,INDEX(TAHSILAT!$F$7:$F$2503,$T426))</f>
        <v>0</v>
      </c>
      <c r="R426" s="1">
        <v>0</v>
      </c>
      <c r="S426" s="1">
        <f t="shared" si="75"/>
        <v>10000000000</v>
      </c>
      <c r="T426" s="1">
        <f>IFERROR(MATCH($C$36&amp;"|353",TAHSILAT!$U$7:$U$2503,0),0)</f>
        <v>0</v>
      </c>
      <c r="V426" s="1">
        <f t="shared" si="76"/>
        <v>10000000000</v>
      </c>
      <c r="W426" s="1">
        <f t="shared" si="77"/>
        <v>9</v>
      </c>
    </row>
    <row r="427" spans="2:23" ht="14.25" customHeight="1" x14ac:dyDescent="0.3">
      <c r="B427" s="65" t="str">
        <f t="shared" si="69"/>
        <v/>
      </c>
      <c r="C427" s="70" t="str">
        <f t="shared" si="70"/>
        <v/>
      </c>
      <c r="D427" s="74" t="str">
        <f t="shared" si="71"/>
        <v/>
      </c>
      <c r="F427" s="65" t="str">
        <f t="shared" si="72"/>
        <v/>
      </c>
      <c r="G427" s="68" t="str">
        <f t="shared" si="73"/>
        <v/>
      </c>
      <c r="H427" s="68" t="str">
        <f t="shared" si="74"/>
        <v/>
      </c>
      <c r="I427" s="68" t="str">
        <f t="shared" si="78"/>
        <v/>
      </c>
      <c r="M427" s="1">
        <v>390</v>
      </c>
      <c r="N427" s="1" t="str">
        <f>IF($T427=0,"",INDEX(TAHSILAT!$E$7:$E$2503,$T427))</f>
        <v/>
      </c>
      <c r="O427" s="1" t="str">
        <f>IF($N427="","",$C$36&amp;" – müşteriden tahsilat: "&amp;INDEX(TAHSILAT!$N$7:$N$2503,$T427)&amp;IF(INDEX(TAHSILAT!$J$7:$J$2503,$T427)="",""," – "&amp;INDEX(TAHSILAT!$J$7:$J$2503,$T427)))</f>
        <v/>
      </c>
      <c r="P427" s="1" t="str">
        <f t="shared" si="68"/>
        <v/>
      </c>
      <c r="Q427" s="1">
        <f>IF($N427="",0,INDEX(TAHSILAT!$F$7:$F$2503,$T427))</f>
        <v>0</v>
      </c>
      <c r="R427" s="1">
        <v>0</v>
      </c>
      <c r="S427" s="1">
        <f t="shared" si="75"/>
        <v>10000000000</v>
      </c>
      <c r="T427" s="1">
        <f>IFERROR(MATCH($C$36&amp;"|354",TAHSILAT!$U$7:$U$2503,0),0)</f>
        <v>0</v>
      </c>
      <c r="V427" s="1">
        <f t="shared" si="76"/>
        <v>10000000000</v>
      </c>
      <c r="W427" s="1">
        <f t="shared" si="77"/>
        <v>9</v>
      </c>
    </row>
    <row r="428" spans="2:23" ht="14.25" customHeight="1" x14ac:dyDescent="0.3">
      <c r="B428" s="65" t="str">
        <f t="shared" si="69"/>
        <v/>
      </c>
      <c r="C428" s="70" t="str">
        <f t="shared" si="70"/>
        <v/>
      </c>
      <c r="D428" s="74" t="str">
        <f t="shared" si="71"/>
        <v/>
      </c>
      <c r="F428" s="65" t="str">
        <f t="shared" si="72"/>
        <v/>
      </c>
      <c r="G428" s="68" t="str">
        <f t="shared" si="73"/>
        <v/>
      </c>
      <c r="H428" s="68" t="str">
        <f t="shared" si="74"/>
        <v/>
      </c>
      <c r="I428" s="68" t="str">
        <f t="shared" si="78"/>
        <v/>
      </c>
      <c r="M428" s="1">
        <v>391</v>
      </c>
      <c r="N428" s="1" t="str">
        <f>IF($T428=0,"",INDEX(TAHSILAT!$E$7:$E$2503,$T428))</f>
        <v/>
      </c>
      <c r="O428" s="1" t="str">
        <f>IF($N428="","",$C$36&amp;" – müşteriden tahsilat: "&amp;INDEX(TAHSILAT!$N$7:$N$2503,$T428)&amp;IF(INDEX(TAHSILAT!$J$7:$J$2503,$T428)="",""," – "&amp;INDEX(TAHSILAT!$J$7:$J$2503,$T428)))</f>
        <v/>
      </c>
      <c r="P428" s="1" t="str">
        <f t="shared" si="68"/>
        <v/>
      </c>
      <c r="Q428" s="1">
        <f>IF($N428="",0,INDEX(TAHSILAT!$F$7:$F$2503,$T428))</f>
        <v>0</v>
      </c>
      <c r="R428" s="1">
        <v>0</v>
      </c>
      <c r="S428" s="1">
        <f t="shared" si="75"/>
        <v>10000000000</v>
      </c>
      <c r="T428" s="1">
        <f>IFERROR(MATCH($C$36&amp;"|355",TAHSILAT!$U$7:$U$2503,0),0)</f>
        <v>0</v>
      </c>
      <c r="V428" s="1">
        <f t="shared" si="76"/>
        <v>10000000000</v>
      </c>
      <c r="W428" s="1">
        <f t="shared" si="77"/>
        <v>9</v>
      </c>
    </row>
    <row r="429" spans="2:23" ht="14.25" customHeight="1" x14ac:dyDescent="0.3">
      <c r="B429" s="65" t="str">
        <f t="shared" si="69"/>
        <v/>
      </c>
      <c r="C429" s="70" t="str">
        <f t="shared" si="70"/>
        <v/>
      </c>
      <c r="D429" s="74" t="str">
        <f t="shared" si="71"/>
        <v/>
      </c>
      <c r="F429" s="65" t="str">
        <f t="shared" si="72"/>
        <v/>
      </c>
      <c r="G429" s="68" t="str">
        <f t="shared" si="73"/>
        <v/>
      </c>
      <c r="H429" s="68" t="str">
        <f t="shared" si="74"/>
        <v/>
      </c>
      <c r="I429" s="68" t="str">
        <f t="shared" si="78"/>
        <v/>
      </c>
      <c r="M429" s="1">
        <v>392</v>
      </c>
      <c r="N429" s="1" t="str">
        <f>IF($T429=0,"",INDEX(TAHSILAT!$E$7:$E$2503,$T429))</f>
        <v/>
      </c>
      <c r="O429" s="1" t="str">
        <f>IF($N429="","",$C$36&amp;" – müşteriden tahsilat: "&amp;INDEX(TAHSILAT!$N$7:$N$2503,$T429)&amp;IF(INDEX(TAHSILAT!$J$7:$J$2503,$T429)="",""," – "&amp;INDEX(TAHSILAT!$J$7:$J$2503,$T429)))</f>
        <v/>
      </c>
      <c r="P429" s="1" t="str">
        <f t="shared" si="68"/>
        <v/>
      </c>
      <c r="Q429" s="1">
        <f>IF($N429="",0,INDEX(TAHSILAT!$F$7:$F$2503,$T429))</f>
        <v>0</v>
      </c>
      <c r="R429" s="1">
        <v>0</v>
      </c>
      <c r="S429" s="1">
        <f t="shared" si="75"/>
        <v>10000000000</v>
      </c>
      <c r="T429" s="1">
        <f>IFERROR(MATCH($C$36&amp;"|356",TAHSILAT!$U$7:$U$2503,0),0)</f>
        <v>0</v>
      </c>
      <c r="V429" s="1">
        <f t="shared" si="76"/>
        <v>10000000000</v>
      </c>
      <c r="W429" s="1">
        <f t="shared" si="77"/>
        <v>9</v>
      </c>
    </row>
    <row r="430" spans="2:23" ht="14.25" customHeight="1" x14ac:dyDescent="0.3">
      <c r="B430" s="65" t="str">
        <f t="shared" si="69"/>
        <v/>
      </c>
      <c r="C430" s="70" t="str">
        <f t="shared" si="70"/>
        <v/>
      </c>
      <c r="D430" s="74" t="str">
        <f t="shared" si="71"/>
        <v/>
      </c>
      <c r="F430" s="65" t="str">
        <f t="shared" si="72"/>
        <v/>
      </c>
      <c r="G430" s="68" t="str">
        <f t="shared" si="73"/>
        <v/>
      </c>
      <c r="H430" s="68" t="str">
        <f t="shared" si="74"/>
        <v/>
      </c>
      <c r="I430" s="68" t="str">
        <f t="shared" si="78"/>
        <v/>
      </c>
      <c r="M430" s="1">
        <v>393</v>
      </c>
      <c r="N430" s="1" t="str">
        <f>IF($T430=0,"",INDEX(TAHSILAT!$E$7:$E$2503,$T430))</f>
        <v/>
      </c>
      <c r="O430" s="1" t="str">
        <f>IF($N430="","",$C$36&amp;" – müşteriden tahsilat: "&amp;INDEX(TAHSILAT!$N$7:$N$2503,$T430)&amp;IF(INDEX(TAHSILAT!$J$7:$J$2503,$T430)="",""," – "&amp;INDEX(TAHSILAT!$J$7:$J$2503,$T430)))</f>
        <v/>
      </c>
      <c r="P430" s="1" t="str">
        <f t="shared" si="68"/>
        <v/>
      </c>
      <c r="Q430" s="1">
        <f>IF($N430="",0,INDEX(TAHSILAT!$F$7:$F$2503,$T430))</f>
        <v>0</v>
      </c>
      <c r="R430" s="1">
        <v>0</v>
      </c>
      <c r="S430" s="1">
        <f t="shared" si="75"/>
        <v>10000000000</v>
      </c>
      <c r="T430" s="1">
        <f>IFERROR(MATCH($C$36&amp;"|357",TAHSILAT!$U$7:$U$2503,0),0)</f>
        <v>0</v>
      </c>
      <c r="V430" s="1">
        <f t="shared" si="76"/>
        <v>10000000000</v>
      </c>
      <c r="W430" s="1">
        <f t="shared" si="77"/>
        <v>9</v>
      </c>
    </row>
    <row r="431" spans="2:23" ht="14.25" customHeight="1" x14ac:dyDescent="0.3">
      <c r="B431" s="65" t="str">
        <f t="shared" si="69"/>
        <v/>
      </c>
      <c r="C431" s="70" t="str">
        <f t="shared" si="70"/>
        <v/>
      </c>
      <c r="D431" s="74" t="str">
        <f t="shared" si="71"/>
        <v/>
      </c>
      <c r="F431" s="65" t="str">
        <f t="shared" si="72"/>
        <v/>
      </c>
      <c r="G431" s="68" t="str">
        <f t="shared" si="73"/>
        <v/>
      </c>
      <c r="H431" s="68" t="str">
        <f t="shared" si="74"/>
        <v/>
      </c>
      <c r="I431" s="68" t="str">
        <f t="shared" si="78"/>
        <v/>
      </c>
      <c r="M431" s="1">
        <v>394</v>
      </c>
      <c r="N431" s="1" t="str">
        <f>IF($T431=0,"",INDEX(TAHSILAT!$E$7:$E$2503,$T431))</f>
        <v/>
      </c>
      <c r="O431" s="1" t="str">
        <f>IF($N431="","",$C$36&amp;" – müşteriden tahsilat: "&amp;INDEX(TAHSILAT!$N$7:$N$2503,$T431)&amp;IF(INDEX(TAHSILAT!$J$7:$J$2503,$T431)="",""," – "&amp;INDEX(TAHSILAT!$J$7:$J$2503,$T431)))</f>
        <v/>
      </c>
      <c r="P431" s="1" t="str">
        <f t="shared" si="68"/>
        <v/>
      </c>
      <c r="Q431" s="1">
        <f>IF($N431="",0,INDEX(TAHSILAT!$F$7:$F$2503,$T431))</f>
        <v>0</v>
      </c>
      <c r="R431" s="1">
        <v>0</v>
      </c>
      <c r="S431" s="1">
        <f t="shared" si="75"/>
        <v>10000000000</v>
      </c>
      <c r="T431" s="1">
        <f>IFERROR(MATCH($C$36&amp;"|358",TAHSILAT!$U$7:$U$2503,0),0)</f>
        <v>0</v>
      </c>
      <c r="V431" s="1">
        <f t="shared" si="76"/>
        <v>10000000000</v>
      </c>
      <c r="W431" s="1">
        <f t="shared" si="77"/>
        <v>9</v>
      </c>
    </row>
    <row r="432" spans="2:23" ht="14.25" customHeight="1" x14ac:dyDescent="0.3">
      <c r="B432" s="65" t="str">
        <f t="shared" si="69"/>
        <v/>
      </c>
      <c r="C432" s="70" t="str">
        <f t="shared" si="70"/>
        <v/>
      </c>
      <c r="D432" s="74" t="str">
        <f t="shared" si="71"/>
        <v/>
      </c>
      <c r="F432" s="65" t="str">
        <f t="shared" si="72"/>
        <v/>
      </c>
      <c r="G432" s="68" t="str">
        <f t="shared" si="73"/>
        <v/>
      </c>
      <c r="H432" s="68" t="str">
        <f t="shared" si="74"/>
        <v/>
      </c>
      <c r="I432" s="68" t="str">
        <f t="shared" si="78"/>
        <v/>
      </c>
      <c r="M432" s="1">
        <v>395</v>
      </c>
      <c r="N432" s="1" t="str">
        <f>IF($T432=0,"",INDEX(TAHSILAT!$E$7:$E$2503,$T432))</f>
        <v/>
      </c>
      <c r="O432" s="1" t="str">
        <f>IF($N432="","",$C$36&amp;" – müşteriden tahsilat: "&amp;INDEX(TAHSILAT!$N$7:$N$2503,$T432)&amp;IF(INDEX(TAHSILAT!$J$7:$J$2503,$T432)="",""," – "&amp;INDEX(TAHSILAT!$J$7:$J$2503,$T432)))</f>
        <v/>
      </c>
      <c r="P432" s="1" t="str">
        <f t="shared" si="68"/>
        <v/>
      </c>
      <c r="Q432" s="1">
        <f>IF($N432="",0,INDEX(TAHSILAT!$F$7:$F$2503,$T432))</f>
        <v>0</v>
      </c>
      <c r="R432" s="1">
        <v>0</v>
      </c>
      <c r="S432" s="1">
        <f t="shared" si="75"/>
        <v>10000000000</v>
      </c>
      <c r="T432" s="1">
        <f>IFERROR(MATCH($C$36&amp;"|359",TAHSILAT!$U$7:$U$2503,0),0)</f>
        <v>0</v>
      </c>
      <c r="V432" s="1">
        <f t="shared" si="76"/>
        <v>10000000000</v>
      </c>
      <c r="W432" s="1">
        <f t="shared" si="77"/>
        <v>9</v>
      </c>
    </row>
    <row r="433" spans="2:23" ht="14.25" customHeight="1" x14ac:dyDescent="0.3">
      <c r="B433" s="65" t="str">
        <f t="shared" si="69"/>
        <v/>
      </c>
      <c r="C433" s="70" t="str">
        <f t="shared" si="70"/>
        <v/>
      </c>
      <c r="D433" s="74" t="str">
        <f t="shared" si="71"/>
        <v/>
      </c>
      <c r="F433" s="65" t="str">
        <f t="shared" si="72"/>
        <v/>
      </c>
      <c r="G433" s="68" t="str">
        <f t="shared" si="73"/>
        <v/>
      </c>
      <c r="H433" s="68" t="str">
        <f t="shared" si="74"/>
        <v/>
      </c>
      <c r="I433" s="68" t="str">
        <f t="shared" si="78"/>
        <v/>
      </c>
      <c r="M433" s="1">
        <v>396</v>
      </c>
      <c r="N433" s="1" t="str">
        <f>IF($T433=0,"",INDEX(TAHSILAT!$E$7:$E$2503,$T433))</f>
        <v/>
      </c>
      <c r="O433" s="1" t="str">
        <f>IF($N433="","",$C$36&amp;" – müşteriden tahsilat: "&amp;INDEX(TAHSILAT!$N$7:$N$2503,$T433)&amp;IF(INDEX(TAHSILAT!$J$7:$J$2503,$T433)="",""," – "&amp;INDEX(TAHSILAT!$J$7:$J$2503,$T433)))</f>
        <v/>
      </c>
      <c r="P433" s="1" t="str">
        <f t="shared" si="68"/>
        <v/>
      </c>
      <c r="Q433" s="1">
        <f>IF($N433="",0,INDEX(TAHSILAT!$F$7:$F$2503,$T433))</f>
        <v>0</v>
      </c>
      <c r="R433" s="1">
        <v>0</v>
      </c>
      <c r="S433" s="1">
        <f t="shared" si="75"/>
        <v>10000000000</v>
      </c>
      <c r="T433" s="1">
        <f>IFERROR(MATCH($C$36&amp;"|360",TAHSILAT!$U$7:$U$2503,0),0)</f>
        <v>0</v>
      </c>
      <c r="V433" s="1">
        <f t="shared" si="76"/>
        <v>10000000000</v>
      </c>
      <c r="W433" s="1">
        <f t="shared" si="77"/>
        <v>9</v>
      </c>
    </row>
    <row r="434" spans="2:23" ht="14.25" customHeight="1" x14ac:dyDescent="0.3">
      <c r="B434" s="65" t="str">
        <f t="shared" si="69"/>
        <v/>
      </c>
      <c r="C434" s="70" t="str">
        <f t="shared" si="70"/>
        <v/>
      </c>
      <c r="D434" s="74" t="str">
        <f t="shared" si="71"/>
        <v/>
      </c>
      <c r="F434" s="65" t="str">
        <f t="shared" si="72"/>
        <v/>
      </c>
      <c r="G434" s="68" t="str">
        <f t="shared" si="73"/>
        <v/>
      </c>
      <c r="H434" s="68" t="str">
        <f t="shared" si="74"/>
        <v/>
      </c>
      <c r="I434" s="68" t="str">
        <f t="shared" si="78"/>
        <v/>
      </c>
      <c r="M434" s="1">
        <v>397</v>
      </c>
      <c r="N434" s="1" t="str">
        <f>IF($T434=0,"",INDEX(TAHSILAT!$E$7:$E$2503,$T434))</f>
        <v/>
      </c>
      <c r="O434" s="1" t="str">
        <f>IF($N434="","",$C$36&amp;" – müşteriden tahsilat: "&amp;INDEX(TAHSILAT!$N$7:$N$2503,$T434)&amp;IF(INDEX(TAHSILAT!$J$7:$J$2503,$T434)="",""," – "&amp;INDEX(TAHSILAT!$J$7:$J$2503,$T434)))</f>
        <v/>
      </c>
      <c r="P434" s="1" t="str">
        <f t="shared" si="68"/>
        <v/>
      </c>
      <c r="Q434" s="1">
        <f>IF($N434="",0,INDEX(TAHSILAT!$F$7:$F$2503,$T434))</f>
        <v>0</v>
      </c>
      <c r="R434" s="1">
        <v>0</v>
      </c>
      <c r="S434" s="1">
        <f t="shared" si="75"/>
        <v>10000000000</v>
      </c>
      <c r="T434" s="1">
        <f>IFERROR(MATCH($C$36&amp;"|361",TAHSILAT!$U$7:$U$2503,0),0)</f>
        <v>0</v>
      </c>
      <c r="V434" s="1">
        <f t="shared" si="76"/>
        <v>10000000000</v>
      </c>
      <c r="W434" s="1">
        <f t="shared" si="77"/>
        <v>9</v>
      </c>
    </row>
    <row r="435" spans="2:23" ht="14.25" customHeight="1" x14ac:dyDescent="0.3">
      <c r="B435" s="65" t="str">
        <f t="shared" si="69"/>
        <v/>
      </c>
      <c r="C435" s="70" t="str">
        <f t="shared" si="70"/>
        <v/>
      </c>
      <c r="D435" s="74" t="str">
        <f t="shared" si="71"/>
        <v/>
      </c>
      <c r="F435" s="65" t="str">
        <f t="shared" si="72"/>
        <v/>
      </c>
      <c r="G435" s="68" t="str">
        <f t="shared" si="73"/>
        <v/>
      </c>
      <c r="H435" s="68" t="str">
        <f t="shared" si="74"/>
        <v/>
      </c>
      <c r="I435" s="68" t="str">
        <f t="shared" si="78"/>
        <v/>
      </c>
      <c r="M435" s="1">
        <v>398</v>
      </c>
      <c r="N435" s="1" t="str">
        <f>IF($T435=0,"",INDEX(TAHSILAT!$E$7:$E$2503,$T435))</f>
        <v/>
      </c>
      <c r="O435" s="1" t="str">
        <f>IF($N435="","",$C$36&amp;" – müşteriden tahsilat: "&amp;INDEX(TAHSILAT!$N$7:$N$2503,$T435)&amp;IF(INDEX(TAHSILAT!$J$7:$J$2503,$T435)="",""," – "&amp;INDEX(TAHSILAT!$J$7:$J$2503,$T435)))</f>
        <v/>
      </c>
      <c r="P435" s="1" t="str">
        <f t="shared" si="68"/>
        <v/>
      </c>
      <c r="Q435" s="1">
        <f>IF($N435="",0,INDEX(TAHSILAT!$F$7:$F$2503,$T435))</f>
        <v>0</v>
      </c>
      <c r="R435" s="1">
        <v>0</v>
      </c>
      <c r="S435" s="1">
        <f t="shared" si="75"/>
        <v>10000000000</v>
      </c>
      <c r="T435" s="1">
        <f>IFERROR(MATCH($C$36&amp;"|362",TAHSILAT!$U$7:$U$2503,0),0)</f>
        <v>0</v>
      </c>
      <c r="V435" s="1">
        <f t="shared" si="76"/>
        <v>10000000000</v>
      </c>
      <c r="W435" s="1">
        <f t="shared" si="77"/>
        <v>9</v>
      </c>
    </row>
    <row r="436" spans="2:23" ht="14.25" customHeight="1" x14ac:dyDescent="0.3">
      <c r="B436" s="65" t="str">
        <f t="shared" si="69"/>
        <v/>
      </c>
      <c r="C436" s="70" t="str">
        <f t="shared" si="70"/>
        <v/>
      </c>
      <c r="D436" s="74" t="str">
        <f t="shared" si="71"/>
        <v/>
      </c>
      <c r="F436" s="65" t="str">
        <f t="shared" si="72"/>
        <v/>
      </c>
      <c r="G436" s="68" t="str">
        <f t="shared" si="73"/>
        <v/>
      </c>
      <c r="H436" s="68" t="str">
        <f t="shared" si="74"/>
        <v/>
      </c>
      <c r="I436" s="68" t="str">
        <f t="shared" si="78"/>
        <v/>
      </c>
      <c r="M436" s="1">
        <v>399</v>
      </c>
      <c r="N436" s="1" t="str">
        <f>IF($T436=0,"",INDEX(TAHSILAT!$E$7:$E$2503,$T436))</f>
        <v/>
      </c>
      <c r="O436" s="1" t="str">
        <f>IF($N436="","",$C$36&amp;" – müşteriden tahsilat: "&amp;INDEX(TAHSILAT!$N$7:$N$2503,$T436)&amp;IF(INDEX(TAHSILAT!$J$7:$J$2503,$T436)="",""," – "&amp;INDEX(TAHSILAT!$J$7:$J$2503,$T436)))</f>
        <v/>
      </c>
      <c r="P436" s="1" t="str">
        <f t="shared" si="68"/>
        <v/>
      </c>
      <c r="Q436" s="1">
        <f>IF($N436="",0,INDEX(TAHSILAT!$F$7:$F$2503,$T436))</f>
        <v>0</v>
      </c>
      <c r="R436" s="1">
        <v>0</v>
      </c>
      <c r="S436" s="1">
        <f t="shared" si="75"/>
        <v>10000000000</v>
      </c>
      <c r="T436" s="1">
        <f>IFERROR(MATCH($C$36&amp;"|363",TAHSILAT!$U$7:$U$2503,0),0)</f>
        <v>0</v>
      </c>
      <c r="V436" s="1">
        <f t="shared" si="76"/>
        <v>10000000000</v>
      </c>
      <c r="W436" s="1">
        <f t="shared" si="77"/>
        <v>9</v>
      </c>
    </row>
    <row r="437" spans="2:23" ht="14.25" customHeight="1" x14ac:dyDescent="0.3">
      <c r="B437" s="65" t="str">
        <f t="shared" si="69"/>
        <v/>
      </c>
      <c r="C437" s="70" t="str">
        <f t="shared" si="70"/>
        <v/>
      </c>
      <c r="D437" s="74" t="str">
        <f t="shared" si="71"/>
        <v/>
      </c>
      <c r="F437" s="65" t="str">
        <f t="shared" si="72"/>
        <v/>
      </c>
      <c r="G437" s="68" t="str">
        <f t="shared" si="73"/>
        <v/>
      </c>
      <c r="H437" s="68" t="str">
        <f t="shared" si="74"/>
        <v/>
      </c>
      <c r="I437" s="68" t="str">
        <f t="shared" si="78"/>
        <v/>
      </c>
      <c r="M437" s="1">
        <v>400</v>
      </c>
      <c r="N437" s="1" t="str">
        <f>IF($T437=0,"",INDEX(TAHSILAT!$E$7:$E$2503,$T437))</f>
        <v/>
      </c>
      <c r="O437" s="1" t="str">
        <f>IF($N437="","",$C$36&amp;" – müşteriden tahsilat: "&amp;INDEX(TAHSILAT!$N$7:$N$2503,$T437)&amp;IF(INDEX(TAHSILAT!$J$7:$J$2503,$T437)="",""," – "&amp;INDEX(TAHSILAT!$J$7:$J$2503,$T437)))</f>
        <v/>
      </c>
      <c r="P437" s="1" t="str">
        <f t="shared" si="68"/>
        <v/>
      </c>
      <c r="Q437" s="1">
        <f>IF($N437="",0,INDEX(TAHSILAT!$F$7:$F$2503,$T437))</f>
        <v>0</v>
      </c>
      <c r="R437" s="1">
        <v>0</v>
      </c>
      <c r="S437" s="1">
        <f t="shared" si="75"/>
        <v>10000000000</v>
      </c>
      <c r="T437" s="1">
        <f>IFERROR(MATCH($C$36&amp;"|364",TAHSILAT!$U$7:$U$2503,0),0)</f>
        <v>0</v>
      </c>
      <c r="V437" s="1">
        <f t="shared" si="76"/>
        <v>10000000000</v>
      </c>
      <c r="W437" s="1">
        <f t="shared" si="77"/>
        <v>9</v>
      </c>
    </row>
    <row r="438" spans="2:23" ht="14.25" customHeight="1" x14ac:dyDescent="0.3">
      <c r="B438" s="65" t="str">
        <f t="shared" si="69"/>
        <v/>
      </c>
      <c r="C438" s="70" t="str">
        <f t="shared" si="70"/>
        <v/>
      </c>
      <c r="D438" s="74" t="str">
        <f t="shared" si="71"/>
        <v/>
      </c>
      <c r="F438" s="65" t="str">
        <f t="shared" si="72"/>
        <v/>
      </c>
      <c r="G438" s="68" t="str">
        <f t="shared" si="73"/>
        <v/>
      </c>
      <c r="H438" s="68" t="str">
        <f t="shared" si="74"/>
        <v/>
      </c>
      <c r="I438" s="68" t="str">
        <f t="shared" si="78"/>
        <v/>
      </c>
      <c r="M438" s="1">
        <v>401</v>
      </c>
      <c r="N438" s="1" t="str">
        <f>IF($T438=0,"",INDEX(TAHSILAT!$E$7:$E$2503,$T438))</f>
        <v/>
      </c>
      <c r="O438" s="1" t="str">
        <f>IF($N438="","",$C$36&amp;" – müşteriden tahsilat: "&amp;INDEX(TAHSILAT!$N$7:$N$2503,$T438)&amp;IF(INDEX(TAHSILAT!$J$7:$J$2503,$T438)="",""," – "&amp;INDEX(TAHSILAT!$J$7:$J$2503,$T438)))</f>
        <v/>
      </c>
      <c r="P438" s="1" t="str">
        <f t="shared" si="68"/>
        <v/>
      </c>
      <c r="Q438" s="1">
        <f>IF($N438="",0,INDEX(TAHSILAT!$F$7:$F$2503,$T438))</f>
        <v>0</v>
      </c>
      <c r="R438" s="1">
        <v>0</v>
      </c>
      <c r="S438" s="1">
        <f t="shared" si="75"/>
        <v>10000000000</v>
      </c>
      <c r="T438" s="1">
        <f>IFERROR(MATCH($C$36&amp;"|365",TAHSILAT!$U$7:$U$2503,0),0)</f>
        <v>0</v>
      </c>
      <c r="V438" s="1">
        <f t="shared" si="76"/>
        <v>10000000000</v>
      </c>
      <c r="W438" s="1">
        <f t="shared" si="77"/>
        <v>9</v>
      </c>
    </row>
    <row r="439" spans="2:23" ht="14.25" customHeight="1" x14ac:dyDescent="0.3">
      <c r="B439" s="65" t="str">
        <f t="shared" si="69"/>
        <v/>
      </c>
      <c r="C439" s="70" t="str">
        <f t="shared" si="70"/>
        <v/>
      </c>
      <c r="D439" s="74" t="str">
        <f t="shared" si="71"/>
        <v/>
      </c>
      <c r="F439" s="65" t="str">
        <f t="shared" si="72"/>
        <v/>
      </c>
      <c r="G439" s="68" t="str">
        <f t="shared" si="73"/>
        <v/>
      </c>
      <c r="H439" s="68" t="str">
        <f t="shared" si="74"/>
        <v/>
      </c>
      <c r="I439" s="68" t="str">
        <f t="shared" si="78"/>
        <v/>
      </c>
      <c r="M439" s="1">
        <v>402</v>
      </c>
      <c r="N439" s="1" t="str">
        <f>IF($T439=0,"",INDEX(TAHSILAT!$E$7:$E$2503,$T439))</f>
        <v/>
      </c>
      <c r="O439" s="1" t="str">
        <f>IF($N439="","",$C$36&amp;" – müşteriden tahsilat: "&amp;INDEX(TAHSILAT!$N$7:$N$2503,$T439)&amp;IF(INDEX(TAHSILAT!$J$7:$J$2503,$T439)="",""," – "&amp;INDEX(TAHSILAT!$J$7:$J$2503,$T439)))</f>
        <v/>
      </c>
      <c r="P439" s="1" t="str">
        <f t="shared" si="68"/>
        <v/>
      </c>
      <c r="Q439" s="1">
        <f>IF($N439="",0,INDEX(TAHSILAT!$F$7:$F$2503,$T439))</f>
        <v>0</v>
      </c>
      <c r="R439" s="1">
        <v>0</v>
      </c>
      <c r="S439" s="1">
        <f t="shared" si="75"/>
        <v>10000000000</v>
      </c>
      <c r="T439" s="1">
        <f>IFERROR(MATCH($C$36&amp;"|366",TAHSILAT!$U$7:$U$2503,0),0)</f>
        <v>0</v>
      </c>
      <c r="V439" s="1">
        <f t="shared" si="76"/>
        <v>10000000000</v>
      </c>
      <c r="W439" s="1">
        <f t="shared" si="77"/>
        <v>9</v>
      </c>
    </row>
    <row r="440" spans="2:23" ht="14.25" customHeight="1" x14ac:dyDescent="0.3">
      <c r="B440" s="65" t="str">
        <f t="shared" si="69"/>
        <v/>
      </c>
      <c r="C440" s="70" t="str">
        <f t="shared" si="70"/>
        <v/>
      </c>
      <c r="D440" s="74" t="str">
        <f t="shared" si="71"/>
        <v/>
      </c>
      <c r="F440" s="65" t="str">
        <f t="shared" si="72"/>
        <v/>
      </c>
      <c r="G440" s="68" t="str">
        <f t="shared" si="73"/>
        <v/>
      </c>
      <c r="H440" s="68" t="str">
        <f t="shared" si="74"/>
        <v/>
      </c>
      <c r="I440" s="68" t="str">
        <f t="shared" si="78"/>
        <v/>
      </c>
      <c r="M440" s="1">
        <v>403</v>
      </c>
      <c r="N440" s="1" t="str">
        <f>IF($T440=0,"",INDEX(TAHSILAT!$E$7:$E$2503,$T440))</f>
        <v/>
      </c>
      <c r="O440" s="1" t="str">
        <f>IF($N440="","",$C$36&amp;" – müşteriden tahsilat: "&amp;INDEX(TAHSILAT!$N$7:$N$2503,$T440)&amp;IF(INDEX(TAHSILAT!$J$7:$J$2503,$T440)="",""," – "&amp;INDEX(TAHSILAT!$J$7:$J$2503,$T440)))</f>
        <v/>
      </c>
      <c r="P440" s="1" t="str">
        <f t="shared" si="68"/>
        <v/>
      </c>
      <c r="Q440" s="1">
        <f>IF($N440="",0,INDEX(TAHSILAT!$F$7:$F$2503,$T440))</f>
        <v>0</v>
      </c>
      <c r="R440" s="1">
        <v>0</v>
      </c>
      <c r="S440" s="1">
        <f t="shared" si="75"/>
        <v>10000000000</v>
      </c>
      <c r="T440" s="1">
        <f>IFERROR(MATCH($C$36&amp;"|367",TAHSILAT!$U$7:$U$2503,0),0)</f>
        <v>0</v>
      </c>
      <c r="V440" s="1">
        <f t="shared" si="76"/>
        <v>10000000000</v>
      </c>
      <c r="W440" s="1">
        <f t="shared" si="77"/>
        <v>9</v>
      </c>
    </row>
    <row r="441" spans="2:23" ht="14.25" customHeight="1" x14ac:dyDescent="0.3">
      <c r="B441" s="65" t="str">
        <f t="shared" si="69"/>
        <v/>
      </c>
      <c r="C441" s="70" t="str">
        <f t="shared" si="70"/>
        <v/>
      </c>
      <c r="D441" s="74" t="str">
        <f t="shared" si="71"/>
        <v/>
      </c>
      <c r="F441" s="65" t="str">
        <f t="shared" si="72"/>
        <v/>
      </c>
      <c r="G441" s="68" t="str">
        <f t="shared" si="73"/>
        <v/>
      </c>
      <c r="H441" s="68" t="str">
        <f t="shared" si="74"/>
        <v/>
      </c>
      <c r="I441" s="68" t="str">
        <f t="shared" si="78"/>
        <v/>
      </c>
      <c r="M441" s="1">
        <v>404</v>
      </c>
      <c r="N441" s="1" t="str">
        <f>IF($T441=0,"",INDEX(TAHSILAT!$E$7:$E$2503,$T441))</f>
        <v/>
      </c>
      <c r="O441" s="1" t="str">
        <f>IF($N441="","",$C$36&amp;" – müşteriden tahsilat: "&amp;INDEX(TAHSILAT!$N$7:$N$2503,$T441)&amp;IF(INDEX(TAHSILAT!$J$7:$J$2503,$T441)="",""," – "&amp;INDEX(TAHSILAT!$J$7:$J$2503,$T441)))</f>
        <v/>
      </c>
      <c r="P441" s="1" t="str">
        <f t="shared" si="68"/>
        <v/>
      </c>
      <c r="Q441" s="1">
        <f>IF($N441="",0,INDEX(TAHSILAT!$F$7:$F$2503,$T441))</f>
        <v>0</v>
      </c>
      <c r="R441" s="1">
        <v>0</v>
      </c>
      <c r="S441" s="1">
        <f t="shared" si="75"/>
        <v>10000000000</v>
      </c>
      <c r="T441" s="1">
        <f>IFERROR(MATCH($C$36&amp;"|368",TAHSILAT!$U$7:$U$2503,0),0)</f>
        <v>0</v>
      </c>
      <c r="V441" s="1">
        <f t="shared" si="76"/>
        <v>10000000000</v>
      </c>
      <c r="W441" s="1">
        <f t="shared" si="77"/>
        <v>9</v>
      </c>
    </row>
    <row r="442" spans="2:23" ht="14.25" customHeight="1" x14ac:dyDescent="0.3">
      <c r="B442" s="65" t="str">
        <f t="shared" si="69"/>
        <v/>
      </c>
      <c r="C442" s="70" t="str">
        <f t="shared" si="70"/>
        <v/>
      </c>
      <c r="D442" s="74" t="str">
        <f t="shared" si="71"/>
        <v/>
      </c>
      <c r="F442" s="65" t="str">
        <f t="shared" si="72"/>
        <v/>
      </c>
      <c r="G442" s="68" t="str">
        <f t="shared" si="73"/>
        <v/>
      </c>
      <c r="H442" s="68" t="str">
        <f t="shared" si="74"/>
        <v/>
      </c>
      <c r="I442" s="68" t="str">
        <f t="shared" si="78"/>
        <v/>
      </c>
      <c r="M442" s="1">
        <v>405</v>
      </c>
      <c r="N442" s="1" t="str">
        <f>IF($T442=0,"",INDEX(TAHSILAT!$E$7:$E$2503,$T442))</f>
        <v/>
      </c>
      <c r="O442" s="1" t="str">
        <f>IF($N442="","",$C$36&amp;" – müşteriden tahsilat: "&amp;INDEX(TAHSILAT!$N$7:$N$2503,$T442)&amp;IF(INDEX(TAHSILAT!$J$7:$J$2503,$T442)="",""," – "&amp;INDEX(TAHSILAT!$J$7:$J$2503,$T442)))</f>
        <v/>
      </c>
      <c r="P442" s="1" t="str">
        <f t="shared" si="68"/>
        <v/>
      </c>
      <c r="Q442" s="1">
        <f>IF($N442="",0,INDEX(TAHSILAT!$F$7:$F$2503,$T442))</f>
        <v>0</v>
      </c>
      <c r="R442" s="1">
        <v>0</v>
      </c>
      <c r="S442" s="1">
        <f t="shared" si="75"/>
        <v>10000000000</v>
      </c>
      <c r="T442" s="1">
        <f>IFERROR(MATCH($C$36&amp;"|369",TAHSILAT!$U$7:$U$2503,0),0)</f>
        <v>0</v>
      </c>
      <c r="V442" s="1">
        <f t="shared" si="76"/>
        <v>10000000000</v>
      </c>
      <c r="W442" s="1">
        <f t="shared" si="77"/>
        <v>9</v>
      </c>
    </row>
    <row r="443" spans="2:23" ht="14.25" customHeight="1" x14ac:dyDescent="0.3">
      <c r="B443" s="65" t="str">
        <f t="shared" si="69"/>
        <v/>
      </c>
      <c r="C443" s="70" t="str">
        <f t="shared" si="70"/>
        <v/>
      </c>
      <c r="D443" s="74" t="str">
        <f t="shared" si="71"/>
        <v/>
      </c>
      <c r="F443" s="65" t="str">
        <f t="shared" si="72"/>
        <v/>
      </c>
      <c r="G443" s="68" t="str">
        <f t="shared" si="73"/>
        <v/>
      </c>
      <c r="H443" s="68" t="str">
        <f t="shared" si="74"/>
        <v/>
      </c>
      <c r="I443" s="68" t="str">
        <f t="shared" si="78"/>
        <v/>
      </c>
      <c r="M443" s="1">
        <v>406</v>
      </c>
      <c r="N443" s="1" t="str">
        <f>IF($T443=0,"",INDEX(TAHSILAT!$E$7:$E$2503,$T443))</f>
        <v/>
      </c>
      <c r="O443" s="1" t="str">
        <f>IF($N443="","",$C$36&amp;" – müşteriden tahsilat: "&amp;INDEX(TAHSILAT!$N$7:$N$2503,$T443)&amp;IF(INDEX(TAHSILAT!$J$7:$J$2503,$T443)="",""," – "&amp;INDEX(TAHSILAT!$J$7:$J$2503,$T443)))</f>
        <v/>
      </c>
      <c r="P443" s="1" t="str">
        <f t="shared" si="68"/>
        <v/>
      </c>
      <c r="Q443" s="1">
        <f>IF($N443="",0,INDEX(TAHSILAT!$F$7:$F$2503,$T443))</f>
        <v>0</v>
      </c>
      <c r="R443" s="1">
        <v>0</v>
      </c>
      <c r="S443" s="1">
        <f t="shared" si="75"/>
        <v>10000000000</v>
      </c>
      <c r="T443" s="1">
        <f>IFERROR(MATCH($C$36&amp;"|370",TAHSILAT!$U$7:$U$2503,0),0)</f>
        <v>0</v>
      </c>
      <c r="V443" s="1">
        <f t="shared" si="76"/>
        <v>10000000000</v>
      </c>
      <c r="W443" s="1">
        <f t="shared" si="77"/>
        <v>9</v>
      </c>
    </row>
    <row r="444" spans="2:23" ht="14.25" customHeight="1" x14ac:dyDescent="0.3">
      <c r="B444" s="65" t="str">
        <f t="shared" si="69"/>
        <v/>
      </c>
      <c r="C444" s="70" t="str">
        <f t="shared" si="70"/>
        <v/>
      </c>
      <c r="D444" s="74" t="str">
        <f t="shared" si="71"/>
        <v/>
      </c>
      <c r="F444" s="65" t="str">
        <f t="shared" si="72"/>
        <v/>
      </c>
      <c r="G444" s="68" t="str">
        <f t="shared" si="73"/>
        <v/>
      </c>
      <c r="H444" s="68" t="str">
        <f t="shared" si="74"/>
        <v/>
      </c>
      <c r="I444" s="68" t="str">
        <f t="shared" si="78"/>
        <v/>
      </c>
      <c r="M444" s="1">
        <v>407</v>
      </c>
      <c r="N444" s="1" t="str">
        <f>IF($T444=0,"",INDEX(TAHSILAT!$E$7:$E$2503,$T444))</f>
        <v/>
      </c>
      <c r="O444" s="1" t="str">
        <f>IF($N444="","",$C$36&amp;" – müşteriden tahsilat: "&amp;INDEX(TAHSILAT!$N$7:$N$2503,$T444)&amp;IF(INDEX(TAHSILAT!$J$7:$J$2503,$T444)="",""," – "&amp;INDEX(TAHSILAT!$J$7:$J$2503,$T444)))</f>
        <v/>
      </c>
      <c r="P444" s="1" t="str">
        <f t="shared" si="68"/>
        <v/>
      </c>
      <c r="Q444" s="1">
        <f>IF($N444="",0,INDEX(TAHSILAT!$F$7:$F$2503,$T444))</f>
        <v>0</v>
      </c>
      <c r="R444" s="1">
        <v>0</v>
      </c>
      <c r="S444" s="1">
        <f t="shared" si="75"/>
        <v>10000000000</v>
      </c>
      <c r="T444" s="1">
        <f>IFERROR(MATCH($C$36&amp;"|371",TAHSILAT!$U$7:$U$2503,0),0)</f>
        <v>0</v>
      </c>
      <c r="V444" s="1">
        <f t="shared" si="76"/>
        <v>10000000000</v>
      </c>
      <c r="W444" s="1">
        <f t="shared" si="77"/>
        <v>9</v>
      </c>
    </row>
    <row r="445" spans="2:23" ht="14.25" customHeight="1" x14ac:dyDescent="0.3">
      <c r="B445" s="65" t="str">
        <f t="shared" si="69"/>
        <v/>
      </c>
      <c r="C445" s="70" t="str">
        <f t="shared" si="70"/>
        <v/>
      </c>
      <c r="D445" s="74" t="str">
        <f t="shared" si="71"/>
        <v/>
      </c>
      <c r="F445" s="65" t="str">
        <f t="shared" si="72"/>
        <v/>
      </c>
      <c r="G445" s="68" t="str">
        <f t="shared" si="73"/>
        <v/>
      </c>
      <c r="H445" s="68" t="str">
        <f t="shared" si="74"/>
        <v/>
      </c>
      <c r="I445" s="68" t="str">
        <f t="shared" si="78"/>
        <v/>
      </c>
      <c r="M445" s="1">
        <v>408</v>
      </c>
      <c r="N445" s="1" t="str">
        <f>IF($T445=0,"",INDEX(TAHSILAT!$E$7:$E$2503,$T445))</f>
        <v/>
      </c>
      <c r="O445" s="1" t="str">
        <f>IF($N445="","",$C$36&amp;" – müşteriden tahsilat: "&amp;INDEX(TAHSILAT!$N$7:$N$2503,$T445)&amp;IF(INDEX(TAHSILAT!$J$7:$J$2503,$T445)="",""," – "&amp;INDEX(TAHSILAT!$J$7:$J$2503,$T445)))</f>
        <v/>
      </c>
      <c r="P445" s="1" t="str">
        <f t="shared" si="68"/>
        <v/>
      </c>
      <c r="Q445" s="1">
        <f>IF($N445="",0,INDEX(TAHSILAT!$F$7:$F$2503,$T445))</f>
        <v>0</v>
      </c>
      <c r="R445" s="1">
        <v>0</v>
      </c>
      <c r="S445" s="1">
        <f t="shared" si="75"/>
        <v>10000000000</v>
      </c>
      <c r="T445" s="1">
        <f>IFERROR(MATCH($C$36&amp;"|372",TAHSILAT!$U$7:$U$2503,0),0)</f>
        <v>0</v>
      </c>
      <c r="V445" s="1">
        <f t="shared" si="76"/>
        <v>10000000000</v>
      </c>
      <c r="W445" s="1">
        <f t="shared" si="77"/>
        <v>9</v>
      </c>
    </row>
    <row r="446" spans="2:23" ht="14.25" customHeight="1" x14ac:dyDescent="0.3">
      <c r="B446" s="65" t="str">
        <f t="shared" si="69"/>
        <v/>
      </c>
      <c r="C446" s="70" t="str">
        <f t="shared" si="70"/>
        <v/>
      </c>
      <c r="D446" s="74" t="str">
        <f t="shared" si="71"/>
        <v/>
      </c>
      <c r="F446" s="65" t="str">
        <f t="shared" si="72"/>
        <v/>
      </c>
      <c r="G446" s="68" t="str">
        <f t="shared" si="73"/>
        <v/>
      </c>
      <c r="H446" s="68" t="str">
        <f t="shared" si="74"/>
        <v/>
      </c>
      <c r="I446" s="68" t="str">
        <f t="shared" si="78"/>
        <v/>
      </c>
      <c r="M446" s="1">
        <v>409</v>
      </c>
      <c r="N446" s="1" t="str">
        <f>IF($T446=0,"",INDEX(TAHSILAT!$E$7:$E$2503,$T446))</f>
        <v/>
      </c>
      <c r="O446" s="1" t="str">
        <f>IF($N446="","",$C$36&amp;" – müşteriden tahsilat: "&amp;INDEX(TAHSILAT!$N$7:$N$2503,$T446)&amp;IF(INDEX(TAHSILAT!$J$7:$J$2503,$T446)="",""," – "&amp;INDEX(TAHSILAT!$J$7:$J$2503,$T446)))</f>
        <v/>
      </c>
      <c r="P446" s="1" t="str">
        <f t="shared" si="68"/>
        <v/>
      </c>
      <c r="Q446" s="1">
        <f>IF($N446="",0,INDEX(TAHSILAT!$F$7:$F$2503,$T446))</f>
        <v>0</v>
      </c>
      <c r="R446" s="1">
        <v>0</v>
      </c>
      <c r="S446" s="1">
        <f t="shared" si="75"/>
        <v>10000000000</v>
      </c>
      <c r="T446" s="1">
        <f>IFERROR(MATCH($C$36&amp;"|373",TAHSILAT!$U$7:$U$2503,0),0)</f>
        <v>0</v>
      </c>
      <c r="V446" s="1">
        <f t="shared" si="76"/>
        <v>10000000000</v>
      </c>
      <c r="W446" s="1">
        <f t="shared" si="77"/>
        <v>9</v>
      </c>
    </row>
    <row r="447" spans="2:23" ht="14.25" customHeight="1" x14ac:dyDescent="0.3">
      <c r="B447" s="65" t="str">
        <f t="shared" si="69"/>
        <v/>
      </c>
      <c r="C447" s="70" t="str">
        <f t="shared" si="70"/>
        <v/>
      </c>
      <c r="D447" s="74" t="str">
        <f t="shared" si="71"/>
        <v/>
      </c>
      <c r="F447" s="65" t="str">
        <f t="shared" si="72"/>
        <v/>
      </c>
      <c r="G447" s="68" t="str">
        <f t="shared" si="73"/>
        <v/>
      </c>
      <c r="H447" s="68" t="str">
        <f t="shared" si="74"/>
        <v/>
      </c>
      <c r="I447" s="68" t="str">
        <f t="shared" si="78"/>
        <v/>
      </c>
      <c r="M447" s="1">
        <v>410</v>
      </c>
      <c r="N447" s="1" t="str">
        <f>IF($T447=0,"",INDEX(TAHSILAT!$E$7:$E$2503,$T447))</f>
        <v/>
      </c>
      <c r="O447" s="1" t="str">
        <f>IF($N447="","",$C$36&amp;" – müşteriden tahsilat: "&amp;INDEX(TAHSILAT!$N$7:$N$2503,$T447)&amp;IF(INDEX(TAHSILAT!$J$7:$J$2503,$T447)="",""," – "&amp;INDEX(TAHSILAT!$J$7:$J$2503,$T447)))</f>
        <v/>
      </c>
      <c r="P447" s="1" t="str">
        <f t="shared" si="68"/>
        <v/>
      </c>
      <c r="Q447" s="1">
        <f>IF($N447="",0,INDEX(TAHSILAT!$F$7:$F$2503,$T447))</f>
        <v>0</v>
      </c>
      <c r="R447" s="1">
        <v>0</v>
      </c>
      <c r="S447" s="1">
        <f t="shared" si="75"/>
        <v>10000000000</v>
      </c>
      <c r="T447" s="1">
        <f>IFERROR(MATCH($C$36&amp;"|374",TAHSILAT!$U$7:$U$2503,0),0)</f>
        <v>0</v>
      </c>
      <c r="V447" s="1">
        <f t="shared" si="76"/>
        <v>10000000000</v>
      </c>
      <c r="W447" s="1">
        <f t="shared" si="77"/>
        <v>9</v>
      </c>
    </row>
    <row r="448" spans="2:23" ht="14.25" customHeight="1" x14ac:dyDescent="0.3">
      <c r="B448" s="65" t="str">
        <f t="shared" si="69"/>
        <v/>
      </c>
      <c r="C448" s="70" t="str">
        <f t="shared" si="70"/>
        <v/>
      </c>
      <c r="D448" s="74" t="str">
        <f t="shared" si="71"/>
        <v/>
      </c>
      <c r="F448" s="65" t="str">
        <f t="shared" si="72"/>
        <v/>
      </c>
      <c r="G448" s="68" t="str">
        <f t="shared" si="73"/>
        <v/>
      </c>
      <c r="H448" s="68" t="str">
        <f t="shared" si="74"/>
        <v/>
      </c>
      <c r="I448" s="68" t="str">
        <f t="shared" si="78"/>
        <v/>
      </c>
      <c r="M448" s="1">
        <v>411</v>
      </c>
      <c r="N448" s="1" t="str">
        <f>IF($T448=0,"",INDEX(TAHSILAT!$E$7:$E$2503,$T448))</f>
        <v/>
      </c>
      <c r="O448" s="1" t="str">
        <f>IF($N448="","",$C$36&amp;" – müşteriden tahsilat: "&amp;INDEX(TAHSILAT!$N$7:$N$2503,$T448)&amp;IF(INDEX(TAHSILAT!$J$7:$J$2503,$T448)="",""," – "&amp;INDEX(TAHSILAT!$J$7:$J$2503,$T448)))</f>
        <v/>
      </c>
      <c r="P448" s="1" t="str">
        <f t="shared" si="68"/>
        <v/>
      </c>
      <c r="Q448" s="1">
        <f>IF($N448="",0,INDEX(TAHSILAT!$F$7:$F$2503,$T448))</f>
        <v>0</v>
      </c>
      <c r="R448" s="1">
        <v>0</v>
      </c>
      <c r="S448" s="1">
        <f t="shared" si="75"/>
        <v>10000000000</v>
      </c>
      <c r="T448" s="1">
        <f>IFERROR(MATCH($C$36&amp;"|375",TAHSILAT!$U$7:$U$2503,0),0)</f>
        <v>0</v>
      </c>
      <c r="V448" s="1">
        <f t="shared" si="76"/>
        <v>10000000000</v>
      </c>
      <c r="W448" s="1">
        <f t="shared" si="77"/>
        <v>9</v>
      </c>
    </row>
    <row r="449" spans="2:23" ht="14.25" customHeight="1" x14ac:dyDescent="0.3">
      <c r="B449" s="65" t="str">
        <f t="shared" si="69"/>
        <v/>
      </c>
      <c r="C449" s="70" t="str">
        <f t="shared" si="70"/>
        <v/>
      </c>
      <c r="D449" s="74" t="str">
        <f t="shared" si="71"/>
        <v/>
      </c>
      <c r="F449" s="65" t="str">
        <f t="shared" si="72"/>
        <v/>
      </c>
      <c r="G449" s="68" t="str">
        <f t="shared" si="73"/>
        <v/>
      </c>
      <c r="H449" s="68" t="str">
        <f t="shared" si="74"/>
        <v/>
      </c>
      <c r="I449" s="68" t="str">
        <f t="shared" si="78"/>
        <v/>
      </c>
      <c r="M449" s="1">
        <v>412</v>
      </c>
      <c r="N449" s="1" t="str">
        <f>IF($T449=0,"",INDEX(TAHSILAT!$E$7:$E$2503,$T449))</f>
        <v/>
      </c>
      <c r="O449" s="1" t="str">
        <f>IF($N449="","",$C$36&amp;" – müşteriden tahsilat: "&amp;INDEX(TAHSILAT!$N$7:$N$2503,$T449)&amp;IF(INDEX(TAHSILAT!$J$7:$J$2503,$T449)="",""," – "&amp;INDEX(TAHSILAT!$J$7:$J$2503,$T449)))</f>
        <v/>
      </c>
      <c r="P449" s="1" t="str">
        <f t="shared" si="68"/>
        <v/>
      </c>
      <c r="Q449" s="1">
        <f>IF($N449="",0,INDEX(TAHSILAT!$F$7:$F$2503,$T449))</f>
        <v>0</v>
      </c>
      <c r="R449" s="1">
        <v>0</v>
      </c>
      <c r="S449" s="1">
        <f t="shared" si="75"/>
        <v>10000000000</v>
      </c>
      <c r="T449" s="1">
        <f>IFERROR(MATCH($C$36&amp;"|376",TAHSILAT!$U$7:$U$2503,0),0)</f>
        <v>0</v>
      </c>
      <c r="V449" s="1">
        <f t="shared" si="76"/>
        <v>10000000000</v>
      </c>
      <c r="W449" s="1">
        <f t="shared" si="77"/>
        <v>9</v>
      </c>
    </row>
    <row r="450" spans="2:23" ht="14.25" customHeight="1" x14ac:dyDescent="0.3">
      <c r="B450" s="65" t="str">
        <f t="shared" si="69"/>
        <v/>
      </c>
      <c r="C450" s="70" t="str">
        <f t="shared" si="70"/>
        <v/>
      </c>
      <c r="D450" s="74" t="str">
        <f t="shared" si="71"/>
        <v/>
      </c>
      <c r="F450" s="65" t="str">
        <f t="shared" si="72"/>
        <v/>
      </c>
      <c r="G450" s="68" t="str">
        <f t="shared" si="73"/>
        <v/>
      </c>
      <c r="H450" s="68" t="str">
        <f t="shared" si="74"/>
        <v/>
      </c>
      <c r="I450" s="68" t="str">
        <f t="shared" si="78"/>
        <v/>
      </c>
      <c r="M450" s="1">
        <v>413</v>
      </c>
      <c r="N450" s="1" t="str">
        <f>IF($T450=0,"",INDEX(TAHSILAT!$E$7:$E$2503,$T450))</f>
        <v/>
      </c>
      <c r="O450" s="1" t="str">
        <f>IF($N450="","",$C$36&amp;" – müşteriden tahsilat: "&amp;INDEX(TAHSILAT!$N$7:$N$2503,$T450)&amp;IF(INDEX(TAHSILAT!$J$7:$J$2503,$T450)="",""," – "&amp;INDEX(TAHSILAT!$J$7:$J$2503,$T450)))</f>
        <v/>
      </c>
      <c r="P450" s="1" t="str">
        <f t="shared" si="68"/>
        <v/>
      </c>
      <c r="Q450" s="1">
        <f>IF($N450="",0,INDEX(TAHSILAT!$F$7:$F$2503,$T450))</f>
        <v>0</v>
      </c>
      <c r="R450" s="1">
        <v>0</v>
      </c>
      <c r="S450" s="1">
        <f t="shared" si="75"/>
        <v>10000000000</v>
      </c>
      <c r="T450" s="1">
        <f>IFERROR(MATCH($C$36&amp;"|377",TAHSILAT!$U$7:$U$2503,0),0)</f>
        <v>0</v>
      </c>
      <c r="V450" s="1">
        <f t="shared" si="76"/>
        <v>10000000000</v>
      </c>
      <c r="W450" s="1">
        <f t="shared" si="77"/>
        <v>9</v>
      </c>
    </row>
    <row r="451" spans="2:23" ht="14.25" customHeight="1" x14ac:dyDescent="0.3">
      <c r="B451" s="65" t="str">
        <f t="shared" si="69"/>
        <v/>
      </c>
      <c r="C451" s="70" t="str">
        <f t="shared" si="70"/>
        <v/>
      </c>
      <c r="D451" s="74" t="str">
        <f t="shared" si="71"/>
        <v/>
      </c>
      <c r="F451" s="65" t="str">
        <f t="shared" si="72"/>
        <v/>
      </c>
      <c r="G451" s="68" t="str">
        <f t="shared" si="73"/>
        <v/>
      </c>
      <c r="H451" s="68" t="str">
        <f t="shared" si="74"/>
        <v/>
      </c>
      <c r="I451" s="68" t="str">
        <f t="shared" si="78"/>
        <v/>
      </c>
      <c r="M451" s="1">
        <v>414</v>
      </c>
      <c r="N451" s="1" t="str">
        <f>IF($T451=0,"",INDEX(TAHSILAT!$E$7:$E$2503,$T451))</f>
        <v/>
      </c>
      <c r="O451" s="1" t="str">
        <f>IF($N451="","",$C$36&amp;" – müşteriden tahsilat: "&amp;INDEX(TAHSILAT!$N$7:$N$2503,$T451)&amp;IF(INDEX(TAHSILAT!$J$7:$J$2503,$T451)="",""," – "&amp;INDEX(TAHSILAT!$J$7:$J$2503,$T451)))</f>
        <v/>
      </c>
      <c r="P451" s="1" t="str">
        <f t="shared" si="68"/>
        <v/>
      </c>
      <c r="Q451" s="1">
        <f>IF($N451="",0,INDEX(TAHSILAT!$F$7:$F$2503,$T451))</f>
        <v>0</v>
      </c>
      <c r="R451" s="1">
        <v>0</v>
      </c>
      <c r="S451" s="1">
        <f t="shared" si="75"/>
        <v>10000000000</v>
      </c>
      <c r="T451" s="1">
        <f>IFERROR(MATCH($C$36&amp;"|378",TAHSILAT!$U$7:$U$2503,0),0)</f>
        <v>0</v>
      </c>
      <c r="V451" s="1">
        <f t="shared" si="76"/>
        <v>10000000000</v>
      </c>
      <c r="W451" s="1">
        <f t="shared" si="77"/>
        <v>9</v>
      </c>
    </row>
    <row r="452" spans="2:23" ht="14.25" customHeight="1" x14ac:dyDescent="0.3">
      <c r="B452" s="65" t="str">
        <f t="shared" si="69"/>
        <v/>
      </c>
      <c r="C452" s="70" t="str">
        <f t="shared" si="70"/>
        <v/>
      </c>
      <c r="D452" s="74" t="str">
        <f t="shared" si="71"/>
        <v/>
      </c>
      <c r="F452" s="65" t="str">
        <f t="shared" si="72"/>
        <v/>
      </c>
      <c r="G452" s="68" t="str">
        <f t="shared" si="73"/>
        <v/>
      </c>
      <c r="H452" s="68" t="str">
        <f t="shared" si="74"/>
        <v/>
      </c>
      <c r="I452" s="68" t="str">
        <f t="shared" si="78"/>
        <v/>
      </c>
      <c r="M452" s="1">
        <v>415</v>
      </c>
      <c r="N452" s="1" t="str">
        <f>IF($T452=0,"",INDEX(TAHSILAT!$E$7:$E$2503,$T452))</f>
        <v/>
      </c>
      <c r="O452" s="1" t="str">
        <f>IF($N452="","",$C$36&amp;" – müşteriden tahsilat: "&amp;INDEX(TAHSILAT!$N$7:$N$2503,$T452)&amp;IF(INDEX(TAHSILAT!$J$7:$J$2503,$T452)="",""," – "&amp;INDEX(TAHSILAT!$J$7:$J$2503,$T452)))</f>
        <v/>
      </c>
      <c r="P452" s="1" t="str">
        <f t="shared" si="68"/>
        <v/>
      </c>
      <c r="Q452" s="1">
        <f>IF($N452="",0,INDEX(TAHSILAT!$F$7:$F$2503,$T452))</f>
        <v>0</v>
      </c>
      <c r="R452" s="1">
        <v>0</v>
      </c>
      <c r="S452" s="1">
        <f t="shared" si="75"/>
        <v>10000000000</v>
      </c>
      <c r="T452" s="1">
        <f>IFERROR(MATCH($C$36&amp;"|379",TAHSILAT!$U$7:$U$2503,0),0)</f>
        <v>0</v>
      </c>
      <c r="V452" s="1">
        <f t="shared" si="76"/>
        <v>10000000000</v>
      </c>
      <c r="W452" s="1">
        <f t="shared" si="77"/>
        <v>9</v>
      </c>
    </row>
    <row r="453" spans="2:23" ht="14.25" customHeight="1" x14ac:dyDescent="0.3">
      <c r="B453" s="65" t="str">
        <f t="shared" si="69"/>
        <v/>
      </c>
      <c r="C453" s="70" t="str">
        <f t="shared" si="70"/>
        <v/>
      </c>
      <c r="D453" s="74" t="str">
        <f t="shared" si="71"/>
        <v/>
      </c>
      <c r="F453" s="65" t="str">
        <f t="shared" si="72"/>
        <v/>
      </c>
      <c r="G453" s="68" t="str">
        <f t="shared" si="73"/>
        <v/>
      </c>
      <c r="H453" s="68" t="str">
        <f t="shared" si="74"/>
        <v/>
      </c>
      <c r="I453" s="68" t="str">
        <f t="shared" si="78"/>
        <v/>
      </c>
      <c r="M453" s="1">
        <v>416</v>
      </c>
      <c r="N453" s="1" t="str">
        <f>IF($T453=0,"",INDEX(TAHSILAT!$E$7:$E$2503,$T453))</f>
        <v/>
      </c>
      <c r="O453" s="1" t="str">
        <f>IF($N453="","",$C$36&amp;" – müşteriden tahsilat: "&amp;INDEX(TAHSILAT!$N$7:$N$2503,$T453)&amp;IF(INDEX(TAHSILAT!$J$7:$J$2503,$T453)="",""," – "&amp;INDEX(TAHSILAT!$J$7:$J$2503,$T453)))</f>
        <v/>
      </c>
      <c r="P453" s="1" t="str">
        <f t="shared" si="68"/>
        <v/>
      </c>
      <c r="Q453" s="1">
        <f>IF($N453="",0,INDEX(TAHSILAT!$F$7:$F$2503,$T453))</f>
        <v>0</v>
      </c>
      <c r="R453" s="1">
        <v>0</v>
      </c>
      <c r="S453" s="1">
        <f t="shared" si="75"/>
        <v>10000000000</v>
      </c>
      <c r="T453" s="1">
        <f>IFERROR(MATCH($C$36&amp;"|380",TAHSILAT!$U$7:$U$2503,0),0)</f>
        <v>0</v>
      </c>
      <c r="V453" s="1">
        <f t="shared" si="76"/>
        <v>10000000000</v>
      </c>
      <c r="W453" s="1">
        <f t="shared" si="77"/>
        <v>9</v>
      </c>
    </row>
    <row r="454" spans="2:23" ht="14.25" customHeight="1" x14ac:dyDescent="0.3">
      <c r="B454" s="65" t="str">
        <f t="shared" si="69"/>
        <v/>
      </c>
      <c r="C454" s="70" t="str">
        <f t="shared" si="70"/>
        <v/>
      </c>
      <c r="D454" s="74" t="str">
        <f t="shared" si="71"/>
        <v/>
      </c>
      <c r="F454" s="65" t="str">
        <f t="shared" si="72"/>
        <v/>
      </c>
      <c r="G454" s="68" t="str">
        <f t="shared" si="73"/>
        <v/>
      </c>
      <c r="H454" s="68" t="str">
        <f t="shared" si="74"/>
        <v/>
      </c>
      <c r="I454" s="68" t="str">
        <f t="shared" si="78"/>
        <v/>
      </c>
      <c r="M454" s="1">
        <v>417</v>
      </c>
      <c r="N454" s="1" t="str">
        <f>IF($T454=0,"",INDEX(TAHSILAT!$E$7:$E$2503,$T454))</f>
        <v/>
      </c>
      <c r="O454" s="1" t="str">
        <f>IF($N454="","",$C$36&amp;" – müşteriden tahsilat: "&amp;INDEX(TAHSILAT!$N$7:$N$2503,$T454)&amp;IF(INDEX(TAHSILAT!$J$7:$J$2503,$T454)="",""," – "&amp;INDEX(TAHSILAT!$J$7:$J$2503,$T454)))</f>
        <v/>
      </c>
      <c r="P454" s="1" t="str">
        <f t="shared" si="68"/>
        <v/>
      </c>
      <c r="Q454" s="1">
        <f>IF($N454="",0,INDEX(TAHSILAT!$F$7:$F$2503,$T454))</f>
        <v>0</v>
      </c>
      <c r="R454" s="1">
        <v>0</v>
      </c>
      <c r="S454" s="1">
        <f t="shared" si="75"/>
        <v>10000000000</v>
      </c>
      <c r="T454" s="1">
        <f>IFERROR(MATCH($C$36&amp;"|381",TAHSILAT!$U$7:$U$2503,0),0)</f>
        <v>0</v>
      </c>
      <c r="V454" s="1">
        <f t="shared" si="76"/>
        <v>10000000000</v>
      </c>
      <c r="W454" s="1">
        <f t="shared" si="77"/>
        <v>9</v>
      </c>
    </row>
    <row r="455" spans="2:23" ht="14.25" customHeight="1" x14ac:dyDescent="0.3">
      <c r="B455" s="65" t="str">
        <f t="shared" si="69"/>
        <v/>
      </c>
      <c r="C455" s="70" t="str">
        <f t="shared" si="70"/>
        <v/>
      </c>
      <c r="D455" s="74" t="str">
        <f t="shared" si="71"/>
        <v/>
      </c>
      <c r="F455" s="65" t="str">
        <f t="shared" si="72"/>
        <v/>
      </c>
      <c r="G455" s="68" t="str">
        <f t="shared" si="73"/>
        <v/>
      </c>
      <c r="H455" s="68" t="str">
        <f t="shared" si="74"/>
        <v/>
      </c>
      <c r="I455" s="68" t="str">
        <f t="shared" si="78"/>
        <v/>
      </c>
      <c r="M455" s="1">
        <v>418</v>
      </c>
      <c r="N455" s="1" t="str">
        <f>IF($T455=0,"",INDEX(TAHSILAT!$E$7:$E$2503,$T455))</f>
        <v/>
      </c>
      <c r="O455" s="1" t="str">
        <f>IF($N455="","",$C$36&amp;" – müşteriden tahsilat: "&amp;INDEX(TAHSILAT!$N$7:$N$2503,$T455)&amp;IF(INDEX(TAHSILAT!$J$7:$J$2503,$T455)="",""," – "&amp;INDEX(TAHSILAT!$J$7:$J$2503,$T455)))</f>
        <v/>
      </c>
      <c r="P455" s="1" t="str">
        <f t="shared" si="68"/>
        <v/>
      </c>
      <c r="Q455" s="1">
        <f>IF($N455="",0,INDEX(TAHSILAT!$F$7:$F$2503,$T455))</f>
        <v>0</v>
      </c>
      <c r="R455" s="1">
        <v>0</v>
      </c>
      <c r="S455" s="1">
        <f t="shared" si="75"/>
        <v>10000000000</v>
      </c>
      <c r="T455" s="1">
        <f>IFERROR(MATCH($C$36&amp;"|382",TAHSILAT!$U$7:$U$2503,0),0)</f>
        <v>0</v>
      </c>
      <c r="V455" s="1">
        <f t="shared" si="76"/>
        <v>10000000000</v>
      </c>
      <c r="W455" s="1">
        <f t="shared" si="77"/>
        <v>9</v>
      </c>
    </row>
    <row r="456" spans="2:23" ht="14.25" customHeight="1" x14ac:dyDescent="0.3">
      <c r="B456" s="65" t="str">
        <f t="shared" si="69"/>
        <v/>
      </c>
      <c r="C456" s="70" t="str">
        <f t="shared" si="70"/>
        <v/>
      </c>
      <c r="D456" s="74" t="str">
        <f t="shared" si="71"/>
        <v/>
      </c>
      <c r="F456" s="65" t="str">
        <f t="shared" si="72"/>
        <v/>
      </c>
      <c r="G456" s="68" t="str">
        <f t="shared" si="73"/>
        <v/>
      </c>
      <c r="H456" s="68" t="str">
        <f t="shared" si="74"/>
        <v/>
      </c>
      <c r="I456" s="68" t="str">
        <f t="shared" si="78"/>
        <v/>
      </c>
      <c r="M456" s="1">
        <v>419</v>
      </c>
      <c r="N456" s="1" t="str">
        <f>IF($T456=0,"",INDEX(TAHSILAT!$E$7:$E$2503,$T456))</f>
        <v/>
      </c>
      <c r="O456" s="1" t="str">
        <f>IF($N456="","",$C$36&amp;" – müşteriden tahsilat: "&amp;INDEX(TAHSILAT!$N$7:$N$2503,$T456)&amp;IF(INDEX(TAHSILAT!$J$7:$J$2503,$T456)="",""," – "&amp;INDEX(TAHSILAT!$J$7:$J$2503,$T456)))</f>
        <v/>
      </c>
      <c r="P456" s="1" t="str">
        <f t="shared" si="68"/>
        <v/>
      </c>
      <c r="Q456" s="1">
        <f>IF($N456="",0,INDEX(TAHSILAT!$F$7:$F$2503,$T456))</f>
        <v>0</v>
      </c>
      <c r="R456" s="1">
        <v>0</v>
      </c>
      <c r="S456" s="1">
        <f t="shared" si="75"/>
        <v>10000000000</v>
      </c>
      <c r="T456" s="1">
        <f>IFERROR(MATCH($C$36&amp;"|383",TAHSILAT!$U$7:$U$2503,0),0)</f>
        <v>0</v>
      </c>
      <c r="V456" s="1">
        <f t="shared" si="76"/>
        <v>10000000000</v>
      </c>
      <c r="W456" s="1">
        <f t="shared" si="77"/>
        <v>9</v>
      </c>
    </row>
    <row r="457" spans="2:23" ht="14.25" customHeight="1" x14ac:dyDescent="0.3">
      <c r="B457" s="65" t="str">
        <f t="shared" si="69"/>
        <v/>
      </c>
      <c r="C457" s="70" t="str">
        <f t="shared" si="70"/>
        <v/>
      </c>
      <c r="D457" s="74" t="str">
        <f t="shared" si="71"/>
        <v/>
      </c>
      <c r="F457" s="65" t="str">
        <f t="shared" si="72"/>
        <v/>
      </c>
      <c r="G457" s="68" t="str">
        <f t="shared" si="73"/>
        <v/>
      </c>
      <c r="H457" s="68" t="str">
        <f t="shared" si="74"/>
        <v/>
      </c>
      <c r="I457" s="68" t="str">
        <f t="shared" si="78"/>
        <v/>
      </c>
      <c r="M457" s="1">
        <v>420</v>
      </c>
      <c r="N457" s="1" t="str">
        <f>IF($T457=0,"",INDEX(TAHSILAT!$E$7:$E$2503,$T457))</f>
        <v/>
      </c>
      <c r="O457" s="1" t="str">
        <f>IF($N457="","",$C$36&amp;" – müşteriden tahsilat: "&amp;INDEX(TAHSILAT!$N$7:$N$2503,$T457)&amp;IF(INDEX(TAHSILAT!$J$7:$J$2503,$T457)="",""," – "&amp;INDEX(TAHSILAT!$J$7:$J$2503,$T457)))</f>
        <v/>
      </c>
      <c r="P457" s="1" t="str">
        <f t="shared" si="68"/>
        <v/>
      </c>
      <c r="Q457" s="1">
        <f>IF($N457="",0,INDEX(TAHSILAT!$F$7:$F$2503,$T457))</f>
        <v>0</v>
      </c>
      <c r="R457" s="1">
        <v>0</v>
      </c>
      <c r="S457" s="1">
        <f t="shared" si="75"/>
        <v>10000000000</v>
      </c>
      <c r="T457" s="1">
        <f>IFERROR(MATCH($C$36&amp;"|384",TAHSILAT!$U$7:$U$2503,0),0)</f>
        <v>0</v>
      </c>
      <c r="V457" s="1">
        <f t="shared" si="76"/>
        <v>10000000000</v>
      </c>
      <c r="W457" s="1">
        <f t="shared" si="77"/>
        <v>9</v>
      </c>
    </row>
    <row r="458" spans="2:23" ht="14.25" customHeight="1" x14ac:dyDescent="0.3">
      <c r="B458" s="65" t="str">
        <f t="shared" si="69"/>
        <v/>
      </c>
      <c r="C458" s="70" t="str">
        <f t="shared" si="70"/>
        <v/>
      </c>
      <c r="D458" s="74" t="str">
        <f t="shared" si="71"/>
        <v/>
      </c>
      <c r="F458" s="65" t="str">
        <f t="shared" si="72"/>
        <v/>
      </c>
      <c r="G458" s="68" t="str">
        <f t="shared" si="73"/>
        <v/>
      </c>
      <c r="H458" s="68" t="str">
        <f t="shared" si="74"/>
        <v/>
      </c>
      <c r="I458" s="68" t="str">
        <f t="shared" si="78"/>
        <v/>
      </c>
      <c r="M458" s="1">
        <v>421</v>
      </c>
      <c r="N458" s="1" t="str">
        <f>IF($T458=0,"",INDEX(TAHSILAT!$E$7:$E$2503,$T458))</f>
        <v/>
      </c>
      <c r="O458" s="1" t="str">
        <f>IF($N458="","",$C$36&amp;" – müşteriden tahsilat: "&amp;INDEX(TAHSILAT!$N$7:$N$2503,$T458)&amp;IF(INDEX(TAHSILAT!$J$7:$J$2503,$T458)="",""," – "&amp;INDEX(TAHSILAT!$J$7:$J$2503,$T458)))</f>
        <v/>
      </c>
      <c r="P458" s="1" t="str">
        <f t="shared" ref="P458:P521" si="79">IF($N458="","","MÜŞTERİDEN ALDI")</f>
        <v/>
      </c>
      <c r="Q458" s="1">
        <f>IF($N458="",0,INDEX(TAHSILAT!$F$7:$F$2503,$T458))</f>
        <v>0</v>
      </c>
      <c r="R458" s="1">
        <v>0</v>
      </c>
      <c r="S458" s="1">
        <f t="shared" si="75"/>
        <v>10000000000</v>
      </c>
      <c r="T458" s="1">
        <f>IFERROR(MATCH($C$36&amp;"|385",TAHSILAT!$U$7:$U$2503,0),0)</f>
        <v>0</v>
      </c>
      <c r="V458" s="1">
        <f t="shared" si="76"/>
        <v>10000000000</v>
      </c>
      <c r="W458" s="1">
        <f t="shared" si="77"/>
        <v>9</v>
      </c>
    </row>
    <row r="459" spans="2:23" ht="14.25" customHeight="1" x14ac:dyDescent="0.3">
      <c r="B459" s="65" t="str">
        <f t="shared" si="69"/>
        <v/>
      </c>
      <c r="C459" s="70" t="str">
        <f t="shared" si="70"/>
        <v/>
      </c>
      <c r="D459" s="74" t="str">
        <f t="shared" si="71"/>
        <v/>
      </c>
      <c r="F459" s="65" t="str">
        <f t="shared" si="72"/>
        <v/>
      </c>
      <c r="G459" s="68" t="str">
        <f t="shared" si="73"/>
        <v/>
      </c>
      <c r="H459" s="68" t="str">
        <f t="shared" si="74"/>
        <v/>
      </c>
      <c r="I459" s="68" t="str">
        <f t="shared" si="78"/>
        <v/>
      </c>
      <c r="M459" s="1">
        <v>422</v>
      </c>
      <c r="N459" s="1" t="str">
        <f>IF($T459=0,"",INDEX(TAHSILAT!$E$7:$E$2503,$T459))</f>
        <v/>
      </c>
      <c r="O459" s="1" t="str">
        <f>IF($N459="","",$C$36&amp;" – müşteriden tahsilat: "&amp;INDEX(TAHSILAT!$N$7:$N$2503,$T459)&amp;IF(INDEX(TAHSILAT!$J$7:$J$2503,$T459)="",""," – "&amp;INDEX(TAHSILAT!$J$7:$J$2503,$T459)))</f>
        <v/>
      </c>
      <c r="P459" s="1" t="str">
        <f t="shared" si="79"/>
        <v/>
      </c>
      <c r="Q459" s="1">
        <f>IF($N459="",0,INDEX(TAHSILAT!$F$7:$F$2503,$T459))</f>
        <v>0</v>
      </c>
      <c r="R459" s="1">
        <v>0</v>
      </c>
      <c r="S459" s="1">
        <f t="shared" si="75"/>
        <v>10000000000</v>
      </c>
      <c r="T459" s="1">
        <f>IFERROR(MATCH($C$36&amp;"|386",TAHSILAT!$U$7:$U$2503,0),0)</f>
        <v>0</v>
      </c>
      <c r="V459" s="1">
        <f t="shared" si="76"/>
        <v>10000000000</v>
      </c>
      <c r="W459" s="1">
        <f t="shared" si="77"/>
        <v>9</v>
      </c>
    </row>
    <row r="460" spans="2:23" ht="14.25" customHeight="1" x14ac:dyDescent="0.3">
      <c r="B460" s="65" t="str">
        <f t="shared" si="69"/>
        <v/>
      </c>
      <c r="C460" s="70" t="str">
        <f t="shared" si="70"/>
        <v/>
      </c>
      <c r="D460" s="74" t="str">
        <f t="shared" si="71"/>
        <v/>
      </c>
      <c r="F460" s="65" t="str">
        <f t="shared" si="72"/>
        <v/>
      </c>
      <c r="G460" s="68" t="str">
        <f t="shared" si="73"/>
        <v/>
      </c>
      <c r="H460" s="68" t="str">
        <f t="shared" si="74"/>
        <v/>
      </c>
      <c r="I460" s="68" t="str">
        <f t="shared" si="78"/>
        <v/>
      </c>
      <c r="M460" s="1">
        <v>423</v>
      </c>
      <c r="N460" s="1" t="str">
        <f>IF($T460=0,"",INDEX(TAHSILAT!$E$7:$E$2503,$T460))</f>
        <v/>
      </c>
      <c r="O460" s="1" t="str">
        <f>IF($N460="","",$C$36&amp;" – müşteriden tahsilat: "&amp;INDEX(TAHSILAT!$N$7:$N$2503,$T460)&amp;IF(INDEX(TAHSILAT!$J$7:$J$2503,$T460)="",""," – "&amp;INDEX(TAHSILAT!$J$7:$J$2503,$T460)))</f>
        <v/>
      </c>
      <c r="P460" s="1" t="str">
        <f t="shared" si="79"/>
        <v/>
      </c>
      <c r="Q460" s="1">
        <f>IF($N460="",0,INDEX(TAHSILAT!$F$7:$F$2503,$T460))</f>
        <v>0</v>
      </c>
      <c r="R460" s="1">
        <v>0</v>
      </c>
      <c r="S460" s="1">
        <f t="shared" si="75"/>
        <v>10000000000</v>
      </c>
      <c r="T460" s="1">
        <f>IFERROR(MATCH($C$36&amp;"|387",TAHSILAT!$U$7:$U$2503,0),0)</f>
        <v>0</v>
      </c>
      <c r="V460" s="1">
        <f t="shared" si="76"/>
        <v>10000000000</v>
      </c>
      <c r="W460" s="1">
        <f t="shared" si="77"/>
        <v>9</v>
      </c>
    </row>
    <row r="461" spans="2:23" ht="14.25" customHeight="1" x14ac:dyDescent="0.3">
      <c r="B461" s="65" t="str">
        <f t="shared" si="69"/>
        <v/>
      </c>
      <c r="C461" s="70" t="str">
        <f t="shared" si="70"/>
        <v/>
      </c>
      <c r="D461" s="74" t="str">
        <f t="shared" si="71"/>
        <v/>
      </c>
      <c r="F461" s="65" t="str">
        <f t="shared" si="72"/>
        <v/>
      </c>
      <c r="G461" s="68" t="str">
        <f t="shared" si="73"/>
        <v/>
      </c>
      <c r="H461" s="68" t="str">
        <f t="shared" si="74"/>
        <v/>
      </c>
      <c r="I461" s="68" t="str">
        <f t="shared" si="78"/>
        <v/>
      </c>
      <c r="M461" s="1">
        <v>424</v>
      </c>
      <c r="N461" s="1" t="str">
        <f>IF($T461=0,"",INDEX(TAHSILAT!$E$7:$E$2503,$T461))</f>
        <v/>
      </c>
      <c r="O461" s="1" t="str">
        <f>IF($N461="","",$C$36&amp;" – müşteriden tahsilat: "&amp;INDEX(TAHSILAT!$N$7:$N$2503,$T461)&amp;IF(INDEX(TAHSILAT!$J$7:$J$2503,$T461)="",""," – "&amp;INDEX(TAHSILAT!$J$7:$J$2503,$T461)))</f>
        <v/>
      </c>
      <c r="P461" s="1" t="str">
        <f t="shared" si="79"/>
        <v/>
      </c>
      <c r="Q461" s="1">
        <f>IF($N461="",0,INDEX(TAHSILAT!$F$7:$F$2503,$T461))</f>
        <v>0</v>
      </c>
      <c r="R461" s="1">
        <v>0</v>
      </c>
      <c r="S461" s="1">
        <f t="shared" si="75"/>
        <v>10000000000</v>
      </c>
      <c r="T461" s="1">
        <f>IFERROR(MATCH($C$36&amp;"|388",TAHSILAT!$U$7:$U$2503,0),0)</f>
        <v>0</v>
      </c>
      <c r="V461" s="1">
        <f t="shared" si="76"/>
        <v>10000000000</v>
      </c>
      <c r="W461" s="1">
        <f t="shared" si="77"/>
        <v>9</v>
      </c>
    </row>
    <row r="462" spans="2:23" ht="14.25" customHeight="1" x14ac:dyDescent="0.3">
      <c r="B462" s="65" t="str">
        <f t="shared" si="69"/>
        <v/>
      </c>
      <c r="C462" s="70" t="str">
        <f t="shared" si="70"/>
        <v/>
      </c>
      <c r="D462" s="74" t="str">
        <f t="shared" si="71"/>
        <v/>
      </c>
      <c r="F462" s="65" t="str">
        <f t="shared" si="72"/>
        <v/>
      </c>
      <c r="G462" s="68" t="str">
        <f t="shared" si="73"/>
        <v/>
      </c>
      <c r="H462" s="68" t="str">
        <f t="shared" si="74"/>
        <v/>
      </c>
      <c r="I462" s="68" t="str">
        <f t="shared" si="78"/>
        <v/>
      </c>
      <c r="M462" s="1">
        <v>425</v>
      </c>
      <c r="N462" s="1" t="str">
        <f>IF($T462=0,"",INDEX(TAHSILAT!$E$7:$E$2503,$T462))</f>
        <v/>
      </c>
      <c r="O462" s="1" t="str">
        <f>IF($N462="","",$C$36&amp;" – müşteriden tahsilat: "&amp;INDEX(TAHSILAT!$N$7:$N$2503,$T462)&amp;IF(INDEX(TAHSILAT!$J$7:$J$2503,$T462)="",""," – "&amp;INDEX(TAHSILAT!$J$7:$J$2503,$T462)))</f>
        <v/>
      </c>
      <c r="P462" s="1" t="str">
        <f t="shared" si="79"/>
        <v/>
      </c>
      <c r="Q462" s="1">
        <f>IF($N462="",0,INDEX(TAHSILAT!$F$7:$F$2503,$T462))</f>
        <v>0</v>
      </c>
      <c r="R462" s="1">
        <v>0</v>
      </c>
      <c r="S462" s="1">
        <f t="shared" si="75"/>
        <v>10000000000</v>
      </c>
      <c r="T462" s="1">
        <f>IFERROR(MATCH($C$36&amp;"|389",TAHSILAT!$U$7:$U$2503,0),0)</f>
        <v>0</v>
      </c>
      <c r="V462" s="1">
        <f t="shared" si="76"/>
        <v>10000000000</v>
      </c>
      <c r="W462" s="1">
        <f t="shared" si="77"/>
        <v>9</v>
      </c>
    </row>
    <row r="463" spans="2:23" ht="14.25" customHeight="1" x14ac:dyDescent="0.3">
      <c r="B463" s="65" t="str">
        <f t="shared" si="69"/>
        <v/>
      </c>
      <c r="C463" s="70" t="str">
        <f t="shared" si="70"/>
        <v/>
      </c>
      <c r="D463" s="74" t="str">
        <f t="shared" si="71"/>
        <v/>
      </c>
      <c r="F463" s="65" t="str">
        <f t="shared" si="72"/>
        <v/>
      </c>
      <c r="G463" s="68" t="str">
        <f t="shared" si="73"/>
        <v/>
      </c>
      <c r="H463" s="68" t="str">
        <f t="shared" si="74"/>
        <v/>
      </c>
      <c r="I463" s="68" t="str">
        <f t="shared" si="78"/>
        <v/>
      </c>
      <c r="M463" s="1">
        <v>426</v>
      </c>
      <c r="N463" s="1" t="str">
        <f>IF($T463=0,"",INDEX(TAHSILAT!$E$7:$E$2503,$T463))</f>
        <v/>
      </c>
      <c r="O463" s="1" t="str">
        <f>IF($N463="","",$C$36&amp;" – müşteriden tahsilat: "&amp;INDEX(TAHSILAT!$N$7:$N$2503,$T463)&amp;IF(INDEX(TAHSILAT!$J$7:$J$2503,$T463)="",""," – "&amp;INDEX(TAHSILAT!$J$7:$J$2503,$T463)))</f>
        <v/>
      </c>
      <c r="P463" s="1" t="str">
        <f t="shared" si="79"/>
        <v/>
      </c>
      <c r="Q463" s="1">
        <f>IF($N463="",0,INDEX(TAHSILAT!$F$7:$F$2503,$T463))</f>
        <v>0</v>
      </c>
      <c r="R463" s="1">
        <v>0</v>
      </c>
      <c r="S463" s="1">
        <f t="shared" si="75"/>
        <v>10000000000</v>
      </c>
      <c r="T463" s="1">
        <f>IFERROR(MATCH($C$36&amp;"|390",TAHSILAT!$U$7:$U$2503,0),0)</f>
        <v>0</v>
      </c>
      <c r="V463" s="1">
        <f t="shared" si="76"/>
        <v>10000000000</v>
      </c>
      <c r="W463" s="1">
        <f t="shared" si="77"/>
        <v>9</v>
      </c>
    </row>
    <row r="464" spans="2:23" ht="14.25" customHeight="1" x14ac:dyDescent="0.3">
      <c r="B464" s="65" t="str">
        <f t="shared" si="69"/>
        <v/>
      </c>
      <c r="C464" s="70" t="str">
        <f t="shared" si="70"/>
        <v/>
      </c>
      <c r="D464" s="74" t="str">
        <f t="shared" si="71"/>
        <v/>
      </c>
      <c r="F464" s="65" t="str">
        <f t="shared" si="72"/>
        <v/>
      </c>
      <c r="G464" s="68" t="str">
        <f t="shared" si="73"/>
        <v/>
      </c>
      <c r="H464" s="68" t="str">
        <f t="shared" si="74"/>
        <v/>
      </c>
      <c r="I464" s="68" t="str">
        <f t="shared" si="78"/>
        <v/>
      </c>
      <c r="M464" s="1">
        <v>427</v>
      </c>
      <c r="N464" s="1" t="str">
        <f>IF($T464=0,"",INDEX(TAHSILAT!$E$7:$E$2503,$T464))</f>
        <v/>
      </c>
      <c r="O464" s="1" t="str">
        <f>IF($N464="","",$C$36&amp;" – müşteriden tahsilat: "&amp;INDEX(TAHSILAT!$N$7:$N$2503,$T464)&amp;IF(INDEX(TAHSILAT!$J$7:$J$2503,$T464)="",""," – "&amp;INDEX(TAHSILAT!$J$7:$J$2503,$T464)))</f>
        <v/>
      </c>
      <c r="P464" s="1" t="str">
        <f t="shared" si="79"/>
        <v/>
      </c>
      <c r="Q464" s="1">
        <f>IF($N464="",0,INDEX(TAHSILAT!$F$7:$F$2503,$T464))</f>
        <v>0</v>
      </c>
      <c r="R464" s="1">
        <v>0</v>
      </c>
      <c r="S464" s="1">
        <f t="shared" si="75"/>
        <v>10000000000</v>
      </c>
      <c r="T464" s="1">
        <f>IFERROR(MATCH($C$36&amp;"|391",TAHSILAT!$U$7:$U$2503,0),0)</f>
        <v>0</v>
      </c>
      <c r="V464" s="1">
        <f t="shared" si="76"/>
        <v>10000000000</v>
      </c>
      <c r="W464" s="1">
        <f t="shared" si="77"/>
        <v>9</v>
      </c>
    </row>
    <row r="465" spans="2:23" ht="14.25" customHeight="1" x14ac:dyDescent="0.3">
      <c r="B465" s="65" t="str">
        <f t="shared" si="69"/>
        <v/>
      </c>
      <c r="C465" s="70" t="str">
        <f t="shared" si="70"/>
        <v/>
      </c>
      <c r="D465" s="74" t="str">
        <f t="shared" si="71"/>
        <v/>
      </c>
      <c r="F465" s="65" t="str">
        <f t="shared" si="72"/>
        <v/>
      </c>
      <c r="G465" s="68" t="str">
        <f t="shared" si="73"/>
        <v/>
      </c>
      <c r="H465" s="68" t="str">
        <f t="shared" si="74"/>
        <v/>
      </c>
      <c r="I465" s="68" t="str">
        <f t="shared" si="78"/>
        <v/>
      </c>
      <c r="M465" s="1">
        <v>428</v>
      </c>
      <c r="N465" s="1" t="str">
        <f>IF($T465=0,"",INDEX(TAHSILAT!$E$7:$E$2503,$T465))</f>
        <v/>
      </c>
      <c r="O465" s="1" t="str">
        <f>IF($N465="","",$C$36&amp;" – müşteriden tahsilat: "&amp;INDEX(TAHSILAT!$N$7:$N$2503,$T465)&amp;IF(INDEX(TAHSILAT!$J$7:$J$2503,$T465)="",""," – "&amp;INDEX(TAHSILAT!$J$7:$J$2503,$T465)))</f>
        <v/>
      </c>
      <c r="P465" s="1" t="str">
        <f t="shared" si="79"/>
        <v/>
      </c>
      <c r="Q465" s="1">
        <f>IF($N465="",0,INDEX(TAHSILAT!$F$7:$F$2503,$T465))</f>
        <v>0</v>
      </c>
      <c r="R465" s="1">
        <v>0</v>
      </c>
      <c r="S465" s="1">
        <f t="shared" si="75"/>
        <v>10000000000</v>
      </c>
      <c r="T465" s="1">
        <f>IFERROR(MATCH($C$36&amp;"|392",TAHSILAT!$U$7:$U$2503,0),0)</f>
        <v>0</v>
      </c>
      <c r="V465" s="1">
        <f t="shared" si="76"/>
        <v>10000000000</v>
      </c>
      <c r="W465" s="1">
        <f t="shared" si="77"/>
        <v>9</v>
      </c>
    </row>
    <row r="466" spans="2:23" ht="14.25" customHeight="1" x14ac:dyDescent="0.3">
      <c r="B466" s="65" t="str">
        <f t="shared" si="69"/>
        <v/>
      </c>
      <c r="C466" s="70" t="str">
        <f t="shared" si="70"/>
        <v/>
      </c>
      <c r="D466" s="74" t="str">
        <f t="shared" si="71"/>
        <v/>
      </c>
      <c r="F466" s="65" t="str">
        <f t="shared" si="72"/>
        <v/>
      </c>
      <c r="G466" s="68" t="str">
        <f t="shared" si="73"/>
        <v/>
      </c>
      <c r="H466" s="68" t="str">
        <f t="shared" si="74"/>
        <v/>
      </c>
      <c r="I466" s="68" t="str">
        <f t="shared" si="78"/>
        <v/>
      </c>
      <c r="M466" s="1">
        <v>429</v>
      </c>
      <c r="N466" s="1" t="str">
        <f>IF($T466=0,"",INDEX(TAHSILAT!$E$7:$E$2503,$T466))</f>
        <v/>
      </c>
      <c r="O466" s="1" t="str">
        <f>IF($N466="","",$C$36&amp;" – müşteriden tahsilat: "&amp;INDEX(TAHSILAT!$N$7:$N$2503,$T466)&amp;IF(INDEX(TAHSILAT!$J$7:$J$2503,$T466)="",""," – "&amp;INDEX(TAHSILAT!$J$7:$J$2503,$T466)))</f>
        <v/>
      </c>
      <c r="P466" s="1" t="str">
        <f t="shared" si="79"/>
        <v/>
      </c>
      <c r="Q466" s="1">
        <f>IF($N466="",0,INDEX(TAHSILAT!$F$7:$F$2503,$T466))</f>
        <v>0</v>
      </c>
      <c r="R466" s="1">
        <v>0</v>
      </c>
      <c r="S466" s="1">
        <f t="shared" si="75"/>
        <v>10000000000</v>
      </c>
      <c r="T466" s="1">
        <f>IFERROR(MATCH($C$36&amp;"|393",TAHSILAT!$U$7:$U$2503,0),0)</f>
        <v>0</v>
      </c>
      <c r="V466" s="1">
        <f t="shared" si="76"/>
        <v>10000000000</v>
      </c>
      <c r="W466" s="1">
        <f t="shared" si="77"/>
        <v>9</v>
      </c>
    </row>
    <row r="467" spans="2:23" ht="14.25" customHeight="1" x14ac:dyDescent="0.3">
      <c r="B467" s="65" t="str">
        <f t="shared" si="69"/>
        <v/>
      </c>
      <c r="C467" s="70" t="str">
        <f t="shared" si="70"/>
        <v/>
      </c>
      <c r="D467" s="74" t="str">
        <f t="shared" si="71"/>
        <v/>
      </c>
      <c r="F467" s="65" t="str">
        <f t="shared" si="72"/>
        <v/>
      </c>
      <c r="G467" s="68" t="str">
        <f t="shared" si="73"/>
        <v/>
      </c>
      <c r="H467" s="68" t="str">
        <f t="shared" si="74"/>
        <v/>
      </c>
      <c r="I467" s="68" t="str">
        <f t="shared" si="78"/>
        <v/>
      </c>
      <c r="M467" s="1">
        <v>430</v>
      </c>
      <c r="N467" s="1" t="str">
        <f>IF($T467=0,"",INDEX(TAHSILAT!$E$7:$E$2503,$T467))</f>
        <v/>
      </c>
      <c r="O467" s="1" t="str">
        <f>IF($N467="","",$C$36&amp;" – müşteriden tahsilat: "&amp;INDEX(TAHSILAT!$N$7:$N$2503,$T467)&amp;IF(INDEX(TAHSILAT!$J$7:$J$2503,$T467)="",""," – "&amp;INDEX(TAHSILAT!$J$7:$J$2503,$T467)))</f>
        <v/>
      </c>
      <c r="P467" s="1" t="str">
        <f t="shared" si="79"/>
        <v/>
      </c>
      <c r="Q467" s="1">
        <f>IF($N467="",0,INDEX(TAHSILAT!$F$7:$F$2503,$T467))</f>
        <v>0</v>
      </c>
      <c r="R467" s="1">
        <v>0</v>
      </c>
      <c r="S467" s="1">
        <f t="shared" si="75"/>
        <v>10000000000</v>
      </c>
      <c r="T467" s="1">
        <f>IFERROR(MATCH($C$36&amp;"|394",TAHSILAT!$U$7:$U$2503,0),0)</f>
        <v>0</v>
      </c>
      <c r="V467" s="1">
        <f t="shared" si="76"/>
        <v>10000000000</v>
      </c>
      <c r="W467" s="1">
        <f t="shared" si="77"/>
        <v>9</v>
      </c>
    </row>
    <row r="468" spans="2:23" ht="14.25" customHeight="1" x14ac:dyDescent="0.3">
      <c r="B468" s="65" t="str">
        <f t="shared" si="69"/>
        <v/>
      </c>
      <c r="C468" s="70" t="str">
        <f t="shared" si="70"/>
        <v/>
      </c>
      <c r="D468" s="74" t="str">
        <f t="shared" si="71"/>
        <v/>
      </c>
      <c r="F468" s="65" t="str">
        <f t="shared" si="72"/>
        <v/>
      </c>
      <c r="G468" s="68" t="str">
        <f t="shared" si="73"/>
        <v/>
      </c>
      <c r="H468" s="68" t="str">
        <f t="shared" si="74"/>
        <v/>
      </c>
      <c r="I468" s="68" t="str">
        <f t="shared" si="78"/>
        <v/>
      </c>
      <c r="M468" s="1">
        <v>431</v>
      </c>
      <c r="N468" s="1" t="str">
        <f>IF($T468=0,"",INDEX(TAHSILAT!$E$7:$E$2503,$T468))</f>
        <v/>
      </c>
      <c r="O468" s="1" t="str">
        <f>IF($N468="","",$C$36&amp;" – müşteriden tahsilat: "&amp;INDEX(TAHSILAT!$N$7:$N$2503,$T468)&amp;IF(INDEX(TAHSILAT!$J$7:$J$2503,$T468)="",""," – "&amp;INDEX(TAHSILAT!$J$7:$J$2503,$T468)))</f>
        <v/>
      </c>
      <c r="P468" s="1" t="str">
        <f t="shared" si="79"/>
        <v/>
      </c>
      <c r="Q468" s="1">
        <f>IF($N468="",0,INDEX(TAHSILAT!$F$7:$F$2503,$T468))</f>
        <v>0</v>
      </c>
      <c r="R468" s="1">
        <v>0</v>
      </c>
      <c r="S468" s="1">
        <f t="shared" si="75"/>
        <v>10000000000</v>
      </c>
      <c r="T468" s="1">
        <f>IFERROR(MATCH($C$36&amp;"|395",TAHSILAT!$U$7:$U$2503,0),0)</f>
        <v>0</v>
      </c>
      <c r="V468" s="1">
        <f t="shared" si="76"/>
        <v>10000000000</v>
      </c>
      <c r="W468" s="1">
        <f t="shared" si="77"/>
        <v>9</v>
      </c>
    </row>
    <row r="469" spans="2:23" ht="14.25" customHeight="1" x14ac:dyDescent="0.3">
      <c r="B469" s="65" t="str">
        <f t="shared" si="69"/>
        <v/>
      </c>
      <c r="C469" s="70" t="str">
        <f t="shared" si="70"/>
        <v/>
      </c>
      <c r="D469" s="74" t="str">
        <f t="shared" si="71"/>
        <v/>
      </c>
      <c r="F469" s="65" t="str">
        <f t="shared" si="72"/>
        <v/>
      </c>
      <c r="G469" s="68" t="str">
        <f t="shared" si="73"/>
        <v/>
      </c>
      <c r="H469" s="68" t="str">
        <f t="shared" si="74"/>
        <v/>
      </c>
      <c r="I469" s="68" t="str">
        <f t="shared" si="78"/>
        <v/>
      </c>
      <c r="M469" s="1">
        <v>432</v>
      </c>
      <c r="N469" s="1" t="str">
        <f>IF($T469=0,"",INDEX(TAHSILAT!$E$7:$E$2503,$T469))</f>
        <v/>
      </c>
      <c r="O469" s="1" t="str">
        <f>IF($N469="","",$C$36&amp;" – müşteriden tahsilat: "&amp;INDEX(TAHSILAT!$N$7:$N$2503,$T469)&amp;IF(INDEX(TAHSILAT!$J$7:$J$2503,$T469)="",""," – "&amp;INDEX(TAHSILAT!$J$7:$J$2503,$T469)))</f>
        <v/>
      </c>
      <c r="P469" s="1" t="str">
        <f t="shared" si="79"/>
        <v/>
      </c>
      <c r="Q469" s="1">
        <f>IF($N469="",0,INDEX(TAHSILAT!$F$7:$F$2503,$T469))</f>
        <v>0</v>
      </c>
      <c r="R469" s="1">
        <v>0</v>
      </c>
      <c r="S469" s="1">
        <f t="shared" si="75"/>
        <v>10000000000</v>
      </c>
      <c r="T469" s="1">
        <f>IFERROR(MATCH($C$36&amp;"|396",TAHSILAT!$U$7:$U$2503,0),0)</f>
        <v>0</v>
      </c>
      <c r="V469" s="1">
        <f t="shared" si="76"/>
        <v>10000000000</v>
      </c>
      <c r="W469" s="1">
        <f t="shared" si="77"/>
        <v>9</v>
      </c>
    </row>
    <row r="470" spans="2:23" ht="14.25" customHeight="1" x14ac:dyDescent="0.3">
      <c r="B470" s="65" t="str">
        <f t="shared" si="69"/>
        <v/>
      </c>
      <c r="C470" s="70" t="str">
        <f t="shared" si="70"/>
        <v/>
      </c>
      <c r="D470" s="74" t="str">
        <f t="shared" si="71"/>
        <v/>
      </c>
      <c r="F470" s="65" t="str">
        <f t="shared" si="72"/>
        <v/>
      </c>
      <c r="G470" s="68" t="str">
        <f t="shared" si="73"/>
        <v/>
      </c>
      <c r="H470" s="68" t="str">
        <f t="shared" si="74"/>
        <v/>
      </c>
      <c r="I470" s="68" t="str">
        <f t="shared" si="78"/>
        <v/>
      </c>
      <c r="M470" s="1">
        <v>433</v>
      </c>
      <c r="N470" s="1" t="str">
        <f>IF($T470=0,"",INDEX(TAHSILAT!$E$7:$E$2503,$T470))</f>
        <v/>
      </c>
      <c r="O470" s="1" t="str">
        <f>IF($N470="","",$C$36&amp;" – müşteriden tahsilat: "&amp;INDEX(TAHSILAT!$N$7:$N$2503,$T470)&amp;IF(INDEX(TAHSILAT!$J$7:$J$2503,$T470)="",""," – "&amp;INDEX(TAHSILAT!$J$7:$J$2503,$T470)))</f>
        <v/>
      </c>
      <c r="P470" s="1" t="str">
        <f t="shared" si="79"/>
        <v/>
      </c>
      <c r="Q470" s="1">
        <f>IF($N470="",0,INDEX(TAHSILAT!$F$7:$F$2503,$T470))</f>
        <v>0</v>
      </c>
      <c r="R470" s="1">
        <v>0</v>
      </c>
      <c r="S470" s="1">
        <f t="shared" si="75"/>
        <v>10000000000</v>
      </c>
      <c r="T470" s="1">
        <f>IFERROR(MATCH($C$36&amp;"|397",TAHSILAT!$U$7:$U$2503,0),0)</f>
        <v>0</v>
      </c>
      <c r="V470" s="1">
        <f t="shared" si="76"/>
        <v>10000000000</v>
      </c>
      <c r="W470" s="1">
        <f t="shared" si="77"/>
        <v>9</v>
      </c>
    </row>
    <row r="471" spans="2:23" ht="14.25" customHeight="1" x14ac:dyDescent="0.3">
      <c r="B471" s="65" t="str">
        <f t="shared" si="69"/>
        <v/>
      </c>
      <c r="C471" s="70" t="str">
        <f t="shared" si="70"/>
        <v/>
      </c>
      <c r="D471" s="74" t="str">
        <f t="shared" si="71"/>
        <v/>
      </c>
      <c r="F471" s="65" t="str">
        <f t="shared" si="72"/>
        <v/>
      </c>
      <c r="G471" s="68" t="str">
        <f t="shared" si="73"/>
        <v/>
      </c>
      <c r="H471" s="68" t="str">
        <f t="shared" si="74"/>
        <v/>
      </c>
      <c r="I471" s="68" t="str">
        <f t="shared" si="78"/>
        <v/>
      </c>
      <c r="M471" s="1">
        <v>434</v>
      </c>
      <c r="N471" s="1" t="str">
        <f>IF($T471=0,"",INDEX(TAHSILAT!$E$7:$E$2503,$T471))</f>
        <v/>
      </c>
      <c r="O471" s="1" t="str">
        <f>IF($N471="","",$C$36&amp;" – müşteriden tahsilat: "&amp;INDEX(TAHSILAT!$N$7:$N$2503,$T471)&amp;IF(INDEX(TAHSILAT!$J$7:$J$2503,$T471)="",""," – "&amp;INDEX(TAHSILAT!$J$7:$J$2503,$T471)))</f>
        <v/>
      </c>
      <c r="P471" s="1" t="str">
        <f t="shared" si="79"/>
        <v/>
      </c>
      <c r="Q471" s="1">
        <f>IF($N471="",0,INDEX(TAHSILAT!$F$7:$F$2503,$T471))</f>
        <v>0</v>
      </c>
      <c r="R471" s="1">
        <v>0</v>
      </c>
      <c r="S471" s="1">
        <f t="shared" si="75"/>
        <v>10000000000</v>
      </c>
      <c r="T471" s="1">
        <f>IFERROR(MATCH($C$36&amp;"|398",TAHSILAT!$U$7:$U$2503,0),0)</f>
        <v>0</v>
      </c>
      <c r="V471" s="1">
        <f t="shared" si="76"/>
        <v>10000000000</v>
      </c>
      <c r="W471" s="1">
        <f t="shared" si="77"/>
        <v>9</v>
      </c>
    </row>
    <row r="472" spans="2:23" ht="14.25" customHeight="1" x14ac:dyDescent="0.3">
      <c r="B472" s="65" t="str">
        <f t="shared" si="69"/>
        <v/>
      </c>
      <c r="C472" s="70" t="str">
        <f t="shared" si="70"/>
        <v/>
      </c>
      <c r="D472" s="74" t="str">
        <f t="shared" si="71"/>
        <v/>
      </c>
      <c r="F472" s="65" t="str">
        <f t="shared" si="72"/>
        <v/>
      </c>
      <c r="G472" s="68" t="str">
        <f t="shared" si="73"/>
        <v/>
      </c>
      <c r="H472" s="68" t="str">
        <f t="shared" si="74"/>
        <v/>
      </c>
      <c r="I472" s="68" t="str">
        <f t="shared" si="78"/>
        <v/>
      </c>
      <c r="M472" s="1">
        <v>435</v>
      </c>
      <c r="N472" s="1" t="str">
        <f>IF($T472=0,"",INDEX(TAHSILAT!$E$7:$E$2503,$T472))</f>
        <v/>
      </c>
      <c r="O472" s="1" t="str">
        <f>IF($N472="","",$C$36&amp;" – müşteriden tahsilat: "&amp;INDEX(TAHSILAT!$N$7:$N$2503,$T472)&amp;IF(INDEX(TAHSILAT!$J$7:$J$2503,$T472)="",""," – "&amp;INDEX(TAHSILAT!$J$7:$J$2503,$T472)))</f>
        <v/>
      </c>
      <c r="P472" s="1" t="str">
        <f t="shared" si="79"/>
        <v/>
      </c>
      <c r="Q472" s="1">
        <f>IF($N472="",0,INDEX(TAHSILAT!$F$7:$F$2503,$T472))</f>
        <v>0</v>
      </c>
      <c r="R472" s="1">
        <v>0</v>
      </c>
      <c r="S472" s="1">
        <f t="shared" si="75"/>
        <v>10000000000</v>
      </c>
      <c r="T472" s="1">
        <f>IFERROR(MATCH($C$36&amp;"|399",TAHSILAT!$U$7:$U$2503,0),0)</f>
        <v>0</v>
      </c>
      <c r="V472" s="1">
        <f t="shared" si="76"/>
        <v>10000000000</v>
      </c>
      <c r="W472" s="1">
        <f t="shared" si="77"/>
        <v>9</v>
      </c>
    </row>
    <row r="473" spans="2:23" ht="14.25" customHeight="1" x14ac:dyDescent="0.3">
      <c r="B473" s="65" t="str">
        <f t="shared" si="69"/>
        <v/>
      </c>
      <c r="C473" s="70" t="str">
        <f t="shared" si="70"/>
        <v/>
      </c>
      <c r="D473" s="74" t="str">
        <f t="shared" si="71"/>
        <v/>
      </c>
      <c r="F473" s="65" t="str">
        <f t="shared" si="72"/>
        <v/>
      </c>
      <c r="G473" s="68" t="str">
        <f t="shared" si="73"/>
        <v/>
      </c>
      <c r="H473" s="68" t="str">
        <f t="shared" si="74"/>
        <v/>
      </c>
      <c r="I473" s="68" t="str">
        <f t="shared" si="78"/>
        <v/>
      </c>
      <c r="M473" s="1">
        <v>436</v>
      </c>
      <c r="N473" s="1" t="str">
        <f>IF($T473=0,"",INDEX(TAHSILAT!$E$7:$E$2503,$T473))</f>
        <v/>
      </c>
      <c r="O473" s="1" t="str">
        <f>IF($N473="","",$C$36&amp;" – müşteriden tahsilat: "&amp;INDEX(TAHSILAT!$N$7:$N$2503,$T473)&amp;IF(INDEX(TAHSILAT!$J$7:$J$2503,$T473)="",""," – "&amp;INDEX(TAHSILAT!$J$7:$J$2503,$T473)))</f>
        <v/>
      </c>
      <c r="P473" s="1" t="str">
        <f t="shared" si="79"/>
        <v/>
      </c>
      <c r="Q473" s="1">
        <f>IF($N473="",0,INDEX(TAHSILAT!$F$7:$F$2503,$T473))</f>
        <v>0</v>
      </c>
      <c r="R473" s="1">
        <v>0</v>
      </c>
      <c r="S473" s="1">
        <f t="shared" si="75"/>
        <v>10000000000</v>
      </c>
      <c r="T473" s="1">
        <f>IFERROR(MATCH($C$36&amp;"|400",TAHSILAT!$U$7:$U$2503,0),0)</f>
        <v>0</v>
      </c>
      <c r="V473" s="1">
        <f t="shared" si="76"/>
        <v>10000000000</v>
      </c>
      <c r="W473" s="1">
        <f t="shared" si="77"/>
        <v>9</v>
      </c>
    </row>
    <row r="474" spans="2:23" ht="14.25" customHeight="1" x14ac:dyDescent="0.3">
      <c r="B474" s="65" t="str">
        <f t="shared" si="69"/>
        <v/>
      </c>
      <c r="C474" s="70" t="str">
        <f t="shared" si="70"/>
        <v/>
      </c>
      <c r="D474" s="74" t="str">
        <f t="shared" si="71"/>
        <v/>
      </c>
      <c r="F474" s="65" t="str">
        <f t="shared" si="72"/>
        <v/>
      </c>
      <c r="G474" s="68" t="str">
        <f t="shared" si="73"/>
        <v/>
      </c>
      <c r="H474" s="68" t="str">
        <f t="shared" si="74"/>
        <v/>
      </c>
      <c r="I474" s="68" t="str">
        <f t="shared" si="78"/>
        <v/>
      </c>
      <c r="M474" s="1">
        <v>437</v>
      </c>
      <c r="N474" s="1" t="str">
        <f>IF($T474=0,"",INDEX(TAHSILAT!$E$7:$E$2503,$T474))</f>
        <v/>
      </c>
      <c r="O474" s="1" t="str">
        <f>IF($N474="","",$C$36&amp;" – müşteriden tahsilat: "&amp;INDEX(TAHSILAT!$N$7:$N$2503,$T474)&amp;IF(INDEX(TAHSILAT!$J$7:$J$2503,$T474)="",""," – "&amp;INDEX(TAHSILAT!$J$7:$J$2503,$T474)))</f>
        <v/>
      </c>
      <c r="P474" s="1" t="str">
        <f t="shared" si="79"/>
        <v/>
      </c>
      <c r="Q474" s="1">
        <f>IF($N474="",0,INDEX(TAHSILAT!$F$7:$F$2503,$T474))</f>
        <v>0</v>
      </c>
      <c r="R474" s="1">
        <v>0</v>
      </c>
      <c r="S474" s="1">
        <f t="shared" si="75"/>
        <v>10000000000</v>
      </c>
      <c r="T474" s="1">
        <f>IFERROR(MATCH($C$36&amp;"|401",TAHSILAT!$U$7:$U$2503,0),0)</f>
        <v>0</v>
      </c>
      <c r="V474" s="1">
        <f t="shared" si="76"/>
        <v>10000000000</v>
      </c>
      <c r="W474" s="1">
        <f t="shared" si="77"/>
        <v>9</v>
      </c>
    </row>
    <row r="475" spans="2:23" ht="14.25" customHeight="1" x14ac:dyDescent="0.3">
      <c r="B475" s="65" t="str">
        <f t="shared" si="69"/>
        <v/>
      </c>
      <c r="C475" s="70" t="str">
        <f t="shared" si="70"/>
        <v/>
      </c>
      <c r="D475" s="74" t="str">
        <f t="shared" si="71"/>
        <v/>
      </c>
      <c r="F475" s="65" t="str">
        <f t="shared" si="72"/>
        <v/>
      </c>
      <c r="G475" s="68" t="str">
        <f t="shared" si="73"/>
        <v/>
      </c>
      <c r="H475" s="68" t="str">
        <f t="shared" si="74"/>
        <v/>
      </c>
      <c r="I475" s="68" t="str">
        <f t="shared" si="78"/>
        <v/>
      </c>
      <c r="M475" s="1">
        <v>438</v>
      </c>
      <c r="N475" s="1" t="str">
        <f>IF($T475=0,"",INDEX(TAHSILAT!$E$7:$E$2503,$T475))</f>
        <v/>
      </c>
      <c r="O475" s="1" t="str">
        <f>IF($N475="","",$C$36&amp;" – müşteriden tahsilat: "&amp;INDEX(TAHSILAT!$N$7:$N$2503,$T475)&amp;IF(INDEX(TAHSILAT!$J$7:$J$2503,$T475)="",""," – "&amp;INDEX(TAHSILAT!$J$7:$J$2503,$T475)))</f>
        <v/>
      </c>
      <c r="P475" s="1" t="str">
        <f t="shared" si="79"/>
        <v/>
      </c>
      <c r="Q475" s="1">
        <f>IF($N475="",0,INDEX(TAHSILAT!$F$7:$F$2503,$T475))</f>
        <v>0</v>
      </c>
      <c r="R475" s="1">
        <v>0</v>
      </c>
      <c r="S475" s="1">
        <f t="shared" si="75"/>
        <v>10000000000</v>
      </c>
      <c r="T475" s="1">
        <f>IFERROR(MATCH($C$36&amp;"|402",TAHSILAT!$U$7:$U$2503,0),0)</f>
        <v>0</v>
      </c>
      <c r="V475" s="1">
        <f t="shared" si="76"/>
        <v>10000000000</v>
      </c>
      <c r="W475" s="1">
        <f t="shared" si="77"/>
        <v>9</v>
      </c>
    </row>
    <row r="476" spans="2:23" ht="14.25" customHeight="1" x14ac:dyDescent="0.3">
      <c r="B476" s="65" t="str">
        <f t="shared" si="69"/>
        <v/>
      </c>
      <c r="C476" s="70" t="str">
        <f t="shared" si="70"/>
        <v/>
      </c>
      <c r="D476" s="74" t="str">
        <f t="shared" si="71"/>
        <v/>
      </c>
      <c r="F476" s="65" t="str">
        <f t="shared" si="72"/>
        <v/>
      </c>
      <c r="G476" s="68" t="str">
        <f t="shared" si="73"/>
        <v/>
      </c>
      <c r="H476" s="68" t="str">
        <f t="shared" si="74"/>
        <v/>
      </c>
      <c r="I476" s="68" t="str">
        <f t="shared" si="78"/>
        <v/>
      </c>
      <c r="M476" s="1">
        <v>439</v>
      </c>
      <c r="N476" s="1" t="str">
        <f>IF($T476=0,"",INDEX(TAHSILAT!$E$7:$E$2503,$T476))</f>
        <v/>
      </c>
      <c r="O476" s="1" t="str">
        <f>IF($N476="","",$C$36&amp;" – müşteriden tahsilat: "&amp;INDEX(TAHSILAT!$N$7:$N$2503,$T476)&amp;IF(INDEX(TAHSILAT!$J$7:$J$2503,$T476)="",""," – "&amp;INDEX(TAHSILAT!$J$7:$J$2503,$T476)))</f>
        <v/>
      </c>
      <c r="P476" s="1" t="str">
        <f t="shared" si="79"/>
        <v/>
      </c>
      <c r="Q476" s="1">
        <f>IF($N476="",0,INDEX(TAHSILAT!$F$7:$F$2503,$T476))</f>
        <v>0</v>
      </c>
      <c r="R476" s="1">
        <v>0</v>
      </c>
      <c r="S476" s="1">
        <f t="shared" si="75"/>
        <v>10000000000</v>
      </c>
      <c r="T476" s="1">
        <f>IFERROR(MATCH($C$36&amp;"|403",TAHSILAT!$U$7:$U$2503,0),0)</f>
        <v>0</v>
      </c>
      <c r="V476" s="1">
        <f t="shared" si="76"/>
        <v>10000000000</v>
      </c>
      <c r="W476" s="1">
        <f t="shared" si="77"/>
        <v>9</v>
      </c>
    </row>
    <row r="477" spans="2:23" ht="14.25" customHeight="1" x14ac:dyDescent="0.3">
      <c r="B477" s="65" t="str">
        <f t="shared" si="69"/>
        <v/>
      </c>
      <c r="C477" s="70" t="str">
        <f t="shared" si="70"/>
        <v/>
      </c>
      <c r="D477" s="74" t="str">
        <f t="shared" si="71"/>
        <v/>
      </c>
      <c r="F477" s="65" t="str">
        <f t="shared" si="72"/>
        <v/>
      </c>
      <c r="G477" s="68" t="str">
        <f t="shared" si="73"/>
        <v/>
      </c>
      <c r="H477" s="68" t="str">
        <f t="shared" si="74"/>
        <v/>
      </c>
      <c r="I477" s="68" t="str">
        <f t="shared" si="78"/>
        <v/>
      </c>
      <c r="M477" s="1">
        <v>440</v>
      </c>
      <c r="N477" s="1" t="str">
        <f>IF($T477=0,"",INDEX(TAHSILAT!$E$7:$E$2503,$T477))</f>
        <v/>
      </c>
      <c r="O477" s="1" t="str">
        <f>IF($N477="","",$C$36&amp;" – müşteriden tahsilat: "&amp;INDEX(TAHSILAT!$N$7:$N$2503,$T477)&amp;IF(INDEX(TAHSILAT!$J$7:$J$2503,$T477)="",""," – "&amp;INDEX(TAHSILAT!$J$7:$J$2503,$T477)))</f>
        <v/>
      </c>
      <c r="P477" s="1" t="str">
        <f t="shared" si="79"/>
        <v/>
      </c>
      <c r="Q477" s="1">
        <f>IF($N477="",0,INDEX(TAHSILAT!$F$7:$F$2503,$T477))</f>
        <v>0</v>
      </c>
      <c r="R477" s="1">
        <v>0</v>
      </c>
      <c r="S477" s="1">
        <f t="shared" si="75"/>
        <v>10000000000</v>
      </c>
      <c r="T477" s="1">
        <f>IFERROR(MATCH($C$36&amp;"|404",TAHSILAT!$U$7:$U$2503,0),0)</f>
        <v>0</v>
      </c>
      <c r="V477" s="1">
        <f t="shared" si="76"/>
        <v>10000000000</v>
      </c>
      <c r="W477" s="1">
        <f t="shared" si="77"/>
        <v>9</v>
      </c>
    </row>
    <row r="478" spans="2:23" ht="14.25" customHeight="1" x14ac:dyDescent="0.3">
      <c r="B478" s="65" t="str">
        <f t="shared" si="69"/>
        <v/>
      </c>
      <c r="C478" s="70" t="str">
        <f t="shared" si="70"/>
        <v/>
      </c>
      <c r="D478" s="74" t="str">
        <f t="shared" si="71"/>
        <v/>
      </c>
      <c r="F478" s="65" t="str">
        <f t="shared" si="72"/>
        <v/>
      </c>
      <c r="G478" s="68" t="str">
        <f t="shared" si="73"/>
        <v/>
      </c>
      <c r="H478" s="68" t="str">
        <f t="shared" si="74"/>
        <v/>
      </c>
      <c r="I478" s="68" t="str">
        <f t="shared" si="78"/>
        <v/>
      </c>
      <c r="M478" s="1">
        <v>441</v>
      </c>
      <c r="N478" s="1" t="str">
        <f>IF($T478=0,"",INDEX(TAHSILAT!$E$7:$E$2503,$T478))</f>
        <v/>
      </c>
      <c r="O478" s="1" t="str">
        <f>IF($N478="","",$C$36&amp;" – müşteriden tahsilat: "&amp;INDEX(TAHSILAT!$N$7:$N$2503,$T478)&amp;IF(INDEX(TAHSILAT!$J$7:$J$2503,$T478)="",""," – "&amp;INDEX(TAHSILAT!$J$7:$J$2503,$T478)))</f>
        <v/>
      </c>
      <c r="P478" s="1" t="str">
        <f t="shared" si="79"/>
        <v/>
      </c>
      <c r="Q478" s="1">
        <f>IF($N478="",0,INDEX(TAHSILAT!$F$7:$F$2503,$T478))</f>
        <v>0</v>
      </c>
      <c r="R478" s="1">
        <v>0</v>
      </c>
      <c r="S478" s="1">
        <f t="shared" si="75"/>
        <v>10000000000</v>
      </c>
      <c r="T478" s="1">
        <f>IFERROR(MATCH($C$36&amp;"|405",TAHSILAT!$U$7:$U$2503,0),0)</f>
        <v>0</v>
      </c>
      <c r="V478" s="1">
        <f t="shared" si="76"/>
        <v>10000000000</v>
      </c>
      <c r="W478" s="1">
        <f t="shared" si="77"/>
        <v>9</v>
      </c>
    </row>
    <row r="479" spans="2:23" ht="14.25" customHeight="1" x14ac:dyDescent="0.3">
      <c r="B479" s="65" t="str">
        <f t="shared" si="69"/>
        <v/>
      </c>
      <c r="C479" s="70" t="str">
        <f t="shared" si="70"/>
        <v/>
      </c>
      <c r="D479" s="74" t="str">
        <f t="shared" si="71"/>
        <v/>
      </c>
      <c r="F479" s="65" t="str">
        <f t="shared" si="72"/>
        <v/>
      </c>
      <c r="G479" s="68" t="str">
        <f t="shared" si="73"/>
        <v/>
      </c>
      <c r="H479" s="68" t="str">
        <f t="shared" si="74"/>
        <v/>
      </c>
      <c r="I479" s="68" t="str">
        <f t="shared" si="78"/>
        <v/>
      </c>
      <c r="M479" s="1">
        <v>442</v>
      </c>
      <c r="N479" s="1" t="str">
        <f>IF($T479=0,"",INDEX(TAHSILAT!$E$7:$E$2503,$T479))</f>
        <v/>
      </c>
      <c r="O479" s="1" t="str">
        <f>IF($N479="","",$C$36&amp;" – müşteriden tahsilat: "&amp;INDEX(TAHSILAT!$N$7:$N$2503,$T479)&amp;IF(INDEX(TAHSILAT!$J$7:$J$2503,$T479)="",""," – "&amp;INDEX(TAHSILAT!$J$7:$J$2503,$T479)))</f>
        <v/>
      </c>
      <c r="P479" s="1" t="str">
        <f t="shared" si="79"/>
        <v/>
      </c>
      <c r="Q479" s="1">
        <f>IF($N479="",0,INDEX(TAHSILAT!$F$7:$F$2503,$T479))</f>
        <v>0</v>
      </c>
      <c r="R479" s="1">
        <v>0</v>
      </c>
      <c r="S479" s="1">
        <f t="shared" si="75"/>
        <v>10000000000</v>
      </c>
      <c r="T479" s="1">
        <f>IFERROR(MATCH($C$36&amp;"|406",TAHSILAT!$U$7:$U$2503,0),0)</f>
        <v>0</v>
      </c>
      <c r="V479" s="1">
        <f t="shared" si="76"/>
        <v>10000000000</v>
      </c>
      <c r="W479" s="1">
        <f t="shared" si="77"/>
        <v>9</v>
      </c>
    </row>
    <row r="480" spans="2:23" ht="14.25" customHeight="1" x14ac:dyDescent="0.3">
      <c r="B480" s="65" t="str">
        <f t="shared" si="69"/>
        <v/>
      </c>
      <c r="C480" s="70" t="str">
        <f t="shared" si="70"/>
        <v/>
      </c>
      <c r="D480" s="74" t="str">
        <f t="shared" si="71"/>
        <v/>
      </c>
      <c r="F480" s="65" t="str">
        <f t="shared" si="72"/>
        <v/>
      </c>
      <c r="G480" s="68" t="str">
        <f t="shared" si="73"/>
        <v/>
      </c>
      <c r="H480" s="68" t="str">
        <f t="shared" si="74"/>
        <v/>
      </c>
      <c r="I480" s="68" t="str">
        <f t="shared" si="78"/>
        <v/>
      </c>
      <c r="M480" s="1">
        <v>443</v>
      </c>
      <c r="N480" s="1" t="str">
        <f>IF($T480=0,"",INDEX(TAHSILAT!$E$7:$E$2503,$T480))</f>
        <v/>
      </c>
      <c r="O480" s="1" t="str">
        <f>IF($N480="","",$C$36&amp;" – müşteriden tahsilat: "&amp;INDEX(TAHSILAT!$N$7:$N$2503,$T480)&amp;IF(INDEX(TAHSILAT!$J$7:$J$2503,$T480)="",""," – "&amp;INDEX(TAHSILAT!$J$7:$J$2503,$T480)))</f>
        <v/>
      </c>
      <c r="P480" s="1" t="str">
        <f t="shared" si="79"/>
        <v/>
      </c>
      <c r="Q480" s="1">
        <f>IF($N480="",0,INDEX(TAHSILAT!$F$7:$F$2503,$T480))</f>
        <v>0</v>
      </c>
      <c r="R480" s="1">
        <v>0</v>
      </c>
      <c r="S480" s="1">
        <f t="shared" si="75"/>
        <v>10000000000</v>
      </c>
      <c r="T480" s="1">
        <f>IFERROR(MATCH($C$36&amp;"|407",TAHSILAT!$U$7:$U$2503,0),0)</f>
        <v>0</v>
      </c>
      <c r="V480" s="1">
        <f t="shared" si="76"/>
        <v>10000000000</v>
      </c>
      <c r="W480" s="1">
        <f t="shared" si="77"/>
        <v>9</v>
      </c>
    </row>
    <row r="481" spans="2:23" ht="14.25" customHeight="1" x14ac:dyDescent="0.3">
      <c r="B481" s="65" t="str">
        <f t="shared" si="69"/>
        <v/>
      </c>
      <c r="C481" s="70" t="str">
        <f t="shared" si="70"/>
        <v/>
      </c>
      <c r="D481" s="74" t="str">
        <f t="shared" si="71"/>
        <v/>
      </c>
      <c r="F481" s="65" t="str">
        <f t="shared" si="72"/>
        <v/>
      </c>
      <c r="G481" s="68" t="str">
        <f t="shared" si="73"/>
        <v/>
      </c>
      <c r="H481" s="68" t="str">
        <f t="shared" si="74"/>
        <v/>
      </c>
      <c r="I481" s="68" t="str">
        <f t="shared" si="78"/>
        <v/>
      </c>
      <c r="M481" s="1">
        <v>444</v>
      </c>
      <c r="N481" s="1" t="str">
        <f>IF($T481=0,"",INDEX(TAHSILAT!$E$7:$E$2503,$T481))</f>
        <v/>
      </c>
      <c r="O481" s="1" t="str">
        <f>IF($N481="","",$C$36&amp;" – müşteriden tahsilat: "&amp;INDEX(TAHSILAT!$N$7:$N$2503,$T481)&amp;IF(INDEX(TAHSILAT!$J$7:$J$2503,$T481)="",""," – "&amp;INDEX(TAHSILAT!$J$7:$J$2503,$T481)))</f>
        <v/>
      </c>
      <c r="P481" s="1" t="str">
        <f t="shared" si="79"/>
        <v/>
      </c>
      <c r="Q481" s="1">
        <f>IF($N481="",0,INDEX(TAHSILAT!$F$7:$F$2503,$T481))</f>
        <v>0</v>
      </c>
      <c r="R481" s="1">
        <v>0</v>
      </c>
      <c r="S481" s="1">
        <f t="shared" si="75"/>
        <v>10000000000</v>
      </c>
      <c r="T481" s="1">
        <f>IFERROR(MATCH($C$36&amp;"|408",TAHSILAT!$U$7:$U$2503,0),0)</f>
        <v>0</v>
      </c>
      <c r="V481" s="1">
        <f t="shared" si="76"/>
        <v>10000000000</v>
      </c>
      <c r="W481" s="1">
        <f t="shared" si="77"/>
        <v>9</v>
      </c>
    </row>
    <row r="482" spans="2:23" ht="14.25" customHeight="1" x14ac:dyDescent="0.3">
      <c r="B482" s="65" t="str">
        <f t="shared" si="69"/>
        <v/>
      </c>
      <c r="C482" s="70" t="str">
        <f t="shared" si="70"/>
        <v/>
      </c>
      <c r="D482" s="74" t="str">
        <f t="shared" si="71"/>
        <v/>
      </c>
      <c r="F482" s="65" t="str">
        <f t="shared" si="72"/>
        <v/>
      </c>
      <c r="G482" s="68" t="str">
        <f t="shared" si="73"/>
        <v/>
      </c>
      <c r="H482" s="68" t="str">
        <f t="shared" si="74"/>
        <v/>
      </c>
      <c r="I482" s="68" t="str">
        <f t="shared" si="78"/>
        <v/>
      </c>
      <c r="M482" s="1">
        <v>445</v>
      </c>
      <c r="N482" s="1" t="str">
        <f>IF($T482=0,"",INDEX(TAHSILAT!$E$7:$E$2503,$T482))</f>
        <v/>
      </c>
      <c r="O482" s="1" t="str">
        <f>IF($N482="","",$C$36&amp;" – müşteriden tahsilat: "&amp;INDEX(TAHSILAT!$N$7:$N$2503,$T482)&amp;IF(INDEX(TAHSILAT!$J$7:$J$2503,$T482)="",""," – "&amp;INDEX(TAHSILAT!$J$7:$J$2503,$T482)))</f>
        <v/>
      </c>
      <c r="P482" s="1" t="str">
        <f t="shared" si="79"/>
        <v/>
      </c>
      <c r="Q482" s="1">
        <f>IF($N482="",0,INDEX(TAHSILAT!$F$7:$F$2503,$T482))</f>
        <v>0</v>
      </c>
      <c r="R482" s="1">
        <v>0</v>
      </c>
      <c r="S482" s="1">
        <f t="shared" si="75"/>
        <v>10000000000</v>
      </c>
      <c r="T482" s="1">
        <f>IFERROR(MATCH($C$36&amp;"|409",TAHSILAT!$U$7:$U$2503,0),0)</f>
        <v>0</v>
      </c>
      <c r="V482" s="1">
        <f t="shared" si="76"/>
        <v>10000000000</v>
      </c>
      <c r="W482" s="1">
        <f t="shared" si="77"/>
        <v>9</v>
      </c>
    </row>
    <row r="483" spans="2:23" ht="14.25" customHeight="1" x14ac:dyDescent="0.3">
      <c r="B483" s="65" t="str">
        <f t="shared" si="69"/>
        <v/>
      </c>
      <c r="C483" s="70" t="str">
        <f t="shared" si="70"/>
        <v/>
      </c>
      <c r="D483" s="74" t="str">
        <f t="shared" si="71"/>
        <v/>
      </c>
      <c r="F483" s="65" t="str">
        <f t="shared" si="72"/>
        <v/>
      </c>
      <c r="G483" s="68" t="str">
        <f t="shared" si="73"/>
        <v/>
      </c>
      <c r="H483" s="68" t="str">
        <f t="shared" si="74"/>
        <v/>
      </c>
      <c r="I483" s="68" t="str">
        <f t="shared" si="78"/>
        <v/>
      </c>
      <c r="M483" s="1">
        <v>446</v>
      </c>
      <c r="N483" s="1" t="str">
        <f>IF($T483=0,"",INDEX(TAHSILAT!$E$7:$E$2503,$T483))</f>
        <v/>
      </c>
      <c r="O483" s="1" t="str">
        <f>IF($N483="","",$C$36&amp;" – müşteriden tahsilat: "&amp;INDEX(TAHSILAT!$N$7:$N$2503,$T483)&amp;IF(INDEX(TAHSILAT!$J$7:$J$2503,$T483)="",""," – "&amp;INDEX(TAHSILAT!$J$7:$J$2503,$T483)))</f>
        <v/>
      </c>
      <c r="P483" s="1" t="str">
        <f t="shared" si="79"/>
        <v/>
      </c>
      <c r="Q483" s="1">
        <f>IF($N483="",0,INDEX(TAHSILAT!$F$7:$F$2503,$T483))</f>
        <v>0</v>
      </c>
      <c r="R483" s="1">
        <v>0</v>
      </c>
      <c r="S483" s="1">
        <f t="shared" si="75"/>
        <v>10000000000</v>
      </c>
      <c r="T483" s="1">
        <f>IFERROR(MATCH($C$36&amp;"|410",TAHSILAT!$U$7:$U$2503,0),0)</f>
        <v>0</v>
      </c>
      <c r="V483" s="1">
        <f t="shared" si="76"/>
        <v>10000000000</v>
      </c>
      <c r="W483" s="1">
        <f t="shared" si="77"/>
        <v>9</v>
      </c>
    </row>
    <row r="484" spans="2:23" ht="14.25" customHeight="1" x14ac:dyDescent="0.3">
      <c r="B484" s="65" t="str">
        <f t="shared" si="69"/>
        <v/>
      </c>
      <c r="C484" s="70" t="str">
        <f t="shared" si="70"/>
        <v/>
      </c>
      <c r="D484" s="74" t="str">
        <f t="shared" si="71"/>
        <v/>
      </c>
      <c r="F484" s="65" t="str">
        <f t="shared" si="72"/>
        <v/>
      </c>
      <c r="G484" s="68" t="str">
        <f t="shared" si="73"/>
        <v/>
      </c>
      <c r="H484" s="68" t="str">
        <f t="shared" si="74"/>
        <v/>
      </c>
      <c r="I484" s="68" t="str">
        <f t="shared" si="78"/>
        <v/>
      </c>
      <c r="M484" s="1">
        <v>447</v>
      </c>
      <c r="N484" s="1" t="str">
        <f>IF($T484=0,"",INDEX(TAHSILAT!$E$7:$E$2503,$T484))</f>
        <v/>
      </c>
      <c r="O484" s="1" t="str">
        <f>IF($N484="","",$C$36&amp;" – müşteriden tahsilat: "&amp;INDEX(TAHSILAT!$N$7:$N$2503,$T484)&amp;IF(INDEX(TAHSILAT!$J$7:$J$2503,$T484)="",""," – "&amp;INDEX(TAHSILAT!$J$7:$J$2503,$T484)))</f>
        <v/>
      </c>
      <c r="P484" s="1" t="str">
        <f t="shared" si="79"/>
        <v/>
      </c>
      <c r="Q484" s="1">
        <f>IF($N484="",0,INDEX(TAHSILAT!$F$7:$F$2503,$T484))</f>
        <v>0</v>
      </c>
      <c r="R484" s="1">
        <v>0</v>
      </c>
      <c r="S484" s="1">
        <f t="shared" si="75"/>
        <v>10000000000</v>
      </c>
      <c r="T484" s="1">
        <f>IFERROR(MATCH($C$36&amp;"|411",TAHSILAT!$U$7:$U$2503,0),0)</f>
        <v>0</v>
      </c>
      <c r="V484" s="1">
        <f t="shared" si="76"/>
        <v>10000000000</v>
      </c>
      <c r="W484" s="1">
        <f t="shared" si="77"/>
        <v>9</v>
      </c>
    </row>
    <row r="485" spans="2:23" ht="14.25" customHeight="1" x14ac:dyDescent="0.3">
      <c r="B485" s="65" t="str">
        <f t="shared" si="69"/>
        <v/>
      </c>
      <c r="C485" s="70" t="str">
        <f t="shared" si="70"/>
        <v/>
      </c>
      <c r="D485" s="74" t="str">
        <f t="shared" si="71"/>
        <v/>
      </c>
      <c r="F485" s="65" t="str">
        <f t="shared" si="72"/>
        <v/>
      </c>
      <c r="G485" s="68" t="str">
        <f t="shared" si="73"/>
        <v/>
      </c>
      <c r="H485" s="68" t="str">
        <f t="shared" si="74"/>
        <v/>
      </c>
      <c r="I485" s="68" t="str">
        <f t="shared" si="78"/>
        <v/>
      </c>
      <c r="M485" s="1">
        <v>448</v>
      </c>
      <c r="N485" s="1" t="str">
        <f>IF($T485=0,"",INDEX(TAHSILAT!$E$7:$E$2503,$T485))</f>
        <v/>
      </c>
      <c r="O485" s="1" t="str">
        <f>IF($N485="","",$C$36&amp;" – müşteriden tahsilat: "&amp;INDEX(TAHSILAT!$N$7:$N$2503,$T485)&amp;IF(INDEX(TAHSILAT!$J$7:$J$2503,$T485)="",""," – "&amp;INDEX(TAHSILAT!$J$7:$J$2503,$T485)))</f>
        <v/>
      </c>
      <c r="P485" s="1" t="str">
        <f t="shared" si="79"/>
        <v/>
      </c>
      <c r="Q485" s="1">
        <f>IF($N485="",0,INDEX(TAHSILAT!$F$7:$F$2503,$T485))</f>
        <v>0</v>
      </c>
      <c r="R485" s="1">
        <v>0</v>
      </c>
      <c r="S485" s="1">
        <f t="shared" si="75"/>
        <v>10000000000</v>
      </c>
      <c r="T485" s="1">
        <f>IFERROR(MATCH($C$36&amp;"|412",TAHSILAT!$U$7:$U$2503,0),0)</f>
        <v>0</v>
      </c>
      <c r="V485" s="1">
        <f t="shared" si="76"/>
        <v>10000000000</v>
      </c>
      <c r="W485" s="1">
        <f t="shared" si="77"/>
        <v>9</v>
      </c>
    </row>
    <row r="486" spans="2:23" ht="14.25" customHeight="1" x14ac:dyDescent="0.3">
      <c r="B486" s="65" t="str">
        <f t="shared" ref="B486:B549" si="80">IF($C486="","",ROW()-37)</f>
        <v/>
      </c>
      <c r="C486" s="70" t="str">
        <f t="shared" ref="C486:C549" si="81">IF($W486="","",IF(INDEX($N$38:$N$953,$W486)="","",INDEX($N$38:$N$953,$W486)))</f>
        <v/>
      </c>
      <c r="D486" s="74" t="str">
        <f t="shared" ref="D486:D549" si="82">IF($C486="","",INDEX($O$38:$O$953,$W486))</f>
        <v/>
      </c>
      <c r="F486" s="65" t="str">
        <f t="shared" ref="F486:F549" si="83">IF($C486="","",INDEX($P$38:$P$953,$W486))</f>
        <v/>
      </c>
      <c r="G486" s="68" t="str">
        <f t="shared" ref="G486:G549" si="84">IF($C486="","",INDEX($Q$38:$Q$953,$W486))</f>
        <v/>
      </c>
      <c r="H486" s="68" t="str">
        <f t="shared" ref="H486:H549" si="85">IF($C486="","",INDEX($R$38:$R$953,$W486))</f>
        <v/>
      </c>
      <c r="I486" s="68" t="str">
        <f t="shared" si="78"/>
        <v/>
      </c>
      <c r="M486" s="1">
        <v>449</v>
      </c>
      <c r="N486" s="1" t="str">
        <f>IF($T486=0,"",INDEX(TAHSILAT!$E$7:$E$2503,$T486))</f>
        <v/>
      </c>
      <c r="O486" s="1" t="str">
        <f>IF($N486="","",$C$36&amp;" – müşteriden tahsilat: "&amp;INDEX(TAHSILAT!$N$7:$N$2503,$T486)&amp;IF(INDEX(TAHSILAT!$J$7:$J$2503,$T486)="",""," – "&amp;INDEX(TAHSILAT!$J$7:$J$2503,$T486)))</f>
        <v/>
      </c>
      <c r="P486" s="1" t="str">
        <f t="shared" si="79"/>
        <v/>
      </c>
      <c r="Q486" s="1">
        <f>IF($N486="",0,INDEX(TAHSILAT!$F$7:$F$2503,$T486))</f>
        <v>0</v>
      </c>
      <c r="R486" s="1">
        <v>0</v>
      </c>
      <c r="S486" s="1">
        <f t="shared" ref="S486:S549" si="86">IF($N486="",10000000000,$N486*100000+$M486)</f>
        <v>10000000000</v>
      </c>
      <c r="T486" s="1">
        <f>IFERROR(MATCH($C$36&amp;"|413",TAHSILAT!$U$7:$U$2503,0),0)</f>
        <v>0</v>
      </c>
      <c r="V486" s="1">
        <f t="shared" ref="V486:V549" si="87">IFERROR(SMALL($S$38:$S$953,ROW()-37),"")</f>
        <v>10000000000</v>
      </c>
      <c r="W486" s="1">
        <f t="shared" ref="W486:W549" si="88">IFERROR(MATCH($V486,$S$38:$S$953,0),"")</f>
        <v>9</v>
      </c>
    </row>
    <row r="487" spans="2:23" ht="14.25" customHeight="1" x14ac:dyDescent="0.3">
      <c r="B487" s="65" t="str">
        <f t="shared" si="80"/>
        <v/>
      </c>
      <c r="C487" s="70" t="str">
        <f t="shared" si="81"/>
        <v/>
      </c>
      <c r="D487" s="74" t="str">
        <f t="shared" si="82"/>
        <v/>
      </c>
      <c r="F487" s="65" t="str">
        <f t="shared" si="83"/>
        <v/>
      </c>
      <c r="G487" s="68" t="str">
        <f t="shared" si="84"/>
        <v/>
      </c>
      <c r="H487" s="68" t="str">
        <f t="shared" si="85"/>
        <v/>
      </c>
      <c r="I487" s="68" t="str">
        <f t="shared" ref="I487:I550" si="89">IF($C487="","",N($I486)+$G487-$H487)</f>
        <v/>
      </c>
      <c r="M487" s="1">
        <v>450</v>
      </c>
      <c r="N487" s="1" t="str">
        <f>IF($T487=0,"",INDEX(TAHSILAT!$E$7:$E$2503,$T487))</f>
        <v/>
      </c>
      <c r="O487" s="1" t="str">
        <f>IF($N487="","",$C$36&amp;" – müşteriden tahsilat: "&amp;INDEX(TAHSILAT!$N$7:$N$2503,$T487)&amp;IF(INDEX(TAHSILAT!$J$7:$J$2503,$T487)="",""," – "&amp;INDEX(TAHSILAT!$J$7:$J$2503,$T487)))</f>
        <v/>
      </c>
      <c r="P487" s="1" t="str">
        <f t="shared" si="79"/>
        <v/>
      </c>
      <c r="Q487" s="1">
        <f>IF($N487="",0,INDEX(TAHSILAT!$F$7:$F$2503,$T487))</f>
        <v>0</v>
      </c>
      <c r="R487" s="1">
        <v>0</v>
      </c>
      <c r="S487" s="1">
        <f t="shared" si="86"/>
        <v>10000000000</v>
      </c>
      <c r="T487" s="1">
        <f>IFERROR(MATCH($C$36&amp;"|414",TAHSILAT!$U$7:$U$2503,0),0)</f>
        <v>0</v>
      </c>
      <c r="V487" s="1">
        <f t="shared" si="87"/>
        <v>10000000000</v>
      </c>
      <c r="W487" s="1">
        <f t="shared" si="88"/>
        <v>9</v>
      </c>
    </row>
    <row r="488" spans="2:23" ht="14.25" customHeight="1" x14ac:dyDescent="0.3">
      <c r="B488" s="65" t="str">
        <f t="shared" si="80"/>
        <v/>
      </c>
      <c r="C488" s="70" t="str">
        <f t="shared" si="81"/>
        <v/>
      </c>
      <c r="D488" s="74" t="str">
        <f t="shared" si="82"/>
        <v/>
      </c>
      <c r="F488" s="65" t="str">
        <f t="shared" si="83"/>
        <v/>
      </c>
      <c r="G488" s="68" t="str">
        <f t="shared" si="84"/>
        <v/>
      </c>
      <c r="H488" s="68" t="str">
        <f t="shared" si="85"/>
        <v/>
      </c>
      <c r="I488" s="68" t="str">
        <f t="shared" si="89"/>
        <v/>
      </c>
      <c r="M488" s="1">
        <v>451</v>
      </c>
      <c r="N488" s="1" t="str">
        <f>IF($T488=0,"",INDEX(TAHSILAT!$E$7:$E$2503,$T488))</f>
        <v/>
      </c>
      <c r="O488" s="1" t="str">
        <f>IF($N488="","",$C$36&amp;" – müşteriden tahsilat: "&amp;INDEX(TAHSILAT!$N$7:$N$2503,$T488)&amp;IF(INDEX(TAHSILAT!$J$7:$J$2503,$T488)="",""," – "&amp;INDEX(TAHSILAT!$J$7:$J$2503,$T488)))</f>
        <v/>
      </c>
      <c r="P488" s="1" t="str">
        <f t="shared" si="79"/>
        <v/>
      </c>
      <c r="Q488" s="1">
        <f>IF($N488="",0,INDEX(TAHSILAT!$F$7:$F$2503,$T488))</f>
        <v>0</v>
      </c>
      <c r="R488" s="1">
        <v>0</v>
      </c>
      <c r="S488" s="1">
        <f t="shared" si="86"/>
        <v>10000000000</v>
      </c>
      <c r="T488" s="1">
        <f>IFERROR(MATCH($C$36&amp;"|415",TAHSILAT!$U$7:$U$2503,0),0)</f>
        <v>0</v>
      </c>
      <c r="V488" s="1">
        <f t="shared" si="87"/>
        <v>10000000000</v>
      </c>
      <c r="W488" s="1">
        <f t="shared" si="88"/>
        <v>9</v>
      </c>
    </row>
    <row r="489" spans="2:23" ht="14.25" customHeight="1" x14ac:dyDescent="0.3">
      <c r="B489" s="65" t="str">
        <f t="shared" si="80"/>
        <v/>
      </c>
      <c r="C489" s="70" t="str">
        <f t="shared" si="81"/>
        <v/>
      </c>
      <c r="D489" s="74" t="str">
        <f t="shared" si="82"/>
        <v/>
      </c>
      <c r="F489" s="65" t="str">
        <f t="shared" si="83"/>
        <v/>
      </c>
      <c r="G489" s="68" t="str">
        <f t="shared" si="84"/>
        <v/>
      </c>
      <c r="H489" s="68" t="str">
        <f t="shared" si="85"/>
        <v/>
      </c>
      <c r="I489" s="68" t="str">
        <f t="shared" si="89"/>
        <v/>
      </c>
      <c r="M489" s="1">
        <v>452</v>
      </c>
      <c r="N489" s="1" t="str">
        <f>IF($T489=0,"",INDEX(TAHSILAT!$E$7:$E$2503,$T489))</f>
        <v/>
      </c>
      <c r="O489" s="1" t="str">
        <f>IF($N489="","",$C$36&amp;" – müşteriden tahsilat: "&amp;INDEX(TAHSILAT!$N$7:$N$2503,$T489)&amp;IF(INDEX(TAHSILAT!$J$7:$J$2503,$T489)="",""," – "&amp;INDEX(TAHSILAT!$J$7:$J$2503,$T489)))</f>
        <v/>
      </c>
      <c r="P489" s="1" t="str">
        <f t="shared" si="79"/>
        <v/>
      </c>
      <c r="Q489" s="1">
        <f>IF($N489="",0,INDEX(TAHSILAT!$F$7:$F$2503,$T489))</f>
        <v>0</v>
      </c>
      <c r="R489" s="1">
        <v>0</v>
      </c>
      <c r="S489" s="1">
        <f t="shared" si="86"/>
        <v>10000000000</v>
      </c>
      <c r="T489" s="1">
        <f>IFERROR(MATCH($C$36&amp;"|416",TAHSILAT!$U$7:$U$2503,0),0)</f>
        <v>0</v>
      </c>
      <c r="V489" s="1">
        <f t="shared" si="87"/>
        <v>10000000000</v>
      </c>
      <c r="W489" s="1">
        <f t="shared" si="88"/>
        <v>9</v>
      </c>
    </row>
    <row r="490" spans="2:23" ht="14.25" customHeight="1" x14ac:dyDescent="0.3">
      <c r="B490" s="65" t="str">
        <f t="shared" si="80"/>
        <v/>
      </c>
      <c r="C490" s="70" t="str">
        <f t="shared" si="81"/>
        <v/>
      </c>
      <c r="D490" s="74" t="str">
        <f t="shared" si="82"/>
        <v/>
      </c>
      <c r="F490" s="65" t="str">
        <f t="shared" si="83"/>
        <v/>
      </c>
      <c r="G490" s="68" t="str">
        <f t="shared" si="84"/>
        <v/>
      </c>
      <c r="H490" s="68" t="str">
        <f t="shared" si="85"/>
        <v/>
      </c>
      <c r="I490" s="68" t="str">
        <f t="shared" si="89"/>
        <v/>
      </c>
      <c r="M490" s="1">
        <v>453</v>
      </c>
      <c r="N490" s="1" t="str">
        <f>IF($T490=0,"",INDEX(TAHSILAT!$E$7:$E$2503,$T490))</f>
        <v/>
      </c>
      <c r="O490" s="1" t="str">
        <f>IF($N490="","",$C$36&amp;" – müşteriden tahsilat: "&amp;INDEX(TAHSILAT!$N$7:$N$2503,$T490)&amp;IF(INDEX(TAHSILAT!$J$7:$J$2503,$T490)="",""," – "&amp;INDEX(TAHSILAT!$J$7:$J$2503,$T490)))</f>
        <v/>
      </c>
      <c r="P490" s="1" t="str">
        <f t="shared" si="79"/>
        <v/>
      </c>
      <c r="Q490" s="1">
        <f>IF($N490="",0,INDEX(TAHSILAT!$F$7:$F$2503,$T490))</f>
        <v>0</v>
      </c>
      <c r="R490" s="1">
        <v>0</v>
      </c>
      <c r="S490" s="1">
        <f t="shared" si="86"/>
        <v>10000000000</v>
      </c>
      <c r="T490" s="1">
        <f>IFERROR(MATCH($C$36&amp;"|417",TAHSILAT!$U$7:$U$2503,0),0)</f>
        <v>0</v>
      </c>
      <c r="V490" s="1">
        <f t="shared" si="87"/>
        <v>10000000000</v>
      </c>
      <c r="W490" s="1">
        <f t="shared" si="88"/>
        <v>9</v>
      </c>
    </row>
    <row r="491" spans="2:23" ht="14.25" customHeight="1" x14ac:dyDescent="0.3">
      <c r="B491" s="65" t="str">
        <f t="shared" si="80"/>
        <v/>
      </c>
      <c r="C491" s="70" t="str">
        <f t="shared" si="81"/>
        <v/>
      </c>
      <c r="D491" s="74" t="str">
        <f t="shared" si="82"/>
        <v/>
      </c>
      <c r="F491" s="65" t="str">
        <f t="shared" si="83"/>
        <v/>
      </c>
      <c r="G491" s="68" t="str">
        <f t="shared" si="84"/>
        <v/>
      </c>
      <c r="H491" s="68" t="str">
        <f t="shared" si="85"/>
        <v/>
      </c>
      <c r="I491" s="68" t="str">
        <f t="shared" si="89"/>
        <v/>
      </c>
      <c r="M491" s="1">
        <v>454</v>
      </c>
      <c r="N491" s="1" t="str">
        <f>IF($T491=0,"",INDEX(TAHSILAT!$E$7:$E$2503,$T491))</f>
        <v/>
      </c>
      <c r="O491" s="1" t="str">
        <f>IF($N491="","",$C$36&amp;" – müşteriden tahsilat: "&amp;INDEX(TAHSILAT!$N$7:$N$2503,$T491)&amp;IF(INDEX(TAHSILAT!$J$7:$J$2503,$T491)="",""," – "&amp;INDEX(TAHSILAT!$J$7:$J$2503,$T491)))</f>
        <v/>
      </c>
      <c r="P491" s="1" t="str">
        <f t="shared" si="79"/>
        <v/>
      </c>
      <c r="Q491" s="1">
        <f>IF($N491="",0,INDEX(TAHSILAT!$F$7:$F$2503,$T491))</f>
        <v>0</v>
      </c>
      <c r="R491" s="1">
        <v>0</v>
      </c>
      <c r="S491" s="1">
        <f t="shared" si="86"/>
        <v>10000000000</v>
      </c>
      <c r="T491" s="1">
        <f>IFERROR(MATCH($C$36&amp;"|418",TAHSILAT!$U$7:$U$2503,0),0)</f>
        <v>0</v>
      </c>
      <c r="V491" s="1">
        <f t="shared" si="87"/>
        <v>10000000000</v>
      </c>
      <c r="W491" s="1">
        <f t="shared" si="88"/>
        <v>9</v>
      </c>
    </row>
    <row r="492" spans="2:23" ht="14.25" customHeight="1" x14ac:dyDescent="0.3">
      <c r="B492" s="65" t="str">
        <f t="shared" si="80"/>
        <v/>
      </c>
      <c r="C492" s="70" t="str">
        <f t="shared" si="81"/>
        <v/>
      </c>
      <c r="D492" s="74" t="str">
        <f t="shared" si="82"/>
        <v/>
      </c>
      <c r="F492" s="65" t="str">
        <f t="shared" si="83"/>
        <v/>
      </c>
      <c r="G492" s="68" t="str">
        <f t="shared" si="84"/>
        <v/>
      </c>
      <c r="H492" s="68" t="str">
        <f t="shared" si="85"/>
        <v/>
      </c>
      <c r="I492" s="68" t="str">
        <f t="shared" si="89"/>
        <v/>
      </c>
      <c r="M492" s="1">
        <v>455</v>
      </c>
      <c r="N492" s="1" t="str">
        <f>IF($T492=0,"",INDEX(TAHSILAT!$E$7:$E$2503,$T492))</f>
        <v/>
      </c>
      <c r="O492" s="1" t="str">
        <f>IF($N492="","",$C$36&amp;" – müşteriden tahsilat: "&amp;INDEX(TAHSILAT!$N$7:$N$2503,$T492)&amp;IF(INDEX(TAHSILAT!$J$7:$J$2503,$T492)="",""," – "&amp;INDEX(TAHSILAT!$J$7:$J$2503,$T492)))</f>
        <v/>
      </c>
      <c r="P492" s="1" t="str">
        <f t="shared" si="79"/>
        <v/>
      </c>
      <c r="Q492" s="1">
        <f>IF($N492="",0,INDEX(TAHSILAT!$F$7:$F$2503,$T492))</f>
        <v>0</v>
      </c>
      <c r="R492" s="1">
        <v>0</v>
      </c>
      <c r="S492" s="1">
        <f t="shared" si="86"/>
        <v>10000000000</v>
      </c>
      <c r="T492" s="1">
        <f>IFERROR(MATCH($C$36&amp;"|419",TAHSILAT!$U$7:$U$2503,0),0)</f>
        <v>0</v>
      </c>
      <c r="V492" s="1">
        <f t="shared" si="87"/>
        <v>10000000000</v>
      </c>
      <c r="W492" s="1">
        <f t="shared" si="88"/>
        <v>9</v>
      </c>
    </row>
    <row r="493" spans="2:23" ht="14.25" customHeight="1" x14ac:dyDescent="0.3">
      <c r="B493" s="65" t="str">
        <f t="shared" si="80"/>
        <v/>
      </c>
      <c r="C493" s="70" t="str">
        <f t="shared" si="81"/>
        <v/>
      </c>
      <c r="D493" s="74" t="str">
        <f t="shared" si="82"/>
        <v/>
      </c>
      <c r="F493" s="65" t="str">
        <f t="shared" si="83"/>
        <v/>
      </c>
      <c r="G493" s="68" t="str">
        <f t="shared" si="84"/>
        <v/>
      </c>
      <c r="H493" s="68" t="str">
        <f t="shared" si="85"/>
        <v/>
      </c>
      <c r="I493" s="68" t="str">
        <f t="shared" si="89"/>
        <v/>
      </c>
      <c r="M493" s="1">
        <v>456</v>
      </c>
      <c r="N493" s="1" t="str">
        <f>IF($T493=0,"",INDEX(TAHSILAT!$E$7:$E$2503,$T493))</f>
        <v/>
      </c>
      <c r="O493" s="1" t="str">
        <f>IF($N493="","",$C$36&amp;" – müşteriden tahsilat: "&amp;INDEX(TAHSILAT!$N$7:$N$2503,$T493)&amp;IF(INDEX(TAHSILAT!$J$7:$J$2503,$T493)="",""," – "&amp;INDEX(TAHSILAT!$J$7:$J$2503,$T493)))</f>
        <v/>
      </c>
      <c r="P493" s="1" t="str">
        <f t="shared" si="79"/>
        <v/>
      </c>
      <c r="Q493" s="1">
        <f>IF($N493="",0,INDEX(TAHSILAT!$F$7:$F$2503,$T493))</f>
        <v>0</v>
      </c>
      <c r="R493" s="1">
        <v>0</v>
      </c>
      <c r="S493" s="1">
        <f t="shared" si="86"/>
        <v>10000000000</v>
      </c>
      <c r="T493" s="1">
        <f>IFERROR(MATCH($C$36&amp;"|420",TAHSILAT!$U$7:$U$2503,0),0)</f>
        <v>0</v>
      </c>
      <c r="V493" s="1">
        <f t="shared" si="87"/>
        <v>10000000000</v>
      </c>
      <c r="W493" s="1">
        <f t="shared" si="88"/>
        <v>9</v>
      </c>
    </row>
    <row r="494" spans="2:23" ht="14.25" customHeight="1" x14ac:dyDescent="0.3">
      <c r="B494" s="65" t="str">
        <f t="shared" si="80"/>
        <v/>
      </c>
      <c r="C494" s="70" t="str">
        <f t="shared" si="81"/>
        <v/>
      </c>
      <c r="D494" s="74" t="str">
        <f t="shared" si="82"/>
        <v/>
      </c>
      <c r="F494" s="65" t="str">
        <f t="shared" si="83"/>
        <v/>
      </c>
      <c r="G494" s="68" t="str">
        <f t="shared" si="84"/>
        <v/>
      </c>
      <c r="H494" s="68" t="str">
        <f t="shared" si="85"/>
        <v/>
      </c>
      <c r="I494" s="68" t="str">
        <f t="shared" si="89"/>
        <v/>
      </c>
      <c r="M494" s="1">
        <v>457</v>
      </c>
      <c r="N494" s="1" t="str">
        <f>IF($T494=0,"",INDEX(TAHSILAT!$E$7:$E$2503,$T494))</f>
        <v/>
      </c>
      <c r="O494" s="1" t="str">
        <f>IF($N494="","",$C$36&amp;" – müşteriden tahsilat: "&amp;INDEX(TAHSILAT!$N$7:$N$2503,$T494)&amp;IF(INDEX(TAHSILAT!$J$7:$J$2503,$T494)="",""," – "&amp;INDEX(TAHSILAT!$J$7:$J$2503,$T494)))</f>
        <v/>
      </c>
      <c r="P494" s="1" t="str">
        <f t="shared" si="79"/>
        <v/>
      </c>
      <c r="Q494" s="1">
        <f>IF($N494="",0,INDEX(TAHSILAT!$F$7:$F$2503,$T494))</f>
        <v>0</v>
      </c>
      <c r="R494" s="1">
        <v>0</v>
      </c>
      <c r="S494" s="1">
        <f t="shared" si="86"/>
        <v>10000000000</v>
      </c>
      <c r="T494" s="1">
        <f>IFERROR(MATCH($C$36&amp;"|421",TAHSILAT!$U$7:$U$2503,0),0)</f>
        <v>0</v>
      </c>
      <c r="V494" s="1">
        <f t="shared" si="87"/>
        <v>10000000000</v>
      </c>
      <c r="W494" s="1">
        <f t="shared" si="88"/>
        <v>9</v>
      </c>
    </row>
    <row r="495" spans="2:23" ht="14.25" customHeight="1" x14ac:dyDescent="0.3">
      <c r="B495" s="65" t="str">
        <f t="shared" si="80"/>
        <v/>
      </c>
      <c r="C495" s="70" t="str">
        <f t="shared" si="81"/>
        <v/>
      </c>
      <c r="D495" s="74" t="str">
        <f t="shared" si="82"/>
        <v/>
      </c>
      <c r="F495" s="65" t="str">
        <f t="shared" si="83"/>
        <v/>
      </c>
      <c r="G495" s="68" t="str">
        <f t="shared" si="84"/>
        <v/>
      </c>
      <c r="H495" s="68" t="str">
        <f t="shared" si="85"/>
        <v/>
      </c>
      <c r="I495" s="68" t="str">
        <f t="shared" si="89"/>
        <v/>
      </c>
      <c r="M495" s="1">
        <v>458</v>
      </c>
      <c r="N495" s="1" t="str">
        <f>IF($T495=0,"",INDEX(TAHSILAT!$E$7:$E$2503,$T495))</f>
        <v/>
      </c>
      <c r="O495" s="1" t="str">
        <f>IF($N495="","",$C$36&amp;" – müşteriden tahsilat: "&amp;INDEX(TAHSILAT!$N$7:$N$2503,$T495)&amp;IF(INDEX(TAHSILAT!$J$7:$J$2503,$T495)="",""," – "&amp;INDEX(TAHSILAT!$J$7:$J$2503,$T495)))</f>
        <v/>
      </c>
      <c r="P495" s="1" t="str">
        <f t="shared" si="79"/>
        <v/>
      </c>
      <c r="Q495" s="1">
        <f>IF($N495="",0,INDEX(TAHSILAT!$F$7:$F$2503,$T495))</f>
        <v>0</v>
      </c>
      <c r="R495" s="1">
        <v>0</v>
      </c>
      <c r="S495" s="1">
        <f t="shared" si="86"/>
        <v>10000000000</v>
      </c>
      <c r="T495" s="1">
        <f>IFERROR(MATCH($C$36&amp;"|422",TAHSILAT!$U$7:$U$2503,0),0)</f>
        <v>0</v>
      </c>
      <c r="V495" s="1">
        <f t="shared" si="87"/>
        <v>10000000000</v>
      </c>
      <c r="W495" s="1">
        <f t="shared" si="88"/>
        <v>9</v>
      </c>
    </row>
    <row r="496" spans="2:23" ht="14.25" customHeight="1" x14ac:dyDescent="0.3">
      <c r="B496" s="65" t="str">
        <f t="shared" si="80"/>
        <v/>
      </c>
      <c r="C496" s="70" t="str">
        <f t="shared" si="81"/>
        <v/>
      </c>
      <c r="D496" s="74" t="str">
        <f t="shared" si="82"/>
        <v/>
      </c>
      <c r="F496" s="65" t="str">
        <f t="shared" si="83"/>
        <v/>
      </c>
      <c r="G496" s="68" t="str">
        <f t="shared" si="84"/>
        <v/>
      </c>
      <c r="H496" s="68" t="str">
        <f t="shared" si="85"/>
        <v/>
      </c>
      <c r="I496" s="68" t="str">
        <f t="shared" si="89"/>
        <v/>
      </c>
      <c r="M496" s="1">
        <v>459</v>
      </c>
      <c r="N496" s="1" t="str">
        <f>IF($T496=0,"",INDEX(TAHSILAT!$E$7:$E$2503,$T496))</f>
        <v/>
      </c>
      <c r="O496" s="1" t="str">
        <f>IF($N496="","",$C$36&amp;" – müşteriden tahsilat: "&amp;INDEX(TAHSILAT!$N$7:$N$2503,$T496)&amp;IF(INDEX(TAHSILAT!$J$7:$J$2503,$T496)="",""," – "&amp;INDEX(TAHSILAT!$J$7:$J$2503,$T496)))</f>
        <v/>
      </c>
      <c r="P496" s="1" t="str">
        <f t="shared" si="79"/>
        <v/>
      </c>
      <c r="Q496" s="1">
        <f>IF($N496="",0,INDEX(TAHSILAT!$F$7:$F$2503,$T496))</f>
        <v>0</v>
      </c>
      <c r="R496" s="1">
        <v>0</v>
      </c>
      <c r="S496" s="1">
        <f t="shared" si="86"/>
        <v>10000000000</v>
      </c>
      <c r="T496" s="1">
        <f>IFERROR(MATCH($C$36&amp;"|423",TAHSILAT!$U$7:$U$2503,0),0)</f>
        <v>0</v>
      </c>
      <c r="V496" s="1">
        <f t="shared" si="87"/>
        <v>10000000000</v>
      </c>
      <c r="W496" s="1">
        <f t="shared" si="88"/>
        <v>9</v>
      </c>
    </row>
    <row r="497" spans="2:23" ht="14.25" customHeight="1" x14ac:dyDescent="0.3">
      <c r="B497" s="65" t="str">
        <f t="shared" si="80"/>
        <v/>
      </c>
      <c r="C497" s="70" t="str">
        <f t="shared" si="81"/>
        <v/>
      </c>
      <c r="D497" s="74" t="str">
        <f t="shared" si="82"/>
        <v/>
      </c>
      <c r="F497" s="65" t="str">
        <f t="shared" si="83"/>
        <v/>
      </c>
      <c r="G497" s="68" t="str">
        <f t="shared" si="84"/>
        <v/>
      </c>
      <c r="H497" s="68" t="str">
        <f t="shared" si="85"/>
        <v/>
      </c>
      <c r="I497" s="68" t="str">
        <f t="shared" si="89"/>
        <v/>
      </c>
      <c r="M497" s="1">
        <v>460</v>
      </c>
      <c r="N497" s="1" t="str">
        <f>IF($T497=0,"",INDEX(TAHSILAT!$E$7:$E$2503,$T497))</f>
        <v/>
      </c>
      <c r="O497" s="1" t="str">
        <f>IF($N497="","",$C$36&amp;" – müşteriden tahsilat: "&amp;INDEX(TAHSILAT!$N$7:$N$2503,$T497)&amp;IF(INDEX(TAHSILAT!$J$7:$J$2503,$T497)="",""," – "&amp;INDEX(TAHSILAT!$J$7:$J$2503,$T497)))</f>
        <v/>
      </c>
      <c r="P497" s="1" t="str">
        <f t="shared" si="79"/>
        <v/>
      </c>
      <c r="Q497" s="1">
        <f>IF($N497="",0,INDEX(TAHSILAT!$F$7:$F$2503,$T497))</f>
        <v>0</v>
      </c>
      <c r="R497" s="1">
        <v>0</v>
      </c>
      <c r="S497" s="1">
        <f t="shared" si="86"/>
        <v>10000000000</v>
      </c>
      <c r="T497" s="1">
        <f>IFERROR(MATCH($C$36&amp;"|424",TAHSILAT!$U$7:$U$2503,0),0)</f>
        <v>0</v>
      </c>
      <c r="V497" s="1">
        <f t="shared" si="87"/>
        <v>10000000000</v>
      </c>
      <c r="W497" s="1">
        <f t="shared" si="88"/>
        <v>9</v>
      </c>
    </row>
    <row r="498" spans="2:23" ht="14.25" customHeight="1" x14ac:dyDescent="0.3">
      <c r="B498" s="65" t="str">
        <f t="shared" si="80"/>
        <v/>
      </c>
      <c r="C498" s="70" t="str">
        <f t="shared" si="81"/>
        <v/>
      </c>
      <c r="D498" s="74" t="str">
        <f t="shared" si="82"/>
        <v/>
      </c>
      <c r="F498" s="65" t="str">
        <f t="shared" si="83"/>
        <v/>
      </c>
      <c r="G498" s="68" t="str">
        <f t="shared" si="84"/>
        <v/>
      </c>
      <c r="H498" s="68" t="str">
        <f t="shared" si="85"/>
        <v/>
      </c>
      <c r="I498" s="68" t="str">
        <f t="shared" si="89"/>
        <v/>
      </c>
      <c r="M498" s="1">
        <v>461</v>
      </c>
      <c r="N498" s="1" t="str">
        <f>IF($T498=0,"",INDEX(TAHSILAT!$E$7:$E$2503,$T498))</f>
        <v/>
      </c>
      <c r="O498" s="1" t="str">
        <f>IF($N498="","",$C$36&amp;" – müşteriden tahsilat: "&amp;INDEX(TAHSILAT!$N$7:$N$2503,$T498)&amp;IF(INDEX(TAHSILAT!$J$7:$J$2503,$T498)="",""," – "&amp;INDEX(TAHSILAT!$J$7:$J$2503,$T498)))</f>
        <v/>
      </c>
      <c r="P498" s="1" t="str">
        <f t="shared" si="79"/>
        <v/>
      </c>
      <c r="Q498" s="1">
        <f>IF($N498="",0,INDEX(TAHSILAT!$F$7:$F$2503,$T498))</f>
        <v>0</v>
      </c>
      <c r="R498" s="1">
        <v>0</v>
      </c>
      <c r="S498" s="1">
        <f t="shared" si="86"/>
        <v>10000000000</v>
      </c>
      <c r="T498" s="1">
        <f>IFERROR(MATCH($C$36&amp;"|425",TAHSILAT!$U$7:$U$2503,0),0)</f>
        <v>0</v>
      </c>
      <c r="V498" s="1">
        <f t="shared" si="87"/>
        <v>10000000000</v>
      </c>
      <c r="W498" s="1">
        <f t="shared" si="88"/>
        <v>9</v>
      </c>
    </row>
    <row r="499" spans="2:23" ht="14.25" customHeight="1" x14ac:dyDescent="0.3">
      <c r="B499" s="65" t="str">
        <f t="shared" si="80"/>
        <v/>
      </c>
      <c r="C499" s="70" t="str">
        <f t="shared" si="81"/>
        <v/>
      </c>
      <c r="D499" s="74" t="str">
        <f t="shared" si="82"/>
        <v/>
      </c>
      <c r="F499" s="65" t="str">
        <f t="shared" si="83"/>
        <v/>
      </c>
      <c r="G499" s="68" t="str">
        <f t="shared" si="84"/>
        <v/>
      </c>
      <c r="H499" s="68" t="str">
        <f t="shared" si="85"/>
        <v/>
      </c>
      <c r="I499" s="68" t="str">
        <f t="shared" si="89"/>
        <v/>
      </c>
      <c r="M499" s="1">
        <v>462</v>
      </c>
      <c r="N499" s="1" t="str">
        <f>IF($T499=0,"",INDEX(TAHSILAT!$E$7:$E$2503,$T499))</f>
        <v/>
      </c>
      <c r="O499" s="1" t="str">
        <f>IF($N499="","",$C$36&amp;" – müşteriden tahsilat: "&amp;INDEX(TAHSILAT!$N$7:$N$2503,$T499)&amp;IF(INDEX(TAHSILAT!$J$7:$J$2503,$T499)="",""," – "&amp;INDEX(TAHSILAT!$J$7:$J$2503,$T499)))</f>
        <v/>
      </c>
      <c r="P499" s="1" t="str">
        <f t="shared" si="79"/>
        <v/>
      </c>
      <c r="Q499" s="1">
        <f>IF($N499="",0,INDEX(TAHSILAT!$F$7:$F$2503,$T499))</f>
        <v>0</v>
      </c>
      <c r="R499" s="1">
        <v>0</v>
      </c>
      <c r="S499" s="1">
        <f t="shared" si="86"/>
        <v>10000000000</v>
      </c>
      <c r="T499" s="1">
        <f>IFERROR(MATCH($C$36&amp;"|426",TAHSILAT!$U$7:$U$2503,0),0)</f>
        <v>0</v>
      </c>
      <c r="V499" s="1">
        <f t="shared" si="87"/>
        <v>10000000000</v>
      </c>
      <c r="W499" s="1">
        <f t="shared" si="88"/>
        <v>9</v>
      </c>
    </row>
    <row r="500" spans="2:23" ht="14.25" customHeight="1" x14ac:dyDescent="0.3">
      <c r="B500" s="65" t="str">
        <f t="shared" si="80"/>
        <v/>
      </c>
      <c r="C500" s="70" t="str">
        <f t="shared" si="81"/>
        <v/>
      </c>
      <c r="D500" s="74" t="str">
        <f t="shared" si="82"/>
        <v/>
      </c>
      <c r="F500" s="65" t="str">
        <f t="shared" si="83"/>
        <v/>
      </c>
      <c r="G500" s="68" t="str">
        <f t="shared" si="84"/>
        <v/>
      </c>
      <c r="H500" s="68" t="str">
        <f t="shared" si="85"/>
        <v/>
      </c>
      <c r="I500" s="68" t="str">
        <f t="shared" si="89"/>
        <v/>
      </c>
      <c r="M500" s="1">
        <v>463</v>
      </c>
      <c r="N500" s="1" t="str">
        <f>IF($T500=0,"",INDEX(TAHSILAT!$E$7:$E$2503,$T500))</f>
        <v/>
      </c>
      <c r="O500" s="1" t="str">
        <f>IF($N500="","",$C$36&amp;" – müşteriden tahsilat: "&amp;INDEX(TAHSILAT!$N$7:$N$2503,$T500)&amp;IF(INDEX(TAHSILAT!$J$7:$J$2503,$T500)="",""," – "&amp;INDEX(TAHSILAT!$J$7:$J$2503,$T500)))</f>
        <v/>
      </c>
      <c r="P500" s="1" t="str">
        <f t="shared" si="79"/>
        <v/>
      </c>
      <c r="Q500" s="1">
        <f>IF($N500="",0,INDEX(TAHSILAT!$F$7:$F$2503,$T500))</f>
        <v>0</v>
      </c>
      <c r="R500" s="1">
        <v>0</v>
      </c>
      <c r="S500" s="1">
        <f t="shared" si="86"/>
        <v>10000000000</v>
      </c>
      <c r="T500" s="1">
        <f>IFERROR(MATCH($C$36&amp;"|427",TAHSILAT!$U$7:$U$2503,0),0)</f>
        <v>0</v>
      </c>
      <c r="V500" s="1">
        <f t="shared" si="87"/>
        <v>10000000000</v>
      </c>
      <c r="W500" s="1">
        <f t="shared" si="88"/>
        <v>9</v>
      </c>
    </row>
    <row r="501" spans="2:23" ht="14.25" customHeight="1" x14ac:dyDescent="0.3">
      <c r="B501" s="65" t="str">
        <f t="shared" si="80"/>
        <v/>
      </c>
      <c r="C501" s="70" t="str">
        <f t="shared" si="81"/>
        <v/>
      </c>
      <c r="D501" s="74" t="str">
        <f t="shared" si="82"/>
        <v/>
      </c>
      <c r="F501" s="65" t="str">
        <f t="shared" si="83"/>
        <v/>
      </c>
      <c r="G501" s="68" t="str">
        <f t="shared" si="84"/>
        <v/>
      </c>
      <c r="H501" s="68" t="str">
        <f t="shared" si="85"/>
        <v/>
      </c>
      <c r="I501" s="68" t="str">
        <f t="shared" si="89"/>
        <v/>
      </c>
      <c r="M501" s="1">
        <v>464</v>
      </c>
      <c r="N501" s="1" t="str">
        <f>IF($T501=0,"",INDEX(TAHSILAT!$E$7:$E$2503,$T501))</f>
        <v/>
      </c>
      <c r="O501" s="1" t="str">
        <f>IF($N501="","",$C$36&amp;" – müşteriden tahsilat: "&amp;INDEX(TAHSILAT!$N$7:$N$2503,$T501)&amp;IF(INDEX(TAHSILAT!$J$7:$J$2503,$T501)="",""," – "&amp;INDEX(TAHSILAT!$J$7:$J$2503,$T501)))</f>
        <v/>
      </c>
      <c r="P501" s="1" t="str">
        <f t="shared" si="79"/>
        <v/>
      </c>
      <c r="Q501" s="1">
        <f>IF($N501="",0,INDEX(TAHSILAT!$F$7:$F$2503,$T501))</f>
        <v>0</v>
      </c>
      <c r="R501" s="1">
        <v>0</v>
      </c>
      <c r="S501" s="1">
        <f t="shared" si="86"/>
        <v>10000000000</v>
      </c>
      <c r="T501" s="1">
        <f>IFERROR(MATCH($C$36&amp;"|428",TAHSILAT!$U$7:$U$2503,0),0)</f>
        <v>0</v>
      </c>
      <c r="V501" s="1">
        <f t="shared" si="87"/>
        <v>10000000000</v>
      </c>
      <c r="W501" s="1">
        <f t="shared" si="88"/>
        <v>9</v>
      </c>
    </row>
    <row r="502" spans="2:23" ht="14.25" customHeight="1" x14ac:dyDescent="0.3">
      <c r="B502" s="65" t="str">
        <f t="shared" si="80"/>
        <v/>
      </c>
      <c r="C502" s="70" t="str">
        <f t="shared" si="81"/>
        <v/>
      </c>
      <c r="D502" s="74" t="str">
        <f t="shared" si="82"/>
        <v/>
      </c>
      <c r="F502" s="65" t="str">
        <f t="shared" si="83"/>
        <v/>
      </c>
      <c r="G502" s="68" t="str">
        <f t="shared" si="84"/>
        <v/>
      </c>
      <c r="H502" s="68" t="str">
        <f t="shared" si="85"/>
        <v/>
      </c>
      <c r="I502" s="68" t="str">
        <f t="shared" si="89"/>
        <v/>
      </c>
      <c r="M502" s="1">
        <v>465</v>
      </c>
      <c r="N502" s="1" t="str">
        <f>IF($T502=0,"",INDEX(TAHSILAT!$E$7:$E$2503,$T502))</f>
        <v/>
      </c>
      <c r="O502" s="1" t="str">
        <f>IF($N502="","",$C$36&amp;" – müşteriden tahsilat: "&amp;INDEX(TAHSILAT!$N$7:$N$2503,$T502)&amp;IF(INDEX(TAHSILAT!$J$7:$J$2503,$T502)="",""," – "&amp;INDEX(TAHSILAT!$J$7:$J$2503,$T502)))</f>
        <v/>
      </c>
      <c r="P502" s="1" t="str">
        <f t="shared" si="79"/>
        <v/>
      </c>
      <c r="Q502" s="1">
        <f>IF($N502="",0,INDEX(TAHSILAT!$F$7:$F$2503,$T502))</f>
        <v>0</v>
      </c>
      <c r="R502" s="1">
        <v>0</v>
      </c>
      <c r="S502" s="1">
        <f t="shared" si="86"/>
        <v>10000000000</v>
      </c>
      <c r="T502" s="1">
        <f>IFERROR(MATCH($C$36&amp;"|429",TAHSILAT!$U$7:$U$2503,0),0)</f>
        <v>0</v>
      </c>
      <c r="V502" s="1">
        <f t="shared" si="87"/>
        <v>10000000000</v>
      </c>
      <c r="W502" s="1">
        <f t="shared" si="88"/>
        <v>9</v>
      </c>
    </row>
    <row r="503" spans="2:23" ht="14.25" customHeight="1" x14ac:dyDescent="0.3">
      <c r="B503" s="65" t="str">
        <f t="shared" si="80"/>
        <v/>
      </c>
      <c r="C503" s="70" t="str">
        <f t="shared" si="81"/>
        <v/>
      </c>
      <c r="D503" s="74" t="str">
        <f t="shared" si="82"/>
        <v/>
      </c>
      <c r="F503" s="65" t="str">
        <f t="shared" si="83"/>
        <v/>
      </c>
      <c r="G503" s="68" t="str">
        <f t="shared" si="84"/>
        <v/>
      </c>
      <c r="H503" s="68" t="str">
        <f t="shared" si="85"/>
        <v/>
      </c>
      <c r="I503" s="68" t="str">
        <f t="shared" si="89"/>
        <v/>
      </c>
      <c r="M503" s="1">
        <v>466</v>
      </c>
      <c r="N503" s="1" t="str">
        <f>IF($T503=0,"",INDEX(TAHSILAT!$E$7:$E$2503,$T503))</f>
        <v/>
      </c>
      <c r="O503" s="1" t="str">
        <f>IF($N503="","",$C$36&amp;" – müşteriden tahsilat: "&amp;INDEX(TAHSILAT!$N$7:$N$2503,$T503)&amp;IF(INDEX(TAHSILAT!$J$7:$J$2503,$T503)="",""," – "&amp;INDEX(TAHSILAT!$J$7:$J$2503,$T503)))</f>
        <v/>
      </c>
      <c r="P503" s="1" t="str">
        <f t="shared" si="79"/>
        <v/>
      </c>
      <c r="Q503" s="1">
        <f>IF($N503="",0,INDEX(TAHSILAT!$F$7:$F$2503,$T503))</f>
        <v>0</v>
      </c>
      <c r="R503" s="1">
        <v>0</v>
      </c>
      <c r="S503" s="1">
        <f t="shared" si="86"/>
        <v>10000000000</v>
      </c>
      <c r="T503" s="1">
        <f>IFERROR(MATCH($C$36&amp;"|430",TAHSILAT!$U$7:$U$2503,0),0)</f>
        <v>0</v>
      </c>
      <c r="V503" s="1">
        <f t="shared" si="87"/>
        <v>10000000000</v>
      </c>
      <c r="W503" s="1">
        <f t="shared" si="88"/>
        <v>9</v>
      </c>
    </row>
    <row r="504" spans="2:23" ht="14.25" customHeight="1" x14ac:dyDescent="0.3">
      <c r="B504" s="65" t="str">
        <f t="shared" si="80"/>
        <v/>
      </c>
      <c r="C504" s="70" t="str">
        <f t="shared" si="81"/>
        <v/>
      </c>
      <c r="D504" s="74" t="str">
        <f t="shared" si="82"/>
        <v/>
      </c>
      <c r="F504" s="65" t="str">
        <f t="shared" si="83"/>
        <v/>
      </c>
      <c r="G504" s="68" t="str">
        <f t="shared" si="84"/>
        <v/>
      </c>
      <c r="H504" s="68" t="str">
        <f t="shared" si="85"/>
        <v/>
      </c>
      <c r="I504" s="68" t="str">
        <f t="shared" si="89"/>
        <v/>
      </c>
      <c r="M504" s="1">
        <v>467</v>
      </c>
      <c r="N504" s="1" t="str">
        <f>IF($T504=0,"",INDEX(TAHSILAT!$E$7:$E$2503,$T504))</f>
        <v/>
      </c>
      <c r="O504" s="1" t="str">
        <f>IF($N504="","",$C$36&amp;" – müşteriden tahsilat: "&amp;INDEX(TAHSILAT!$N$7:$N$2503,$T504)&amp;IF(INDEX(TAHSILAT!$J$7:$J$2503,$T504)="",""," – "&amp;INDEX(TAHSILAT!$J$7:$J$2503,$T504)))</f>
        <v/>
      </c>
      <c r="P504" s="1" t="str">
        <f t="shared" si="79"/>
        <v/>
      </c>
      <c r="Q504" s="1">
        <f>IF($N504="",0,INDEX(TAHSILAT!$F$7:$F$2503,$T504))</f>
        <v>0</v>
      </c>
      <c r="R504" s="1">
        <v>0</v>
      </c>
      <c r="S504" s="1">
        <f t="shared" si="86"/>
        <v>10000000000</v>
      </c>
      <c r="T504" s="1">
        <f>IFERROR(MATCH($C$36&amp;"|431",TAHSILAT!$U$7:$U$2503,0),0)</f>
        <v>0</v>
      </c>
      <c r="V504" s="1">
        <f t="shared" si="87"/>
        <v>10000000000</v>
      </c>
      <c r="W504" s="1">
        <f t="shared" si="88"/>
        <v>9</v>
      </c>
    </row>
    <row r="505" spans="2:23" ht="14.25" customHeight="1" x14ac:dyDescent="0.3">
      <c r="B505" s="65" t="str">
        <f t="shared" si="80"/>
        <v/>
      </c>
      <c r="C505" s="70" t="str">
        <f t="shared" si="81"/>
        <v/>
      </c>
      <c r="D505" s="74" t="str">
        <f t="shared" si="82"/>
        <v/>
      </c>
      <c r="F505" s="65" t="str">
        <f t="shared" si="83"/>
        <v/>
      </c>
      <c r="G505" s="68" t="str">
        <f t="shared" si="84"/>
        <v/>
      </c>
      <c r="H505" s="68" t="str">
        <f t="shared" si="85"/>
        <v/>
      </c>
      <c r="I505" s="68" t="str">
        <f t="shared" si="89"/>
        <v/>
      </c>
      <c r="M505" s="1">
        <v>468</v>
      </c>
      <c r="N505" s="1" t="str">
        <f>IF($T505=0,"",INDEX(TAHSILAT!$E$7:$E$2503,$T505))</f>
        <v/>
      </c>
      <c r="O505" s="1" t="str">
        <f>IF($N505="","",$C$36&amp;" – müşteriden tahsilat: "&amp;INDEX(TAHSILAT!$N$7:$N$2503,$T505)&amp;IF(INDEX(TAHSILAT!$J$7:$J$2503,$T505)="",""," – "&amp;INDEX(TAHSILAT!$J$7:$J$2503,$T505)))</f>
        <v/>
      </c>
      <c r="P505" s="1" t="str">
        <f t="shared" si="79"/>
        <v/>
      </c>
      <c r="Q505" s="1">
        <f>IF($N505="",0,INDEX(TAHSILAT!$F$7:$F$2503,$T505))</f>
        <v>0</v>
      </c>
      <c r="R505" s="1">
        <v>0</v>
      </c>
      <c r="S505" s="1">
        <f t="shared" si="86"/>
        <v>10000000000</v>
      </c>
      <c r="T505" s="1">
        <f>IFERROR(MATCH($C$36&amp;"|432",TAHSILAT!$U$7:$U$2503,0),0)</f>
        <v>0</v>
      </c>
      <c r="V505" s="1">
        <f t="shared" si="87"/>
        <v>10000000000</v>
      </c>
      <c r="W505" s="1">
        <f t="shared" si="88"/>
        <v>9</v>
      </c>
    </row>
    <row r="506" spans="2:23" ht="14.25" customHeight="1" x14ac:dyDescent="0.3">
      <c r="B506" s="65" t="str">
        <f t="shared" si="80"/>
        <v/>
      </c>
      <c r="C506" s="70" t="str">
        <f t="shared" si="81"/>
        <v/>
      </c>
      <c r="D506" s="74" t="str">
        <f t="shared" si="82"/>
        <v/>
      </c>
      <c r="F506" s="65" t="str">
        <f t="shared" si="83"/>
        <v/>
      </c>
      <c r="G506" s="68" t="str">
        <f t="shared" si="84"/>
        <v/>
      </c>
      <c r="H506" s="68" t="str">
        <f t="shared" si="85"/>
        <v/>
      </c>
      <c r="I506" s="68" t="str">
        <f t="shared" si="89"/>
        <v/>
      </c>
      <c r="M506" s="1">
        <v>469</v>
      </c>
      <c r="N506" s="1" t="str">
        <f>IF($T506=0,"",INDEX(TAHSILAT!$E$7:$E$2503,$T506))</f>
        <v/>
      </c>
      <c r="O506" s="1" t="str">
        <f>IF($N506="","",$C$36&amp;" – müşteriden tahsilat: "&amp;INDEX(TAHSILAT!$N$7:$N$2503,$T506)&amp;IF(INDEX(TAHSILAT!$J$7:$J$2503,$T506)="",""," – "&amp;INDEX(TAHSILAT!$J$7:$J$2503,$T506)))</f>
        <v/>
      </c>
      <c r="P506" s="1" t="str">
        <f t="shared" si="79"/>
        <v/>
      </c>
      <c r="Q506" s="1">
        <f>IF($N506="",0,INDEX(TAHSILAT!$F$7:$F$2503,$T506))</f>
        <v>0</v>
      </c>
      <c r="R506" s="1">
        <v>0</v>
      </c>
      <c r="S506" s="1">
        <f t="shared" si="86"/>
        <v>10000000000</v>
      </c>
      <c r="T506" s="1">
        <f>IFERROR(MATCH($C$36&amp;"|433",TAHSILAT!$U$7:$U$2503,0),0)</f>
        <v>0</v>
      </c>
      <c r="V506" s="1">
        <f t="shared" si="87"/>
        <v>10000000000</v>
      </c>
      <c r="W506" s="1">
        <f t="shared" si="88"/>
        <v>9</v>
      </c>
    </row>
    <row r="507" spans="2:23" ht="14.25" customHeight="1" x14ac:dyDescent="0.3">
      <c r="B507" s="65" t="str">
        <f t="shared" si="80"/>
        <v/>
      </c>
      <c r="C507" s="70" t="str">
        <f t="shared" si="81"/>
        <v/>
      </c>
      <c r="D507" s="74" t="str">
        <f t="shared" si="82"/>
        <v/>
      </c>
      <c r="F507" s="65" t="str">
        <f t="shared" si="83"/>
        <v/>
      </c>
      <c r="G507" s="68" t="str">
        <f t="shared" si="84"/>
        <v/>
      </c>
      <c r="H507" s="68" t="str">
        <f t="shared" si="85"/>
        <v/>
      </c>
      <c r="I507" s="68" t="str">
        <f t="shared" si="89"/>
        <v/>
      </c>
      <c r="M507" s="1">
        <v>470</v>
      </c>
      <c r="N507" s="1" t="str">
        <f>IF($T507=0,"",INDEX(TAHSILAT!$E$7:$E$2503,$T507))</f>
        <v/>
      </c>
      <c r="O507" s="1" t="str">
        <f>IF($N507="","",$C$36&amp;" – müşteriden tahsilat: "&amp;INDEX(TAHSILAT!$N$7:$N$2503,$T507)&amp;IF(INDEX(TAHSILAT!$J$7:$J$2503,$T507)="",""," – "&amp;INDEX(TAHSILAT!$J$7:$J$2503,$T507)))</f>
        <v/>
      </c>
      <c r="P507" s="1" t="str">
        <f t="shared" si="79"/>
        <v/>
      </c>
      <c r="Q507" s="1">
        <f>IF($N507="",0,INDEX(TAHSILAT!$F$7:$F$2503,$T507))</f>
        <v>0</v>
      </c>
      <c r="R507" s="1">
        <v>0</v>
      </c>
      <c r="S507" s="1">
        <f t="shared" si="86"/>
        <v>10000000000</v>
      </c>
      <c r="T507" s="1">
        <f>IFERROR(MATCH($C$36&amp;"|434",TAHSILAT!$U$7:$U$2503,0),0)</f>
        <v>0</v>
      </c>
      <c r="V507" s="1">
        <f t="shared" si="87"/>
        <v>10000000000</v>
      </c>
      <c r="W507" s="1">
        <f t="shared" si="88"/>
        <v>9</v>
      </c>
    </row>
    <row r="508" spans="2:23" ht="14.25" customHeight="1" x14ac:dyDescent="0.3">
      <c r="B508" s="65" t="str">
        <f t="shared" si="80"/>
        <v/>
      </c>
      <c r="C508" s="70" t="str">
        <f t="shared" si="81"/>
        <v/>
      </c>
      <c r="D508" s="74" t="str">
        <f t="shared" si="82"/>
        <v/>
      </c>
      <c r="F508" s="65" t="str">
        <f t="shared" si="83"/>
        <v/>
      </c>
      <c r="G508" s="68" t="str">
        <f t="shared" si="84"/>
        <v/>
      </c>
      <c r="H508" s="68" t="str">
        <f t="shared" si="85"/>
        <v/>
      </c>
      <c r="I508" s="68" t="str">
        <f t="shared" si="89"/>
        <v/>
      </c>
      <c r="M508" s="1">
        <v>471</v>
      </c>
      <c r="N508" s="1" t="str">
        <f>IF($T508=0,"",INDEX(TAHSILAT!$E$7:$E$2503,$T508))</f>
        <v/>
      </c>
      <c r="O508" s="1" t="str">
        <f>IF($N508="","",$C$36&amp;" – müşteriden tahsilat: "&amp;INDEX(TAHSILAT!$N$7:$N$2503,$T508)&amp;IF(INDEX(TAHSILAT!$J$7:$J$2503,$T508)="",""," – "&amp;INDEX(TAHSILAT!$J$7:$J$2503,$T508)))</f>
        <v/>
      </c>
      <c r="P508" s="1" t="str">
        <f t="shared" si="79"/>
        <v/>
      </c>
      <c r="Q508" s="1">
        <f>IF($N508="",0,INDEX(TAHSILAT!$F$7:$F$2503,$T508))</f>
        <v>0</v>
      </c>
      <c r="R508" s="1">
        <v>0</v>
      </c>
      <c r="S508" s="1">
        <f t="shared" si="86"/>
        <v>10000000000</v>
      </c>
      <c r="T508" s="1">
        <f>IFERROR(MATCH($C$36&amp;"|435",TAHSILAT!$U$7:$U$2503,0),0)</f>
        <v>0</v>
      </c>
      <c r="V508" s="1">
        <f t="shared" si="87"/>
        <v>10000000000</v>
      </c>
      <c r="W508" s="1">
        <f t="shared" si="88"/>
        <v>9</v>
      </c>
    </row>
    <row r="509" spans="2:23" ht="14.25" customHeight="1" x14ac:dyDescent="0.3">
      <c r="B509" s="65" t="str">
        <f t="shared" si="80"/>
        <v/>
      </c>
      <c r="C509" s="70" t="str">
        <f t="shared" si="81"/>
        <v/>
      </c>
      <c r="D509" s="74" t="str">
        <f t="shared" si="82"/>
        <v/>
      </c>
      <c r="F509" s="65" t="str">
        <f t="shared" si="83"/>
        <v/>
      </c>
      <c r="G509" s="68" t="str">
        <f t="shared" si="84"/>
        <v/>
      </c>
      <c r="H509" s="68" t="str">
        <f t="shared" si="85"/>
        <v/>
      </c>
      <c r="I509" s="68" t="str">
        <f t="shared" si="89"/>
        <v/>
      </c>
      <c r="M509" s="1">
        <v>472</v>
      </c>
      <c r="N509" s="1" t="str">
        <f>IF($T509=0,"",INDEX(TAHSILAT!$E$7:$E$2503,$T509))</f>
        <v/>
      </c>
      <c r="O509" s="1" t="str">
        <f>IF($N509="","",$C$36&amp;" – müşteriden tahsilat: "&amp;INDEX(TAHSILAT!$N$7:$N$2503,$T509)&amp;IF(INDEX(TAHSILAT!$J$7:$J$2503,$T509)="",""," – "&amp;INDEX(TAHSILAT!$J$7:$J$2503,$T509)))</f>
        <v/>
      </c>
      <c r="P509" s="1" t="str">
        <f t="shared" si="79"/>
        <v/>
      </c>
      <c r="Q509" s="1">
        <f>IF($N509="",0,INDEX(TAHSILAT!$F$7:$F$2503,$T509))</f>
        <v>0</v>
      </c>
      <c r="R509" s="1">
        <v>0</v>
      </c>
      <c r="S509" s="1">
        <f t="shared" si="86"/>
        <v>10000000000</v>
      </c>
      <c r="T509" s="1">
        <f>IFERROR(MATCH($C$36&amp;"|436",TAHSILAT!$U$7:$U$2503,0),0)</f>
        <v>0</v>
      </c>
      <c r="V509" s="1">
        <f t="shared" si="87"/>
        <v>10000000000</v>
      </c>
      <c r="W509" s="1">
        <f t="shared" si="88"/>
        <v>9</v>
      </c>
    </row>
    <row r="510" spans="2:23" ht="14.25" customHeight="1" x14ac:dyDescent="0.3">
      <c r="B510" s="65" t="str">
        <f t="shared" si="80"/>
        <v/>
      </c>
      <c r="C510" s="70" t="str">
        <f t="shared" si="81"/>
        <v/>
      </c>
      <c r="D510" s="74" t="str">
        <f t="shared" si="82"/>
        <v/>
      </c>
      <c r="F510" s="65" t="str">
        <f t="shared" si="83"/>
        <v/>
      </c>
      <c r="G510" s="68" t="str">
        <f t="shared" si="84"/>
        <v/>
      </c>
      <c r="H510" s="68" t="str">
        <f t="shared" si="85"/>
        <v/>
      </c>
      <c r="I510" s="68" t="str">
        <f t="shared" si="89"/>
        <v/>
      </c>
      <c r="M510" s="1">
        <v>473</v>
      </c>
      <c r="N510" s="1" t="str">
        <f>IF($T510=0,"",INDEX(TAHSILAT!$E$7:$E$2503,$T510))</f>
        <v/>
      </c>
      <c r="O510" s="1" t="str">
        <f>IF($N510="","",$C$36&amp;" – müşteriden tahsilat: "&amp;INDEX(TAHSILAT!$N$7:$N$2503,$T510)&amp;IF(INDEX(TAHSILAT!$J$7:$J$2503,$T510)="",""," – "&amp;INDEX(TAHSILAT!$J$7:$J$2503,$T510)))</f>
        <v/>
      </c>
      <c r="P510" s="1" t="str">
        <f t="shared" si="79"/>
        <v/>
      </c>
      <c r="Q510" s="1">
        <f>IF($N510="",0,INDEX(TAHSILAT!$F$7:$F$2503,$T510))</f>
        <v>0</v>
      </c>
      <c r="R510" s="1">
        <v>0</v>
      </c>
      <c r="S510" s="1">
        <f t="shared" si="86"/>
        <v>10000000000</v>
      </c>
      <c r="T510" s="1">
        <f>IFERROR(MATCH($C$36&amp;"|437",TAHSILAT!$U$7:$U$2503,0),0)</f>
        <v>0</v>
      </c>
      <c r="V510" s="1">
        <f t="shared" si="87"/>
        <v>10000000000</v>
      </c>
      <c r="W510" s="1">
        <f t="shared" si="88"/>
        <v>9</v>
      </c>
    </row>
    <row r="511" spans="2:23" ht="14.25" customHeight="1" x14ac:dyDescent="0.3">
      <c r="B511" s="65" t="str">
        <f t="shared" si="80"/>
        <v/>
      </c>
      <c r="C511" s="70" t="str">
        <f t="shared" si="81"/>
        <v/>
      </c>
      <c r="D511" s="74" t="str">
        <f t="shared" si="82"/>
        <v/>
      </c>
      <c r="F511" s="65" t="str">
        <f t="shared" si="83"/>
        <v/>
      </c>
      <c r="G511" s="68" t="str">
        <f t="shared" si="84"/>
        <v/>
      </c>
      <c r="H511" s="68" t="str">
        <f t="shared" si="85"/>
        <v/>
      </c>
      <c r="I511" s="68" t="str">
        <f t="shared" si="89"/>
        <v/>
      </c>
      <c r="M511" s="1">
        <v>474</v>
      </c>
      <c r="N511" s="1" t="str">
        <f>IF($T511=0,"",INDEX(TAHSILAT!$E$7:$E$2503,$T511))</f>
        <v/>
      </c>
      <c r="O511" s="1" t="str">
        <f>IF($N511="","",$C$36&amp;" – müşteriden tahsilat: "&amp;INDEX(TAHSILAT!$N$7:$N$2503,$T511)&amp;IF(INDEX(TAHSILAT!$J$7:$J$2503,$T511)="",""," – "&amp;INDEX(TAHSILAT!$J$7:$J$2503,$T511)))</f>
        <v/>
      </c>
      <c r="P511" s="1" t="str">
        <f t="shared" si="79"/>
        <v/>
      </c>
      <c r="Q511" s="1">
        <f>IF($N511="",0,INDEX(TAHSILAT!$F$7:$F$2503,$T511))</f>
        <v>0</v>
      </c>
      <c r="R511" s="1">
        <v>0</v>
      </c>
      <c r="S511" s="1">
        <f t="shared" si="86"/>
        <v>10000000000</v>
      </c>
      <c r="T511" s="1">
        <f>IFERROR(MATCH($C$36&amp;"|438",TAHSILAT!$U$7:$U$2503,0),0)</f>
        <v>0</v>
      </c>
      <c r="V511" s="1">
        <f t="shared" si="87"/>
        <v>10000000000</v>
      </c>
      <c r="W511" s="1">
        <f t="shared" si="88"/>
        <v>9</v>
      </c>
    </row>
    <row r="512" spans="2:23" ht="14.25" customHeight="1" x14ac:dyDescent="0.3">
      <c r="B512" s="65" t="str">
        <f t="shared" si="80"/>
        <v/>
      </c>
      <c r="C512" s="70" t="str">
        <f t="shared" si="81"/>
        <v/>
      </c>
      <c r="D512" s="74" t="str">
        <f t="shared" si="82"/>
        <v/>
      </c>
      <c r="F512" s="65" t="str">
        <f t="shared" si="83"/>
        <v/>
      </c>
      <c r="G512" s="68" t="str">
        <f t="shared" si="84"/>
        <v/>
      </c>
      <c r="H512" s="68" t="str">
        <f t="shared" si="85"/>
        <v/>
      </c>
      <c r="I512" s="68" t="str">
        <f t="shared" si="89"/>
        <v/>
      </c>
      <c r="M512" s="1">
        <v>475</v>
      </c>
      <c r="N512" s="1" t="str">
        <f>IF($T512=0,"",INDEX(TAHSILAT!$E$7:$E$2503,$T512))</f>
        <v/>
      </c>
      <c r="O512" s="1" t="str">
        <f>IF($N512="","",$C$36&amp;" – müşteriden tahsilat: "&amp;INDEX(TAHSILAT!$N$7:$N$2503,$T512)&amp;IF(INDEX(TAHSILAT!$J$7:$J$2503,$T512)="",""," – "&amp;INDEX(TAHSILAT!$J$7:$J$2503,$T512)))</f>
        <v/>
      </c>
      <c r="P512" s="1" t="str">
        <f t="shared" si="79"/>
        <v/>
      </c>
      <c r="Q512" s="1">
        <f>IF($N512="",0,INDEX(TAHSILAT!$F$7:$F$2503,$T512))</f>
        <v>0</v>
      </c>
      <c r="R512" s="1">
        <v>0</v>
      </c>
      <c r="S512" s="1">
        <f t="shared" si="86"/>
        <v>10000000000</v>
      </c>
      <c r="T512" s="1">
        <f>IFERROR(MATCH($C$36&amp;"|439",TAHSILAT!$U$7:$U$2503,0),0)</f>
        <v>0</v>
      </c>
      <c r="V512" s="1">
        <f t="shared" si="87"/>
        <v>10000000000</v>
      </c>
      <c r="W512" s="1">
        <f t="shared" si="88"/>
        <v>9</v>
      </c>
    </row>
    <row r="513" spans="2:23" ht="14.25" customHeight="1" x14ac:dyDescent="0.3">
      <c r="B513" s="65" t="str">
        <f t="shared" si="80"/>
        <v/>
      </c>
      <c r="C513" s="70" t="str">
        <f t="shared" si="81"/>
        <v/>
      </c>
      <c r="D513" s="74" t="str">
        <f t="shared" si="82"/>
        <v/>
      </c>
      <c r="F513" s="65" t="str">
        <f t="shared" si="83"/>
        <v/>
      </c>
      <c r="G513" s="68" t="str">
        <f t="shared" si="84"/>
        <v/>
      </c>
      <c r="H513" s="68" t="str">
        <f t="shared" si="85"/>
        <v/>
      </c>
      <c r="I513" s="68" t="str">
        <f t="shared" si="89"/>
        <v/>
      </c>
      <c r="M513" s="1">
        <v>476</v>
      </c>
      <c r="N513" s="1" t="str">
        <f>IF($T513=0,"",INDEX(TAHSILAT!$E$7:$E$2503,$T513))</f>
        <v/>
      </c>
      <c r="O513" s="1" t="str">
        <f>IF($N513="","",$C$36&amp;" – müşteriden tahsilat: "&amp;INDEX(TAHSILAT!$N$7:$N$2503,$T513)&amp;IF(INDEX(TAHSILAT!$J$7:$J$2503,$T513)="",""," – "&amp;INDEX(TAHSILAT!$J$7:$J$2503,$T513)))</f>
        <v/>
      </c>
      <c r="P513" s="1" t="str">
        <f t="shared" si="79"/>
        <v/>
      </c>
      <c r="Q513" s="1">
        <f>IF($N513="",0,INDEX(TAHSILAT!$F$7:$F$2503,$T513))</f>
        <v>0</v>
      </c>
      <c r="R513" s="1">
        <v>0</v>
      </c>
      <c r="S513" s="1">
        <f t="shared" si="86"/>
        <v>10000000000</v>
      </c>
      <c r="T513" s="1">
        <f>IFERROR(MATCH($C$36&amp;"|440",TAHSILAT!$U$7:$U$2503,0),0)</f>
        <v>0</v>
      </c>
      <c r="V513" s="1">
        <f t="shared" si="87"/>
        <v>10000000000</v>
      </c>
      <c r="W513" s="1">
        <f t="shared" si="88"/>
        <v>9</v>
      </c>
    </row>
    <row r="514" spans="2:23" ht="14.25" customHeight="1" x14ac:dyDescent="0.3">
      <c r="B514" s="65" t="str">
        <f t="shared" si="80"/>
        <v/>
      </c>
      <c r="C514" s="70" t="str">
        <f t="shared" si="81"/>
        <v/>
      </c>
      <c r="D514" s="74" t="str">
        <f t="shared" si="82"/>
        <v/>
      </c>
      <c r="F514" s="65" t="str">
        <f t="shared" si="83"/>
        <v/>
      </c>
      <c r="G514" s="68" t="str">
        <f t="shared" si="84"/>
        <v/>
      </c>
      <c r="H514" s="68" t="str">
        <f t="shared" si="85"/>
        <v/>
      </c>
      <c r="I514" s="68" t="str">
        <f t="shared" si="89"/>
        <v/>
      </c>
      <c r="M514" s="1">
        <v>477</v>
      </c>
      <c r="N514" s="1" t="str">
        <f>IF($T514=0,"",INDEX(TAHSILAT!$E$7:$E$2503,$T514))</f>
        <v/>
      </c>
      <c r="O514" s="1" t="str">
        <f>IF($N514="","",$C$36&amp;" – müşteriden tahsilat: "&amp;INDEX(TAHSILAT!$N$7:$N$2503,$T514)&amp;IF(INDEX(TAHSILAT!$J$7:$J$2503,$T514)="",""," – "&amp;INDEX(TAHSILAT!$J$7:$J$2503,$T514)))</f>
        <v/>
      </c>
      <c r="P514" s="1" t="str">
        <f t="shared" si="79"/>
        <v/>
      </c>
      <c r="Q514" s="1">
        <f>IF($N514="",0,INDEX(TAHSILAT!$F$7:$F$2503,$T514))</f>
        <v>0</v>
      </c>
      <c r="R514" s="1">
        <v>0</v>
      </c>
      <c r="S514" s="1">
        <f t="shared" si="86"/>
        <v>10000000000</v>
      </c>
      <c r="T514" s="1">
        <f>IFERROR(MATCH($C$36&amp;"|441",TAHSILAT!$U$7:$U$2503,0),0)</f>
        <v>0</v>
      </c>
      <c r="V514" s="1">
        <f t="shared" si="87"/>
        <v>10000000000</v>
      </c>
      <c r="W514" s="1">
        <f t="shared" si="88"/>
        <v>9</v>
      </c>
    </row>
    <row r="515" spans="2:23" ht="14.25" customHeight="1" x14ac:dyDescent="0.3">
      <c r="B515" s="65" t="str">
        <f t="shared" si="80"/>
        <v/>
      </c>
      <c r="C515" s="70" t="str">
        <f t="shared" si="81"/>
        <v/>
      </c>
      <c r="D515" s="74" t="str">
        <f t="shared" si="82"/>
        <v/>
      </c>
      <c r="F515" s="65" t="str">
        <f t="shared" si="83"/>
        <v/>
      </c>
      <c r="G515" s="68" t="str">
        <f t="shared" si="84"/>
        <v/>
      </c>
      <c r="H515" s="68" t="str">
        <f t="shared" si="85"/>
        <v/>
      </c>
      <c r="I515" s="68" t="str">
        <f t="shared" si="89"/>
        <v/>
      </c>
      <c r="M515" s="1">
        <v>478</v>
      </c>
      <c r="N515" s="1" t="str">
        <f>IF($T515=0,"",INDEX(TAHSILAT!$E$7:$E$2503,$T515))</f>
        <v/>
      </c>
      <c r="O515" s="1" t="str">
        <f>IF($N515="","",$C$36&amp;" – müşteriden tahsilat: "&amp;INDEX(TAHSILAT!$N$7:$N$2503,$T515)&amp;IF(INDEX(TAHSILAT!$J$7:$J$2503,$T515)="",""," – "&amp;INDEX(TAHSILAT!$J$7:$J$2503,$T515)))</f>
        <v/>
      </c>
      <c r="P515" s="1" t="str">
        <f t="shared" si="79"/>
        <v/>
      </c>
      <c r="Q515" s="1">
        <f>IF($N515="",0,INDEX(TAHSILAT!$F$7:$F$2503,$T515))</f>
        <v>0</v>
      </c>
      <c r="R515" s="1">
        <v>0</v>
      </c>
      <c r="S515" s="1">
        <f t="shared" si="86"/>
        <v>10000000000</v>
      </c>
      <c r="T515" s="1">
        <f>IFERROR(MATCH($C$36&amp;"|442",TAHSILAT!$U$7:$U$2503,0),0)</f>
        <v>0</v>
      </c>
      <c r="V515" s="1">
        <f t="shared" si="87"/>
        <v>10000000000</v>
      </c>
      <c r="W515" s="1">
        <f t="shared" si="88"/>
        <v>9</v>
      </c>
    </row>
    <row r="516" spans="2:23" ht="14.25" customHeight="1" x14ac:dyDescent="0.3">
      <c r="B516" s="65" t="str">
        <f t="shared" si="80"/>
        <v/>
      </c>
      <c r="C516" s="70" t="str">
        <f t="shared" si="81"/>
        <v/>
      </c>
      <c r="D516" s="74" t="str">
        <f t="shared" si="82"/>
        <v/>
      </c>
      <c r="F516" s="65" t="str">
        <f t="shared" si="83"/>
        <v/>
      </c>
      <c r="G516" s="68" t="str">
        <f t="shared" si="84"/>
        <v/>
      </c>
      <c r="H516" s="68" t="str">
        <f t="shared" si="85"/>
        <v/>
      </c>
      <c r="I516" s="68" t="str">
        <f t="shared" si="89"/>
        <v/>
      </c>
      <c r="M516" s="1">
        <v>479</v>
      </c>
      <c r="N516" s="1" t="str">
        <f>IF($T516=0,"",INDEX(TAHSILAT!$E$7:$E$2503,$T516))</f>
        <v/>
      </c>
      <c r="O516" s="1" t="str">
        <f>IF($N516="","",$C$36&amp;" – müşteriden tahsilat: "&amp;INDEX(TAHSILAT!$N$7:$N$2503,$T516)&amp;IF(INDEX(TAHSILAT!$J$7:$J$2503,$T516)="",""," – "&amp;INDEX(TAHSILAT!$J$7:$J$2503,$T516)))</f>
        <v/>
      </c>
      <c r="P516" s="1" t="str">
        <f t="shared" si="79"/>
        <v/>
      </c>
      <c r="Q516" s="1">
        <f>IF($N516="",0,INDEX(TAHSILAT!$F$7:$F$2503,$T516))</f>
        <v>0</v>
      </c>
      <c r="R516" s="1">
        <v>0</v>
      </c>
      <c r="S516" s="1">
        <f t="shared" si="86"/>
        <v>10000000000</v>
      </c>
      <c r="T516" s="1">
        <f>IFERROR(MATCH($C$36&amp;"|443",TAHSILAT!$U$7:$U$2503,0),0)</f>
        <v>0</v>
      </c>
      <c r="V516" s="1">
        <f t="shared" si="87"/>
        <v>10000000000</v>
      </c>
      <c r="W516" s="1">
        <f t="shared" si="88"/>
        <v>9</v>
      </c>
    </row>
    <row r="517" spans="2:23" ht="14.25" customHeight="1" x14ac:dyDescent="0.3">
      <c r="B517" s="65" t="str">
        <f t="shared" si="80"/>
        <v/>
      </c>
      <c r="C517" s="70" t="str">
        <f t="shared" si="81"/>
        <v/>
      </c>
      <c r="D517" s="74" t="str">
        <f t="shared" si="82"/>
        <v/>
      </c>
      <c r="F517" s="65" t="str">
        <f t="shared" si="83"/>
        <v/>
      </c>
      <c r="G517" s="68" t="str">
        <f t="shared" si="84"/>
        <v/>
      </c>
      <c r="H517" s="68" t="str">
        <f t="shared" si="85"/>
        <v/>
      </c>
      <c r="I517" s="68" t="str">
        <f t="shared" si="89"/>
        <v/>
      </c>
      <c r="M517" s="1">
        <v>480</v>
      </c>
      <c r="N517" s="1" t="str">
        <f>IF($T517=0,"",INDEX(TAHSILAT!$E$7:$E$2503,$T517))</f>
        <v/>
      </c>
      <c r="O517" s="1" t="str">
        <f>IF($N517="","",$C$36&amp;" – müşteriden tahsilat: "&amp;INDEX(TAHSILAT!$N$7:$N$2503,$T517)&amp;IF(INDEX(TAHSILAT!$J$7:$J$2503,$T517)="",""," – "&amp;INDEX(TAHSILAT!$J$7:$J$2503,$T517)))</f>
        <v/>
      </c>
      <c r="P517" s="1" t="str">
        <f t="shared" si="79"/>
        <v/>
      </c>
      <c r="Q517" s="1">
        <f>IF($N517="",0,INDEX(TAHSILAT!$F$7:$F$2503,$T517))</f>
        <v>0</v>
      </c>
      <c r="R517" s="1">
        <v>0</v>
      </c>
      <c r="S517" s="1">
        <f t="shared" si="86"/>
        <v>10000000000</v>
      </c>
      <c r="T517" s="1">
        <f>IFERROR(MATCH($C$36&amp;"|444",TAHSILAT!$U$7:$U$2503,0),0)</f>
        <v>0</v>
      </c>
      <c r="V517" s="1">
        <f t="shared" si="87"/>
        <v>10000000000</v>
      </c>
      <c r="W517" s="1">
        <f t="shared" si="88"/>
        <v>9</v>
      </c>
    </row>
    <row r="518" spans="2:23" ht="14.25" customHeight="1" x14ac:dyDescent="0.3">
      <c r="B518" s="65" t="str">
        <f t="shared" si="80"/>
        <v/>
      </c>
      <c r="C518" s="70" t="str">
        <f t="shared" si="81"/>
        <v/>
      </c>
      <c r="D518" s="74" t="str">
        <f t="shared" si="82"/>
        <v/>
      </c>
      <c r="F518" s="65" t="str">
        <f t="shared" si="83"/>
        <v/>
      </c>
      <c r="G518" s="68" t="str">
        <f t="shared" si="84"/>
        <v/>
      </c>
      <c r="H518" s="68" t="str">
        <f t="shared" si="85"/>
        <v/>
      </c>
      <c r="I518" s="68" t="str">
        <f t="shared" si="89"/>
        <v/>
      </c>
      <c r="M518" s="1">
        <v>481</v>
      </c>
      <c r="N518" s="1" t="str">
        <f>IF($T518=0,"",INDEX(TAHSILAT!$E$7:$E$2503,$T518))</f>
        <v/>
      </c>
      <c r="O518" s="1" t="str">
        <f>IF($N518="","",$C$36&amp;" – müşteriden tahsilat: "&amp;INDEX(TAHSILAT!$N$7:$N$2503,$T518)&amp;IF(INDEX(TAHSILAT!$J$7:$J$2503,$T518)="",""," – "&amp;INDEX(TAHSILAT!$J$7:$J$2503,$T518)))</f>
        <v/>
      </c>
      <c r="P518" s="1" t="str">
        <f t="shared" si="79"/>
        <v/>
      </c>
      <c r="Q518" s="1">
        <f>IF($N518="",0,INDEX(TAHSILAT!$F$7:$F$2503,$T518))</f>
        <v>0</v>
      </c>
      <c r="R518" s="1">
        <v>0</v>
      </c>
      <c r="S518" s="1">
        <f t="shared" si="86"/>
        <v>10000000000</v>
      </c>
      <c r="T518" s="1">
        <f>IFERROR(MATCH($C$36&amp;"|445",TAHSILAT!$U$7:$U$2503,0),0)</f>
        <v>0</v>
      </c>
      <c r="V518" s="1">
        <f t="shared" si="87"/>
        <v>10000000000</v>
      </c>
      <c r="W518" s="1">
        <f t="shared" si="88"/>
        <v>9</v>
      </c>
    </row>
    <row r="519" spans="2:23" ht="14.25" customHeight="1" x14ac:dyDescent="0.3">
      <c r="B519" s="65" t="str">
        <f t="shared" si="80"/>
        <v/>
      </c>
      <c r="C519" s="70" t="str">
        <f t="shared" si="81"/>
        <v/>
      </c>
      <c r="D519" s="74" t="str">
        <f t="shared" si="82"/>
        <v/>
      </c>
      <c r="F519" s="65" t="str">
        <f t="shared" si="83"/>
        <v/>
      </c>
      <c r="G519" s="68" t="str">
        <f t="shared" si="84"/>
        <v/>
      </c>
      <c r="H519" s="68" t="str">
        <f t="shared" si="85"/>
        <v/>
      </c>
      <c r="I519" s="68" t="str">
        <f t="shared" si="89"/>
        <v/>
      </c>
      <c r="M519" s="1">
        <v>482</v>
      </c>
      <c r="N519" s="1" t="str">
        <f>IF($T519=0,"",INDEX(TAHSILAT!$E$7:$E$2503,$T519))</f>
        <v/>
      </c>
      <c r="O519" s="1" t="str">
        <f>IF($N519="","",$C$36&amp;" – müşteriden tahsilat: "&amp;INDEX(TAHSILAT!$N$7:$N$2503,$T519)&amp;IF(INDEX(TAHSILAT!$J$7:$J$2503,$T519)="",""," – "&amp;INDEX(TAHSILAT!$J$7:$J$2503,$T519)))</f>
        <v/>
      </c>
      <c r="P519" s="1" t="str">
        <f t="shared" si="79"/>
        <v/>
      </c>
      <c r="Q519" s="1">
        <f>IF($N519="",0,INDEX(TAHSILAT!$F$7:$F$2503,$T519))</f>
        <v>0</v>
      </c>
      <c r="R519" s="1">
        <v>0</v>
      </c>
      <c r="S519" s="1">
        <f t="shared" si="86"/>
        <v>10000000000</v>
      </c>
      <c r="T519" s="1">
        <f>IFERROR(MATCH($C$36&amp;"|446",TAHSILAT!$U$7:$U$2503,0),0)</f>
        <v>0</v>
      </c>
      <c r="V519" s="1">
        <f t="shared" si="87"/>
        <v>10000000000</v>
      </c>
      <c r="W519" s="1">
        <f t="shared" si="88"/>
        <v>9</v>
      </c>
    </row>
    <row r="520" spans="2:23" ht="14.25" customHeight="1" x14ac:dyDescent="0.3">
      <c r="B520" s="65" t="str">
        <f t="shared" si="80"/>
        <v/>
      </c>
      <c r="C520" s="70" t="str">
        <f t="shared" si="81"/>
        <v/>
      </c>
      <c r="D520" s="74" t="str">
        <f t="shared" si="82"/>
        <v/>
      </c>
      <c r="F520" s="65" t="str">
        <f t="shared" si="83"/>
        <v/>
      </c>
      <c r="G520" s="68" t="str">
        <f t="shared" si="84"/>
        <v/>
      </c>
      <c r="H520" s="68" t="str">
        <f t="shared" si="85"/>
        <v/>
      </c>
      <c r="I520" s="68" t="str">
        <f t="shared" si="89"/>
        <v/>
      </c>
      <c r="M520" s="1">
        <v>483</v>
      </c>
      <c r="N520" s="1" t="str">
        <f>IF($T520=0,"",INDEX(TAHSILAT!$E$7:$E$2503,$T520))</f>
        <v/>
      </c>
      <c r="O520" s="1" t="str">
        <f>IF($N520="","",$C$36&amp;" – müşteriden tahsilat: "&amp;INDEX(TAHSILAT!$N$7:$N$2503,$T520)&amp;IF(INDEX(TAHSILAT!$J$7:$J$2503,$T520)="",""," – "&amp;INDEX(TAHSILAT!$J$7:$J$2503,$T520)))</f>
        <v/>
      </c>
      <c r="P520" s="1" t="str">
        <f t="shared" si="79"/>
        <v/>
      </c>
      <c r="Q520" s="1">
        <f>IF($N520="",0,INDEX(TAHSILAT!$F$7:$F$2503,$T520))</f>
        <v>0</v>
      </c>
      <c r="R520" s="1">
        <v>0</v>
      </c>
      <c r="S520" s="1">
        <f t="shared" si="86"/>
        <v>10000000000</v>
      </c>
      <c r="T520" s="1">
        <f>IFERROR(MATCH($C$36&amp;"|447",TAHSILAT!$U$7:$U$2503,0),0)</f>
        <v>0</v>
      </c>
      <c r="V520" s="1">
        <f t="shared" si="87"/>
        <v>10000000000</v>
      </c>
      <c r="W520" s="1">
        <f t="shared" si="88"/>
        <v>9</v>
      </c>
    </row>
    <row r="521" spans="2:23" ht="14.25" customHeight="1" x14ac:dyDescent="0.3">
      <c r="B521" s="65" t="str">
        <f t="shared" si="80"/>
        <v/>
      </c>
      <c r="C521" s="70" t="str">
        <f t="shared" si="81"/>
        <v/>
      </c>
      <c r="D521" s="74" t="str">
        <f t="shared" si="82"/>
        <v/>
      </c>
      <c r="F521" s="65" t="str">
        <f t="shared" si="83"/>
        <v/>
      </c>
      <c r="G521" s="68" t="str">
        <f t="shared" si="84"/>
        <v/>
      </c>
      <c r="H521" s="68" t="str">
        <f t="shared" si="85"/>
        <v/>
      </c>
      <c r="I521" s="68" t="str">
        <f t="shared" si="89"/>
        <v/>
      </c>
      <c r="M521" s="1">
        <v>484</v>
      </c>
      <c r="N521" s="1" t="str">
        <f>IF($T521=0,"",INDEX(TAHSILAT!$E$7:$E$2503,$T521))</f>
        <v/>
      </c>
      <c r="O521" s="1" t="str">
        <f>IF($N521="","",$C$36&amp;" – müşteriden tahsilat: "&amp;INDEX(TAHSILAT!$N$7:$N$2503,$T521)&amp;IF(INDEX(TAHSILAT!$J$7:$J$2503,$T521)="",""," – "&amp;INDEX(TAHSILAT!$J$7:$J$2503,$T521)))</f>
        <v/>
      </c>
      <c r="P521" s="1" t="str">
        <f t="shared" si="79"/>
        <v/>
      </c>
      <c r="Q521" s="1">
        <f>IF($N521="",0,INDEX(TAHSILAT!$F$7:$F$2503,$T521))</f>
        <v>0</v>
      </c>
      <c r="R521" s="1">
        <v>0</v>
      </c>
      <c r="S521" s="1">
        <f t="shared" si="86"/>
        <v>10000000000</v>
      </c>
      <c r="T521" s="1">
        <f>IFERROR(MATCH($C$36&amp;"|448",TAHSILAT!$U$7:$U$2503,0),0)</f>
        <v>0</v>
      </c>
      <c r="V521" s="1">
        <f t="shared" si="87"/>
        <v>10000000000</v>
      </c>
      <c r="W521" s="1">
        <f t="shared" si="88"/>
        <v>9</v>
      </c>
    </row>
    <row r="522" spans="2:23" ht="14.25" customHeight="1" x14ac:dyDescent="0.3">
      <c r="B522" s="65" t="str">
        <f t="shared" si="80"/>
        <v/>
      </c>
      <c r="C522" s="70" t="str">
        <f t="shared" si="81"/>
        <v/>
      </c>
      <c r="D522" s="74" t="str">
        <f t="shared" si="82"/>
        <v/>
      </c>
      <c r="F522" s="65" t="str">
        <f t="shared" si="83"/>
        <v/>
      </c>
      <c r="G522" s="68" t="str">
        <f t="shared" si="84"/>
        <v/>
      </c>
      <c r="H522" s="68" t="str">
        <f t="shared" si="85"/>
        <v/>
      </c>
      <c r="I522" s="68" t="str">
        <f t="shared" si="89"/>
        <v/>
      </c>
      <c r="M522" s="1">
        <v>485</v>
      </c>
      <c r="N522" s="1" t="str">
        <f>IF($T522=0,"",INDEX(TAHSILAT!$E$7:$E$2503,$T522))</f>
        <v/>
      </c>
      <c r="O522" s="1" t="str">
        <f>IF($N522="","",$C$36&amp;" – müşteriden tahsilat: "&amp;INDEX(TAHSILAT!$N$7:$N$2503,$T522)&amp;IF(INDEX(TAHSILAT!$J$7:$J$2503,$T522)="",""," – "&amp;INDEX(TAHSILAT!$J$7:$J$2503,$T522)))</f>
        <v/>
      </c>
      <c r="P522" s="1" t="str">
        <f t="shared" ref="P522:P573" si="90">IF($N522="","","MÜŞTERİDEN ALDI")</f>
        <v/>
      </c>
      <c r="Q522" s="1">
        <f>IF($N522="",0,INDEX(TAHSILAT!$F$7:$F$2503,$T522))</f>
        <v>0</v>
      </c>
      <c r="R522" s="1">
        <v>0</v>
      </c>
      <c r="S522" s="1">
        <f t="shared" si="86"/>
        <v>10000000000</v>
      </c>
      <c r="T522" s="1">
        <f>IFERROR(MATCH($C$36&amp;"|449",TAHSILAT!$U$7:$U$2503,0),0)</f>
        <v>0</v>
      </c>
      <c r="V522" s="1">
        <f t="shared" si="87"/>
        <v>10000000000</v>
      </c>
      <c r="W522" s="1">
        <f t="shared" si="88"/>
        <v>9</v>
      </c>
    </row>
    <row r="523" spans="2:23" ht="14.25" customHeight="1" x14ac:dyDescent="0.3">
      <c r="B523" s="65" t="str">
        <f t="shared" si="80"/>
        <v/>
      </c>
      <c r="C523" s="70" t="str">
        <f t="shared" si="81"/>
        <v/>
      </c>
      <c r="D523" s="74" t="str">
        <f t="shared" si="82"/>
        <v/>
      </c>
      <c r="F523" s="65" t="str">
        <f t="shared" si="83"/>
        <v/>
      </c>
      <c r="G523" s="68" t="str">
        <f t="shared" si="84"/>
        <v/>
      </c>
      <c r="H523" s="68" t="str">
        <f t="shared" si="85"/>
        <v/>
      </c>
      <c r="I523" s="68" t="str">
        <f t="shared" si="89"/>
        <v/>
      </c>
      <c r="M523" s="1">
        <v>486</v>
      </c>
      <c r="N523" s="1" t="str">
        <f>IF($T523=0,"",INDEX(TAHSILAT!$E$7:$E$2503,$T523))</f>
        <v/>
      </c>
      <c r="O523" s="1" t="str">
        <f>IF($N523="","",$C$36&amp;" – müşteriden tahsilat: "&amp;INDEX(TAHSILAT!$N$7:$N$2503,$T523)&amp;IF(INDEX(TAHSILAT!$J$7:$J$2503,$T523)="",""," – "&amp;INDEX(TAHSILAT!$J$7:$J$2503,$T523)))</f>
        <v/>
      </c>
      <c r="P523" s="1" t="str">
        <f t="shared" si="90"/>
        <v/>
      </c>
      <c r="Q523" s="1">
        <f>IF($N523="",0,INDEX(TAHSILAT!$F$7:$F$2503,$T523))</f>
        <v>0</v>
      </c>
      <c r="R523" s="1">
        <v>0</v>
      </c>
      <c r="S523" s="1">
        <f t="shared" si="86"/>
        <v>10000000000</v>
      </c>
      <c r="T523" s="1">
        <f>IFERROR(MATCH($C$36&amp;"|450",TAHSILAT!$U$7:$U$2503,0),0)</f>
        <v>0</v>
      </c>
      <c r="V523" s="1">
        <f t="shared" si="87"/>
        <v>10000000000</v>
      </c>
      <c r="W523" s="1">
        <f t="shared" si="88"/>
        <v>9</v>
      </c>
    </row>
    <row r="524" spans="2:23" ht="14.25" customHeight="1" x14ac:dyDescent="0.3">
      <c r="B524" s="65" t="str">
        <f t="shared" si="80"/>
        <v/>
      </c>
      <c r="C524" s="70" t="str">
        <f t="shared" si="81"/>
        <v/>
      </c>
      <c r="D524" s="74" t="str">
        <f t="shared" si="82"/>
        <v/>
      </c>
      <c r="F524" s="65" t="str">
        <f t="shared" si="83"/>
        <v/>
      </c>
      <c r="G524" s="68" t="str">
        <f t="shared" si="84"/>
        <v/>
      </c>
      <c r="H524" s="68" t="str">
        <f t="shared" si="85"/>
        <v/>
      </c>
      <c r="I524" s="68" t="str">
        <f t="shared" si="89"/>
        <v/>
      </c>
      <c r="M524" s="1">
        <v>487</v>
      </c>
      <c r="N524" s="1" t="str">
        <f>IF($T524=0,"",INDEX(TAHSILAT!$E$7:$E$2503,$T524))</f>
        <v/>
      </c>
      <c r="O524" s="1" t="str">
        <f>IF($N524="","",$C$36&amp;" – müşteriden tahsilat: "&amp;INDEX(TAHSILAT!$N$7:$N$2503,$T524)&amp;IF(INDEX(TAHSILAT!$J$7:$J$2503,$T524)="",""," – "&amp;INDEX(TAHSILAT!$J$7:$J$2503,$T524)))</f>
        <v/>
      </c>
      <c r="P524" s="1" t="str">
        <f t="shared" si="90"/>
        <v/>
      </c>
      <c r="Q524" s="1">
        <f>IF($N524="",0,INDEX(TAHSILAT!$F$7:$F$2503,$T524))</f>
        <v>0</v>
      </c>
      <c r="R524" s="1">
        <v>0</v>
      </c>
      <c r="S524" s="1">
        <f t="shared" si="86"/>
        <v>10000000000</v>
      </c>
      <c r="T524" s="1">
        <f>IFERROR(MATCH($C$36&amp;"|451",TAHSILAT!$U$7:$U$2503,0),0)</f>
        <v>0</v>
      </c>
      <c r="V524" s="1">
        <f t="shared" si="87"/>
        <v>10000000000</v>
      </c>
      <c r="W524" s="1">
        <f t="shared" si="88"/>
        <v>9</v>
      </c>
    </row>
    <row r="525" spans="2:23" ht="14.25" customHeight="1" x14ac:dyDescent="0.3">
      <c r="B525" s="65" t="str">
        <f t="shared" si="80"/>
        <v/>
      </c>
      <c r="C525" s="70" t="str">
        <f t="shared" si="81"/>
        <v/>
      </c>
      <c r="D525" s="74" t="str">
        <f t="shared" si="82"/>
        <v/>
      </c>
      <c r="F525" s="65" t="str">
        <f t="shared" si="83"/>
        <v/>
      </c>
      <c r="G525" s="68" t="str">
        <f t="shared" si="84"/>
        <v/>
      </c>
      <c r="H525" s="68" t="str">
        <f t="shared" si="85"/>
        <v/>
      </c>
      <c r="I525" s="68" t="str">
        <f t="shared" si="89"/>
        <v/>
      </c>
      <c r="M525" s="1">
        <v>488</v>
      </c>
      <c r="N525" s="1" t="str">
        <f>IF($T525=0,"",INDEX(TAHSILAT!$E$7:$E$2503,$T525))</f>
        <v/>
      </c>
      <c r="O525" s="1" t="str">
        <f>IF($N525="","",$C$36&amp;" – müşteriden tahsilat: "&amp;INDEX(TAHSILAT!$N$7:$N$2503,$T525)&amp;IF(INDEX(TAHSILAT!$J$7:$J$2503,$T525)="",""," – "&amp;INDEX(TAHSILAT!$J$7:$J$2503,$T525)))</f>
        <v/>
      </c>
      <c r="P525" s="1" t="str">
        <f t="shared" si="90"/>
        <v/>
      </c>
      <c r="Q525" s="1">
        <f>IF($N525="",0,INDEX(TAHSILAT!$F$7:$F$2503,$T525))</f>
        <v>0</v>
      </c>
      <c r="R525" s="1">
        <v>0</v>
      </c>
      <c r="S525" s="1">
        <f t="shared" si="86"/>
        <v>10000000000</v>
      </c>
      <c r="T525" s="1">
        <f>IFERROR(MATCH($C$36&amp;"|452",TAHSILAT!$U$7:$U$2503,0),0)</f>
        <v>0</v>
      </c>
      <c r="V525" s="1">
        <f t="shared" si="87"/>
        <v>10000000000</v>
      </c>
      <c r="W525" s="1">
        <f t="shared" si="88"/>
        <v>9</v>
      </c>
    </row>
    <row r="526" spans="2:23" ht="14.25" customHeight="1" x14ac:dyDescent="0.3">
      <c r="B526" s="65" t="str">
        <f t="shared" si="80"/>
        <v/>
      </c>
      <c r="C526" s="70" t="str">
        <f t="shared" si="81"/>
        <v/>
      </c>
      <c r="D526" s="74" t="str">
        <f t="shared" si="82"/>
        <v/>
      </c>
      <c r="F526" s="65" t="str">
        <f t="shared" si="83"/>
        <v/>
      </c>
      <c r="G526" s="68" t="str">
        <f t="shared" si="84"/>
        <v/>
      </c>
      <c r="H526" s="68" t="str">
        <f t="shared" si="85"/>
        <v/>
      </c>
      <c r="I526" s="68" t="str">
        <f t="shared" si="89"/>
        <v/>
      </c>
      <c r="M526" s="1">
        <v>489</v>
      </c>
      <c r="N526" s="1" t="str">
        <f>IF($T526=0,"",INDEX(TAHSILAT!$E$7:$E$2503,$T526))</f>
        <v/>
      </c>
      <c r="O526" s="1" t="str">
        <f>IF($N526="","",$C$36&amp;" – müşteriden tahsilat: "&amp;INDEX(TAHSILAT!$N$7:$N$2503,$T526)&amp;IF(INDEX(TAHSILAT!$J$7:$J$2503,$T526)="",""," – "&amp;INDEX(TAHSILAT!$J$7:$J$2503,$T526)))</f>
        <v/>
      </c>
      <c r="P526" s="1" t="str">
        <f t="shared" si="90"/>
        <v/>
      </c>
      <c r="Q526" s="1">
        <f>IF($N526="",0,INDEX(TAHSILAT!$F$7:$F$2503,$T526))</f>
        <v>0</v>
      </c>
      <c r="R526" s="1">
        <v>0</v>
      </c>
      <c r="S526" s="1">
        <f t="shared" si="86"/>
        <v>10000000000</v>
      </c>
      <c r="T526" s="1">
        <f>IFERROR(MATCH($C$36&amp;"|453",TAHSILAT!$U$7:$U$2503,0),0)</f>
        <v>0</v>
      </c>
      <c r="V526" s="1">
        <f t="shared" si="87"/>
        <v>10000000000</v>
      </c>
      <c r="W526" s="1">
        <f t="shared" si="88"/>
        <v>9</v>
      </c>
    </row>
    <row r="527" spans="2:23" ht="14.25" customHeight="1" x14ac:dyDescent="0.3">
      <c r="B527" s="65" t="str">
        <f t="shared" si="80"/>
        <v/>
      </c>
      <c r="C527" s="70" t="str">
        <f t="shared" si="81"/>
        <v/>
      </c>
      <c r="D527" s="74" t="str">
        <f t="shared" si="82"/>
        <v/>
      </c>
      <c r="F527" s="65" t="str">
        <f t="shared" si="83"/>
        <v/>
      </c>
      <c r="G527" s="68" t="str">
        <f t="shared" si="84"/>
        <v/>
      </c>
      <c r="H527" s="68" t="str">
        <f t="shared" si="85"/>
        <v/>
      </c>
      <c r="I527" s="68" t="str">
        <f t="shared" si="89"/>
        <v/>
      </c>
      <c r="M527" s="1">
        <v>490</v>
      </c>
      <c r="N527" s="1" t="str">
        <f>IF($T527=0,"",INDEX(TAHSILAT!$E$7:$E$2503,$T527))</f>
        <v/>
      </c>
      <c r="O527" s="1" t="str">
        <f>IF($N527="","",$C$36&amp;" – müşteriden tahsilat: "&amp;INDEX(TAHSILAT!$N$7:$N$2503,$T527)&amp;IF(INDEX(TAHSILAT!$J$7:$J$2503,$T527)="",""," – "&amp;INDEX(TAHSILAT!$J$7:$J$2503,$T527)))</f>
        <v/>
      </c>
      <c r="P527" s="1" t="str">
        <f t="shared" si="90"/>
        <v/>
      </c>
      <c r="Q527" s="1">
        <f>IF($N527="",0,INDEX(TAHSILAT!$F$7:$F$2503,$T527))</f>
        <v>0</v>
      </c>
      <c r="R527" s="1">
        <v>0</v>
      </c>
      <c r="S527" s="1">
        <f t="shared" si="86"/>
        <v>10000000000</v>
      </c>
      <c r="T527" s="1">
        <f>IFERROR(MATCH($C$36&amp;"|454",TAHSILAT!$U$7:$U$2503,0),0)</f>
        <v>0</v>
      </c>
      <c r="V527" s="1">
        <f t="shared" si="87"/>
        <v>10000000000</v>
      </c>
      <c r="W527" s="1">
        <f t="shared" si="88"/>
        <v>9</v>
      </c>
    </row>
    <row r="528" spans="2:23" ht="14.25" customHeight="1" x14ac:dyDescent="0.3">
      <c r="B528" s="65" t="str">
        <f t="shared" si="80"/>
        <v/>
      </c>
      <c r="C528" s="70" t="str">
        <f t="shared" si="81"/>
        <v/>
      </c>
      <c r="D528" s="74" t="str">
        <f t="shared" si="82"/>
        <v/>
      </c>
      <c r="F528" s="65" t="str">
        <f t="shared" si="83"/>
        <v/>
      </c>
      <c r="G528" s="68" t="str">
        <f t="shared" si="84"/>
        <v/>
      </c>
      <c r="H528" s="68" t="str">
        <f t="shared" si="85"/>
        <v/>
      </c>
      <c r="I528" s="68" t="str">
        <f t="shared" si="89"/>
        <v/>
      </c>
      <c r="M528" s="1">
        <v>491</v>
      </c>
      <c r="N528" s="1" t="str">
        <f>IF($T528=0,"",INDEX(TAHSILAT!$E$7:$E$2503,$T528))</f>
        <v/>
      </c>
      <c r="O528" s="1" t="str">
        <f>IF($N528="","",$C$36&amp;" – müşteriden tahsilat: "&amp;INDEX(TAHSILAT!$N$7:$N$2503,$T528)&amp;IF(INDEX(TAHSILAT!$J$7:$J$2503,$T528)="",""," – "&amp;INDEX(TAHSILAT!$J$7:$J$2503,$T528)))</f>
        <v/>
      </c>
      <c r="P528" s="1" t="str">
        <f t="shared" si="90"/>
        <v/>
      </c>
      <c r="Q528" s="1">
        <f>IF($N528="",0,INDEX(TAHSILAT!$F$7:$F$2503,$T528))</f>
        <v>0</v>
      </c>
      <c r="R528" s="1">
        <v>0</v>
      </c>
      <c r="S528" s="1">
        <f t="shared" si="86"/>
        <v>10000000000</v>
      </c>
      <c r="T528" s="1">
        <f>IFERROR(MATCH($C$36&amp;"|455",TAHSILAT!$U$7:$U$2503,0),0)</f>
        <v>0</v>
      </c>
      <c r="V528" s="1">
        <f t="shared" si="87"/>
        <v>10000000000</v>
      </c>
      <c r="W528" s="1">
        <f t="shared" si="88"/>
        <v>9</v>
      </c>
    </row>
    <row r="529" spans="2:23" ht="14.25" customHeight="1" x14ac:dyDescent="0.3">
      <c r="B529" s="65" t="str">
        <f t="shared" si="80"/>
        <v/>
      </c>
      <c r="C529" s="70" t="str">
        <f t="shared" si="81"/>
        <v/>
      </c>
      <c r="D529" s="74" t="str">
        <f t="shared" si="82"/>
        <v/>
      </c>
      <c r="F529" s="65" t="str">
        <f t="shared" si="83"/>
        <v/>
      </c>
      <c r="G529" s="68" t="str">
        <f t="shared" si="84"/>
        <v/>
      </c>
      <c r="H529" s="68" t="str">
        <f t="shared" si="85"/>
        <v/>
      </c>
      <c r="I529" s="68" t="str">
        <f t="shared" si="89"/>
        <v/>
      </c>
      <c r="M529" s="1">
        <v>492</v>
      </c>
      <c r="N529" s="1" t="str">
        <f>IF($T529=0,"",INDEX(TAHSILAT!$E$7:$E$2503,$T529))</f>
        <v/>
      </c>
      <c r="O529" s="1" t="str">
        <f>IF($N529="","",$C$36&amp;" – müşteriden tahsilat: "&amp;INDEX(TAHSILAT!$N$7:$N$2503,$T529)&amp;IF(INDEX(TAHSILAT!$J$7:$J$2503,$T529)="",""," – "&amp;INDEX(TAHSILAT!$J$7:$J$2503,$T529)))</f>
        <v/>
      </c>
      <c r="P529" s="1" t="str">
        <f t="shared" si="90"/>
        <v/>
      </c>
      <c r="Q529" s="1">
        <f>IF($N529="",0,INDEX(TAHSILAT!$F$7:$F$2503,$T529))</f>
        <v>0</v>
      </c>
      <c r="R529" s="1">
        <v>0</v>
      </c>
      <c r="S529" s="1">
        <f t="shared" si="86"/>
        <v>10000000000</v>
      </c>
      <c r="T529" s="1">
        <f>IFERROR(MATCH($C$36&amp;"|456",TAHSILAT!$U$7:$U$2503,0),0)</f>
        <v>0</v>
      </c>
      <c r="V529" s="1">
        <f t="shared" si="87"/>
        <v>10000000000</v>
      </c>
      <c r="W529" s="1">
        <f t="shared" si="88"/>
        <v>9</v>
      </c>
    </row>
    <row r="530" spans="2:23" ht="14.25" customHeight="1" x14ac:dyDescent="0.3">
      <c r="B530" s="65" t="str">
        <f t="shared" si="80"/>
        <v/>
      </c>
      <c r="C530" s="70" t="str">
        <f t="shared" si="81"/>
        <v/>
      </c>
      <c r="D530" s="74" t="str">
        <f t="shared" si="82"/>
        <v/>
      </c>
      <c r="F530" s="65" t="str">
        <f t="shared" si="83"/>
        <v/>
      </c>
      <c r="G530" s="68" t="str">
        <f t="shared" si="84"/>
        <v/>
      </c>
      <c r="H530" s="68" t="str">
        <f t="shared" si="85"/>
        <v/>
      </c>
      <c r="I530" s="68" t="str">
        <f t="shared" si="89"/>
        <v/>
      </c>
      <c r="M530" s="1">
        <v>493</v>
      </c>
      <c r="N530" s="1" t="str">
        <f>IF($T530=0,"",INDEX(TAHSILAT!$E$7:$E$2503,$T530))</f>
        <v/>
      </c>
      <c r="O530" s="1" t="str">
        <f>IF($N530="","",$C$36&amp;" – müşteriden tahsilat: "&amp;INDEX(TAHSILAT!$N$7:$N$2503,$T530)&amp;IF(INDEX(TAHSILAT!$J$7:$J$2503,$T530)="",""," – "&amp;INDEX(TAHSILAT!$J$7:$J$2503,$T530)))</f>
        <v/>
      </c>
      <c r="P530" s="1" t="str">
        <f t="shared" si="90"/>
        <v/>
      </c>
      <c r="Q530" s="1">
        <f>IF($N530="",0,INDEX(TAHSILAT!$F$7:$F$2503,$T530))</f>
        <v>0</v>
      </c>
      <c r="R530" s="1">
        <v>0</v>
      </c>
      <c r="S530" s="1">
        <f t="shared" si="86"/>
        <v>10000000000</v>
      </c>
      <c r="T530" s="1">
        <f>IFERROR(MATCH($C$36&amp;"|457",TAHSILAT!$U$7:$U$2503,0),0)</f>
        <v>0</v>
      </c>
      <c r="V530" s="1">
        <f t="shared" si="87"/>
        <v>10000000000</v>
      </c>
      <c r="W530" s="1">
        <f t="shared" si="88"/>
        <v>9</v>
      </c>
    </row>
    <row r="531" spans="2:23" ht="14.25" customHeight="1" x14ac:dyDescent="0.3">
      <c r="B531" s="65" t="str">
        <f t="shared" si="80"/>
        <v/>
      </c>
      <c r="C531" s="70" t="str">
        <f t="shared" si="81"/>
        <v/>
      </c>
      <c r="D531" s="74" t="str">
        <f t="shared" si="82"/>
        <v/>
      </c>
      <c r="F531" s="65" t="str">
        <f t="shared" si="83"/>
        <v/>
      </c>
      <c r="G531" s="68" t="str">
        <f t="shared" si="84"/>
        <v/>
      </c>
      <c r="H531" s="68" t="str">
        <f t="shared" si="85"/>
        <v/>
      </c>
      <c r="I531" s="68" t="str">
        <f t="shared" si="89"/>
        <v/>
      </c>
      <c r="M531" s="1">
        <v>494</v>
      </c>
      <c r="N531" s="1" t="str">
        <f>IF($T531=0,"",INDEX(TAHSILAT!$E$7:$E$2503,$T531))</f>
        <v/>
      </c>
      <c r="O531" s="1" t="str">
        <f>IF($N531="","",$C$36&amp;" – müşteriden tahsilat: "&amp;INDEX(TAHSILAT!$N$7:$N$2503,$T531)&amp;IF(INDEX(TAHSILAT!$J$7:$J$2503,$T531)="",""," – "&amp;INDEX(TAHSILAT!$J$7:$J$2503,$T531)))</f>
        <v/>
      </c>
      <c r="P531" s="1" t="str">
        <f t="shared" si="90"/>
        <v/>
      </c>
      <c r="Q531" s="1">
        <f>IF($N531="",0,INDEX(TAHSILAT!$F$7:$F$2503,$T531))</f>
        <v>0</v>
      </c>
      <c r="R531" s="1">
        <v>0</v>
      </c>
      <c r="S531" s="1">
        <f t="shared" si="86"/>
        <v>10000000000</v>
      </c>
      <c r="T531" s="1">
        <f>IFERROR(MATCH($C$36&amp;"|458",TAHSILAT!$U$7:$U$2503,0),0)</f>
        <v>0</v>
      </c>
      <c r="V531" s="1">
        <f t="shared" si="87"/>
        <v>10000000000</v>
      </c>
      <c r="W531" s="1">
        <f t="shared" si="88"/>
        <v>9</v>
      </c>
    </row>
    <row r="532" spans="2:23" ht="14.25" customHeight="1" x14ac:dyDescent="0.3">
      <c r="B532" s="65" t="str">
        <f t="shared" si="80"/>
        <v/>
      </c>
      <c r="C532" s="70" t="str">
        <f t="shared" si="81"/>
        <v/>
      </c>
      <c r="D532" s="74" t="str">
        <f t="shared" si="82"/>
        <v/>
      </c>
      <c r="F532" s="65" t="str">
        <f t="shared" si="83"/>
        <v/>
      </c>
      <c r="G532" s="68" t="str">
        <f t="shared" si="84"/>
        <v/>
      </c>
      <c r="H532" s="68" t="str">
        <f t="shared" si="85"/>
        <v/>
      </c>
      <c r="I532" s="68" t="str">
        <f t="shared" si="89"/>
        <v/>
      </c>
      <c r="M532" s="1">
        <v>495</v>
      </c>
      <c r="N532" s="1" t="str">
        <f>IF($T532=0,"",INDEX(TAHSILAT!$E$7:$E$2503,$T532))</f>
        <v/>
      </c>
      <c r="O532" s="1" t="str">
        <f>IF($N532="","",$C$36&amp;" – müşteriden tahsilat: "&amp;INDEX(TAHSILAT!$N$7:$N$2503,$T532)&amp;IF(INDEX(TAHSILAT!$J$7:$J$2503,$T532)="",""," – "&amp;INDEX(TAHSILAT!$J$7:$J$2503,$T532)))</f>
        <v/>
      </c>
      <c r="P532" s="1" t="str">
        <f t="shared" si="90"/>
        <v/>
      </c>
      <c r="Q532" s="1">
        <f>IF($N532="",0,INDEX(TAHSILAT!$F$7:$F$2503,$T532))</f>
        <v>0</v>
      </c>
      <c r="R532" s="1">
        <v>0</v>
      </c>
      <c r="S532" s="1">
        <f t="shared" si="86"/>
        <v>10000000000</v>
      </c>
      <c r="T532" s="1">
        <f>IFERROR(MATCH($C$36&amp;"|459",TAHSILAT!$U$7:$U$2503,0),0)</f>
        <v>0</v>
      </c>
      <c r="V532" s="1">
        <f t="shared" si="87"/>
        <v>10000000000</v>
      </c>
      <c r="W532" s="1">
        <f t="shared" si="88"/>
        <v>9</v>
      </c>
    </row>
    <row r="533" spans="2:23" ht="14.25" customHeight="1" x14ac:dyDescent="0.3">
      <c r="B533" s="65" t="str">
        <f t="shared" si="80"/>
        <v/>
      </c>
      <c r="C533" s="70" t="str">
        <f t="shared" si="81"/>
        <v/>
      </c>
      <c r="D533" s="74" t="str">
        <f t="shared" si="82"/>
        <v/>
      </c>
      <c r="F533" s="65" t="str">
        <f t="shared" si="83"/>
        <v/>
      </c>
      <c r="G533" s="68" t="str">
        <f t="shared" si="84"/>
        <v/>
      </c>
      <c r="H533" s="68" t="str">
        <f t="shared" si="85"/>
        <v/>
      </c>
      <c r="I533" s="68" t="str">
        <f t="shared" si="89"/>
        <v/>
      </c>
      <c r="M533" s="1">
        <v>496</v>
      </c>
      <c r="N533" s="1" t="str">
        <f>IF($T533=0,"",INDEX(TAHSILAT!$E$7:$E$2503,$T533))</f>
        <v/>
      </c>
      <c r="O533" s="1" t="str">
        <f>IF($N533="","",$C$36&amp;" – müşteriden tahsilat: "&amp;INDEX(TAHSILAT!$N$7:$N$2503,$T533)&amp;IF(INDEX(TAHSILAT!$J$7:$J$2503,$T533)="",""," – "&amp;INDEX(TAHSILAT!$J$7:$J$2503,$T533)))</f>
        <v/>
      </c>
      <c r="P533" s="1" t="str">
        <f t="shared" si="90"/>
        <v/>
      </c>
      <c r="Q533" s="1">
        <f>IF($N533="",0,INDEX(TAHSILAT!$F$7:$F$2503,$T533))</f>
        <v>0</v>
      </c>
      <c r="R533" s="1">
        <v>0</v>
      </c>
      <c r="S533" s="1">
        <f t="shared" si="86"/>
        <v>10000000000</v>
      </c>
      <c r="T533" s="1">
        <f>IFERROR(MATCH($C$36&amp;"|460",TAHSILAT!$U$7:$U$2503,0),0)</f>
        <v>0</v>
      </c>
      <c r="V533" s="1">
        <f t="shared" si="87"/>
        <v>10000000000</v>
      </c>
      <c r="W533" s="1">
        <f t="shared" si="88"/>
        <v>9</v>
      </c>
    </row>
    <row r="534" spans="2:23" ht="14.25" customHeight="1" x14ac:dyDescent="0.3">
      <c r="B534" s="65" t="str">
        <f t="shared" si="80"/>
        <v/>
      </c>
      <c r="C534" s="70" t="str">
        <f t="shared" si="81"/>
        <v/>
      </c>
      <c r="D534" s="74" t="str">
        <f t="shared" si="82"/>
        <v/>
      </c>
      <c r="F534" s="65" t="str">
        <f t="shared" si="83"/>
        <v/>
      </c>
      <c r="G534" s="68" t="str">
        <f t="shared" si="84"/>
        <v/>
      </c>
      <c r="H534" s="68" t="str">
        <f t="shared" si="85"/>
        <v/>
      </c>
      <c r="I534" s="68" t="str">
        <f t="shared" si="89"/>
        <v/>
      </c>
      <c r="M534" s="1">
        <v>497</v>
      </c>
      <c r="N534" s="1" t="str">
        <f>IF($T534=0,"",INDEX(TAHSILAT!$E$7:$E$2503,$T534))</f>
        <v/>
      </c>
      <c r="O534" s="1" t="str">
        <f>IF($N534="","",$C$36&amp;" – müşteriden tahsilat: "&amp;INDEX(TAHSILAT!$N$7:$N$2503,$T534)&amp;IF(INDEX(TAHSILAT!$J$7:$J$2503,$T534)="",""," – "&amp;INDEX(TAHSILAT!$J$7:$J$2503,$T534)))</f>
        <v/>
      </c>
      <c r="P534" s="1" t="str">
        <f t="shared" si="90"/>
        <v/>
      </c>
      <c r="Q534" s="1">
        <f>IF($N534="",0,INDEX(TAHSILAT!$F$7:$F$2503,$T534))</f>
        <v>0</v>
      </c>
      <c r="R534" s="1">
        <v>0</v>
      </c>
      <c r="S534" s="1">
        <f t="shared" si="86"/>
        <v>10000000000</v>
      </c>
      <c r="T534" s="1">
        <f>IFERROR(MATCH($C$36&amp;"|461",TAHSILAT!$U$7:$U$2503,0),0)</f>
        <v>0</v>
      </c>
      <c r="V534" s="1">
        <f t="shared" si="87"/>
        <v>10000000000</v>
      </c>
      <c r="W534" s="1">
        <f t="shared" si="88"/>
        <v>9</v>
      </c>
    </row>
    <row r="535" spans="2:23" ht="14.25" customHeight="1" x14ac:dyDescent="0.3">
      <c r="B535" s="65" t="str">
        <f t="shared" si="80"/>
        <v/>
      </c>
      <c r="C535" s="70" t="str">
        <f t="shared" si="81"/>
        <v/>
      </c>
      <c r="D535" s="74" t="str">
        <f t="shared" si="82"/>
        <v/>
      </c>
      <c r="F535" s="65" t="str">
        <f t="shared" si="83"/>
        <v/>
      </c>
      <c r="G535" s="68" t="str">
        <f t="shared" si="84"/>
        <v/>
      </c>
      <c r="H535" s="68" t="str">
        <f t="shared" si="85"/>
        <v/>
      </c>
      <c r="I535" s="68" t="str">
        <f t="shared" si="89"/>
        <v/>
      </c>
      <c r="M535" s="1">
        <v>498</v>
      </c>
      <c r="N535" s="1" t="str">
        <f>IF($T535=0,"",INDEX(TAHSILAT!$E$7:$E$2503,$T535))</f>
        <v/>
      </c>
      <c r="O535" s="1" t="str">
        <f>IF($N535="","",$C$36&amp;" – müşteriden tahsilat: "&amp;INDEX(TAHSILAT!$N$7:$N$2503,$T535)&amp;IF(INDEX(TAHSILAT!$J$7:$J$2503,$T535)="",""," – "&amp;INDEX(TAHSILAT!$J$7:$J$2503,$T535)))</f>
        <v/>
      </c>
      <c r="P535" s="1" t="str">
        <f t="shared" si="90"/>
        <v/>
      </c>
      <c r="Q535" s="1">
        <f>IF($N535="",0,INDEX(TAHSILAT!$F$7:$F$2503,$T535))</f>
        <v>0</v>
      </c>
      <c r="R535" s="1">
        <v>0</v>
      </c>
      <c r="S535" s="1">
        <f t="shared" si="86"/>
        <v>10000000000</v>
      </c>
      <c r="T535" s="1">
        <f>IFERROR(MATCH($C$36&amp;"|462",TAHSILAT!$U$7:$U$2503,0),0)</f>
        <v>0</v>
      </c>
      <c r="V535" s="1">
        <f t="shared" si="87"/>
        <v>10000000000</v>
      </c>
      <c r="W535" s="1">
        <f t="shared" si="88"/>
        <v>9</v>
      </c>
    </row>
    <row r="536" spans="2:23" ht="14.25" customHeight="1" x14ac:dyDescent="0.3">
      <c r="B536" s="65" t="str">
        <f t="shared" si="80"/>
        <v/>
      </c>
      <c r="C536" s="70" t="str">
        <f t="shared" si="81"/>
        <v/>
      </c>
      <c r="D536" s="74" t="str">
        <f t="shared" si="82"/>
        <v/>
      </c>
      <c r="F536" s="65" t="str">
        <f t="shared" si="83"/>
        <v/>
      </c>
      <c r="G536" s="68" t="str">
        <f t="shared" si="84"/>
        <v/>
      </c>
      <c r="H536" s="68" t="str">
        <f t="shared" si="85"/>
        <v/>
      </c>
      <c r="I536" s="68" t="str">
        <f t="shared" si="89"/>
        <v/>
      </c>
      <c r="M536" s="1">
        <v>499</v>
      </c>
      <c r="N536" s="1" t="str">
        <f>IF($T536=0,"",INDEX(TAHSILAT!$E$7:$E$2503,$T536))</f>
        <v/>
      </c>
      <c r="O536" s="1" t="str">
        <f>IF($N536="","",$C$36&amp;" – müşteriden tahsilat: "&amp;INDEX(TAHSILAT!$N$7:$N$2503,$T536)&amp;IF(INDEX(TAHSILAT!$J$7:$J$2503,$T536)="",""," – "&amp;INDEX(TAHSILAT!$J$7:$J$2503,$T536)))</f>
        <v/>
      </c>
      <c r="P536" s="1" t="str">
        <f t="shared" si="90"/>
        <v/>
      </c>
      <c r="Q536" s="1">
        <f>IF($N536="",0,INDEX(TAHSILAT!$F$7:$F$2503,$T536))</f>
        <v>0</v>
      </c>
      <c r="R536" s="1">
        <v>0</v>
      </c>
      <c r="S536" s="1">
        <f t="shared" si="86"/>
        <v>10000000000</v>
      </c>
      <c r="T536" s="1">
        <f>IFERROR(MATCH($C$36&amp;"|463",TAHSILAT!$U$7:$U$2503,0),0)</f>
        <v>0</v>
      </c>
      <c r="V536" s="1">
        <f t="shared" si="87"/>
        <v>10000000000</v>
      </c>
      <c r="W536" s="1">
        <f t="shared" si="88"/>
        <v>9</v>
      </c>
    </row>
    <row r="537" spans="2:23" ht="14.25" customHeight="1" x14ac:dyDescent="0.3">
      <c r="B537" s="65" t="str">
        <f t="shared" si="80"/>
        <v/>
      </c>
      <c r="C537" s="70" t="str">
        <f t="shared" si="81"/>
        <v/>
      </c>
      <c r="D537" s="74" t="str">
        <f t="shared" si="82"/>
        <v/>
      </c>
      <c r="F537" s="65" t="str">
        <f t="shared" si="83"/>
        <v/>
      </c>
      <c r="G537" s="68" t="str">
        <f t="shared" si="84"/>
        <v/>
      </c>
      <c r="H537" s="68" t="str">
        <f t="shared" si="85"/>
        <v/>
      </c>
      <c r="I537" s="68" t="str">
        <f t="shared" si="89"/>
        <v/>
      </c>
      <c r="M537" s="1">
        <v>500</v>
      </c>
      <c r="N537" s="1" t="str">
        <f>IF($T537=0,"",INDEX(TAHSILAT!$E$7:$E$2503,$T537))</f>
        <v/>
      </c>
      <c r="O537" s="1" t="str">
        <f>IF($N537="","",$C$36&amp;" – müşteriden tahsilat: "&amp;INDEX(TAHSILAT!$N$7:$N$2503,$T537)&amp;IF(INDEX(TAHSILAT!$J$7:$J$2503,$T537)="",""," – "&amp;INDEX(TAHSILAT!$J$7:$J$2503,$T537)))</f>
        <v/>
      </c>
      <c r="P537" s="1" t="str">
        <f t="shared" si="90"/>
        <v/>
      </c>
      <c r="Q537" s="1">
        <f>IF($N537="",0,INDEX(TAHSILAT!$F$7:$F$2503,$T537))</f>
        <v>0</v>
      </c>
      <c r="R537" s="1">
        <v>0</v>
      </c>
      <c r="S537" s="1">
        <f t="shared" si="86"/>
        <v>10000000000</v>
      </c>
      <c r="T537" s="1">
        <f>IFERROR(MATCH($C$36&amp;"|464",TAHSILAT!$U$7:$U$2503,0),0)</f>
        <v>0</v>
      </c>
      <c r="V537" s="1">
        <f t="shared" si="87"/>
        <v>10000000000</v>
      </c>
      <c r="W537" s="1">
        <f t="shared" si="88"/>
        <v>9</v>
      </c>
    </row>
    <row r="538" spans="2:23" ht="14.25" customHeight="1" x14ac:dyDescent="0.3">
      <c r="B538" s="65" t="str">
        <f t="shared" si="80"/>
        <v/>
      </c>
      <c r="C538" s="70" t="str">
        <f t="shared" si="81"/>
        <v/>
      </c>
      <c r="D538" s="74" t="str">
        <f t="shared" si="82"/>
        <v/>
      </c>
      <c r="F538" s="65" t="str">
        <f t="shared" si="83"/>
        <v/>
      </c>
      <c r="G538" s="68" t="str">
        <f t="shared" si="84"/>
        <v/>
      </c>
      <c r="H538" s="68" t="str">
        <f t="shared" si="85"/>
        <v/>
      </c>
      <c r="I538" s="68" t="str">
        <f t="shared" si="89"/>
        <v/>
      </c>
      <c r="M538" s="1">
        <v>501</v>
      </c>
      <c r="N538" s="1" t="str">
        <f>IF($T538=0,"",INDEX(TAHSILAT!$E$7:$E$2503,$T538))</f>
        <v/>
      </c>
      <c r="O538" s="1" t="str">
        <f>IF($N538="","",$C$36&amp;" – müşteriden tahsilat: "&amp;INDEX(TAHSILAT!$N$7:$N$2503,$T538)&amp;IF(INDEX(TAHSILAT!$J$7:$J$2503,$T538)="",""," – "&amp;INDEX(TAHSILAT!$J$7:$J$2503,$T538)))</f>
        <v/>
      </c>
      <c r="P538" s="1" t="str">
        <f t="shared" si="90"/>
        <v/>
      </c>
      <c r="Q538" s="1">
        <f>IF($N538="",0,INDEX(TAHSILAT!$F$7:$F$2503,$T538))</f>
        <v>0</v>
      </c>
      <c r="R538" s="1">
        <v>0</v>
      </c>
      <c r="S538" s="1">
        <f t="shared" si="86"/>
        <v>10000000000</v>
      </c>
      <c r="T538" s="1">
        <f>IFERROR(MATCH($C$36&amp;"|465",TAHSILAT!$U$7:$U$2503,0),0)</f>
        <v>0</v>
      </c>
      <c r="V538" s="1">
        <f t="shared" si="87"/>
        <v>10000000000</v>
      </c>
      <c r="W538" s="1">
        <f t="shared" si="88"/>
        <v>9</v>
      </c>
    </row>
    <row r="539" spans="2:23" ht="14.25" customHeight="1" x14ac:dyDescent="0.3">
      <c r="B539" s="65" t="str">
        <f t="shared" si="80"/>
        <v/>
      </c>
      <c r="C539" s="70" t="str">
        <f t="shared" si="81"/>
        <v/>
      </c>
      <c r="D539" s="74" t="str">
        <f t="shared" si="82"/>
        <v/>
      </c>
      <c r="F539" s="65" t="str">
        <f t="shared" si="83"/>
        <v/>
      </c>
      <c r="G539" s="68" t="str">
        <f t="shared" si="84"/>
        <v/>
      </c>
      <c r="H539" s="68" t="str">
        <f t="shared" si="85"/>
        <v/>
      </c>
      <c r="I539" s="68" t="str">
        <f t="shared" si="89"/>
        <v/>
      </c>
      <c r="M539" s="1">
        <v>502</v>
      </c>
      <c r="N539" s="1" t="str">
        <f>IF($T539=0,"",INDEX(TAHSILAT!$E$7:$E$2503,$T539))</f>
        <v/>
      </c>
      <c r="O539" s="1" t="str">
        <f>IF($N539="","",$C$36&amp;" – müşteriden tahsilat: "&amp;INDEX(TAHSILAT!$N$7:$N$2503,$T539)&amp;IF(INDEX(TAHSILAT!$J$7:$J$2503,$T539)="",""," – "&amp;INDEX(TAHSILAT!$J$7:$J$2503,$T539)))</f>
        <v/>
      </c>
      <c r="P539" s="1" t="str">
        <f t="shared" si="90"/>
        <v/>
      </c>
      <c r="Q539" s="1">
        <f>IF($N539="",0,INDEX(TAHSILAT!$F$7:$F$2503,$T539))</f>
        <v>0</v>
      </c>
      <c r="R539" s="1">
        <v>0</v>
      </c>
      <c r="S539" s="1">
        <f t="shared" si="86"/>
        <v>10000000000</v>
      </c>
      <c r="T539" s="1">
        <f>IFERROR(MATCH($C$36&amp;"|466",TAHSILAT!$U$7:$U$2503,0),0)</f>
        <v>0</v>
      </c>
      <c r="V539" s="1">
        <f t="shared" si="87"/>
        <v>10000000000</v>
      </c>
      <c r="W539" s="1">
        <f t="shared" si="88"/>
        <v>9</v>
      </c>
    </row>
    <row r="540" spans="2:23" ht="14.25" customHeight="1" x14ac:dyDescent="0.3">
      <c r="B540" s="65" t="str">
        <f t="shared" si="80"/>
        <v/>
      </c>
      <c r="C540" s="70" t="str">
        <f t="shared" si="81"/>
        <v/>
      </c>
      <c r="D540" s="74" t="str">
        <f t="shared" si="82"/>
        <v/>
      </c>
      <c r="F540" s="65" t="str">
        <f t="shared" si="83"/>
        <v/>
      </c>
      <c r="G540" s="68" t="str">
        <f t="shared" si="84"/>
        <v/>
      </c>
      <c r="H540" s="68" t="str">
        <f t="shared" si="85"/>
        <v/>
      </c>
      <c r="I540" s="68" t="str">
        <f t="shared" si="89"/>
        <v/>
      </c>
      <c r="M540" s="1">
        <v>503</v>
      </c>
      <c r="N540" s="1" t="str">
        <f>IF($T540=0,"",INDEX(TAHSILAT!$E$7:$E$2503,$T540))</f>
        <v/>
      </c>
      <c r="O540" s="1" t="str">
        <f>IF($N540="","",$C$36&amp;" – müşteriden tahsilat: "&amp;INDEX(TAHSILAT!$N$7:$N$2503,$T540)&amp;IF(INDEX(TAHSILAT!$J$7:$J$2503,$T540)="",""," – "&amp;INDEX(TAHSILAT!$J$7:$J$2503,$T540)))</f>
        <v/>
      </c>
      <c r="P540" s="1" t="str">
        <f t="shared" si="90"/>
        <v/>
      </c>
      <c r="Q540" s="1">
        <f>IF($N540="",0,INDEX(TAHSILAT!$F$7:$F$2503,$T540))</f>
        <v>0</v>
      </c>
      <c r="R540" s="1">
        <v>0</v>
      </c>
      <c r="S540" s="1">
        <f t="shared" si="86"/>
        <v>10000000000</v>
      </c>
      <c r="T540" s="1">
        <f>IFERROR(MATCH($C$36&amp;"|467",TAHSILAT!$U$7:$U$2503,0),0)</f>
        <v>0</v>
      </c>
      <c r="V540" s="1">
        <f t="shared" si="87"/>
        <v>10000000000</v>
      </c>
      <c r="W540" s="1">
        <f t="shared" si="88"/>
        <v>9</v>
      </c>
    </row>
    <row r="541" spans="2:23" ht="14.25" customHeight="1" x14ac:dyDescent="0.3">
      <c r="B541" s="65" t="str">
        <f t="shared" si="80"/>
        <v/>
      </c>
      <c r="C541" s="70" t="str">
        <f t="shared" si="81"/>
        <v/>
      </c>
      <c r="D541" s="74" t="str">
        <f t="shared" si="82"/>
        <v/>
      </c>
      <c r="F541" s="65" t="str">
        <f t="shared" si="83"/>
        <v/>
      </c>
      <c r="G541" s="68" t="str">
        <f t="shared" si="84"/>
        <v/>
      </c>
      <c r="H541" s="68" t="str">
        <f t="shared" si="85"/>
        <v/>
      </c>
      <c r="I541" s="68" t="str">
        <f t="shared" si="89"/>
        <v/>
      </c>
      <c r="M541" s="1">
        <v>504</v>
      </c>
      <c r="N541" s="1" t="str">
        <f>IF($T541=0,"",INDEX(TAHSILAT!$E$7:$E$2503,$T541))</f>
        <v/>
      </c>
      <c r="O541" s="1" t="str">
        <f>IF($N541="","",$C$36&amp;" – müşteriden tahsilat: "&amp;INDEX(TAHSILAT!$N$7:$N$2503,$T541)&amp;IF(INDEX(TAHSILAT!$J$7:$J$2503,$T541)="",""," – "&amp;INDEX(TAHSILAT!$J$7:$J$2503,$T541)))</f>
        <v/>
      </c>
      <c r="P541" s="1" t="str">
        <f t="shared" si="90"/>
        <v/>
      </c>
      <c r="Q541" s="1">
        <f>IF($N541="",0,INDEX(TAHSILAT!$F$7:$F$2503,$T541))</f>
        <v>0</v>
      </c>
      <c r="R541" s="1">
        <v>0</v>
      </c>
      <c r="S541" s="1">
        <f t="shared" si="86"/>
        <v>10000000000</v>
      </c>
      <c r="T541" s="1">
        <f>IFERROR(MATCH($C$36&amp;"|468",TAHSILAT!$U$7:$U$2503,0),0)</f>
        <v>0</v>
      </c>
      <c r="V541" s="1">
        <f t="shared" si="87"/>
        <v>10000000000</v>
      </c>
      <c r="W541" s="1">
        <f t="shared" si="88"/>
        <v>9</v>
      </c>
    </row>
    <row r="542" spans="2:23" ht="14.25" customHeight="1" x14ac:dyDescent="0.3">
      <c r="B542" s="65" t="str">
        <f t="shared" si="80"/>
        <v/>
      </c>
      <c r="C542" s="70" t="str">
        <f t="shared" si="81"/>
        <v/>
      </c>
      <c r="D542" s="74" t="str">
        <f t="shared" si="82"/>
        <v/>
      </c>
      <c r="F542" s="65" t="str">
        <f t="shared" si="83"/>
        <v/>
      </c>
      <c r="G542" s="68" t="str">
        <f t="shared" si="84"/>
        <v/>
      </c>
      <c r="H542" s="68" t="str">
        <f t="shared" si="85"/>
        <v/>
      </c>
      <c r="I542" s="68" t="str">
        <f t="shared" si="89"/>
        <v/>
      </c>
      <c r="M542" s="1">
        <v>505</v>
      </c>
      <c r="N542" s="1" t="str">
        <f>IF($T542=0,"",INDEX(TAHSILAT!$E$7:$E$2503,$T542))</f>
        <v/>
      </c>
      <c r="O542" s="1" t="str">
        <f>IF($N542="","",$C$36&amp;" – müşteriden tahsilat: "&amp;INDEX(TAHSILAT!$N$7:$N$2503,$T542)&amp;IF(INDEX(TAHSILAT!$J$7:$J$2503,$T542)="",""," – "&amp;INDEX(TAHSILAT!$J$7:$J$2503,$T542)))</f>
        <v/>
      </c>
      <c r="P542" s="1" t="str">
        <f t="shared" si="90"/>
        <v/>
      </c>
      <c r="Q542" s="1">
        <f>IF($N542="",0,INDEX(TAHSILAT!$F$7:$F$2503,$T542))</f>
        <v>0</v>
      </c>
      <c r="R542" s="1">
        <v>0</v>
      </c>
      <c r="S542" s="1">
        <f t="shared" si="86"/>
        <v>10000000000</v>
      </c>
      <c r="T542" s="1">
        <f>IFERROR(MATCH($C$36&amp;"|469",TAHSILAT!$U$7:$U$2503,0),0)</f>
        <v>0</v>
      </c>
      <c r="V542" s="1">
        <f t="shared" si="87"/>
        <v>10000000000</v>
      </c>
      <c r="W542" s="1">
        <f t="shared" si="88"/>
        <v>9</v>
      </c>
    </row>
    <row r="543" spans="2:23" ht="14.25" customHeight="1" x14ac:dyDescent="0.3">
      <c r="B543" s="65" t="str">
        <f t="shared" si="80"/>
        <v/>
      </c>
      <c r="C543" s="70" t="str">
        <f t="shared" si="81"/>
        <v/>
      </c>
      <c r="D543" s="74" t="str">
        <f t="shared" si="82"/>
        <v/>
      </c>
      <c r="F543" s="65" t="str">
        <f t="shared" si="83"/>
        <v/>
      </c>
      <c r="G543" s="68" t="str">
        <f t="shared" si="84"/>
        <v/>
      </c>
      <c r="H543" s="68" t="str">
        <f t="shared" si="85"/>
        <v/>
      </c>
      <c r="I543" s="68" t="str">
        <f t="shared" si="89"/>
        <v/>
      </c>
      <c r="M543" s="1">
        <v>506</v>
      </c>
      <c r="N543" s="1" t="str">
        <f>IF($T543=0,"",INDEX(TAHSILAT!$E$7:$E$2503,$T543))</f>
        <v/>
      </c>
      <c r="O543" s="1" t="str">
        <f>IF($N543="","",$C$36&amp;" – müşteriden tahsilat: "&amp;INDEX(TAHSILAT!$N$7:$N$2503,$T543)&amp;IF(INDEX(TAHSILAT!$J$7:$J$2503,$T543)="",""," – "&amp;INDEX(TAHSILAT!$J$7:$J$2503,$T543)))</f>
        <v/>
      </c>
      <c r="P543" s="1" t="str">
        <f t="shared" si="90"/>
        <v/>
      </c>
      <c r="Q543" s="1">
        <f>IF($N543="",0,INDEX(TAHSILAT!$F$7:$F$2503,$T543))</f>
        <v>0</v>
      </c>
      <c r="R543" s="1">
        <v>0</v>
      </c>
      <c r="S543" s="1">
        <f t="shared" si="86"/>
        <v>10000000000</v>
      </c>
      <c r="T543" s="1">
        <f>IFERROR(MATCH($C$36&amp;"|470",TAHSILAT!$U$7:$U$2503,0),0)</f>
        <v>0</v>
      </c>
      <c r="V543" s="1">
        <f t="shared" si="87"/>
        <v>10000000000</v>
      </c>
      <c r="W543" s="1">
        <f t="shared" si="88"/>
        <v>9</v>
      </c>
    </row>
    <row r="544" spans="2:23" ht="14.25" customHeight="1" x14ac:dyDescent="0.3">
      <c r="B544" s="65" t="str">
        <f t="shared" si="80"/>
        <v/>
      </c>
      <c r="C544" s="70" t="str">
        <f t="shared" si="81"/>
        <v/>
      </c>
      <c r="D544" s="74" t="str">
        <f t="shared" si="82"/>
        <v/>
      </c>
      <c r="F544" s="65" t="str">
        <f t="shared" si="83"/>
        <v/>
      </c>
      <c r="G544" s="68" t="str">
        <f t="shared" si="84"/>
        <v/>
      </c>
      <c r="H544" s="68" t="str">
        <f t="shared" si="85"/>
        <v/>
      </c>
      <c r="I544" s="68" t="str">
        <f t="shared" si="89"/>
        <v/>
      </c>
      <c r="M544" s="1">
        <v>507</v>
      </c>
      <c r="N544" s="1" t="str">
        <f>IF($T544=0,"",INDEX(TAHSILAT!$E$7:$E$2503,$T544))</f>
        <v/>
      </c>
      <c r="O544" s="1" t="str">
        <f>IF($N544="","",$C$36&amp;" – müşteriden tahsilat: "&amp;INDEX(TAHSILAT!$N$7:$N$2503,$T544)&amp;IF(INDEX(TAHSILAT!$J$7:$J$2503,$T544)="",""," – "&amp;INDEX(TAHSILAT!$J$7:$J$2503,$T544)))</f>
        <v/>
      </c>
      <c r="P544" s="1" t="str">
        <f t="shared" si="90"/>
        <v/>
      </c>
      <c r="Q544" s="1">
        <f>IF($N544="",0,INDEX(TAHSILAT!$F$7:$F$2503,$T544))</f>
        <v>0</v>
      </c>
      <c r="R544" s="1">
        <v>0</v>
      </c>
      <c r="S544" s="1">
        <f t="shared" si="86"/>
        <v>10000000000</v>
      </c>
      <c r="T544" s="1">
        <f>IFERROR(MATCH($C$36&amp;"|471",TAHSILAT!$U$7:$U$2503,0),0)</f>
        <v>0</v>
      </c>
      <c r="V544" s="1">
        <f t="shared" si="87"/>
        <v>10000000000</v>
      </c>
      <c r="W544" s="1">
        <f t="shared" si="88"/>
        <v>9</v>
      </c>
    </row>
    <row r="545" spans="2:23" ht="14.25" customHeight="1" x14ac:dyDescent="0.3">
      <c r="B545" s="65" t="str">
        <f t="shared" si="80"/>
        <v/>
      </c>
      <c r="C545" s="70" t="str">
        <f t="shared" si="81"/>
        <v/>
      </c>
      <c r="D545" s="74" t="str">
        <f t="shared" si="82"/>
        <v/>
      </c>
      <c r="F545" s="65" t="str">
        <f t="shared" si="83"/>
        <v/>
      </c>
      <c r="G545" s="68" t="str">
        <f t="shared" si="84"/>
        <v/>
      </c>
      <c r="H545" s="68" t="str">
        <f t="shared" si="85"/>
        <v/>
      </c>
      <c r="I545" s="68" t="str">
        <f t="shared" si="89"/>
        <v/>
      </c>
      <c r="M545" s="1">
        <v>508</v>
      </c>
      <c r="N545" s="1" t="str">
        <f>IF($T545=0,"",INDEX(TAHSILAT!$E$7:$E$2503,$T545))</f>
        <v/>
      </c>
      <c r="O545" s="1" t="str">
        <f>IF($N545="","",$C$36&amp;" – müşteriden tahsilat: "&amp;INDEX(TAHSILAT!$N$7:$N$2503,$T545)&amp;IF(INDEX(TAHSILAT!$J$7:$J$2503,$T545)="",""," – "&amp;INDEX(TAHSILAT!$J$7:$J$2503,$T545)))</f>
        <v/>
      </c>
      <c r="P545" s="1" t="str">
        <f t="shared" si="90"/>
        <v/>
      </c>
      <c r="Q545" s="1">
        <f>IF($N545="",0,INDEX(TAHSILAT!$F$7:$F$2503,$T545))</f>
        <v>0</v>
      </c>
      <c r="R545" s="1">
        <v>0</v>
      </c>
      <c r="S545" s="1">
        <f t="shared" si="86"/>
        <v>10000000000</v>
      </c>
      <c r="T545" s="1">
        <f>IFERROR(MATCH($C$36&amp;"|472",TAHSILAT!$U$7:$U$2503,0),0)</f>
        <v>0</v>
      </c>
      <c r="V545" s="1">
        <f t="shared" si="87"/>
        <v>10000000000</v>
      </c>
      <c r="W545" s="1">
        <f t="shared" si="88"/>
        <v>9</v>
      </c>
    </row>
    <row r="546" spans="2:23" ht="14.25" customHeight="1" x14ac:dyDescent="0.3">
      <c r="B546" s="65" t="str">
        <f t="shared" si="80"/>
        <v/>
      </c>
      <c r="C546" s="70" t="str">
        <f t="shared" si="81"/>
        <v/>
      </c>
      <c r="D546" s="74" t="str">
        <f t="shared" si="82"/>
        <v/>
      </c>
      <c r="F546" s="65" t="str">
        <f t="shared" si="83"/>
        <v/>
      </c>
      <c r="G546" s="68" t="str">
        <f t="shared" si="84"/>
        <v/>
      </c>
      <c r="H546" s="68" t="str">
        <f t="shared" si="85"/>
        <v/>
      </c>
      <c r="I546" s="68" t="str">
        <f t="shared" si="89"/>
        <v/>
      </c>
      <c r="M546" s="1">
        <v>509</v>
      </c>
      <c r="N546" s="1" t="str">
        <f>IF($T546=0,"",INDEX(TAHSILAT!$E$7:$E$2503,$T546))</f>
        <v/>
      </c>
      <c r="O546" s="1" t="str">
        <f>IF($N546="","",$C$36&amp;" – müşteriden tahsilat: "&amp;INDEX(TAHSILAT!$N$7:$N$2503,$T546)&amp;IF(INDEX(TAHSILAT!$J$7:$J$2503,$T546)="",""," – "&amp;INDEX(TAHSILAT!$J$7:$J$2503,$T546)))</f>
        <v/>
      </c>
      <c r="P546" s="1" t="str">
        <f t="shared" si="90"/>
        <v/>
      </c>
      <c r="Q546" s="1">
        <f>IF($N546="",0,INDEX(TAHSILAT!$F$7:$F$2503,$T546))</f>
        <v>0</v>
      </c>
      <c r="R546" s="1">
        <v>0</v>
      </c>
      <c r="S546" s="1">
        <f t="shared" si="86"/>
        <v>10000000000</v>
      </c>
      <c r="T546" s="1">
        <f>IFERROR(MATCH($C$36&amp;"|473",TAHSILAT!$U$7:$U$2503,0),0)</f>
        <v>0</v>
      </c>
      <c r="V546" s="1">
        <f t="shared" si="87"/>
        <v>10000000000</v>
      </c>
      <c r="W546" s="1">
        <f t="shared" si="88"/>
        <v>9</v>
      </c>
    </row>
    <row r="547" spans="2:23" ht="14.25" customHeight="1" x14ac:dyDescent="0.3">
      <c r="B547" s="65" t="str">
        <f t="shared" si="80"/>
        <v/>
      </c>
      <c r="C547" s="70" t="str">
        <f t="shared" si="81"/>
        <v/>
      </c>
      <c r="D547" s="74" t="str">
        <f t="shared" si="82"/>
        <v/>
      </c>
      <c r="F547" s="65" t="str">
        <f t="shared" si="83"/>
        <v/>
      </c>
      <c r="G547" s="68" t="str">
        <f t="shared" si="84"/>
        <v/>
      </c>
      <c r="H547" s="68" t="str">
        <f t="shared" si="85"/>
        <v/>
      </c>
      <c r="I547" s="68" t="str">
        <f t="shared" si="89"/>
        <v/>
      </c>
      <c r="M547" s="1">
        <v>510</v>
      </c>
      <c r="N547" s="1" t="str">
        <f>IF($T547=0,"",INDEX(TAHSILAT!$E$7:$E$2503,$T547))</f>
        <v/>
      </c>
      <c r="O547" s="1" t="str">
        <f>IF($N547="","",$C$36&amp;" – müşteriden tahsilat: "&amp;INDEX(TAHSILAT!$N$7:$N$2503,$T547)&amp;IF(INDEX(TAHSILAT!$J$7:$J$2503,$T547)="",""," – "&amp;INDEX(TAHSILAT!$J$7:$J$2503,$T547)))</f>
        <v/>
      </c>
      <c r="P547" s="1" t="str">
        <f t="shared" si="90"/>
        <v/>
      </c>
      <c r="Q547" s="1">
        <f>IF($N547="",0,INDEX(TAHSILAT!$F$7:$F$2503,$T547))</f>
        <v>0</v>
      </c>
      <c r="R547" s="1">
        <v>0</v>
      </c>
      <c r="S547" s="1">
        <f t="shared" si="86"/>
        <v>10000000000</v>
      </c>
      <c r="T547" s="1">
        <f>IFERROR(MATCH($C$36&amp;"|474",TAHSILAT!$U$7:$U$2503,0),0)</f>
        <v>0</v>
      </c>
      <c r="V547" s="1">
        <f t="shared" si="87"/>
        <v>10000000000</v>
      </c>
      <c r="W547" s="1">
        <f t="shared" si="88"/>
        <v>9</v>
      </c>
    </row>
    <row r="548" spans="2:23" ht="14.25" customHeight="1" x14ac:dyDescent="0.3">
      <c r="B548" s="65" t="str">
        <f t="shared" si="80"/>
        <v/>
      </c>
      <c r="C548" s="70" t="str">
        <f t="shared" si="81"/>
        <v/>
      </c>
      <c r="D548" s="74" t="str">
        <f t="shared" si="82"/>
        <v/>
      </c>
      <c r="F548" s="65" t="str">
        <f t="shared" si="83"/>
        <v/>
      </c>
      <c r="G548" s="68" t="str">
        <f t="shared" si="84"/>
        <v/>
      </c>
      <c r="H548" s="68" t="str">
        <f t="shared" si="85"/>
        <v/>
      </c>
      <c r="I548" s="68" t="str">
        <f t="shared" si="89"/>
        <v/>
      </c>
      <c r="M548" s="1">
        <v>511</v>
      </c>
      <c r="N548" s="1" t="str">
        <f>IF($T548=0,"",INDEX(TAHSILAT!$E$7:$E$2503,$T548))</f>
        <v/>
      </c>
      <c r="O548" s="1" t="str">
        <f>IF($N548="","",$C$36&amp;" – müşteriden tahsilat: "&amp;INDEX(TAHSILAT!$N$7:$N$2503,$T548)&amp;IF(INDEX(TAHSILAT!$J$7:$J$2503,$T548)="",""," – "&amp;INDEX(TAHSILAT!$J$7:$J$2503,$T548)))</f>
        <v/>
      </c>
      <c r="P548" s="1" t="str">
        <f t="shared" si="90"/>
        <v/>
      </c>
      <c r="Q548" s="1">
        <f>IF($N548="",0,INDEX(TAHSILAT!$F$7:$F$2503,$T548))</f>
        <v>0</v>
      </c>
      <c r="R548" s="1">
        <v>0</v>
      </c>
      <c r="S548" s="1">
        <f t="shared" si="86"/>
        <v>10000000000</v>
      </c>
      <c r="T548" s="1">
        <f>IFERROR(MATCH($C$36&amp;"|475",TAHSILAT!$U$7:$U$2503,0),0)</f>
        <v>0</v>
      </c>
      <c r="V548" s="1">
        <f t="shared" si="87"/>
        <v>10000000000</v>
      </c>
      <c r="W548" s="1">
        <f t="shared" si="88"/>
        <v>9</v>
      </c>
    </row>
    <row r="549" spans="2:23" ht="14.25" customHeight="1" x14ac:dyDescent="0.3">
      <c r="B549" s="65" t="str">
        <f t="shared" si="80"/>
        <v/>
      </c>
      <c r="C549" s="70" t="str">
        <f t="shared" si="81"/>
        <v/>
      </c>
      <c r="D549" s="74" t="str">
        <f t="shared" si="82"/>
        <v/>
      </c>
      <c r="F549" s="65" t="str">
        <f t="shared" si="83"/>
        <v/>
      </c>
      <c r="G549" s="68" t="str">
        <f t="shared" si="84"/>
        <v/>
      </c>
      <c r="H549" s="68" t="str">
        <f t="shared" si="85"/>
        <v/>
      </c>
      <c r="I549" s="68" t="str">
        <f t="shared" si="89"/>
        <v/>
      </c>
      <c r="M549" s="1">
        <v>512</v>
      </c>
      <c r="N549" s="1" t="str">
        <f>IF($T549=0,"",INDEX(TAHSILAT!$E$7:$E$2503,$T549))</f>
        <v/>
      </c>
      <c r="O549" s="1" t="str">
        <f>IF($N549="","",$C$36&amp;" – müşteriden tahsilat: "&amp;INDEX(TAHSILAT!$N$7:$N$2503,$T549)&amp;IF(INDEX(TAHSILAT!$J$7:$J$2503,$T549)="",""," – "&amp;INDEX(TAHSILAT!$J$7:$J$2503,$T549)))</f>
        <v/>
      </c>
      <c r="P549" s="1" t="str">
        <f t="shared" si="90"/>
        <v/>
      </c>
      <c r="Q549" s="1">
        <f>IF($N549="",0,INDEX(TAHSILAT!$F$7:$F$2503,$T549))</f>
        <v>0</v>
      </c>
      <c r="R549" s="1">
        <v>0</v>
      </c>
      <c r="S549" s="1">
        <f t="shared" si="86"/>
        <v>10000000000</v>
      </c>
      <c r="T549" s="1">
        <f>IFERROR(MATCH($C$36&amp;"|476",TAHSILAT!$U$7:$U$2503,0),0)</f>
        <v>0</v>
      </c>
      <c r="V549" s="1">
        <f t="shared" si="87"/>
        <v>10000000000</v>
      </c>
      <c r="W549" s="1">
        <f t="shared" si="88"/>
        <v>9</v>
      </c>
    </row>
    <row r="550" spans="2:23" ht="14.25" customHeight="1" x14ac:dyDescent="0.3">
      <c r="B550" s="65" t="str">
        <f t="shared" ref="B550:B613" si="91">IF($C550="","",ROW()-37)</f>
        <v/>
      </c>
      <c r="C550" s="70" t="str">
        <f t="shared" ref="C550:C613" si="92">IF($W550="","",IF(INDEX($N$38:$N$953,$W550)="","",INDEX($N$38:$N$953,$W550)))</f>
        <v/>
      </c>
      <c r="D550" s="74" t="str">
        <f t="shared" ref="D550:D613" si="93">IF($C550="","",INDEX($O$38:$O$953,$W550))</f>
        <v/>
      </c>
      <c r="F550" s="65" t="str">
        <f t="shared" ref="F550:F613" si="94">IF($C550="","",INDEX($P$38:$P$953,$W550))</f>
        <v/>
      </c>
      <c r="G550" s="68" t="str">
        <f t="shared" ref="G550:G613" si="95">IF($C550="","",INDEX($Q$38:$Q$953,$W550))</f>
        <v/>
      </c>
      <c r="H550" s="68" t="str">
        <f t="shared" ref="H550:H613" si="96">IF($C550="","",INDEX($R$38:$R$953,$W550))</f>
        <v/>
      </c>
      <c r="I550" s="68" t="str">
        <f t="shared" si="89"/>
        <v/>
      </c>
      <c r="M550" s="1">
        <v>513</v>
      </c>
      <c r="N550" s="1" t="str">
        <f>IF($T550=0,"",INDEX(TAHSILAT!$E$7:$E$2503,$T550))</f>
        <v/>
      </c>
      <c r="O550" s="1" t="str">
        <f>IF($N550="","",$C$36&amp;" – müşteriden tahsilat: "&amp;INDEX(TAHSILAT!$N$7:$N$2503,$T550)&amp;IF(INDEX(TAHSILAT!$J$7:$J$2503,$T550)="",""," – "&amp;INDEX(TAHSILAT!$J$7:$J$2503,$T550)))</f>
        <v/>
      </c>
      <c r="P550" s="1" t="str">
        <f t="shared" si="90"/>
        <v/>
      </c>
      <c r="Q550" s="1">
        <f>IF($N550="",0,INDEX(TAHSILAT!$F$7:$F$2503,$T550))</f>
        <v>0</v>
      </c>
      <c r="R550" s="1">
        <v>0</v>
      </c>
      <c r="S550" s="1">
        <f t="shared" ref="S550:S613" si="97">IF($N550="",10000000000,$N550*100000+$M550)</f>
        <v>10000000000</v>
      </c>
      <c r="T550" s="1">
        <f>IFERROR(MATCH($C$36&amp;"|477",TAHSILAT!$U$7:$U$2503,0),0)</f>
        <v>0</v>
      </c>
      <c r="V550" s="1">
        <f t="shared" ref="V550:V613" si="98">IFERROR(SMALL($S$38:$S$953,ROW()-37),"")</f>
        <v>10000000000</v>
      </c>
      <c r="W550" s="1">
        <f t="shared" ref="W550:W613" si="99">IFERROR(MATCH($V550,$S$38:$S$953,0),"")</f>
        <v>9</v>
      </c>
    </row>
    <row r="551" spans="2:23" ht="14.25" customHeight="1" x14ac:dyDescent="0.3">
      <c r="B551" s="65" t="str">
        <f t="shared" si="91"/>
        <v/>
      </c>
      <c r="C551" s="70" t="str">
        <f t="shared" si="92"/>
        <v/>
      </c>
      <c r="D551" s="74" t="str">
        <f t="shared" si="93"/>
        <v/>
      </c>
      <c r="F551" s="65" t="str">
        <f t="shared" si="94"/>
        <v/>
      </c>
      <c r="G551" s="68" t="str">
        <f t="shared" si="95"/>
        <v/>
      </c>
      <c r="H551" s="68" t="str">
        <f t="shared" si="96"/>
        <v/>
      </c>
      <c r="I551" s="68" t="str">
        <f t="shared" ref="I551:I614" si="100">IF($C551="","",N($I550)+$G551-$H551)</f>
        <v/>
      </c>
      <c r="M551" s="1">
        <v>514</v>
      </c>
      <c r="N551" s="1" t="str">
        <f>IF($T551=0,"",INDEX(TAHSILAT!$E$7:$E$2503,$T551))</f>
        <v/>
      </c>
      <c r="O551" s="1" t="str">
        <f>IF($N551="","",$C$36&amp;" – müşteriden tahsilat: "&amp;INDEX(TAHSILAT!$N$7:$N$2503,$T551)&amp;IF(INDEX(TAHSILAT!$J$7:$J$2503,$T551)="",""," – "&amp;INDEX(TAHSILAT!$J$7:$J$2503,$T551)))</f>
        <v/>
      </c>
      <c r="P551" s="1" t="str">
        <f t="shared" si="90"/>
        <v/>
      </c>
      <c r="Q551" s="1">
        <f>IF($N551="",0,INDEX(TAHSILAT!$F$7:$F$2503,$T551))</f>
        <v>0</v>
      </c>
      <c r="R551" s="1">
        <v>0</v>
      </c>
      <c r="S551" s="1">
        <f t="shared" si="97"/>
        <v>10000000000</v>
      </c>
      <c r="T551" s="1">
        <f>IFERROR(MATCH($C$36&amp;"|478",TAHSILAT!$U$7:$U$2503,0),0)</f>
        <v>0</v>
      </c>
      <c r="V551" s="1">
        <f t="shared" si="98"/>
        <v>10000000000</v>
      </c>
      <c r="W551" s="1">
        <f t="shared" si="99"/>
        <v>9</v>
      </c>
    </row>
    <row r="552" spans="2:23" ht="14.25" customHeight="1" x14ac:dyDescent="0.3">
      <c r="B552" s="65" t="str">
        <f t="shared" si="91"/>
        <v/>
      </c>
      <c r="C552" s="70" t="str">
        <f t="shared" si="92"/>
        <v/>
      </c>
      <c r="D552" s="74" t="str">
        <f t="shared" si="93"/>
        <v/>
      </c>
      <c r="F552" s="65" t="str">
        <f t="shared" si="94"/>
        <v/>
      </c>
      <c r="G552" s="68" t="str">
        <f t="shared" si="95"/>
        <v/>
      </c>
      <c r="H552" s="68" t="str">
        <f t="shared" si="96"/>
        <v/>
      </c>
      <c r="I552" s="68" t="str">
        <f t="shared" si="100"/>
        <v/>
      </c>
      <c r="M552" s="1">
        <v>515</v>
      </c>
      <c r="N552" s="1" t="str">
        <f>IF($T552=0,"",INDEX(TAHSILAT!$E$7:$E$2503,$T552))</f>
        <v/>
      </c>
      <c r="O552" s="1" t="str">
        <f>IF($N552="","",$C$36&amp;" – müşteriden tahsilat: "&amp;INDEX(TAHSILAT!$N$7:$N$2503,$T552)&amp;IF(INDEX(TAHSILAT!$J$7:$J$2503,$T552)="",""," – "&amp;INDEX(TAHSILAT!$J$7:$J$2503,$T552)))</f>
        <v/>
      </c>
      <c r="P552" s="1" t="str">
        <f t="shared" si="90"/>
        <v/>
      </c>
      <c r="Q552" s="1">
        <f>IF($N552="",0,INDEX(TAHSILAT!$F$7:$F$2503,$T552))</f>
        <v>0</v>
      </c>
      <c r="R552" s="1">
        <v>0</v>
      </c>
      <c r="S552" s="1">
        <f t="shared" si="97"/>
        <v>10000000000</v>
      </c>
      <c r="T552" s="1">
        <f>IFERROR(MATCH($C$36&amp;"|479",TAHSILAT!$U$7:$U$2503,0),0)</f>
        <v>0</v>
      </c>
      <c r="V552" s="1">
        <f t="shared" si="98"/>
        <v>10000000000</v>
      </c>
      <c r="W552" s="1">
        <f t="shared" si="99"/>
        <v>9</v>
      </c>
    </row>
    <row r="553" spans="2:23" ht="14.25" customHeight="1" x14ac:dyDescent="0.3">
      <c r="B553" s="65" t="str">
        <f t="shared" si="91"/>
        <v/>
      </c>
      <c r="C553" s="70" t="str">
        <f t="shared" si="92"/>
        <v/>
      </c>
      <c r="D553" s="74" t="str">
        <f t="shared" si="93"/>
        <v/>
      </c>
      <c r="F553" s="65" t="str">
        <f t="shared" si="94"/>
        <v/>
      </c>
      <c r="G553" s="68" t="str">
        <f t="shared" si="95"/>
        <v/>
      </c>
      <c r="H553" s="68" t="str">
        <f t="shared" si="96"/>
        <v/>
      </c>
      <c r="I553" s="68" t="str">
        <f t="shared" si="100"/>
        <v/>
      </c>
      <c r="M553" s="1">
        <v>516</v>
      </c>
      <c r="N553" s="1" t="str">
        <f>IF($T553=0,"",INDEX(TAHSILAT!$E$7:$E$2503,$T553))</f>
        <v/>
      </c>
      <c r="O553" s="1" t="str">
        <f>IF($N553="","",$C$36&amp;" – müşteriden tahsilat: "&amp;INDEX(TAHSILAT!$N$7:$N$2503,$T553)&amp;IF(INDEX(TAHSILAT!$J$7:$J$2503,$T553)="",""," – "&amp;INDEX(TAHSILAT!$J$7:$J$2503,$T553)))</f>
        <v/>
      </c>
      <c r="P553" s="1" t="str">
        <f t="shared" si="90"/>
        <v/>
      </c>
      <c r="Q553" s="1">
        <f>IF($N553="",0,INDEX(TAHSILAT!$F$7:$F$2503,$T553))</f>
        <v>0</v>
      </c>
      <c r="R553" s="1">
        <v>0</v>
      </c>
      <c r="S553" s="1">
        <f t="shared" si="97"/>
        <v>10000000000</v>
      </c>
      <c r="T553" s="1">
        <f>IFERROR(MATCH($C$36&amp;"|480",TAHSILAT!$U$7:$U$2503,0),0)</f>
        <v>0</v>
      </c>
      <c r="V553" s="1">
        <f t="shared" si="98"/>
        <v>10000000000</v>
      </c>
      <c r="W553" s="1">
        <f t="shared" si="99"/>
        <v>9</v>
      </c>
    </row>
    <row r="554" spans="2:23" ht="14.25" customHeight="1" x14ac:dyDescent="0.3">
      <c r="B554" s="65" t="str">
        <f t="shared" si="91"/>
        <v/>
      </c>
      <c r="C554" s="70" t="str">
        <f t="shared" si="92"/>
        <v/>
      </c>
      <c r="D554" s="74" t="str">
        <f t="shared" si="93"/>
        <v/>
      </c>
      <c r="F554" s="65" t="str">
        <f t="shared" si="94"/>
        <v/>
      </c>
      <c r="G554" s="68" t="str">
        <f t="shared" si="95"/>
        <v/>
      </c>
      <c r="H554" s="68" t="str">
        <f t="shared" si="96"/>
        <v/>
      </c>
      <c r="I554" s="68" t="str">
        <f t="shared" si="100"/>
        <v/>
      </c>
      <c r="M554" s="1">
        <v>517</v>
      </c>
      <c r="N554" s="1" t="str">
        <f>IF($T554=0,"",INDEX(TAHSILAT!$E$7:$E$2503,$T554))</f>
        <v/>
      </c>
      <c r="O554" s="1" t="str">
        <f>IF($N554="","",$C$36&amp;" – müşteriden tahsilat: "&amp;INDEX(TAHSILAT!$N$7:$N$2503,$T554)&amp;IF(INDEX(TAHSILAT!$J$7:$J$2503,$T554)="",""," – "&amp;INDEX(TAHSILAT!$J$7:$J$2503,$T554)))</f>
        <v/>
      </c>
      <c r="P554" s="1" t="str">
        <f t="shared" si="90"/>
        <v/>
      </c>
      <c r="Q554" s="1">
        <f>IF($N554="",0,INDEX(TAHSILAT!$F$7:$F$2503,$T554))</f>
        <v>0</v>
      </c>
      <c r="R554" s="1">
        <v>0</v>
      </c>
      <c r="S554" s="1">
        <f t="shared" si="97"/>
        <v>10000000000</v>
      </c>
      <c r="T554" s="1">
        <f>IFERROR(MATCH($C$36&amp;"|481",TAHSILAT!$U$7:$U$2503,0),0)</f>
        <v>0</v>
      </c>
      <c r="V554" s="1">
        <f t="shared" si="98"/>
        <v>10000000000</v>
      </c>
      <c r="W554" s="1">
        <f t="shared" si="99"/>
        <v>9</v>
      </c>
    </row>
    <row r="555" spans="2:23" ht="14.25" customHeight="1" x14ac:dyDescent="0.3">
      <c r="B555" s="65" t="str">
        <f t="shared" si="91"/>
        <v/>
      </c>
      <c r="C555" s="70" t="str">
        <f t="shared" si="92"/>
        <v/>
      </c>
      <c r="D555" s="74" t="str">
        <f t="shared" si="93"/>
        <v/>
      </c>
      <c r="F555" s="65" t="str">
        <f t="shared" si="94"/>
        <v/>
      </c>
      <c r="G555" s="68" t="str">
        <f t="shared" si="95"/>
        <v/>
      </c>
      <c r="H555" s="68" t="str">
        <f t="shared" si="96"/>
        <v/>
      </c>
      <c r="I555" s="68" t="str">
        <f t="shared" si="100"/>
        <v/>
      </c>
      <c r="M555" s="1">
        <v>518</v>
      </c>
      <c r="N555" s="1" t="str">
        <f>IF($T555=0,"",INDEX(TAHSILAT!$E$7:$E$2503,$T555))</f>
        <v/>
      </c>
      <c r="O555" s="1" t="str">
        <f>IF($N555="","",$C$36&amp;" – müşteriden tahsilat: "&amp;INDEX(TAHSILAT!$N$7:$N$2503,$T555)&amp;IF(INDEX(TAHSILAT!$J$7:$J$2503,$T555)="",""," – "&amp;INDEX(TAHSILAT!$J$7:$J$2503,$T555)))</f>
        <v/>
      </c>
      <c r="P555" s="1" t="str">
        <f t="shared" si="90"/>
        <v/>
      </c>
      <c r="Q555" s="1">
        <f>IF($N555="",0,INDEX(TAHSILAT!$F$7:$F$2503,$T555))</f>
        <v>0</v>
      </c>
      <c r="R555" s="1">
        <v>0</v>
      </c>
      <c r="S555" s="1">
        <f t="shared" si="97"/>
        <v>10000000000</v>
      </c>
      <c r="T555" s="1">
        <f>IFERROR(MATCH($C$36&amp;"|482",TAHSILAT!$U$7:$U$2503,0),0)</f>
        <v>0</v>
      </c>
      <c r="V555" s="1">
        <f t="shared" si="98"/>
        <v>10000000000</v>
      </c>
      <c r="W555" s="1">
        <f t="shared" si="99"/>
        <v>9</v>
      </c>
    </row>
    <row r="556" spans="2:23" ht="14.25" customHeight="1" x14ac:dyDescent="0.3">
      <c r="B556" s="65" t="str">
        <f t="shared" si="91"/>
        <v/>
      </c>
      <c r="C556" s="70" t="str">
        <f t="shared" si="92"/>
        <v/>
      </c>
      <c r="D556" s="74" t="str">
        <f t="shared" si="93"/>
        <v/>
      </c>
      <c r="F556" s="65" t="str">
        <f t="shared" si="94"/>
        <v/>
      </c>
      <c r="G556" s="68" t="str">
        <f t="shared" si="95"/>
        <v/>
      </c>
      <c r="H556" s="68" t="str">
        <f t="shared" si="96"/>
        <v/>
      </c>
      <c r="I556" s="68" t="str">
        <f t="shared" si="100"/>
        <v/>
      </c>
      <c r="M556" s="1">
        <v>519</v>
      </c>
      <c r="N556" s="1" t="str">
        <f>IF($T556=0,"",INDEX(TAHSILAT!$E$7:$E$2503,$T556))</f>
        <v/>
      </c>
      <c r="O556" s="1" t="str">
        <f>IF($N556="","",$C$36&amp;" – müşteriden tahsilat: "&amp;INDEX(TAHSILAT!$N$7:$N$2503,$T556)&amp;IF(INDEX(TAHSILAT!$J$7:$J$2503,$T556)="",""," – "&amp;INDEX(TAHSILAT!$J$7:$J$2503,$T556)))</f>
        <v/>
      </c>
      <c r="P556" s="1" t="str">
        <f t="shared" si="90"/>
        <v/>
      </c>
      <c r="Q556" s="1">
        <f>IF($N556="",0,INDEX(TAHSILAT!$F$7:$F$2503,$T556))</f>
        <v>0</v>
      </c>
      <c r="R556" s="1">
        <v>0</v>
      </c>
      <c r="S556" s="1">
        <f t="shared" si="97"/>
        <v>10000000000</v>
      </c>
      <c r="T556" s="1">
        <f>IFERROR(MATCH($C$36&amp;"|483",TAHSILAT!$U$7:$U$2503,0),0)</f>
        <v>0</v>
      </c>
      <c r="V556" s="1">
        <f t="shared" si="98"/>
        <v>10000000000</v>
      </c>
      <c r="W556" s="1">
        <f t="shared" si="99"/>
        <v>9</v>
      </c>
    </row>
    <row r="557" spans="2:23" ht="14.25" customHeight="1" x14ac:dyDescent="0.3">
      <c r="B557" s="65" t="str">
        <f t="shared" si="91"/>
        <v/>
      </c>
      <c r="C557" s="70" t="str">
        <f t="shared" si="92"/>
        <v/>
      </c>
      <c r="D557" s="74" t="str">
        <f t="shared" si="93"/>
        <v/>
      </c>
      <c r="F557" s="65" t="str">
        <f t="shared" si="94"/>
        <v/>
      </c>
      <c r="G557" s="68" t="str">
        <f t="shared" si="95"/>
        <v/>
      </c>
      <c r="H557" s="68" t="str">
        <f t="shared" si="96"/>
        <v/>
      </c>
      <c r="I557" s="68" t="str">
        <f t="shared" si="100"/>
        <v/>
      </c>
      <c r="M557" s="1">
        <v>520</v>
      </c>
      <c r="N557" s="1" t="str">
        <f>IF($T557=0,"",INDEX(TAHSILAT!$E$7:$E$2503,$T557))</f>
        <v/>
      </c>
      <c r="O557" s="1" t="str">
        <f>IF($N557="","",$C$36&amp;" – müşteriden tahsilat: "&amp;INDEX(TAHSILAT!$N$7:$N$2503,$T557)&amp;IF(INDEX(TAHSILAT!$J$7:$J$2503,$T557)="",""," – "&amp;INDEX(TAHSILAT!$J$7:$J$2503,$T557)))</f>
        <v/>
      </c>
      <c r="P557" s="1" t="str">
        <f t="shared" si="90"/>
        <v/>
      </c>
      <c r="Q557" s="1">
        <f>IF($N557="",0,INDEX(TAHSILAT!$F$7:$F$2503,$T557))</f>
        <v>0</v>
      </c>
      <c r="R557" s="1">
        <v>0</v>
      </c>
      <c r="S557" s="1">
        <f t="shared" si="97"/>
        <v>10000000000</v>
      </c>
      <c r="T557" s="1">
        <f>IFERROR(MATCH($C$36&amp;"|484",TAHSILAT!$U$7:$U$2503,0),0)</f>
        <v>0</v>
      </c>
      <c r="V557" s="1">
        <f t="shared" si="98"/>
        <v>10000000000</v>
      </c>
      <c r="W557" s="1">
        <f t="shared" si="99"/>
        <v>9</v>
      </c>
    </row>
    <row r="558" spans="2:23" ht="14.25" customHeight="1" x14ac:dyDescent="0.3">
      <c r="B558" s="65" t="str">
        <f t="shared" si="91"/>
        <v/>
      </c>
      <c r="C558" s="70" t="str">
        <f t="shared" si="92"/>
        <v/>
      </c>
      <c r="D558" s="74" t="str">
        <f t="shared" si="93"/>
        <v/>
      </c>
      <c r="F558" s="65" t="str">
        <f t="shared" si="94"/>
        <v/>
      </c>
      <c r="G558" s="68" t="str">
        <f t="shared" si="95"/>
        <v/>
      </c>
      <c r="H558" s="68" t="str">
        <f t="shared" si="96"/>
        <v/>
      </c>
      <c r="I558" s="68" t="str">
        <f t="shared" si="100"/>
        <v/>
      </c>
      <c r="M558" s="1">
        <v>521</v>
      </c>
      <c r="N558" s="1" t="str">
        <f>IF($T558=0,"",INDEX(TAHSILAT!$E$7:$E$2503,$T558))</f>
        <v/>
      </c>
      <c r="O558" s="1" t="str">
        <f>IF($N558="","",$C$36&amp;" – müşteriden tahsilat: "&amp;INDEX(TAHSILAT!$N$7:$N$2503,$T558)&amp;IF(INDEX(TAHSILAT!$J$7:$J$2503,$T558)="",""," – "&amp;INDEX(TAHSILAT!$J$7:$J$2503,$T558)))</f>
        <v/>
      </c>
      <c r="P558" s="1" t="str">
        <f t="shared" si="90"/>
        <v/>
      </c>
      <c r="Q558" s="1">
        <f>IF($N558="",0,INDEX(TAHSILAT!$F$7:$F$2503,$T558))</f>
        <v>0</v>
      </c>
      <c r="R558" s="1">
        <v>0</v>
      </c>
      <c r="S558" s="1">
        <f t="shared" si="97"/>
        <v>10000000000</v>
      </c>
      <c r="T558" s="1">
        <f>IFERROR(MATCH($C$36&amp;"|485",TAHSILAT!$U$7:$U$2503,0),0)</f>
        <v>0</v>
      </c>
      <c r="V558" s="1">
        <f t="shared" si="98"/>
        <v>10000000000</v>
      </c>
      <c r="W558" s="1">
        <f t="shared" si="99"/>
        <v>9</v>
      </c>
    </row>
    <row r="559" spans="2:23" ht="14.25" customHeight="1" x14ac:dyDescent="0.3">
      <c r="B559" s="65" t="str">
        <f t="shared" si="91"/>
        <v/>
      </c>
      <c r="C559" s="70" t="str">
        <f t="shared" si="92"/>
        <v/>
      </c>
      <c r="D559" s="74" t="str">
        <f t="shared" si="93"/>
        <v/>
      </c>
      <c r="F559" s="65" t="str">
        <f t="shared" si="94"/>
        <v/>
      </c>
      <c r="G559" s="68" t="str">
        <f t="shared" si="95"/>
        <v/>
      </c>
      <c r="H559" s="68" t="str">
        <f t="shared" si="96"/>
        <v/>
      </c>
      <c r="I559" s="68" t="str">
        <f t="shared" si="100"/>
        <v/>
      </c>
      <c r="M559" s="1">
        <v>522</v>
      </c>
      <c r="N559" s="1" t="str">
        <f>IF($T559=0,"",INDEX(TAHSILAT!$E$7:$E$2503,$T559))</f>
        <v/>
      </c>
      <c r="O559" s="1" t="str">
        <f>IF($N559="","",$C$36&amp;" – müşteriden tahsilat: "&amp;INDEX(TAHSILAT!$N$7:$N$2503,$T559)&amp;IF(INDEX(TAHSILAT!$J$7:$J$2503,$T559)="",""," – "&amp;INDEX(TAHSILAT!$J$7:$J$2503,$T559)))</f>
        <v/>
      </c>
      <c r="P559" s="1" t="str">
        <f t="shared" si="90"/>
        <v/>
      </c>
      <c r="Q559" s="1">
        <f>IF($N559="",0,INDEX(TAHSILAT!$F$7:$F$2503,$T559))</f>
        <v>0</v>
      </c>
      <c r="R559" s="1">
        <v>0</v>
      </c>
      <c r="S559" s="1">
        <f t="shared" si="97"/>
        <v>10000000000</v>
      </c>
      <c r="T559" s="1">
        <f>IFERROR(MATCH($C$36&amp;"|486",TAHSILAT!$U$7:$U$2503,0),0)</f>
        <v>0</v>
      </c>
      <c r="V559" s="1">
        <f t="shared" si="98"/>
        <v>10000000000</v>
      </c>
      <c r="W559" s="1">
        <f t="shared" si="99"/>
        <v>9</v>
      </c>
    </row>
    <row r="560" spans="2:23" ht="14.25" customHeight="1" x14ac:dyDescent="0.3">
      <c r="B560" s="65" t="str">
        <f t="shared" si="91"/>
        <v/>
      </c>
      <c r="C560" s="70" t="str">
        <f t="shared" si="92"/>
        <v/>
      </c>
      <c r="D560" s="74" t="str">
        <f t="shared" si="93"/>
        <v/>
      </c>
      <c r="F560" s="65" t="str">
        <f t="shared" si="94"/>
        <v/>
      </c>
      <c r="G560" s="68" t="str">
        <f t="shared" si="95"/>
        <v/>
      </c>
      <c r="H560" s="68" t="str">
        <f t="shared" si="96"/>
        <v/>
      </c>
      <c r="I560" s="68" t="str">
        <f t="shared" si="100"/>
        <v/>
      </c>
      <c r="M560" s="1">
        <v>523</v>
      </c>
      <c r="N560" s="1" t="str">
        <f>IF($T560=0,"",INDEX(TAHSILAT!$E$7:$E$2503,$T560))</f>
        <v/>
      </c>
      <c r="O560" s="1" t="str">
        <f>IF($N560="","",$C$36&amp;" – müşteriden tahsilat: "&amp;INDEX(TAHSILAT!$N$7:$N$2503,$T560)&amp;IF(INDEX(TAHSILAT!$J$7:$J$2503,$T560)="",""," – "&amp;INDEX(TAHSILAT!$J$7:$J$2503,$T560)))</f>
        <v/>
      </c>
      <c r="P560" s="1" t="str">
        <f t="shared" si="90"/>
        <v/>
      </c>
      <c r="Q560" s="1">
        <f>IF($N560="",0,INDEX(TAHSILAT!$F$7:$F$2503,$T560))</f>
        <v>0</v>
      </c>
      <c r="R560" s="1">
        <v>0</v>
      </c>
      <c r="S560" s="1">
        <f t="shared" si="97"/>
        <v>10000000000</v>
      </c>
      <c r="T560" s="1">
        <f>IFERROR(MATCH($C$36&amp;"|487",TAHSILAT!$U$7:$U$2503,0),0)</f>
        <v>0</v>
      </c>
      <c r="V560" s="1">
        <f t="shared" si="98"/>
        <v>10000000000</v>
      </c>
      <c r="W560" s="1">
        <f t="shared" si="99"/>
        <v>9</v>
      </c>
    </row>
    <row r="561" spans="2:23" ht="14.25" customHeight="1" x14ac:dyDescent="0.3">
      <c r="B561" s="65" t="str">
        <f t="shared" si="91"/>
        <v/>
      </c>
      <c r="C561" s="70" t="str">
        <f t="shared" si="92"/>
        <v/>
      </c>
      <c r="D561" s="74" t="str">
        <f t="shared" si="93"/>
        <v/>
      </c>
      <c r="F561" s="65" t="str">
        <f t="shared" si="94"/>
        <v/>
      </c>
      <c r="G561" s="68" t="str">
        <f t="shared" si="95"/>
        <v/>
      </c>
      <c r="H561" s="68" t="str">
        <f t="shared" si="96"/>
        <v/>
      </c>
      <c r="I561" s="68" t="str">
        <f t="shared" si="100"/>
        <v/>
      </c>
      <c r="M561" s="1">
        <v>524</v>
      </c>
      <c r="N561" s="1" t="str">
        <f>IF($T561=0,"",INDEX(TAHSILAT!$E$7:$E$2503,$T561))</f>
        <v/>
      </c>
      <c r="O561" s="1" t="str">
        <f>IF($N561="","",$C$36&amp;" – müşteriden tahsilat: "&amp;INDEX(TAHSILAT!$N$7:$N$2503,$T561)&amp;IF(INDEX(TAHSILAT!$J$7:$J$2503,$T561)="",""," – "&amp;INDEX(TAHSILAT!$J$7:$J$2503,$T561)))</f>
        <v/>
      </c>
      <c r="P561" s="1" t="str">
        <f t="shared" si="90"/>
        <v/>
      </c>
      <c r="Q561" s="1">
        <f>IF($N561="",0,INDEX(TAHSILAT!$F$7:$F$2503,$T561))</f>
        <v>0</v>
      </c>
      <c r="R561" s="1">
        <v>0</v>
      </c>
      <c r="S561" s="1">
        <f t="shared" si="97"/>
        <v>10000000000</v>
      </c>
      <c r="T561" s="1">
        <f>IFERROR(MATCH($C$36&amp;"|488",TAHSILAT!$U$7:$U$2503,0),0)</f>
        <v>0</v>
      </c>
      <c r="V561" s="1">
        <f t="shared" si="98"/>
        <v>10000000000</v>
      </c>
      <c r="W561" s="1">
        <f t="shared" si="99"/>
        <v>9</v>
      </c>
    </row>
    <row r="562" spans="2:23" ht="14.25" customHeight="1" x14ac:dyDescent="0.3">
      <c r="B562" s="65" t="str">
        <f t="shared" si="91"/>
        <v/>
      </c>
      <c r="C562" s="70" t="str">
        <f t="shared" si="92"/>
        <v/>
      </c>
      <c r="D562" s="74" t="str">
        <f t="shared" si="93"/>
        <v/>
      </c>
      <c r="F562" s="65" t="str">
        <f t="shared" si="94"/>
        <v/>
      </c>
      <c r="G562" s="68" t="str">
        <f t="shared" si="95"/>
        <v/>
      </c>
      <c r="H562" s="68" t="str">
        <f t="shared" si="96"/>
        <v/>
      </c>
      <c r="I562" s="68" t="str">
        <f t="shared" si="100"/>
        <v/>
      </c>
      <c r="M562" s="1">
        <v>525</v>
      </c>
      <c r="N562" s="1" t="str">
        <f>IF($T562=0,"",INDEX(TAHSILAT!$E$7:$E$2503,$T562))</f>
        <v/>
      </c>
      <c r="O562" s="1" t="str">
        <f>IF($N562="","",$C$36&amp;" – müşteriden tahsilat: "&amp;INDEX(TAHSILAT!$N$7:$N$2503,$T562)&amp;IF(INDEX(TAHSILAT!$J$7:$J$2503,$T562)="",""," – "&amp;INDEX(TAHSILAT!$J$7:$J$2503,$T562)))</f>
        <v/>
      </c>
      <c r="P562" s="1" t="str">
        <f t="shared" si="90"/>
        <v/>
      </c>
      <c r="Q562" s="1">
        <f>IF($N562="",0,INDEX(TAHSILAT!$F$7:$F$2503,$T562))</f>
        <v>0</v>
      </c>
      <c r="R562" s="1">
        <v>0</v>
      </c>
      <c r="S562" s="1">
        <f t="shared" si="97"/>
        <v>10000000000</v>
      </c>
      <c r="T562" s="1">
        <f>IFERROR(MATCH($C$36&amp;"|489",TAHSILAT!$U$7:$U$2503,0),0)</f>
        <v>0</v>
      </c>
      <c r="V562" s="1">
        <f t="shared" si="98"/>
        <v>10000000000</v>
      </c>
      <c r="W562" s="1">
        <f t="shared" si="99"/>
        <v>9</v>
      </c>
    </row>
    <row r="563" spans="2:23" ht="14.25" customHeight="1" x14ac:dyDescent="0.3">
      <c r="B563" s="65" t="str">
        <f t="shared" si="91"/>
        <v/>
      </c>
      <c r="C563" s="70" t="str">
        <f t="shared" si="92"/>
        <v/>
      </c>
      <c r="D563" s="74" t="str">
        <f t="shared" si="93"/>
        <v/>
      </c>
      <c r="F563" s="65" t="str">
        <f t="shared" si="94"/>
        <v/>
      </c>
      <c r="G563" s="68" t="str">
        <f t="shared" si="95"/>
        <v/>
      </c>
      <c r="H563" s="68" t="str">
        <f t="shared" si="96"/>
        <v/>
      </c>
      <c r="I563" s="68" t="str">
        <f t="shared" si="100"/>
        <v/>
      </c>
      <c r="M563" s="1">
        <v>526</v>
      </c>
      <c r="N563" s="1" t="str">
        <f>IF($T563=0,"",INDEX(TAHSILAT!$E$7:$E$2503,$T563))</f>
        <v/>
      </c>
      <c r="O563" s="1" t="str">
        <f>IF($N563="","",$C$36&amp;" – müşteriden tahsilat: "&amp;INDEX(TAHSILAT!$N$7:$N$2503,$T563)&amp;IF(INDEX(TAHSILAT!$J$7:$J$2503,$T563)="",""," – "&amp;INDEX(TAHSILAT!$J$7:$J$2503,$T563)))</f>
        <v/>
      </c>
      <c r="P563" s="1" t="str">
        <f t="shared" si="90"/>
        <v/>
      </c>
      <c r="Q563" s="1">
        <f>IF($N563="",0,INDEX(TAHSILAT!$F$7:$F$2503,$T563))</f>
        <v>0</v>
      </c>
      <c r="R563" s="1">
        <v>0</v>
      </c>
      <c r="S563" s="1">
        <f t="shared" si="97"/>
        <v>10000000000</v>
      </c>
      <c r="T563" s="1">
        <f>IFERROR(MATCH($C$36&amp;"|490",TAHSILAT!$U$7:$U$2503,0),0)</f>
        <v>0</v>
      </c>
      <c r="V563" s="1">
        <f t="shared" si="98"/>
        <v>10000000000</v>
      </c>
      <c r="W563" s="1">
        <f t="shared" si="99"/>
        <v>9</v>
      </c>
    </row>
    <row r="564" spans="2:23" ht="14.25" customHeight="1" x14ac:dyDescent="0.3">
      <c r="B564" s="65" t="str">
        <f t="shared" si="91"/>
        <v/>
      </c>
      <c r="C564" s="70" t="str">
        <f t="shared" si="92"/>
        <v/>
      </c>
      <c r="D564" s="74" t="str">
        <f t="shared" si="93"/>
        <v/>
      </c>
      <c r="F564" s="65" t="str">
        <f t="shared" si="94"/>
        <v/>
      </c>
      <c r="G564" s="68" t="str">
        <f t="shared" si="95"/>
        <v/>
      </c>
      <c r="H564" s="68" t="str">
        <f t="shared" si="96"/>
        <v/>
      </c>
      <c r="I564" s="68" t="str">
        <f t="shared" si="100"/>
        <v/>
      </c>
      <c r="M564" s="1">
        <v>527</v>
      </c>
      <c r="N564" s="1" t="str">
        <f>IF($T564=0,"",INDEX(TAHSILAT!$E$7:$E$2503,$T564))</f>
        <v/>
      </c>
      <c r="O564" s="1" t="str">
        <f>IF($N564="","",$C$36&amp;" – müşteriden tahsilat: "&amp;INDEX(TAHSILAT!$N$7:$N$2503,$T564)&amp;IF(INDEX(TAHSILAT!$J$7:$J$2503,$T564)="",""," – "&amp;INDEX(TAHSILAT!$J$7:$J$2503,$T564)))</f>
        <v/>
      </c>
      <c r="P564" s="1" t="str">
        <f t="shared" si="90"/>
        <v/>
      </c>
      <c r="Q564" s="1">
        <f>IF($N564="",0,INDEX(TAHSILAT!$F$7:$F$2503,$T564))</f>
        <v>0</v>
      </c>
      <c r="R564" s="1">
        <v>0</v>
      </c>
      <c r="S564" s="1">
        <f t="shared" si="97"/>
        <v>10000000000</v>
      </c>
      <c r="T564" s="1">
        <f>IFERROR(MATCH($C$36&amp;"|491",TAHSILAT!$U$7:$U$2503,0),0)</f>
        <v>0</v>
      </c>
      <c r="V564" s="1">
        <f t="shared" si="98"/>
        <v>10000000000</v>
      </c>
      <c r="W564" s="1">
        <f t="shared" si="99"/>
        <v>9</v>
      </c>
    </row>
    <row r="565" spans="2:23" ht="14.25" customHeight="1" x14ac:dyDescent="0.3">
      <c r="B565" s="65" t="str">
        <f t="shared" si="91"/>
        <v/>
      </c>
      <c r="C565" s="70" t="str">
        <f t="shared" si="92"/>
        <v/>
      </c>
      <c r="D565" s="74" t="str">
        <f t="shared" si="93"/>
        <v/>
      </c>
      <c r="F565" s="65" t="str">
        <f t="shared" si="94"/>
        <v/>
      </c>
      <c r="G565" s="68" t="str">
        <f t="shared" si="95"/>
        <v/>
      </c>
      <c r="H565" s="68" t="str">
        <f t="shared" si="96"/>
        <v/>
      </c>
      <c r="I565" s="68" t="str">
        <f t="shared" si="100"/>
        <v/>
      </c>
      <c r="M565" s="1">
        <v>528</v>
      </c>
      <c r="N565" s="1" t="str">
        <f>IF($T565=0,"",INDEX(TAHSILAT!$E$7:$E$2503,$T565))</f>
        <v/>
      </c>
      <c r="O565" s="1" t="str">
        <f>IF($N565="","",$C$36&amp;" – müşteriden tahsilat: "&amp;INDEX(TAHSILAT!$N$7:$N$2503,$T565)&amp;IF(INDEX(TAHSILAT!$J$7:$J$2503,$T565)="",""," – "&amp;INDEX(TAHSILAT!$J$7:$J$2503,$T565)))</f>
        <v/>
      </c>
      <c r="P565" s="1" t="str">
        <f t="shared" si="90"/>
        <v/>
      </c>
      <c r="Q565" s="1">
        <f>IF($N565="",0,INDEX(TAHSILAT!$F$7:$F$2503,$T565))</f>
        <v>0</v>
      </c>
      <c r="R565" s="1">
        <v>0</v>
      </c>
      <c r="S565" s="1">
        <f t="shared" si="97"/>
        <v>10000000000</v>
      </c>
      <c r="T565" s="1">
        <f>IFERROR(MATCH($C$36&amp;"|492",TAHSILAT!$U$7:$U$2503,0),0)</f>
        <v>0</v>
      </c>
      <c r="V565" s="1">
        <f t="shared" si="98"/>
        <v>10000000000</v>
      </c>
      <c r="W565" s="1">
        <f t="shared" si="99"/>
        <v>9</v>
      </c>
    </row>
    <row r="566" spans="2:23" ht="14.25" customHeight="1" x14ac:dyDescent="0.3">
      <c r="B566" s="65" t="str">
        <f t="shared" si="91"/>
        <v/>
      </c>
      <c r="C566" s="70" t="str">
        <f t="shared" si="92"/>
        <v/>
      </c>
      <c r="D566" s="74" t="str">
        <f t="shared" si="93"/>
        <v/>
      </c>
      <c r="F566" s="65" t="str">
        <f t="shared" si="94"/>
        <v/>
      </c>
      <c r="G566" s="68" t="str">
        <f t="shared" si="95"/>
        <v/>
      </c>
      <c r="H566" s="68" t="str">
        <f t="shared" si="96"/>
        <v/>
      </c>
      <c r="I566" s="68" t="str">
        <f t="shared" si="100"/>
        <v/>
      </c>
      <c r="M566" s="1">
        <v>529</v>
      </c>
      <c r="N566" s="1" t="str">
        <f>IF($T566=0,"",INDEX(TAHSILAT!$E$7:$E$2503,$T566))</f>
        <v/>
      </c>
      <c r="O566" s="1" t="str">
        <f>IF($N566="","",$C$36&amp;" – müşteriden tahsilat: "&amp;INDEX(TAHSILAT!$N$7:$N$2503,$T566)&amp;IF(INDEX(TAHSILAT!$J$7:$J$2503,$T566)="",""," – "&amp;INDEX(TAHSILAT!$J$7:$J$2503,$T566)))</f>
        <v/>
      </c>
      <c r="P566" s="1" t="str">
        <f t="shared" si="90"/>
        <v/>
      </c>
      <c r="Q566" s="1">
        <f>IF($N566="",0,INDEX(TAHSILAT!$F$7:$F$2503,$T566))</f>
        <v>0</v>
      </c>
      <c r="R566" s="1">
        <v>0</v>
      </c>
      <c r="S566" s="1">
        <f t="shared" si="97"/>
        <v>10000000000</v>
      </c>
      <c r="T566" s="1">
        <f>IFERROR(MATCH($C$36&amp;"|493",TAHSILAT!$U$7:$U$2503,0),0)</f>
        <v>0</v>
      </c>
      <c r="V566" s="1">
        <f t="shared" si="98"/>
        <v>10000000000</v>
      </c>
      <c r="W566" s="1">
        <f t="shared" si="99"/>
        <v>9</v>
      </c>
    </row>
    <row r="567" spans="2:23" ht="14.25" customHeight="1" x14ac:dyDescent="0.3">
      <c r="B567" s="65" t="str">
        <f t="shared" si="91"/>
        <v/>
      </c>
      <c r="C567" s="70" t="str">
        <f t="shared" si="92"/>
        <v/>
      </c>
      <c r="D567" s="74" t="str">
        <f t="shared" si="93"/>
        <v/>
      </c>
      <c r="F567" s="65" t="str">
        <f t="shared" si="94"/>
        <v/>
      </c>
      <c r="G567" s="68" t="str">
        <f t="shared" si="95"/>
        <v/>
      </c>
      <c r="H567" s="68" t="str">
        <f t="shared" si="96"/>
        <v/>
      </c>
      <c r="I567" s="68" t="str">
        <f t="shared" si="100"/>
        <v/>
      </c>
      <c r="M567" s="1">
        <v>530</v>
      </c>
      <c r="N567" s="1" t="str">
        <f>IF($T567=0,"",INDEX(TAHSILAT!$E$7:$E$2503,$T567))</f>
        <v/>
      </c>
      <c r="O567" s="1" t="str">
        <f>IF($N567="","",$C$36&amp;" – müşteriden tahsilat: "&amp;INDEX(TAHSILAT!$N$7:$N$2503,$T567)&amp;IF(INDEX(TAHSILAT!$J$7:$J$2503,$T567)="",""," – "&amp;INDEX(TAHSILAT!$J$7:$J$2503,$T567)))</f>
        <v/>
      </c>
      <c r="P567" s="1" t="str">
        <f t="shared" si="90"/>
        <v/>
      </c>
      <c r="Q567" s="1">
        <f>IF($N567="",0,INDEX(TAHSILAT!$F$7:$F$2503,$T567))</f>
        <v>0</v>
      </c>
      <c r="R567" s="1">
        <v>0</v>
      </c>
      <c r="S567" s="1">
        <f t="shared" si="97"/>
        <v>10000000000</v>
      </c>
      <c r="T567" s="1">
        <f>IFERROR(MATCH($C$36&amp;"|494",TAHSILAT!$U$7:$U$2503,0),0)</f>
        <v>0</v>
      </c>
      <c r="V567" s="1">
        <f t="shared" si="98"/>
        <v>10000000000</v>
      </c>
      <c r="W567" s="1">
        <f t="shared" si="99"/>
        <v>9</v>
      </c>
    </row>
    <row r="568" spans="2:23" ht="14.25" customHeight="1" x14ac:dyDescent="0.3">
      <c r="B568" s="65" t="str">
        <f t="shared" si="91"/>
        <v/>
      </c>
      <c r="C568" s="70" t="str">
        <f t="shared" si="92"/>
        <v/>
      </c>
      <c r="D568" s="74" t="str">
        <f t="shared" si="93"/>
        <v/>
      </c>
      <c r="F568" s="65" t="str">
        <f t="shared" si="94"/>
        <v/>
      </c>
      <c r="G568" s="68" t="str">
        <f t="shared" si="95"/>
        <v/>
      </c>
      <c r="H568" s="68" t="str">
        <f t="shared" si="96"/>
        <v/>
      </c>
      <c r="I568" s="68" t="str">
        <f t="shared" si="100"/>
        <v/>
      </c>
      <c r="M568" s="1">
        <v>531</v>
      </c>
      <c r="N568" s="1" t="str">
        <f>IF($T568=0,"",INDEX(TAHSILAT!$E$7:$E$2503,$T568))</f>
        <v/>
      </c>
      <c r="O568" s="1" t="str">
        <f>IF($N568="","",$C$36&amp;" – müşteriden tahsilat: "&amp;INDEX(TAHSILAT!$N$7:$N$2503,$T568)&amp;IF(INDEX(TAHSILAT!$J$7:$J$2503,$T568)="",""," – "&amp;INDEX(TAHSILAT!$J$7:$J$2503,$T568)))</f>
        <v/>
      </c>
      <c r="P568" s="1" t="str">
        <f t="shared" si="90"/>
        <v/>
      </c>
      <c r="Q568" s="1">
        <f>IF($N568="",0,INDEX(TAHSILAT!$F$7:$F$2503,$T568))</f>
        <v>0</v>
      </c>
      <c r="R568" s="1">
        <v>0</v>
      </c>
      <c r="S568" s="1">
        <f t="shared" si="97"/>
        <v>10000000000</v>
      </c>
      <c r="T568" s="1">
        <f>IFERROR(MATCH($C$36&amp;"|495",TAHSILAT!$U$7:$U$2503,0),0)</f>
        <v>0</v>
      </c>
      <c r="V568" s="1">
        <f t="shared" si="98"/>
        <v>10000000000</v>
      </c>
      <c r="W568" s="1">
        <f t="shared" si="99"/>
        <v>9</v>
      </c>
    </row>
    <row r="569" spans="2:23" ht="14.25" customHeight="1" x14ac:dyDescent="0.3">
      <c r="B569" s="65" t="str">
        <f t="shared" si="91"/>
        <v/>
      </c>
      <c r="C569" s="70" t="str">
        <f t="shared" si="92"/>
        <v/>
      </c>
      <c r="D569" s="74" t="str">
        <f t="shared" si="93"/>
        <v/>
      </c>
      <c r="F569" s="65" t="str">
        <f t="shared" si="94"/>
        <v/>
      </c>
      <c r="G569" s="68" t="str">
        <f t="shared" si="95"/>
        <v/>
      </c>
      <c r="H569" s="68" t="str">
        <f t="shared" si="96"/>
        <v/>
      </c>
      <c r="I569" s="68" t="str">
        <f t="shared" si="100"/>
        <v/>
      </c>
      <c r="M569" s="1">
        <v>532</v>
      </c>
      <c r="N569" s="1" t="str">
        <f>IF($T569=0,"",INDEX(TAHSILAT!$E$7:$E$2503,$T569))</f>
        <v/>
      </c>
      <c r="O569" s="1" t="str">
        <f>IF($N569="","",$C$36&amp;" – müşteriden tahsilat: "&amp;INDEX(TAHSILAT!$N$7:$N$2503,$T569)&amp;IF(INDEX(TAHSILAT!$J$7:$J$2503,$T569)="",""," – "&amp;INDEX(TAHSILAT!$J$7:$J$2503,$T569)))</f>
        <v/>
      </c>
      <c r="P569" s="1" t="str">
        <f t="shared" si="90"/>
        <v/>
      </c>
      <c r="Q569" s="1">
        <f>IF($N569="",0,INDEX(TAHSILAT!$F$7:$F$2503,$T569))</f>
        <v>0</v>
      </c>
      <c r="R569" s="1">
        <v>0</v>
      </c>
      <c r="S569" s="1">
        <f t="shared" si="97"/>
        <v>10000000000</v>
      </c>
      <c r="T569" s="1">
        <f>IFERROR(MATCH($C$36&amp;"|496",TAHSILAT!$U$7:$U$2503,0),0)</f>
        <v>0</v>
      </c>
      <c r="V569" s="1">
        <f t="shared" si="98"/>
        <v>10000000000</v>
      </c>
      <c r="W569" s="1">
        <f t="shared" si="99"/>
        <v>9</v>
      </c>
    </row>
    <row r="570" spans="2:23" ht="14.25" customHeight="1" x14ac:dyDescent="0.3">
      <c r="B570" s="65" t="str">
        <f t="shared" si="91"/>
        <v/>
      </c>
      <c r="C570" s="70" t="str">
        <f t="shared" si="92"/>
        <v/>
      </c>
      <c r="D570" s="74" t="str">
        <f t="shared" si="93"/>
        <v/>
      </c>
      <c r="F570" s="65" t="str">
        <f t="shared" si="94"/>
        <v/>
      </c>
      <c r="G570" s="68" t="str">
        <f t="shared" si="95"/>
        <v/>
      </c>
      <c r="H570" s="68" t="str">
        <f t="shared" si="96"/>
        <v/>
      </c>
      <c r="I570" s="68" t="str">
        <f t="shared" si="100"/>
        <v/>
      </c>
      <c r="M570" s="1">
        <v>533</v>
      </c>
      <c r="N570" s="1" t="str">
        <f>IF($T570=0,"",INDEX(TAHSILAT!$E$7:$E$2503,$T570))</f>
        <v/>
      </c>
      <c r="O570" s="1" t="str">
        <f>IF($N570="","",$C$36&amp;" – müşteriden tahsilat: "&amp;INDEX(TAHSILAT!$N$7:$N$2503,$T570)&amp;IF(INDEX(TAHSILAT!$J$7:$J$2503,$T570)="",""," – "&amp;INDEX(TAHSILAT!$J$7:$J$2503,$T570)))</f>
        <v/>
      </c>
      <c r="P570" s="1" t="str">
        <f t="shared" si="90"/>
        <v/>
      </c>
      <c r="Q570" s="1">
        <f>IF($N570="",0,INDEX(TAHSILAT!$F$7:$F$2503,$T570))</f>
        <v>0</v>
      </c>
      <c r="R570" s="1">
        <v>0</v>
      </c>
      <c r="S570" s="1">
        <f t="shared" si="97"/>
        <v>10000000000</v>
      </c>
      <c r="T570" s="1">
        <f>IFERROR(MATCH($C$36&amp;"|497",TAHSILAT!$U$7:$U$2503,0),0)</f>
        <v>0</v>
      </c>
      <c r="V570" s="1">
        <f t="shared" si="98"/>
        <v>10000000000</v>
      </c>
      <c r="W570" s="1">
        <f t="shared" si="99"/>
        <v>9</v>
      </c>
    </row>
    <row r="571" spans="2:23" ht="14.25" customHeight="1" x14ac:dyDescent="0.3">
      <c r="B571" s="65" t="str">
        <f t="shared" si="91"/>
        <v/>
      </c>
      <c r="C571" s="70" t="str">
        <f t="shared" si="92"/>
        <v/>
      </c>
      <c r="D571" s="74" t="str">
        <f t="shared" si="93"/>
        <v/>
      </c>
      <c r="F571" s="65" t="str">
        <f t="shared" si="94"/>
        <v/>
      </c>
      <c r="G571" s="68" t="str">
        <f t="shared" si="95"/>
        <v/>
      </c>
      <c r="H571" s="68" t="str">
        <f t="shared" si="96"/>
        <v/>
      </c>
      <c r="I571" s="68" t="str">
        <f t="shared" si="100"/>
        <v/>
      </c>
      <c r="M571" s="1">
        <v>534</v>
      </c>
      <c r="N571" s="1" t="str">
        <f>IF($T571=0,"",INDEX(TAHSILAT!$E$7:$E$2503,$T571))</f>
        <v/>
      </c>
      <c r="O571" s="1" t="str">
        <f>IF($N571="","",$C$36&amp;" – müşteriden tahsilat: "&amp;INDEX(TAHSILAT!$N$7:$N$2503,$T571)&amp;IF(INDEX(TAHSILAT!$J$7:$J$2503,$T571)="",""," – "&amp;INDEX(TAHSILAT!$J$7:$J$2503,$T571)))</f>
        <v/>
      </c>
      <c r="P571" s="1" t="str">
        <f t="shared" si="90"/>
        <v/>
      </c>
      <c r="Q571" s="1">
        <f>IF($N571="",0,INDEX(TAHSILAT!$F$7:$F$2503,$T571))</f>
        <v>0</v>
      </c>
      <c r="R571" s="1">
        <v>0</v>
      </c>
      <c r="S571" s="1">
        <f t="shared" si="97"/>
        <v>10000000000</v>
      </c>
      <c r="T571" s="1">
        <f>IFERROR(MATCH($C$36&amp;"|498",TAHSILAT!$U$7:$U$2503,0),0)</f>
        <v>0</v>
      </c>
      <c r="V571" s="1">
        <f t="shared" si="98"/>
        <v>10000000000</v>
      </c>
      <c r="W571" s="1">
        <f t="shared" si="99"/>
        <v>9</v>
      </c>
    </row>
    <row r="572" spans="2:23" ht="14.25" customHeight="1" x14ac:dyDescent="0.3">
      <c r="B572" s="65" t="str">
        <f t="shared" si="91"/>
        <v/>
      </c>
      <c r="C572" s="70" t="str">
        <f t="shared" si="92"/>
        <v/>
      </c>
      <c r="D572" s="74" t="str">
        <f t="shared" si="93"/>
        <v/>
      </c>
      <c r="F572" s="65" t="str">
        <f t="shared" si="94"/>
        <v/>
      </c>
      <c r="G572" s="68" t="str">
        <f t="shared" si="95"/>
        <v/>
      </c>
      <c r="H572" s="68" t="str">
        <f t="shared" si="96"/>
        <v/>
      </c>
      <c r="I572" s="68" t="str">
        <f t="shared" si="100"/>
        <v/>
      </c>
      <c r="M572" s="1">
        <v>535</v>
      </c>
      <c r="N572" s="1" t="str">
        <f>IF($T572=0,"",INDEX(TAHSILAT!$E$7:$E$2503,$T572))</f>
        <v/>
      </c>
      <c r="O572" s="1" t="str">
        <f>IF($N572="","",$C$36&amp;" – müşteriden tahsilat: "&amp;INDEX(TAHSILAT!$N$7:$N$2503,$T572)&amp;IF(INDEX(TAHSILAT!$J$7:$J$2503,$T572)="",""," – "&amp;INDEX(TAHSILAT!$J$7:$J$2503,$T572)))</f>
        <v/>
      </c>
      <c r="P572" s="1" t="str">
        <f t="shared" si="90"/>
        <v/>
      </c>
      <c r="Q572" s="1">
        <f>IF($N572="",0,INDEX(TAHSILAT!$F$7:$F$2503,$T572))</f>
        <v>0</v>
      </c>
      <c r="R572" s="1">
        <v>0</v>
      </c>
      <c r="S572" s="1">
        <f t="shared" si="97"/>
        <v>10000000000</v>
      </c>
      <c r="T572" s="1">
        <f>IFERROR(MATCH($C$36&amp;"|499",TAHSILAT!$U$7:$U$2503,0),0)</f>
        <v>0</v>
      </c>
      <c r="V572" s="1">
        <f t="shared" si="98"/>
        <v>10000000000</v>
      </c>
      <c r="W572" s="1">
        <f t="shared" si="99"/>
        <v>9</v>
      </c>
    </row>
    <row r="573" spans="2:23" ht="14.25" customHeight="1" x14ac:dyDescent="0.3">
      <c r="B573" s="65" t="str">
        <f t="shared" si="91"/>
        <v/>
      </c>
      <c r="C573" s="70" t="str">
        <f t="shared" si="92"/>
        <v/>
      </c>
      <c r="D573" s="74" t="str">
        <f t="shared" si="93"/>
        <v/>
      </c>
      <c r="F573" s="65" t="str">
        <f t="shared" si="94"/>
        <v/>
      </c>
      <c r="G573" s="68" t="str">
        <f t="shared" si="95"/>
        <v/>
      </c>
      <c r="H573" s="68" t="str">
        <f t="shared" si="96"/>
        <v/>
      </c>
      <c r="I573" s="68" t="str">
        <f t="shared" si="100"/>
        <v/>
      </c>
      <c r="M573" s="1">
        <v>536</v>
      </c>
      <c r="N573" s="1" t="str">
        <f>IF($T573=0,"",INDEX(TAHSILAT!$E$7:$E$2503,$T573))</f>
        <v/>
      </c>
      <c r="O573" s="1" t="str">
        <f>IF($N573="","",$C$36&amp;" – müşteriden tahsilat: "&amp;INDEX(TAHSILAT!$N$7:$N$2503,$T573)&amp;IF(INDEX(TAHSILAT!$J$7:$J$2503,$T573)="",""," – "&amp;INDEX(TAHSILAT!$J$7:$J$2503,$T573)))</f>
        <v/>
      </c>
      <c r="P573" s="1" t="str">
        <f t="shared" si="90"/>
        <v/>
      </c>
      <c r="Q573" s="1">
        <f>IF($N573="",0,INDEX(TAHSILAT!$F$7:$F$2503,$T573))</f>
        <v>0</v>
      </c>
      <c r="R573" s="1">
        <v>0</v>
      </c>
      <c r="S573" s="1">
        <f t="shared" si="97"/>
        <v>10000000000</v>
      </c>
      <c r="T573" s="1">
        <f>IFERROR(MATCH($C$36&amp;"|500",TAHSILAT!$U$7:$U$2503,0),0)</f>
        <v>0</v>
      </c>
      <c r="V573" s="1">
        <f t="shared" si="98"/>
        <v>10000000000</v>
      </c>
      <c r="W573" s="1">
        <f t="shared" si="99"/>
        <v>9</v>
      </c>
    </row>
    <row r="574" spans="2:23" ht="14.25" customHeight="1" x14ac:dyDescent="0.3">
      <c r="B574" s="65" t="str">
        <f t="shared" si="91"/>
        <v/>
      </c>
      <c r="C574" s="70" t="str">
        <f t="shared" si="92"/>
        <v/>
      </c>
      <c r="D574" s="74" t="str">
        <f t="shared" si="93"/>
        <v/>
      </c>
      <c r="F574" s="65" t="str">
        <f t="shared" si="94"/>
        <v/>
      </c>
      <c r="G574" s="68" t="str">
        <f t="shared" si="95"/>
        <v/>
      </c>
      <c r="H574" s="68" t="str">
        <f t="shared" si="96"/>
        <v/>
      </c>
      <c r="I574" s="68" t="str">
        <f t="shared" si="100"/>
        <v/>
      </c>
      <c r="M574" s="1">
        <v>537</v>
      </c>
      <c r="N574" s="71">
        <f>IF($T574=0,"",INDEX(VIRMAN!$C$7:$C$406,$T574))</f>
        <v>46034</v>
      </c>
      <c r="O574" s="1" t="str">
        <f>IF($N574="","",INDEX(VIRMAN!$D$7:$D$406,$T574)&amp;" → "&amp;$C$36&amp;IF(INDEX(VIRMAN!$G$7:$G$406,$T574)="",""," – "&amp;INDEX(VIRMAN!$G$7:$G$406,$T574)))</f>
        <v>MERKEZ KASA → ÖMER KARTAL – GAZİNO TAHSİLATLARINDAN KALAN BAKİYE</v>
      </c>
      <c r="P574" s="1" t="str">
        <f t="shared" ref="P574:P605" si="101">IF($N574="","","VİRMAN GELDİ")</f>
        <v>VİRMAN GELDİ</v>
      </c>
      <c r="Q574" s="79">
        <f>IF($N574="",0,INDEX(VIRMAN!$F$7:$F$406,$T574))</f>
        <v>15000</v>
      </c>
      <c r="R574" s="1">
        <v>0</v>
      </c>
      <c r="S574" s="1">
        <f t="shared" si="97"/>
        <v>4603400537</v>
      </c>
      <c r="T574" s="1">
        <f>IFERROR(MATCH($C$36&amp;"|1",VIRMAN!$K$7:$K$406,0),0)</f>
        <v>1</v>
      </c>
      <c r="V574" s="1">
        <f t="shared" si="98"/>
        <v>10000000000</v>
      </c>
      <c r="W574" s="1">
        <f t="shared" si="99"/>
        <v>9</v>
      </c>
    </row>
    <row r="575" spans="2:23" ht="14.25" customHeight="1" x14ac:dyDescent="0.3">
      <c r="B575" s="65" t="str">
        <f t="shared" si="91"/>
        <v/>
      </c>
      <c r="C575" s="70" t="str">
        <f t="shared" si="92"/>
        <v/>
      </c>
      <c r="D575" s="74" t="str">
        <f t="shared" si="93"/>
        <v/>
      </c>
      <c r="F575" s="65" t="str">
        <f t="shared" si="94"/>
        <v/>
      </c>
      <c r="G575" s="68" t="str">
        <f t="shared" si="95"/>
        <v/>
      </c>
      <c r="H575" s="68" t="str">
        <f t="shared" si="96"/>
        <v/>
      </c>
      <c r="I575" s="68" t="str">
        <f t="shared" si="100"/>
        <v/>
      </c>
      <c r="M575" s="1">
        <v>538</v>
      </c>
      <c r="N575" s="71">
        <f>IF($T575=0,"",INDEX(VIRMAN!$C$7:$C$406,$T575))</f>
        <v>46053</v>
      </c>
      <c r="O575" s="1" t="str">
        <f>IF($N575="","",INDEX(VIRMAN!$D$7:$D$406,$T575)&amp;" → "&amp;$C$36&amp;IF(INDEX(VIRMAN!$G$7:$G$406,$T575)="",""," – "&amp;INDEX(VIRMAN!$G$7:$G$406,$T575)))</f>
        <v>MERKEZ KASA → ÖMER KARTAL – PARİS GAZİNOSU SGK'LAR</v>
      </c>
      <c r="P575" s="1" t="str">
        <f t="shared" si="101"/>
        <v>VİRMAN GELDİ</v>
      </c>
      <c r="Q575" s="79">
        <f>IF($N575="",0,INDEX(VIRMAN!$F$7:$F$406,$T575))</f>
        <v>12000</v>
      </c>
      <c r="R575" s="1">
        <v>0</v>
      </c>
      <c r="S575" s="1">
        <f t="shared" si="97"/>
        <v>4605300538</v>
      </c>
      <c r="T575" s="1">
        <f>IFERROR(MATCH($C$36&amp;"|2",VIRMAN!$K$7:$K$406,0),0)</f>
        <v>2</v>
      </c>
      <c r="V575" s="1">
        <f t="shared" si="98"/>
        <v>10000000000</v>
      </c>
      <c r="W575" s="1">
        <f t="shared" si="99"/>
        <v>9</v>
      </c>
    </row>
    <row r="576" spans="2:23" ht="14.25" customHeight="1" x14ac:dyDescent="0.3">
      <c r="B576" s="65" t="str">
        <f t="shared" si="91"/>
        <v/>
      </c>
      <c r="C576" s="70" t="str">
        <f t="shared" si="92"/>
        <v/>
      </c>
      <c r="D576" s="74" t="str">
        <f t="shared" si="93"/>
        <v/>
      </c>
      <c r="F576" s="65" t="str">
        <f t="shared" si="94"/>
        <v/>
      </c>
      <c r="G576" s="68" t="str">
        <f t="shared" si="95"/>
        <v/>
      </c>
      <c r="H576" s="68" t="str">
        <f t="shared" si="96"/>
        <v/>
      </c>
      <c r="I576" s="68" t="str">
        <f t="shared" si="100"/>
        <v/>
      </c>
      <c r="M576" s="1">
        <v>539</v>
      </c>
      <c r="N576" s="71">
        <f>IF($T576=0,"",INDEX(VIRMAN!$C$7:$C$406,$T576))</f>
        <v>46053</v>
      </c>
      <c r="O576" s="1" t="str">
        <f>IF($N576="","",INDEX(VIRMAN!$D$7:$D$406,$T576)&amp;" → "&amp;$C$36&amp;IF(INDEX(VIRMAN!$G$7:$G$406,$T576)="",""," – "&amp;INDEX(VIRMAN!$G$7:$G$406,$T576)))</f>
        <v>MERKEZ KASA → ÖMER KARTAL – HÜSEYİN ŞİMŞEK MUHASEBE ÜCRETİ</v>
      </c>
      <c r="P576" s="1" t="str">
        <f t="shared" si="101"/>
        <v>VİRMAN GELDİ</v>
      </c>
      <c r="Q576" s="79">
        <f>IF($N576="",0,INDEX(VIRMAN!$F$7:$F$406,$T576))</f>
        <v>3000</v>
      </c>
      <c r="R576" s="1">
        <v>0</v>
      </c>
      <c r="S576" s="1">
        <f t="shared" si="97"/>
        <v>4605300539</v>
      </c>
      <c r="T576" s="1">
        <f>IFERROR(MATCH($C$36&amp;"|3",VIRMAN!$K$7:$K$406,0),0)</f>
        <v>3</v>
      </c>
      <c r="V576" s="1">
        <f t="shared" si="98"/>
        <v>10000000000</v>
      </c>
      <c r="W576" s="1">
        <f t="shared" si="99"/>
        <v>9</v>
      </c>
    </row>
    <row r="577" spans="2:23" ht="14.25" customHeight="1" x14ac:dyDescent="0.3">
      <c r="B577" s="65" t="str">
        <f t="shared" si="91"/>
        <v/>
      </c>
      <c r="C577" s="70" t="str">
        <f t="shared" si="92"/>
        <v/>
      </c>
      <c r="D577" s="74" t="str">
        <f t="shared" si="93"/>
        <v/>
      </c>
      <c r="F577" s="65" t="str">
        <f t="shared" si="94"/>
        <v/>
      </c>
      <c r="G577" s="68" t="str">
        <f t="shared" si="95"/>
        <v/>
      </c>
      <c r="H577" s="68" t="str">
        <f t="shared" si="96"/>
        <v/>
      </c>
      <c r="I577" s="68" t="str">
        <f t="shared" si="100"/>
        <v/>
      </c>
      <c r="M577" s="1">
        <v>540</v>
      </c>
      <c r="N577" s="71">
        <f>IF($T577=0,"",INDEX(VIRMAN!$C$7:$C$406,$T577))</f>
        <v>46053</v>
      </c>
      <c r="O577" s="1" t="str">
        <f>IF($N577="","",INDEX(VIRMAN!$D$7:$D$406,$T577)&amp;" → "&amp;$C$36&amp;IF(INDEX(VIRMAN!$G$7:$G$406,$T577)="",""," – "&amp;INDEX(VIRMAN!$G$7:$G$406,$T577)))</f>
        <v>MERKEZ KASA → ÖMER KARTAL – FADİME HORUZCU MUHASEBE ÜCRETİ</v>
      </c>
      <c r="P577" s="1" t="str">
        <f t="shared" si="101"/>
        <v>VİRMAN GELDİ</v>
      </c>
      <c r="Q577" s="79">
        <f>IF($N577="",0,INDEX(VIRMAN!$F$7:$F$406,$T577))</f>
        <v>2000</v>
      </c>
      <c r="R577" s="1">
        <v>0</v>
      </c>
      <c r="S577" s="1">
        <f t="shared" si="97"/>
        <v>4605300540</v>
      </c>
      <c r="T577" s="1">
        <f>IFERROR(MATCH($C$36&amp;"|4",VIRMAN!$K$7:$K$406,0),0)</f>
        <v>4</v>
      </c>
      <c r="V577" s="1">
        <f t="shared" si="98"/>
        <v>10000000000</v>
      </c>
      <c r="W577" s="1">
        <f t="shared" si="99"/>
        <v>9</v>
      </c>
    </row>
    <row r="578" spans="2:23" ht="14.25" customHeight="1" x14ac:dyDescent="0.3">
      <c r="B578" s="65" t="str">
        <f t="shared" si="91"/>
        <v/>
      </c>
      <c r="C578" s="70" t="str">
        <f t="shared" si="92"/>
        <v/>
      </c>
      <c r="D578" s="74" t="str">
        <f t="shared" si="93"/>
        <v/>
      </c>
      <c r="F578" s="65" t="str">
        <f t="shared" si="94"/>
        <v/>
      </c>
      <c r="G578" s="68" t="str">
        <f t="shared" si="95"/>
        <v/>
      </c>
      <c r="H578" s="68" t="str">
        <f t="shared" si="96"/>
        <v/>
      </c>
      <c r="I578" s="68" t="str">
        <f t="shared" si="100"/>
        <v/>
      </c>
      <c r="M578" s="1">
        <v>541</v>
      </c>
      <c r="N578" s="71">
        <f>IF($T578=0,"",INDEX(VIRMAN!$C$7:$C$406,$T578))</f>
        <v>46053</v>
      </c>
      <c r="O578" s="1" t="str">
        <f>IF($N578="","",INDEX(VIRMAN!$D$7:$D$406,$T578)&amp;" → "&amp;$C$36&amp;IF(INDEX(VIRMAN!$G$7:$G$406,$T578)="",""," – "&amp;INDEX(VIRMAN!$G$7:$G$406,$T578)))</f>
        <v>MERKEZ KASA → ÖMER KARTAL – Onur'un Ömerden Alacağı Bakiye</v>
      </c>
      <c r="P578" s="1" t="str">
        <f t="shared" si="101"/>
        <v>VİRMAN GELDİ</v>
      </c>
      <c r="Q578" s="79">
        <f>IF($N578="",0,INDEX(VIRMAN!$F$7:$F$406,$T578))</f>
        <v>15000</v>
      </c>
      <c r="R578" s="1">
        <v>0</v>
      </c>
      <c r="S578" s="1">
        <f t="shared" si="97"/>
        <v>4605300541</v>
      </c>
      <c r="T578" s="1">
        <f>IFERROR(MATCH($C$36&amp;"|5",VIRMAN!$K$7:$K$406,0),0)</f>
        <v>5</v>
      </c>
      <c r="V578" s="1">
        <f t="shared" si="98"/>
        <v>10000000000</v>
      </c>
      <c r="W578" s="1">
        <f t="shared" si="99"/>
        <v>9</v>
      </c>
    </row>
    <row r="579" spans="2:23" ht="14.25" customHeight="1" x14ac:dyDescent="0.3">
      <c r="B579" s="65" t="str">
        <f t="shared" si="91"/>
        <v/>
      </c>
      <c r="C579" s="70" t="str">
        <f t="shared" si="92"/>
        <v/>
      </c>
      <c r="D579" s="74" t="str">
        <f t="shared" si="93"/>
        <v/>
      </c>
      <c r="F579" s="65" t="str">
        <f t="shared" si="94"/>
        <v/>
      </c>
      <c r="G579" s="68" t="str">
        <f t="shared" si="95"/>
        <v/>
      </c>
      <c r="H579" s="68" t="str">
        <f t="shared" si="96"/>
        <v/>
      </c>
      <c r="I579" s="68" t="str">
        <f t="shared" si="100"/>
        <v/>
      </c>
      <c r="M579" s="1">
        <v>542</v>
      </c>
      <c r="N579" s="71">
        <f>IF($T579=0,"",INDEX(VIRMAN!$C$7:$C$406,$T579))</f>
        <v>46053</v>
      </c>
      <c r="O579" s="1" t="str">
        <f>IF($N579="","",INDEX(VIRMAN!$D$7:$D$406,$T579)&amp;" → "&amp;$C$36&amp;IF(INDEX(VIRMAN!$G$7:$G$406,$T579)="",""," – "&amp;INDEX(VIRMAN!$G$7:$G$406,$T579)))</f>
        <v>MERKEZ KASA → ÖMER KARTAL – ALİ KILIÇ TARAFINDAN HAVALE</v>
      </c>
      <c r="P579" s="1" t="str">
        <f t="shared" si="101"/>
        <v>VİRMAN GELDİ</v>
      </c>
      <c r="Q579" s="79">
        <f>IF($N579="",0,INDEX(VIRMAN!$F$7:$F$406,$T579))</f>
        <v>5000</v>
      </c>
      <c r="R579" s="1">
        <v>0</v>
      </c>
      <c r="S579" s="1">
        <f t="shared" si="97"/>
        <v>4605300542</v>
      </c>
      <c r="T579" s="1">
        <f>IFERROR(MATCH($C$36&amp;"|6",VIRMAN!$K$7:$K$406,0),0)</f>
        <v>6</v>
      </c>
      <c r="V579" s="1">
        <f t="shared" si="98"/>
        <v>10000000000</v>
      </c>
      <c r="W579" s="1">
        <f t="shared" si="99"/>
        <v>9</v>
      </c>
    </row>
    <row r="580" spans="2:23" ht="14.25" customHeight="1" x14ac:dyDescent="0.3">
      <c r="B580" s="65" t="str">
        <f t="shared" si="91"/>
        <v/>
      </c>
      <c r="C580" s="70" t="str">
        <f t="shared" si="92"/>
        <v/>
      </c>
      <c r="D580" s="74" t="str">
        <f t="shared" si="93"/>
        <v/>
      </c>
      <c r="F580" s="65" t="str">
        <f t="shared" si="94"/>
        <v/>
      </c>
      <c r="G580" s="68" t="str">
        <f t="shared" si="95"/>
        <v/>
      </c>
      <c r="H580" s="68" t="str">
        <f t="shared" si="96"/>
        <v/>
      </c>
      <c r="I580" s="68" t="str">
        <f t="shared" si="100"/>
        <v/>
      </c>
      <c r="M580" s="1">
        <v>543</v>
      </c>
      <c r="N580" s="71">
        <f>IF($T580=0,"",INDEX(VIRMAN!$C$7:$C$406,$T580))</f>
        <v>46081</v>
      </c>
      <c r="O580" s="1" t="str">
        <f>IF($N580="","",INDEX(VIRMAN!$D$7:$D$406,$T580)&amp;" → "&amp;$C$36&amp;IF(INDEX(VIRMAN!$G$7:$G$406,$T580)="",""," – "&amp;INDEX(VIRMAN!$G$7:$G$406,$T580)))</f>
        <v>MERKEZ KASA → ÖMER KARTAL – PARİS GAZİNOSU SGK'LAR</v>
      </c>
      <c r="P580" s="1" t="str">
        <f t="shared" si="101"/>
        <v>VİRMAN GELDİ</v>
      </c>
      <c r="Q580" s="79">
        <f>IF($N580="",0,INDEX(VIRMAN!$F$7:$F$406,$T580))</f>
        <v>12000</v>
      </c>
      <c r="R580" s="1">
        <v>0</v>
      </c>
      <c r="S580" s="1">
        <f t="shared" si="97"/>
        <v>4608100543</v>
      </c>
      <c r="T580" s="1">
        <f>IFERROR(MATCH($C$36&amp;"|7",VIRMAN!$K$7:$K$406,0),0)</f>
        <v>7</v>
      </c>
      <c r="V580" s="1">
        <f t="shared" si="98"/>
        <v>10000000000</v>
      </c>
      <c r="W580" s="1">
        <f t="shared" si="99"/>
        <v>9</v>
      </c>
    </row>
    <row r="581" spans="2:23" ht="14.25" customHeight="1" x14ac:dyDescent="0.3">
      <c r="B581" s="65" t="str">
        <f t="shared" si="91"/>
        <v/>
      </c>
      <c r="C581" s="70" t="str">
        <f t="shared" si="92"/>
        <v/>
      </c>
      <c r="D581" s="74" t="str">
        <f t="shared" si="93"/>
        <v/>
      </c>
      <c r="F581" s="65" t="str">
        <f t="shared" si="94"/>
        <v/>
      </c>
      <c r="G581" s="68" t="str">
        <f t="shared" si="95"/>
        <v/>
      </c>
      <c r="H581" s="68" t="str">
        <f t="shared" si="96"/>
        <v/>
      </c>
      <c r="I581" s="68" t="str">
        <f t="shared" si="100"/>
        <v/>
      </c>
      <c r="M581" s="1">
        <v>544</v>
      </c>
      <c r="N581" s="71">
        <f>IF($T581=0,"",INDEX(VIRMAN!$C$7:$C$406,$T581))</f>
        <v>46081</v>
      </c>
      <c r="O581" s="1" t="str">
        <f>IF($N581="","",INDEX(VIRMAN!$D$7:$D$406,$T581)&amp;" → "&amp;$C$36&amp;IF(INDEX(VIRMAN!$G$7:$G$406,$T581)="",""," – "&amp;INDEX(VIRMAN!$G$7:$G$406,$T581)))</f>
        <v>MERKEZ KASA → ÖMER KARTAL – HÜSEYİN ŞİMŞEK MUHASEBE ÜCRETİ</v>
      </c>
      <c r="P581" s="1" t="str">
        <f t="shared" si="101"/>
        <v>VİRMAN GELDİ</v>
      </c>
      <c r="Q581" s="79">
        <f>IF($N581="",0,INDEX(VIRMAN!$F$7:$F$406,$T581))</f>
        <v>3000</v>
      </c>
      <c r="R581" s="1">
        <v>0</v>
      </c>
      <c r="S581" s="1">
        <f t="shared" si="97"/>
        <v>4608100544</v>
      </c>
      <c r="T581" s="1">
        <f>IFERROR(MATCH($C$36&amp;"|8",VIRMAN!$K$7:$K$406,0),0)</f>
        <v>8</v>
      </c>
      <c r="V581" s="1">
        <f t="shared" si="98"/>
        <v>10000000000</v>
      </c>
      <c r="W581" s="1">
        <f t="shared" si="99"/>
        <v>9</v>
      </c>
    </row>
    <row r="582" spans="2:23" ht="14.25" customHeight="1" x14ac:dyDescent="0.3">
      <c r="B582" s="65" t="str">
        <f t="shared" si="91"/>
        <v/>
      </c>
      <c r="C582" s="70" t="str">
        <f t="shared" si="92"/>
        <v/>
      </c>
      <c r="D582" s="74" t="str">
        <f t="shared" si="93"/>
        <v/>
      </c>
      <c r="F582" s="65" t="str">
        <f t="shared" si="94"/>
        <v/>
      </c>
      <c r="G582" s="68" t="str">
        <f t="shared" si="95"/>
        <v/>
      </c>
      <c r="H582" s="68" t="str">
        <f t="shared" si="96"/>
        <v/>
      </c>
      <c r="I582" s="68" t="str">
        <f t="shared" si="100"/>
        <v/>
      </c>
      <c r="M582" s="1">
        <v>545</v>
      </c>
      <c r="N582" s="71">
        <f>IF($T582=0,"",INDEX(VIRMAN!$C$7:$C$406,$T582))</f>
        <v>46081</v>
      </c>
      <c r="O582" s="1" t="str">
        <f>IF($N582="","",INDEX(VIRMAN!$D$7:$D$406,$T582)&amp;" → "&amp;$C$36&amp;IF(INDEX(VIRMAN!$G$7:$G$406,$T582)="",""," – "&amp;INDEX(VIRMAN!$G$7:$G$406,$T582)))</f>
        <v>MERKEZ KASA → ÖMER KARTAL – FADİME HORUZCU MUHASEBE ÜCRETİ</v>
      </c>
      <c r="P582" s="1" t="str">
        <f t="shared" si="101"/>
        <v>VİRMAN GELDİ</v>
      </c>
      <c r="Q582" s="79">
        <f>IF($N582="",0,INDEX(VIRMAN!$F$7:$F$406,$T582))</f>
        <v>2000</v>
      </c>
      <c r="R582" s="1">
        <v>0</v>
      </c>
      <c r="S582" s="1">
        <f t="shared" si="97"/>
        <v>4608100545</v>
      </c>
      <c r="T582" s="1">
        <f>IFERROR(MATCH($C$36&amp;"|9",VIRMAN!$K$7:$K$406,0),0)</f>
        <v>9</v>
      </c>
      <c r="V582" s="1">
        <f t="shared" si="98"/>
        <v>10000000000</v>
      </c>
      <c r="W582" s="1">
        <f t="shared" si="99"/>
        <v>9</v>
      </c>
    </row>
    <row r="583" spans="2:23" ht="14.25" customHeight="1" x14ac:dyDescent="0.3">
      <c r="B583" s="65" t="str">
        <f t="shared" si="91"/>
        <v/>
      </c>
      <c r="C583" s="70" t="str">
        <f t="shared" si="92"/>
        <v/>
      </c>
      <c r="D583" s="74" t="str">
        <f t="shared" si="93"/>
        <v/>
      </c>
      <c r="F583" s="65" t="str">
        <f t="shared" si="94"/>
        <v/>
      </c>
      <c r="G583" s="68" t="str">
        <f t="shared" si="95"/>
        <v/>
      </c>
      <c r="H583" s="68" t="str">
        <f t="shared" si="96"/>
        <v/>
      </c>
      <c r="I583" s="68" t="str">
        <f t="shared" si="100"/>
        <v/>
      </c>
      <c r="M583" s="1">
        <v>546</v>
      </c>
      <c r="N583" s="71">
        <f>IF($T583=0,"",INDEX(VIRMAN!$C$7:$C$406,$T583))</f>
        <v>46112</v>
      </c>
      <c r="O583" s="1" t="str">
        <f>IF($N583="","",INDEX(VIRMAN!$D$7:$D$406,$T583)&amp;" → "&amp;$C$36&amp;IF(INDEX(VIRMAN!$G$7:$G$406,$T583)="",""," – "&amp;INDEX(VIRMAN!$G$7:$G$406,$T583)))</f>
        <v>MERKEZ KASA → ÖMER KARTAL – PARİS GAZİNOSU SGK'LAR</v>
      </c>
      <c r="P583" s="1" t="str">
        <f t="shared" si="101"/>
        <v>VİRMAN GELDİ</v>
      </c>
      <c r="Q583" s="79">
        <f>IF($N583="",0,INDEX(VIRMAN!$F$7:$F$406,$T583))</f>
        <v>12000</v>
      </c>
      <c r="R583" s="1">
        <v>0</v>
      </c>
      <c r="S583" s="1">
        <f t="shared" si="97"/>
        <v>4611200546</v>
      </c>
      <c r="T583" s="1">
        <f>IFERROR(MATCH($C$36&amp;"|10",VIRMAN!$K$7:$K$406,0),0)</f>
        <v>11</v>
      </c>
      <c r="V583" s="1">
        <f t="shared" si="98"/>
        <v>10000000000</v>
      </c>
      <c r="W583" s="1">
        <f t="shared" si="99"/>
        <v>9</v>
      </c>
    </row>
    <row r="584" spans="2:23" ht="14.25" customHeight="1" x14ac:dyDescent="0.3">
      <c r="B584" s="65" t="str">
        <f t="shared" si="91"/>
        <v/>
      </c>
      <c r="C584" s="70" t="str">
        <f t="shared" si="92"/>
        <v/>
      </c>
      <c r="D584" s="74" t="str">
        <f t="shared" si="93"/>
        <v/>
      </c>
      <c r="F584" s="65" t="str">
        <f t="shared" si="94"/>
        <v/>
      </c>
      <c r="G584" s="68" t="str">
        <f t="shared" si="95"/>
        <v/>
      </c>
      <c r="H584" s="68" t="str">
        <f t="shared" si="96"/>
        <v/>
      </c>
      <c r="I584" s="68" t="str">
        <f t="shared" si="100"/>
        <v/>
      </c>
      <c r="M584" s="1">
        <v>547</v>
      </c>
      <c r="N584" s="71">
        <f>IF($T584=0,"",INDEX(VIRMAN!$C$7:$C$406,$T584))</f>
        <v>46112</v>
      </c>
      <c r="O584" s="1" t="str">
        <f>IF($N584="","",INDEX(VIRMAN!$D$7:$D$406,$T584)&amp;" → "&amp;$C$36&amp;IF(INDEX(VIRMAN!$G$7:$G$406,$T584)="",""," – "&amp;INDEX(VIRMAN!$G$7:$G$406,$T584)))</f>
        <v>MERKEZ KASA → ÖMER KARTAL – FADİME HORUZCU MUHASEBE ÜCRETİ</v>
      </c>
      <c r="P584" s="1" t="str">
        <f t="shared" si="101"/>
        <v>VİRMAN GELDİ</v>
      </c>
      <c r="Q584" s="79">
        <f>IF($N584="",0,INDEX(VIRMAN!$F$7:$F$406,$T584))</f>
        <v>2000</v>
      </c>
      <c r="R584" s="1">
        <v>0</v>
      </c>
      <c r="S584" s="1">
        <f t="shared" si="97"/>
        <v>4611200547</v>
      </c>
      <c r="T584" s="1">
        <f>IFERROR(MATCH($C$36&amp;"|11",VIRMAN!$K$7:$K$406,0),0)</f>
        <v>12</v>
      </c>
      <c r="V584" s="1">
        <f t="shared" si="98"/>
        <v>10000000000</v>
      </c>
      <c r="W584" s="1">
        <f t="shared" si="99"/>
        <v>9</v>
      </c>
    </row>
    <row r="585" spans="2:23" ht="14.25" customHeight="1" x14ac:dyDescent="0.3">
      <c r="B585" s="65" t="str">
        <f t="shared" si="91"/>
        <v/>
      </c>
      <c r="C585" s="70" t="str">
        <f t="shared" si="92"/>
        <v/>
      </c>
      <c r="D585" s="74" t="str">
        <f t="shared" si="93"/>
        <v/>
      </c>
      <c r="F585" s="65" t="str">
        <f t="shared" si="94"/>
        <v/>
      </c>
      <c r="G585" s="68" t="str">
        <f t="shared" si="95"/>
        <v/>
      </c>
      <c r="H585" s="68" t="str">
        <f t="shared" si="96"/>
        <v/>
      </c>
      <c r="I585" s="68" t="str">
        <f t="shared" si="100"/>
        <v/>
      </c>
      <c r="M585" s="1">
        <v>548</v>
      </c>
      <c r="N585" s="71">
        <f>IF($T585=0,"",INDEX(VIRMAN!$C$7:$C$406,$T585))</f>
        <v>46137</v>
      </c>
      <c r="O585" s="1" t="str">
        <f>IF($N585="","",INDEX(VIRMAN!$D$7:$D$406,$T585)&amp;" → "&amp;$C$36&amp;IF(INDEX(VIRMAN!$G$7:$G$406,$T585)="",""," – "&amp;INDEX(VIRMAN!$G$7:$G$406,$T585)))</f>
        <v>MERKEZ KASA → ÖMER KARTAL – DAMLA SABANCI HAVALE</v>
      </c>
      <c r="P585" s="1" t="str">
        <f t="shared" si="101"/>
        <v>VİRMAN GELDİ</v>
      </c>
      <c r="Q585" s="79">
        <f>IF($N585="",0,INDEX(VIRMAN!$F$7:$F$406,$T585))</f>
        <v>20000</v>
      </c>
      <c r="R585" s="1">
        <v>0</v>
      </c>
      <c r="S585" s="1">
        <f t="shared" si="97"/>
        <v>4613700548</v>
      </c>
      <c r="T585" s="1">
        <f>IFERROR(MATCH($C$36&amp;"|12",VIRMAN!$K$7:$K$406,0),0)</f>
        <v>13</v>
      </c>
      <c r="V585" s="1">
        <f t="shared" si="98"/>
        <v>10000000000</v>
      </c>
      <c r="W585" s="1">
        <f t="shared" si="99"/>
        <v>9</v>
      </c>
    </row>
    <row r="586" spans="2:23" ht="14.25" customHeight="1" x14ac:dyDescent="0.3">
      <c r="B586" s="65" t="str">
        <f t="shared" si="91"/>
        <v/>
      </c>
      <c r="C586" s="70" t="str">
        <f t="shared" si="92"/>
        <v/>
      </c>
      <c r="D586" s="74" t="str">
        <f t="shared" si="93"/>
        <v/>
      </c>
      <c r="F586" s="65" t="str">
        <f t="shared" si="94"/>
        <v/>
      </c>
      <c r="G586" s="68" t="str">
        <f t="shared" si="95"/>
        <v/>
      </c>
      <c r="H586" s="68" t="str">
        <f t="shared" si="96"/>
        <v/>
      </c>
      <c r="I586" s="68" t="str">
        <f t="shared" si="100"/>
        <v/>
      </c>
      <c r="M586" s="1">
        <v>549</v>
      </c>
      <c r="N586" s="71">
        <f>IF($T586=0,"",INDEX(VIRMAN!$C$7:$C$406,$T586))</f>
        <v>46142</v>
      </c>
      <c r="O586" s="1" t="str">
        <f>IF($N586="","",INDEX(VIRMAN!$D$7:$D$406,$T586)&amp;" → "&amp;$C$36&amp;IF(INDEX(VIRMAN!$G$7:$G$406,$T586)="",""," – "&amp;INDEX(VIRMAN!$G$7:$G$406,$T586)))</f>
        <v>MERKEZ KASA → ÖMER KARTAL – PARİS GAZİNOSU SGK'LAR</v>
      </c>
      <c r="P586" s="1" t="str">
        <f t="shared" si="101"/>
        <v>VİRMAN GELDİ</v>
      </c>
      <c r="Q586" s="79">
        <f>IF($N586="",0,INDEX(VIRMAN!$F$7:$F$406,$T586))</f>
        <v>12000</v>
      </c>
      <c r="R586" s="1">
        <v>0</v>
      </c>
      <c r="S586" s="1">
        <f t="shared" si="97"/>
        <v>4614200549</v>
      </c>
      <c r="T586" s="1">
        <f>IFERROR(MATCH($C$36&amp;"|13",VIRMAN!$K$7:$K$406,0),0)</f>
        <v>14</v>
      </c>
      <c r="V586" s="1">
        <f t="shared" si="98"/>
        <v>10000000000</v>
      </c>
      <c r="W586" s="1">
        <f t="shared" si="99"/>
        <v>9</v>
      </c>
    </row>
    <row r="587" spans="2:23" ht="14.25" customHeight="1" x14ac:dyDescent="0.3">
      <c r="B587" s="65" t="str">
        <f t="shared" si="91"/>
        <v/>
      </c>
      <c r="C587" s="70" t="str">
        <f t="shared" si="92"/>
        <v/>
      </c>
      <c r="D587" s="74" t="str">
        <f t="shared" si="93"/>
        <v/>
      </c>
      <c r="F587" s="65" t="str">
        <f t="shared" si="94"/>
        <v/>
      </c>
      <c r="G587" s="68" t="str">
        <f t="shared" si="95"/>
        <v/>
      </c>
      <c r="H587" s="68" t="str">
        <f t="shared" si="96"/>
        <v/>
      </c>
      <c r="I587" s="68" t="str">
        <f t="shared" si="100"/>
        <v/>
      </c>
      <c r="M587" s="1">
        <v>550</v>
      </c>
      <c r="N587" s="71">
        <f>IF($T587=0,"",INDEX(VIRMAN!$C$7:$C$406,$T587))</f>
        <v>46142</v>
      </c>
      <c r="O587" s="1" t="str">
        <f>IF($N587="","",INDEX(VIRMAN!$D$7:$D$406,$T587)&amp;" → "&amp;$C$36&amp;IF(INDEX(VIRMAN!$G$7:$G$406,$T587)="",""," – "&amp;INDEX(VIRMAN!$G$7:$G$406,$T587)))</f>
        <v>MERKEZ KASA → ÖMER KARTAL – FADİME HORUZCU MUHASEBE ÜCRETİ</v>
      </c>
      <c r="P587" s="1" t="str">
        <f t="shared" si="101"/>
        <v>VİRMAN GELDİ</v>
      </c>
      <c r="Q587" s="79">
        <f>IF($N587="",0,INDEX(VIRMAN!$F$7:$F$406,$T587))</f>
        <v>2000</v>
      </c>
      <c r="R587" s="1">
        <v>0</v>
      </c>
      <c r="S587" s="1">
        <f t="shared" si="97"/>
        <v>4614200550</v>
      </c>
      <c r="T587" s="1">
        <f>IFERROR(MATCH($C$36&amp;"|14",VIRMAN!$K$7:$K$406,0),0)</f>
        <v>15</v>
      </c>
      <c r="V587" s="1">
        <f t="shared" si="98"/>
        <v>10000000000</v>
      </c>
      <c r="W587" s="1">
        <f t="shared" si="99"/>
        <v>9</v>
      </c>
    </row>
    <row r="588" spans="2:23" ht="14.25" customHeight="1" x14ac:dyDescent="0.3">
      <c r="B588" s="65" t="str">
        <f t="shared" si="91"/>
        <v/>
      </c>
      <c r="C588" s="70" t="str">
        <f t="shared" si="92"/>
        <v/>
      </c>
      <c r="D588" s="74" t="str">
        <f t="shared" si="93"/>
        <v/>
      </c>
      <c r="F588" s="65" t="str">
        <f t="shared" si="94"/>
        <v/>
      </c>
      <c r="G588" s="68" t="str">
        <f t="shared" si="95"/>
        <v/>
      </c>
      <c r="H588" s="68" t="str">
        <f t="shared" si="96"/>
        <v/>
      </c>
      <c r="I588" s="68" t="str">
        <f t="shared" si="100"/>
        <v/>
      </c>
      <c r="M588" s="1">
        <v>551</v>
      </c>
      <c r="N588" s="71">
        <f>IF($T588=0,"",INDEX(VIRMAN!$C$7:$C$406,$T588))</f>
        <v>46144</v>
      </c>
      <c r="O588" s="1" t="str">
        <f>IF($N588="","",INDEX(VIRMAN!$D$7:$D$406,$T588)&amp;" → "&amp;$C$36&amp;IF(INDEX(VIRMAN!$G$7:$G$406,$T588)="",""," – "&amp;INDEX(VIRMAN!$G$7:$G$406,$T588)))</f>
        <v>MERKEZ KASA → ÖMER KARTAL – ÖMER NAKİT ÖDENEN ATO</v>
      </c>
      <c r="P588" s="1" t="str">
        <f t="shared" si="101"/>
        <v>VİRMAN GELDİ</v>
      </c>
      <c r="Q588" s="79">
        <f>IF($N588="",0,INDEX(VIRMAN!$F$7:$F$406,$T588))</f>
        <v>1000</v>
      </c>
      <c r="R588" s="1">
        <v>0</v>
      </c>
      <c r="S588" s="1">
        <f t="shared" si="97"/>
        <v>4614400551</v>
      </c>
      <c r="T588" s="1">
        <f>IFERROR(MATCH($C$36&amp;"|15",VIRMAN!$K$7:$K$406,0),0)</f>
        <v>16</v>
      </c>
      <c r="V588" s="1">
        <f t="shared" si="98"/>
        <v>10000000000</v>
      </c>
      <c r="W588" s="1">
        <f t="shared" si="99"/>
        <v>9</v>
      </c>
    </row>
    <row r="589" spans="2:23" ht="14.25" customHeight="1" x14ac:dyDescent="0.3">
      <c r="B589" s="65" t="str">
        <f t="shared" si="91"/>
        <v/>
      </c>
      <c r="C589" s="70" t="str">
        <f t="shared" si="92"/>
        <v/>
      </c>
      <c r="D589" s="74" t="str">
        <f t="shared" si="93"/>
        <v/>
      </c>
      <c r="F589" s="65" t="str">
        <f t="shared" si="94"/>
        <v/>
      </c>
      <c r="G589" s="68" t="str">
        <f t="shared" si="95"/>
        <v/>
      </c>
      <c r="H589" s="68" t="str">
        <f t="shared" si="96"/>
        <v/>
      </c>
      <c r="I589" s="68" t="str">
        <f t="shared" si="100"/>
        <v/>
      </c>
      <c r="M589" s="1">
        <v>552</v>
      </c>
      <c r="N589" s="71">
        <f>IF($T589=0,"",INDEX(VIRMAN!$C$7:$C$406,$T589))</f>
        <v>46147</v>
      </c>
      <c r="O589" s="1" t="str">
        <f>IF($N589="","",INDEX(VIRMAN!$D$7:$D$406,$T589)&amp;" → "&amp;$C$36&amp;IF(INDEX(VIRMAN!$G$7:$G$406,$T589)="",""," – "&amp;INDEX(VIRMAN!$G$7:$G$406,$T589)))</f>
        <v>MERKEZ KASA → ÖMER KARTAL – GRAND 06 HASAN &amp; ÖMER BAKİYE</v>
      </c>
      <c r="P589" s="1" t="str">
        <f t="shared" si="101"/>
        <v>VİRMAN GELDİ</v>
      </c>
      <c r="Q589" s="79">
        <f>IF($N589="",0,INDEX(VIRMAN!$F$7:$F$406,$T589))</f>
        <v>23600</v>
      </c>
      <c r="R589" s="1">
        <v>0</v>
      </c>
      <c r="S589" s="1">
        <f t="shared" si="97"/>
        <v>4614700552</v>
      </c>
      <c r="T589" s="1">
        <f>IFERROR(MATCH($C$36&amp;"|16",VIRMAN!$K$7:$K$406,0),0)</f>
        <v>17</v>
      </c>
      <c r="V589" s="1">
        <f t="shared" si="98"/>
        <v>10000000000</v>
      </c>
      <c r="W589" s="1">
        <f t="shared" si="99"/>
        <v>9</v>
      </c>
    </row>
    <row r="590" spans="2:23" ht="14.25" customHeight="1" x14ac:dyDescent="0.3">
      <c r="B590" s="65" t="str">
        <f t="shared" si="91"/>
        <v/>
      </c>
      <c r="C590" s="70" t="str">
        <f t="shared" si="92"/>
        <v/>
      </c>
      <c r="D590" s="74" t="str">
        <f t="shared" si="93"/>
        <v/>
      </c>
      <c r="F590" s="65" t="str">
        <f t="shared" si="94"/>
        <v/>
      </c>
      <c r="G590" s="68" t="str">
        <f t="shared" si="95"/>
        <v/>
      </c>
      <c r="H590" s="68" t="str">
        <f t="shared" si="96"/>
        <v/>
      </c>
      <c r="I590" s="68" t="str">
        <f t="shared" si="100"/>
        <v/>
      </c>
      <c r="M590" s="1">
        <v>553</v>
      </c>
      <c r="N590" s="71">
        <f>IF($T590=0,"",INDEX(VIRMAN!$C$7:$C$406,$T590))</f>
        <v>46173</v>
      </c>
      <c r="O590" s="1" t="str">
        <f>IF($N590="","",INDEX(VIRMAN!$D$7:$D$406,$T590)&amp;" → "&amp;$C$36&amp;IF(INDEX(VIRMAN!$G$7:$G$406,$T590)="",""," – "&amp;INDEX(VIRMAN!$G$7:$G$406,$T590)))</f>
        <v xml:space="preserve">MERKEZ KASA → ÖMER KARTAL – ÖMER TATİLDEYKEN HAVALE </v>
      </c>
      <c r="P590" s="1" t="str">
        <f t="shared" si="101"/>
        <v>VİRMAN GELDİ</v>
      </c>
      <c r="Q590" s="79">
        <f>IF($N590="",0,INDEX(VIRMAN!$F$7:$F$406,$T590))</f>
        <v>17000</v>
      </c>
      <c r="R590" s="1">
        <v>0</v>
      </c>
      <c r="S590" s="1">
        <f t="shared" si="97"/>
        <v>4617300553</v>
      </c>
      <c r="T590" s="1">
        <f>IFERROR(MATCH($C$36&amp;"|17",VIRMAN!$K$7:$K$406,0),0)</f>
        <v>18</v>
      </c>
      <c r="V590" s="1">
        <f t="shared" si="98"/>
        <v>10000000000</v>
      </c>
      <c r="W590" s="1">
        <f t="shared" si="99"/>
        <v>9</v>
      </c>
    </row>
    <row r="591" spans="2:23" ht="14.25" customHeight="1" x14ac:dyDescent="0.3">
      <c r="B591" s="65" t="str">
        <f t="shared" si="91"/>
        <v/>
      </c>
      <c r="C591" s="70" t="str">
        <f t="shared" si="92"/>
        <v/>
      </c>
      <c r="D591" s="74" t="str">
        <f t="shared" si="93"/>
        <v/>
      </c>
      <c r="F591" s="65" t="str">
        <f t="shared" si="94"/>
        <v/>
      </c>
      <c r="G591" s="68" t="str">
        <f t="shared" si="95"/>
        <v/>
      </c>
      <c r="H591" s="68" t="str">
        <f t="shared" si="96"/>
        <v/>
      </c>
      <c r="I591" s="68" t="str">
        <f t="shared" si="100"/>
        <v/>
      </c>
      <c r="M591" s="1">
        <v>554</v>
      </c>
      <c r="N591" s="71">
        <f>IF($T591=0,"",INDEX(VIRMAN!$C$7:$C$406,$T591))</f>
        <v>46173</v>
      </c>
      <c r="O591" s="1" t="str">
        <f>IF($N591="","",INDEX(VIRMAN!$D$7:$D$406,$T591)&amp;" → "&amp;$C$36&amp;IF(INDEX(VIRMAN!$G$7:$G$406,$T591)="",""," – "&amp;INDEX(VIRMAN!$G$7:$G$406,$T591)))</f>
        <v>MERKEZ KASA → ÖMER KARTAL – PARİS GAZİNOSU SGK'LAR</v>
      </c>
      <c r="P591" s="1" t="str">
        <f t="shared" si="101"/>
        <v>VİRMAN GELDİ</v>
      </c>
      <c r="Q591" s="79">
        <f>IF($N591="",0,INDEX(VIRMAN!$F$7:$F$406,$T591))</f>
        <v>12000</v>
      </c>
      <c r="R591" s="1">
        <v>0</v>
      </c>
      <c r="S591" s="1">
        <f t="shared" si="97"/>
        <v>4617300554</v>
      </c>
      <c r="T591" s="1">
        <f>IFERROR(MATCH($C$36&amp;"|18",VIRMAN!$K$7:$K$406,0),0)</f>
        <v>19</v>
      </c>
      <c r="V591" s="1">
        <f t="shared" si="98"/>
        <v>10000000000</v>
      </c>
      <c r="W591" s="1">
        <f t="shared" si="99"/>
        <v>9</v>
      </c>
    </row>
    <row r="592" spans="2:23" ht="14.25" customHeight="1" x14ac:dyDescent="0.3">
      <c r="B592" s="65" t="str">
        <f t="shared" si="91"/>
        <v/>
      </c>
      <c r="C592" s="70" t="str">
        <f t="shared" si="92"/>
        <v/>
      </c>
      <c r="D592" s="74" t="str">
        <f t="shared" si="93"/>
        <v/>
      </c>
      <c r="F592" s="65" t="str">
        <f t="shared" si="94"/>
        <v/>
      </c>
      <c r="G592" s="68" t="str">
        <f t="shared" si="95"/>
        <v/>
      </c>
      <c r="H592" s="68" t="str">
        <f t="shared" si="96"/>
        <v/>
      </c>
      <c r="I592" s="68" t="str">
        <f t="shared" si="100"/>
        <v/>
      </c>
      <c r="M592" s="1">
        <v>555</v>
      </c>
      <c r="N592" s="71">
        <f>IF($T592=0,"",INDEX(VIRMAN!$C$7:$C$406,$T592))</f>
        <v>46173</v>
      </c>
      <c r="O592" s="1" t="str">
        <f>IF($N592="","",INDEX(VIRMAN!$D$7:$D$406,$T592)&amp;" → "&amp;$C$36&amp;IF(INDEX(VIRMAN!$G$7:$G$406,$T592)="",""," – "&amp;INDEX(VIRMAN!$G$7:$G$406,$T592)))</f>
        <v>MERKEZ KASA → ÖMER KARTAL – FADİME HORUZCU MUHASEBE ÜCRETİ</v>
      </c>
      <c r="P592" s="1" t="str">
        <f t="shared" si="101"/>
        <v>VİRMAN GELDİ</v>
      </c>
      <c r="Q592" s="79">
        <f>IF($N592="",0,INDEX(VIRMAN!$F$7:$F$406,$T592))</f>
        <v>2000</v>
      </c>
      <c r="R592" s="1">
        <v>0</v>
      </c>
      <c r="S592" s="1">
        <f t="shared" si="97"/>
        <v>4617300555</v>
      </c>
      <c r="T592" s="1">
        <f>IFERROR(MATCH($C$36&amp;"|19",VIRMAN!$K$7:$K$406,0),0)</f>
        <v>20</v>
      </c>
      <c r="V592" s="1">
        <f t="shared" si="98"/>
        <v>10000000000</v>
      </c>
      <c r="W592" s="1">
        <f t="shared" si="99"/>
        <v>9</v>
      </c>
    </row>
    <row r="593" spans="2:23" ht="14.25" customHeight="1" x14ac:dyDescent="0.3">
      <c r="B593" s="65" t="str">
        <f t="shared" si="91"/>
        <v/>
      </c>
      <c r="C593" s="70" t="str">
        <f t="shared" si="92"/>
        <v/>
      </c>
      <c r="D593" s="74" t="str">
        <f t="shared" si="93"/>
        <v/>
      </c>
      <c r="F593" s="65" t="str">
        <f t="shared" si="94"/>
        <v/>
      </c>
      <c r="G593" s="68" t="str">
        <f t="shared" si="95"/>
        <v/>
      </c>
      <c r="H593" s="68" t="str">
        <f t="shared" si="96"/>
        <v/>
      </c>
      <c r="I593" s="68" t="str">
        <f t="shared" si="100"/>
        <v/>
      </c>
      <c r="M593" s="1">
        <v>556</v>
      </c>
      <c r="N593" s="71">
        <f>IF($T593=0,"",INDEX(VIRMAN!$C$7:$C$406,$T593))</f>
        <v>46203</v>
      </c>
      <c r="O593" s="1" t="str">
        <f>IF($N593="","",INDEX(VIRMAN!$D$7:$D$406,$T593)&amp;" → "&amp;$C$36&amp;IF(INDEX(VIRMAN!$G$7:$G$406,$T593)="",""," – "&amp;INDEX(VIRMAN!$G$7:$G$406,$T593)))</f>
        <v>MERKEZ KASA → ÖMER KARTAL – PARİS GAZİNOSU SGK'LAR</v>
      </c>
      <c r="P593" s="1" t="str">
        <f t="shared" si="101"/>
        <v>VİRMAN GELDİ</v>
      </c>
      <c r="Q593" s="79">
        <f>IF($N593="",0,INDEX(VIRMAN!$F$7:$F$406,$T593))</f>
        <v>12000</v>
      </c>
      <c r="R593" s="1">
        <v>0</v>
      </c>
      <c r="S593" s="1">
        <f t="shared" si="97"/>
        <v>4620300556</v>
      </c>
      <c r="T593" s="1">
        <f>IFERROR(MATCH($C$36&amp;"|20",VIRMAN!$K$7:$K$406,0),0)</f>
        <v>21</v>
      </c>
      <c r="V593" s="1">
        <f t="shared" si="98"/>
        <v>10000000000</v>
      </c>
      <c r="W593" s="1">
        <f t="shared" si="99"/>
        <v>9</v>
      </c>
    </row>
    <row r="594" spans="2:23" ht="14.25" customHeight="1" x14ac:dyDescent="0.3">
      <c r="B594" s="65" t="str">
        <f t="shared" si="91"/>
        <v/>
      </c>
      <c r="C594" s="70" t="str">
        <f t="shared" si="92"/>
        <v/>
      </c>
      <c r="D594" s="74" t="str">
        <f t="shared" si="93"/>
        <v/>
      </c>
      <c r="F594" s="65" t="str">
        <f t="shared" si="94"/>
        <v/>
      </c>
      <c r="G594" s="68" t="str">
        <f t="shared" si="95"/>
        <v/>
      </c>
      <c r="H594" s="68" t="str">
        <f t="shared" si="96"/>
        <v/>
      </c>
      <c r="I594" s="68" t="str">
        <f t="shared" si="100"/>
        <v/>
      </c>
      <c r="M594" s="1">
        <v>557</v>
      </c>
      <c r="N594" s="71">
        <f>IF($T594=0,"",INDEX(VIRMAN!$C$7:$C$406,$T594))</f>
        <v>46203</v>
      </c>
      <c r="O594" s="1" t="str">
        <f>IF($N594="","",INDEX(VIRMAN!$D$7:$D$406,$T594)&amp;" → "&amp;$C$36&amp;IF(INDEX(VIRMAN!$G$7:$G$406,$T594)="",""," – "&amp;INDEX(VIRMAN!$G$7:$G$406,$T594)))</f>
        <v>MERKEZ KASA → ÖMER KARTAL – FADİME HORUZCU MUHASEBE ÜCRETİ</v>
      </c>
      <c r="P594" s="1" t="str">
        <f t="shared" si="101"/>
        <v>VİRMAN GELDİ</v>
      </c>
      <c r="Q594" s="79">
        <f>IF($N594="",0,INDEX(VIRMAN!$F$7:$F$406,$T594))</f>
        <v>2000</v>
      </c>
      <c r="R594" s="1">
        <v>0</v>
      </c>
      <c r="S594" s="1">
        <f t="shared" si="97"/>
        <v>4620300557</v>
      </c>
      <c r="T594" s="1">
        <f>IFERROR(MATCH($C$36&amp;"|21",VIRMAN!$K$7:$K$406,0),0)</f>
        <v>22</v>
      </c>
      <c r="V594" s="1">
        <f t="shared" si="98"/>
        <v>10000000000</v>
      </c>
      <c r="W594" s="1">
        <f t="shared" si="99"/>
        <v>9</v>
      </c>
    </row>
    <row r="595" spans="2:23" ht="14.25" customHeight="1" x14ac:dyDescent="0.3">
      <c r="B595" s="65" t="str">
        <f t="shared" si="91"/>
        <v/>
      </c>
      <c r="C595" s="70" t="str">
        <f t="shared" si="92"/>
        <v/>
      </c>
      <c r="D595" s="74" t="str">
        <f t="shared" si="93"/>
        <v/>
      </c>
      <c r="F595" s="65" t="str">
        <f t="shared" si="94"/>
        <v/>
      </c>
      <c r="G595" s="68" t="str">
        <f t="shared" si="95"/>
        <v/>
      </c>
      <c r="H595" s="68" t="str">
        <f t="shared" si="96"/>
        <v/>
      </c>
      <c r="I595" s="68" t="str">
        <f t="shared" si="100"/>
        <v/>
      </c>
      <c r="M595" s="1">
        <v>558</v>
      </c>
      <c r="N595" s="71">
        <f>IF($T595=0,"",INDEX(VIRMAN!$C$7:$C$406,$T595))</f>
        <v>46207</v>
      </c>
      <c r="O595" s="1" t="str">
        <f>IF($N595="","",INDEX(VIRMAN!$D$7:$D$406,$T595)&amp;" → "&amp;$C$36&amp;IF(INDEX(VIRMAN!$G$7:$G$406,$T595)="",""," – "&amp;INDEX(VIRMAN!$G$7:$G$406,$T595)))</f>
        <v>MERKEZ KASA → ÖMER KARTAL – YALIKENT HAFTALIK MENDERES MAHSUP</v>
      </c>
      <c r="P595" s="1" t="str">
        <f t="shared" si="101"/>
        <v>VİRMAN GELDİ</v>
      </c>
      <c r="Q595" s="79">
        <f>IF($N595="",0,INDEX(VIRMAN!$F$7:$F$406,$T595))</f>
        <v>5000</v>
      </c>
      <c r="R595" s="1">
        <v>0</v>
      </c>
      <c r="S595" s="1">
        <f t="shared" si="97"/>
        <v>4620700558</v>
      </c>
      <c r="T595" s="1">
        <f>IFERROR(MATCH($C$36&amp;"|22",VIRMAN!$K$7:$K$406,0),0)</f>
        <v>23</v>
      </c>
      <c r="V595" s="1">
        <f t="shared" si="98"/>
        <v>10000000000</v>
      </c>
      <c r="W595" s="1">
        <f t="shared" si="99"/>
        <v>9</v>
      </c>
    </row>
    <row r="596" spans="2:23" ht="14.25" customHeight="1" x14ac:dyDescent="0.3">
      <c r="B596" s="65" t="str">
        <f t="shared" si="91"/>
        <v/>
      </c>
      <c r="C596" s="70" t="str">
        <f t="shared" si="92"/>
        <v/>
      </c>
      <c r="D596" s="74" t="str">
        <f t="shared" si="93"/>
        <v/>
      </c>
      <c r="F596" s="65" t="str">
        <f t="shared" si="94"/>
        <v/>
      </c>
      <c r="G596" s="68" t="str">
        <f t="shared" si="95"/>
        <v/>
      </c>
      <c r="H596" s="68" t="str">
        <f t="shared" si="96"/>
        <v/>
      </c>
      <c r="I596" s="68" t="str">
        <f t="shared" si="100"/>
        <v/>
      </c>
      <c r="M596" s="1">
        <v>559</v>
      </c>
      <c r="N596" s="71">
        <f>IF($T596=0,"",INDEX(VIRMAN!$C$7:$C$406,$T596))</f>
        <v>46214</v>
      </c>
      <c r="O596" s="1" t="str">
        <f>IF($N596="","",INDEX(VIRMAN!$D$7:$D$406,$T596)&amp;" → "&amp;$C$36&amp;IF(INDEX(VIRMAN!$G$7:$G$406,$T596)="",""," – "&amp;INDEX(VIRMAN!$G$7:$G$406,$T596)))</f>
        <v>MERKEZ KASA → ÖMER KARTAL – YALIKENT HAFTALIK MENDERES MAHSUP</v>
      </c>
      <c r="P596" s="1" t="str">
        <f t="shared" si="101"/>
        <v>VİRMAN GELDİ</v>
      </c>
      <c r="Q596" s="79">
        <f>IF($N596="",0,INDEX(VIRMAN!$F$7:$F$406,$T596))</f>
        <v>5000</v>
      </c>
      <c r="R596" s="1">
        <v>0</v>
      </c>
      <c r="S596" s="1">
        <f t="shared" si="97"/>
        <v>4621400559</v>
      </c>
      <c r="T596" s="1">
        <f>IFERROR(MATCH($C$36&amp;"|23",VIRMAN!$K$7:$K$406,0),0)</f>
        <v>24</v>
      </c>
      <c r="V596" s="1">
        <f t="shared" si="98"/>
        <v>10000000000</v>
      </c>
      <c r="W596" s="1">
        <f t="shared" si="99"/>
        <v>9</v>
      </c>
    </row>
    <row r="597" spans="2:23" ht="14.25" customHeight="1" x14ac:dyDescent="0.3">
      <c r="B597" s="65" t="str">
        <f t="shared" si="91"/>
        <v/>
      </c>
      <c r="C597" s="70" t="str">
        <f t="shared" si="92"/>
        <v/>
      </c>
      <c r="D597" s="74" t="str">
        <f t="shared" si="93"/>
        <v/>
      </c>
      <c r="F597" s="65" t="str">
        <f t="shared" si="94"/>
        <v/>
      </c>
      <c r="G597" s="68" t="str">
        <f t="shared" si="95"/>
        <v/>
      </c>
      <c r="H597" s="68" t="str">
        <f t="shared" si="96"/>
        <v/>
      </c>
      <c r="I597" s="68" t="str">
        <f t="shared" si="100"/>
        <v/>
      </c>
      <c r="M597" s="1">
        <v>560</v>
      </c>
      <c r="N597" s="71">
        <f>IF($T597=0,"",INDEX(VIRMAN!$C$7:$C$406,$T597))</f>
        <v>46221</v>
      </c>
      <c r="O597" s="1" t="str">
        <f>IF($N597="","",INDEX(VIRMAN!$D$7:$D$406,$T597)&amp;" → "&amp;$C$36&amp;IF(INDEX(VIRMAN!$G$7:$G$406,$T597)="",""," – "&amp;INDEX(VIRMAN!$G$7:$G$406,$T597)))</f>
        <v>MERKEZ KASA → ÖMER KARTAL – YALIKENT HAFTALIK MENDERES MAHSUP</v>
      </c>
      <c r="P597" s="1" t="str">
        <f t="shared" si="101"/>
        <v>VİRMAN GELDİ</v>
      </c>
      <c r="Q597" s="79">
        <f>IF($N597="",0,INDEX(VIRMAN!$F$7:$F$406,$T597))</f>
        <v>5000</v>
      </c>
      <c r="R597" s="1">
        <v>0</v>
      </c>
      <c r="S597" s="1">
        <f t="shared" si="97"/>
        <v>4622100560</v>
      </c>
      <c r="T597" s="1">
        <f>IFERROR(MATCH($C$36&amp;"|24",VIRMAN!$K$7:$K$406,0),0)</f>
        <v>25</v>
      </c>
      <c r="V597" s="1">
        <f t="shared" si="98"/>
        <v>10000000000</v>
      </c>
      <c r="W597" s="1">
        <f t="shared" si="99"/>
        <v>9</v>
      </c>
    </row>
    <row r="598" spans="2:23" ht="14.25" customHeight="1" x14ac:dyDescent="0.3">
      <c r="B598" s="65" t="str">
        <f t="shared" si="91"/>
        <v/>
      </c>
      <c r="C598" s="70" t="str">
        <f t="shared" si="92"/>
        <v/>
      </c>
      <c r="D598" s="74" t="str">
        <f t="shared" si="93"/>
        <v/>
      </c>
      <c r="F598" s="65" t="str">
        <f t="shared" si="94"/>
        <v/>
      </c>
      <c r="G598" s="68" t="str">
        <f t="shared" si="95"/>
        <v/>
      </c>
      <c r="H598" s="68" t="str">
        <f t="shared" si="96"/>
        <v/>
      </c>
      <c r="I598" s="68" t="str">
        <f t="shared" si="100"/>
        <v/>
      </c>
      <c r="M598" s="1">
        <v>561</v>
      </c>
      <c r="N598" s="71">
        <f>IF($T598=0,"",INDEX(VIRMAN!$C$7:$C$406,$T598))</f>
        <v>46228</v>
      </c>
      <c r="O598" s="1" t="str">
        <f>IF($N598="","",INDEX(VIRMAN!$D$7:$D$406,$T598)&amp;" → "&amp;$C$36&amp;IF(INDEX(VIRMAN!$G$7:$G$406,$T598)="",""," – "&amp;INDEX(VIRMAN!$G$7:$G$406,$T598)))</f>
        <v>MERKEZ KASA → ÖMER KARTAL – YALIKENT HAFTALIK MENDERES MAHSUP</v>
      </c>
      <c r="P598" s="1" t="str">
        <f t="shared" si="101"/>
        <v>VİRMAN GELDİ</v>
      </c>
      <c r="Q598" s="79">
        <f>IF($N598="",0,INDEX(VIRMAN!$F$7:$F$406,$T598))</f>
        <v>5000</v>
      </c>
      <c r="R598" s="1">
        <v>0</v>
      </c>
      <c r="S598" s="1">
        <f t="shared" si="97"/>
        <v>4622800561</v>
      </c>
      <c r="T598" s="1">
        <f>IFERROR(MATCH($C$36&amp;"|25",VIRMAN!$K$7:$K$406,0),0)</f>
        <v>26</v>
      </c>
      <c r="V598" s="1">
        <f t="shared" si="98"/>
        <v>10000000000</v>
      </c>
      <c r="W598" s="1">
        <f t="shared" si="99"/>
        <v>9</v>
      </c>
    </row>
    <row r="599" spans="2:23" ht="14.25" customHeight="1" x14ac:dyDescent="0.3">
      <c r="B599" s="65" t="str">
        <f t="shared" si="91"/>
        <v/>
      </c>
      <c r="C599" s="70" t="str">
        <f t="shared" si="92"/>
        <v/>
      </c>
      <c r="D599" s="74" t="str">
        <f t="shared" si="93"/>
        <v/>
      </c>
      <c r="F599" s="65" t="str">
        <f t="shared" si="94"/>
        <v/>
      </c>
      <c r="G599" s="68" t="str">
        <f t="shared" si="95"/>
        <v/>
      </c>
      <c r="H599" s="68" t="str">
        <f t="shared" si="96"/>
        <v/>
      </c>
      <c r="I599" s="68" t="str">
        <f t="shared" si="100"/>
        <v/>
      </c>
      <c r="M599" s="1">
        <v>562</v>
      </c>
      <c r="N599" s="71">
        <f>IF($T599=0,"",INDEX(VIRMAN!$C$7:$C$406,$T599))</f>
        <v>46234</v>
      </c>
      <c r="O599" s="1" t="str">
        <f>IF($N599="","",INDEX(VIRMAN!$D$7:$D$406,$T599)&amp;" → "&amp;$C$36&amp;IF(INDEX(VIRMAN!$G$7:$G$406,$T599)="",""," – "&amp;INDEX(VIRMAN!$G$7:$G$406,$T599)))</f>
        <v>MERKEZ KASA → ÖMER KARTAL – PARİS GAZİNOSU SGK'LAR</v>
      </c>
      <c r="P599" s="1" t="str">
        <f t="shared" si="101"/>
        <v>VİRMAN GELDİ</v>
      </c>
      <c r="Q599" s="79">
        <f>IF($N599="",0,INDEX(VIRMAN!$F$7:$F$406,$T599))</f>
        <v>12000</v>
      </c>
      <c r="R599" s="1">
        <v>0</v>
      </c>
      <c r="S599" s="1">
        <f t="shared" si="97"/>
        <v>4623400562</v>
      </c>
      <c r="T599" s="1">
        <f>IFERROR(MATCH($C$36&amp;"|26",VIRMAN!$K$7:$K$406,0),0)</f>
        <v>27</v>
      </c>
      <c r="V599" s="1">
        <f t="shared" si="98"/>
        <v>10000000000</v>
      </c>
      <c r="W599" s="1">
        <f t="shared" si="99"/>
        <v>9</v>
      </c>
    </row>
    <row r="600" spans="2:23" ht="14.25" customHeight="1" x14ac:dyDescent="0.3">
      <c r="B600" s="65" t="str">
        <f t="shared" si="91"/>
        <v/>
      </c>
      <c r="C600" s="70" t="str">
        <f t="shared" si="92"/>
        <v/>
      </c>
      <c r="D600" s="74" t="str">
        <f t="shared" si="93"/>
        <v/>
      </c>
      <c r="F600" s="65" t="str">
        <f t="shared" si="94"/>
        <v/>
      </c>
      <c r="G600" s="68" t="str">
        <f t="shared" si="95"/>
        <v/>
      </c>
      <c r="H600" s="68" t="str">
        <f t="shared" si="96"/>
        <v/>
      </c>
      <c r="I600" s="68" t="str">
        <f t="shared" si="100"/>
        <v/>
      </c>
      <c r="M600" s="1">
        <v>563</v>
      </c>
      <c r="N600" s="71">
        <f>IF($T600=0,"",INDEX(VIRMAN!$C$7:$C$406,$T600))</f>
        <v>46235</v>
      </c>
      <c r="O600" s="1" t="str">
        <f>IF($N600="","",INDEX(VIRMAN!$D$7:$D$406,$T600)&amp;" → "&amp;$C$36&amp;IF(INDEX(VIRMAN!$G$7:$G$406,$T600)="",""," – "&amp;INDEX(VIRMAN!$G$7:$G$406,$T600)))</f>
        <v>MERKEZ KASA → ÖMER KARTAL – YALIKENT HAFTALIK MENDERES MAHSUP</v>
      </c>
      <c r="P600" s="1" t="str">
        <f t="shared" si="101"/>
        <v>VİRMAN GELDİ</v>
      </c>
      <c r="Q600" s="79">
        <f>IF($N600="",0,INDEX(VIRMAN!$F$7:$F$406,$T600))</f>
        <v>5000</v>
      </c>
      <c r="R600" s="1">
        <v>0</v>
      </c>
      <c r="S600" s="1">
        <f t="shared" si="97"/>
        <v>4623500563</v>
      </c>
      <c r="T600" s="1">
        <f>IFERROR(MATCH($C$36&amp;"|27",VIRMAN!$K$7:$K$406,0),0)</f>
        <v>28</v>
      </c>
      <c r="V600" s="1">
        <f t="shared" si="98"/>
        <v>10000000000</v>
      </c>
      <c r="W600" s="1">
        <f t="shared" si="99"/>
        <v>9</v>
      </c>
    </row>
    <row r="601" spans="2:23" ht="14.25" customHeight="1" x14ac:dyDescent="0.3">
      <c r="B601" s="65" t="str">
        <f t="shared" si="91"/>
        <v/>
      </c>
      <c r="C601" s="70" t="str">
        <f t="shared" si="92"/>
        <v/>
      </c>
      <c r="D601" s="74" t="str">
        <f t="shared" si="93"/>
        <v/>
      </c>
      <c r="F601" s="65" t="str">
        <f t="shared" si="94"/>
        <v/>
      </c>
      <c r="G601" s="68" t="str">
        <f t="shared" si="95"/>
        <v/>
      </c>
      <c r="H601" s="68" t="str">
        <f t="shared" si="96"/>
        <v/>
      </c>
      <c r="I601" s="68" t="str">
        <f t="shared" si="100"/>
        <v/>
      </c>
      <c r="M601" s="1">
        <v>564</v>
      </c>
      <c r="N601" s="71">
        <f>IF($T601=0,"",INDEX(VIRMAN!$C$7:$C$406,$T601))</f>
        <v>46243</v>
      </c>
      <c r="O601" s="1" t="str">
        <f>IF($N601="","",INDEX(VIRMAN!$D$7:$D$406,$T601)&amp;" → "&amp;$C$36&amp;IF(INDEX(VIRMAN!$G$7:$G$406,$T601)="",""," – "&amp;INDEX(VIRMAN!$G$7:$G$406,$T601)))</f>
        <v>MERKEZ KASA → ÖMER KARTAL – GRAND 06 ÖMER BAKİYE</v>
      </c>
      <c r="P601" s="1" t="str">
        <f t="shared" si="101"/>
        <v>VİRMAN GELDİ</v>
      </c>
      <c r="Q601" s="79">
        <f>IF($N601="",0,INDEX(VIRMAN!$F$7:$F$406,$T601))</f>
        <v>9400</v>
      </c>
      <c r="R601" s="1">
        <v>0</v>
      </c>
      <c r="S601" s="1">
        <f t="shared" si="97"/>
        <v>4624300564</v>
      </c>
      <c r="T601" s="1">
        <f>IFERROR(MATCH($C$36&amp;"|28",VIRMAN!$K$7:$K$406,0),0)</f>
        <v>29</v>
      </c>
      <c r="V601" s="1">
        <f t="shared" si="98"/>
        <v>10000000000</v>
      </c>
      <c r="W601" s="1">
        <f t="shared" si="99"/>
        <v>9</v>
      </c>
    </row>
    <row r="602" spans="2:23" ht="14.25" customHeight="1" x14ac:dyDescent="0.3">
      <c r="B602" s="65" t="str">
        <f t="shared" si="91"/>
        <v/>
      </c>
      <c r="C602" s="70" t="str">
        <f t="shared" si="92"/>
        <v/>
      </c>
      <c r="D602" s="74" t="str">
        <f t="shared" si="93"/>
        <v/>
      </c>
      <c r="F602" s="65" t="str">
        <f t="shared" si="94"/>
        <v/>
      </c>
      <c r="G602" s="68" t="str">
        <f t="shared" si="95"/>
        <v/>
      </c>
      <c r="H602" s="68" t="str">
        <f t="shared" si="96"/>
        <v/>
      </c>
      <c r="I602" s="68" t="str">
        <f t="shared" si="100"/>
        <v/>
      </c>
      <c r="M602" s="1">
        <v>565</v>
      </c>
      <c r="N602" s="71">
        <f>IF($T602=0,"",INDEX(VIRMAN!$C$7:$C$406,$T602))</f>
        <v>46265</v>
      </c>
      <c r="O602" s="1" t="str">
        <f>IF($N602="","",INDEX(VIRMAN!$D$7:$D$406,$T602)&amp;" → "&amp;$C$36&amp;IF(INDEX(VIRMAN!$G$7:$G$406,$T602)="",""," – "&amp;INDEX(VIRMAN!$G$7:$G$406,$T602)))</f>
        <v>MERKEZ KASA → ÖMER KARTAL – PARİS GAZİNOSU SGK'LAR</v>
      </c>
      <c r="P602" s="1" t="str">
        <f t="shared" si="101"/>
        <v>VİRMAN GELDİ</v>
      </c>
      <c r="Q602" s="79">
        <f>IF($N602="",0,INDEX(VIRMAN!$F$7:$F$406,$T602))</f>
        <v>12000</v>
      </c>
      <c r="R602" s="1">
        <v>0</v>
      </c>
      <c r="S602" s="1">
        <f t="shared" si="97"/>
        <v>4626500565</v>
      </c>
      <c r="T602" s="1">
        <f>IFERROR(MATCH($C$36&amp;"|29",VIRMAN!$K$7:$K$406,0),0)</f>
        <v>30</v>
      </c>
      <c r="V602" s="1">
        <f t="shared" si="98"/>
        <v>10000000000</v>
      </c>
      <c r="W602" s="1">
        <f t="shared" si="99"/>
        <v>9</v>
      </c>
    </row>
    <row r="603" spans="2:23" ht="14.25" customHeight="1" x14ac:dyDescent="0.3">
      <c r="B603" s="65" t="str">
        <f t="shared" si="91"/>
        <v/>
      </c>
      <c r="C603" s="70" t="str">
        <f t="shared" si="92"/>
        <v/>
      </c>
      <c r="D603" s="74" t="str">
        <f t="shared" si="93"/>
        <v/>
      </c>
      <c r="F603" s="65" t="str">
        <f t="shared" si="94"/>
        <v/>
      </c>
      <c r="G603" s="68" t="str">
        <f t="shared" si="95"/>
        <v/>
      </c>
      <c r="H603" s="68" t="str">
        <f t="shared" si="96"/>
        <v/>
      </c>
      <c r="I603" s="68" t="str">
        <f t="shared" si="100"/>
        <v/>
      </c>
      <c r="M603" s="1">
        <v>566</v>
      </c>
      <c r="N603" s="1">
        <f>IF($T603=0,"",INDEX(VIRMAN!$C$7:$C$406,$T603))</f>
        <v>46053</v>
      </c>
      <c r="O603" s="1" t="str">
        <f>IF($N603="","",INDEX(VIRMAN!$D$7:$D$406,$T603)&amp;" → "&amp;$C$36&amp;IF(INDEX(VIRMAN!$G$7:$G$406,$T603)="",""," – "&amp;INDEX(VIRMAN!$G$7:$G$406,$T603)))</f>
        <v>MERKEZ KASA → ÖMER KARTAL – KÂR PAYI / AVANS ÇEKİŞİ — Ocak Ayı Kâr Payı Ödemesi — eski GELIR_GIDER satır 26</v>
      </c>
      <c r="P603" s="1" t="str">
        <f t="shared" si="101"/>
        <v>VİRMAN GELDİ</v>
      </c>
      <c r="Q603" s="1">
        <f>IF($N603="",0,INDEX(VIRMAN!$F$7:$F$406,$T603))</f>
        <v>127783.09</v>
      </c>
      <c r="R603" s="1">
        <v>0</v>
      </c>
      <c r="S603" s="1">
        <f t="shared" si="97"/>
        <v>4605300566</v>
      </c>
      <c r="T603" s="1">
        <f>IFERROR(MATCH($C$36&amp;"|30",VIRMAN!$K$7:$K$406,0),0)</f>
        <v>32</v>
      </c>
      <c r="V603" s="1">
        <f t="shared" si="98"/>
        <v>10000000000</v>
      </c>
      <c r="W603" s="1">
        <f t="shared" si="99"/>
        <v>9</v>
      </c>
    </row>
    <row r="604" spans="2:23" ht="14.25" customHeight="1" x14ac:dyDescent="0.3">
      <c r="B604" s="65" t="str">
        <f t="shared" si="91"/>
        <v/>
      </c>
      <c r="C604" s="70" t="str">
        <f t="shared" si="92"/>
        <v/>
      </c>
      <c r="D604" s="74" t="str">
        <f t="shared" si="93"/>
        <v/>
      </c>
      <c r="F604" s="65" t="str">
        <f t="shared" si="94"/>
        <v/>
      </c>
      <c r="G604" s="68" t="str">
        <f t="shared" si="95"/>
        <v/>
      </c>
      <c r="H604" s="68" t="str">
        <f t="shared" si="96"/>
        <v/>
      </c>
      <c r="I604" s="68" t="str">
        <f t="shared" si="100"/>
        <v/>
      </c>
      <c r="M604" s="1">
        <v>567</v>
      </c>
      <c r="N604" s="1">
        <f>IF($T604=0,"",INDEX(VIRMAN!$C$7:$C$406,$T604))</f>
        <v>46081</v>
      </c>
      <c r="O604" s="1" t="str">
        <f>IF($N604="","",INDEX(VIRMAN!$D$7:$D$406,$T604)&amp;" → "&amp;$C$36&amp;IF(INDEX(VIRMAN!$G$7:$G$406,$T604)="",""," – "&amp;INDEX(VIRMAN!$G$7:$G$406,$T604)))</f>
        <v>MERKEZ KASA → ÖMER KARTAL – KÂR PAYI / AVANS ÇEKİŞİ — Şubat Ayı Kâr Payı Ödemesi — eski GELIR_GIDER satır 66</v>
      </c>
      <c r="P604" s="1" t="str">
        <f t="shared" si="101"/>
        <v>VİRMAN GELDİ</v>
      </c>
      <c r="Q604" s="1">
        <f>IF($N604="",0,INDEX(VIRMAN!$F$7:$F$406,$T604))</f>
        <v>10310.91</v>
      </c>
      <c r="R604" s="1">
        <v>0</v>
      </c>
      <c r="S604" s="1">
        <f t="shared" si="97"/>
        <v>4608100567</v>
      </c>
      <c r="T604" s="1">
        <f>IFERROR(MATCH($C$36&amp;"|31",VIRMAN!$K$7:$K$406,0),0)</f>
        <v>34</v>
      </c>
      <c r="V604" s="1">
        <f t="shared" si="98"/>
        <v>10000000000</v>
      </c>
      <c r="W604" s="1">
        <f t="shared" si="99"/>
        <v>9</v>
      </c>
    </row>
    <row r="605" spans="2:23" ht="14.25" customHeight="1" x14ac:dyDescent="0.3">
      <c r="B605" s="65" t="str">
        <f t="shared" si="91"/>
        <v/>
      </c>
      <c r="C605" s="70" t="str">
        <f t="shared" si="92"/>
        <v/>
      </c>
      <c r="D605" s="74" t="str">
        <f t="shared" si="93"/>
        <v/>
      </c>
      <c r="F605" s="65" t="str">
        <f t="shared" si="94"/>
        <v/>
      </c>
      <c r="G605" s="68" t="str">
        <f t="shared" si="95"/>
        <v/>
      </c>
      <c r="H605" s="68" t="str">
        <f t="shared" si="96"/>
        <v/>
      </c>
      <c r="I605" s="68" t="str">
        <f t="shared" si="100"/>
        <v/>
      </c>
      <c r="M605" s="1">
        <v>568</v>
      </c>
      <c r="N605" s="1">
        <f>IF($T605=0,"",INDEX(VIRMAN!$C$7:$C$406,$T605))</f>
        <v>46112</v>
      </c>
      <c r="O605" s="1" t="str">
        <f>IF($N605="","",INDEX(VIRMAN!$D$7:$D$406,$T605)&amp;" → "&amp;$C$36&amp;IF(INDEX(VIRMAN!$G$7:$G$406,$T605)="",""," – "&amp;INDEX(VIRMAN!$G$7:$G$406,$T605)))</f>
        <v>MERKEZ KASA → ÖMER KARTAL – KÂR PAYI / AVANS ÇEKİŞİ — Mart Ayı Kâr Payı Ödemesi — eski GELIR_GIDER satır 94</v>
      </c>
      <c r="P605" s="1" t="str">
        <f t="shared" si="101"/>
        <v>VİRMAN GELDİ</v>
      </c>
      <c r="Q605" s="1">
        <f>IF($N605="",0,INDEX(VIRMAN!$F$7:$F$406,$T605))</f>
        <v>77421.02</v>
      </c>
      <c r="R605" s="1">
        <v>0</v>
      </c>
      <c r="S605" s="1">
        <f t="shared" si="97"/>
        <v>4611200568</v>
      </c>
      <c r="T605" s="1">
        <f>IFERROR(MATCH($C$36&amp;"|32",VIRMAN!$K$7:$K$406,0),0)</f>
        <v>36</v>
      </c>
      <c r="V605" s="1">
        <f t="shared" si="98"/>
        <v>10000000000</v>
      </c>
      <c r="W605" s="1">
        <f t="shared" si="99"/>
        <v>9</v>
      </c>
    </row>
    <row r="606" spans="2:23" ht="14.25" customHeight="1" x14ac:dyDescent="0.3">
      <c r="B606" s="65" t="str">
        <f t="shared" si="91"/>
        <v/>
      </c>
      <c r="C606" s="70" t="str">
        <f t="shared" si="92"/>
        <v/>
      </c>
      <c r="D606" s="74" t="str">
        <f t="shared" si="93"/>
        <v/>
      </c>
      <c r="F606" s="65" t="str">
        <f t="shared" si="94"/>
        <v/>
      </c>
      <c r="G606" s="68" t="str">
        <f t="shared" si="95"/>
        <v/>
      </c>
      <c r="H606" s="68" t="str">
        <f t="shared" si="96"/>
        <v/>
      </c>
      <c r="I606" s="68" t="str">
        <f t="shared" si="100"/>
        <v/>
      </c>
      <c r="M606" s="1">
        <v>569</v>
      </c>
      <c r="N606" s="1">
        <f>IF($T606=0,"",INDEX(VIRMAN!$C$7:$C$406,$T606))</f>
        <v>46142</v>
      </c>
      <c r="O606" s="1" t="str">
        <f>IF($N606="","",INDEX(VIRMAN!$D$7:$D$406,$T606)&amp;" → "&amp;$C$36&amp;IF(INDEX(VIRMAN!$G$7:$G$406,$T606)="",""," – "&amp;INDEX(VIRMAN!$G$7:$G$406,$T606)))</f>
        <v>MERKEZ KASA → ÖMER KARTAL – KÂR PAYI / AVANS ÇEKİŞİ — Nisan Ayı Kâr Payı Ödemesi — eski GELIR_GIDER satır 134</v>
      </c>
      <c r="P606" s="1" t="str">
        <f t="shared" ref="P606:P637" si="102">IF($N606="","","VİRMAN GELDİ")</f>
        <v>VİRMAN GELDİ</v>
      </c>
      <c r="Q606" s="1">
        <f>IF($N606="",0,INDEX(VIRMAN!$F$7:$F$406,$T606))</f>
        <v>137353</v>
      </c>
      <c r="R606" s="1">
        <v>0</v>
      </c>
      <c r="S606" s="1">
        <f t="shared" si="97"/>
        <v>4614200569</v>
      </c>
      <c r="T606" s="1">
        <f>IFERROR(MATCH($C$36&amp;"|33",VIRMAN!$K$7:$K$406,0),0)</f>
        <v>38</v>
      </c>
      <c r="V606" s="1">
        <f t="shared" si="98"/>
        <v>10000000000</v>
      </c>
      <c r="W606" s="1">
        <f t="shared" si="99"/>
        <v>9</v>
      </c>
    </row>
    <row r="607" spans="2:23" ht="14.25" customHeight="1" x14ac:dyDescent="0.3">
      <c r="B607" s="65" t="str">
        <f t="shared" si="91"/>
        <v/>
      </c>
      <c r="C607" s="70" t="str">
        <f t="shared" si="92"/>
        <v/>
      </c>
      <c r="D607" s="74" t="str">
        <f t="shared" si="93"/>
        <v/>
      </c>
      <c r="F607" s="65" t="str">
        <f t="shared" si="94"/>
        <v/>
      </c>
      <c r="G607" s="68" t="str">
        <f t="shared" si="95"/>
        <v/>
      </c>
      <c r="H607" s="68" t="str">
        <f t="shared" si="96"/>
        <v/>
      </c>
      <c r="I607" s="68" t="str">
        <f t="shared" si="100"/>
        <v/>
      </c>
      <c r="M607" s="1">
        <v>570</v>
      </c>
      <c r="N607" s="1">
        <f>IF($T607=0,"",INDEX(VIRMAN!$C$7:$C$406,$T607))</f>
        <v>46173</v>
      </c>
      <c r="O607" s="1" t="str">
        <f>IF($N607="","",INDEX(VIRMAN!$D$7:$D$406,$T607)&amp;" → "&amp;$C$36&amp;IF(INDEX(VIRMAN!$G$7:$G$406,$T607)="",""," – "&amp;INDEX(VIRMAN!$G$7:$G$406,$T607)))</f>
        <v>MERKEZ KASA → ÖMER KARTAL – KÂR PAYI / AVANS ÇEKİŞİ — Mayıs Ayı Kâr Payı Ödemesi — eski GELIR_GIDER satır 167</v>
      </c>
      <c r="P607" s="1" t="str">
        <f t="shared" si="102"/>
        <v>VİRMAN GELDİ</v>
      </c>
      <c r="Q607" s="1">
        <f>IF($N607="",0,INDEX(VIRMAN!$F$7:$F$406,$T607))</f>
        <v>109773</v>
      </c>
      <c r="R607" s="1">
        <v>0</v>
      </c>
      <c r="S607" s="1">
        <f t="shared" si="97"/>
        <v>4617300570</v>
      </c>
      <c r="T607" s="1">
        <f>IFERROR(MATCH($C$36&amp;"|34",VIRMAN!$K$7:$K$406,0),0)</f>
        <v>40</v>
      </c>
      <c r="V607" s="1">
        <f t="shared" si="98"/>
        <v>10000000000</v>
      </c>
      <c r="W607" s="1">
        <f t="shared" si="99"/>
        <v>9</v>
      </c>
    </row>
    <row r="608" spans="2:23" ht="14.25" customHeight="1" x14ac:dyDescent="0.3">
      <c r="B608" s="65" t="str">
        <f t="shared" si="91"/>
        <v/>
      </c>
      <c r="C608" s="70" t="str">
        <f t="shared" si="92"/>
        <v/>
      </c>
      <c r="D608" s="74" t="str">
        <f t="shared" si="93"/>
        <v/>
      </c>
      <c r="F608" s="65" t="str">
        <f t="shared" si="94"/>
        <v/>
      </c>
      <c r="G608" s="68" t="str">
        <f t="shared" si="95"/>
        <v/>
      </c>
      <c r="H608" s="68" t="str">
        <f t="shared" si="96"/>
        <v/>
      </c>
      <c r="I608" s="68" t="str">
        <f t="shared" si="100"/>
        <v/>
      </c>
      <c r="M608" s="1">
        <v>571</v>
      </c>
      <c r="N608" s="1">
        <f>IF($T608=0,"",INDEX(VIRMAN!$C$7:$C$406,$T608))</f>
        <v>46203</v>
      </c>
      <c r="O608" s="1" t="str">
        <f>IF($N608="","",INDEX(VIRMAN!$D$7:$D$406,$T608)&amp;" → "&amp;$C$36&amp;IF(INDEX(VIRMAN!$G$7:$G$406,$T608)="",""," – "&amp;INDEX(VIRMAN!$G$7:$G$406,$T608)))</f>
        <v>MERKEZ KASA → ÖMER KARTAL – KÂR PAYI / AVANS ÇEKİŞİ — Haziran Ayı Kâr Payı Ödemesi — eski GELIR_GIDER satır 184</v>
      </c>
      <c r="P608" s="1" t="str">
        <f t="shared" si="102"/>
        <v>VİRMAN GELDİ</v>
      </c>
      <c r="Q608" s="1">
        <f>IF($N608="",0,INDEX(VIRMAN!$F$7:$F$406,$T608))</f>
        <v>113720</v>
      </c>
      <c r="R608" s="1">
        <v>0</v>
      </c>
      <c r="S608" s="1">
        <f t="shared" si="97"/>
        <v>4620300571</v>
      </c>
      <c r="T608" s="1">
        <f>IFERROR(MATCH($C$36&amp;"|35",VIRMAN!$K$7:$K$406,0),0)</f>
        <v>42</v>
      </c>
      <c r="V608" s="1">
        <f t="shared" si="98"/>
        <v>10000000000</v>
      </c>
      <c r="W608" s="1">
        <f t="shared" si="99"/>
        <v>9</v>
      </c>
    </row>
    <row r="609" spans="2:23" ht="14.25" customHeight="1" x14ac:dyDescent="0.3">
      <c r="B609" s="65" t="str">
        <f t="shared" si="91"/>
        <v/>
      </c>
      <c r="C609" s="70" t="str">
        <f t="shared" si="92"/>
        <v/>
      </c>
      <c r="D609" s="74" t="str">
        <f t="shared" si="93"/>
        <v/>
      </c>
      <c r="F609" s="65" t="str">
        <f t="shared" si="94"/>
        <v/>
      </c>
      <c r="G609" s="68" t="str">
        <f t="shared" si="95"/>
        <v/>
      </c>
      <c r="H609" s="68" t="str">
        <f t="shared" si="96"/>
        <v/>
      </c>
      <c r="I609" s="68" t="str">
        <f t="shared" si="100"/>
        <v/>
      </c>
      <c r="M609" s="1">
        <v>572</v>
      </c>
      <c r="N609" s="1">
        <f>IF($T609=0,"",INDEX(VIRMAN!$C$7:$C$406,$T609))</f>
        <v>46234</v>
      </c>
      <c r="O609" s="1" t="str">
        <f>IF($N609="","",INDEX(VIRMAN!$D$7:$D$406,$T609)&amp;" → "&amp;$C$36&amp;IF(INDEX(VIRMAN!$G$7:$G$406,$T609)="",""," – "&amp;INDEX(VIRMAN!$G$7:$G$406,$T609)))</f>
        <v>MERKEZ KASA → ÖMER KARTAL – KÂR PAYI / AVANS ÇEKİŞİ — Temmuz Ayı Kâr Payı Ödemesi — eski GELIR_GIDER satır 196</v>
      </c>
      <c r="P609" s="1" t="str">
        <f t="shared" si="102"/>
        <v>VİRMAN GELDİ</v>
      </c>
      <c r="Q609" s="1">
        <f>IF($N609="",0,INDEX(VIRMAN!$F$7:$F$406,$T609))</f>
        <v>58370</v>
      </c>
      <c r="R609" s="1">
        <v>0</v>
      </c>
      <c r="S609" s="1">
        <f t="shared" si="97"/>
        <v>4623400572</v>
      </c>
      <c r="T609" s="1">
        <f>IFERROR(MATCH($C$36&amp;"|36",VIRMAN!$K$7:$K$406,0),0)</f>
        <v>44</v>
      </c>
      <c r="V609" s="1">
        <f t="shared" si="98"/>
        <v>10000000000</v>
      </c>
      <c r="W609" s="1">
        <f t="shared" si="99"/>
        <v>9</v>
      </c>
    </row>
    <row r="610" spans="2:23" ht="14.25" customHeight="1" x14ac:dyDescent="0.3">
      <c r="B610" s="65" t="str">
        <f t="shared" si="91"/>
        <v/>
      </c>
      <c r="C610" s="70" t="str">
        <f t="shared" si="92"/>
        <v/>
      </c>
      <c r="D610" s="74" t="str">
        <f t="shared" si="93"/>
        <v/>
      </c>
      <c r="F610" s="65" t="str">
        <f t="shared" si="94"/>
        <v/>
      </c>
      <c r="G610" s="68" t="str">
        <f t="shared" si="95"/>
        <v/>
      </c>
      <c r="H610" s="68" t="str">
        <f t="shared" si="96"/>
        <v/>
      </c>
      <c r="I610" s="68" t="str">
        <f t="shared" si="100"/>
        <v/>
      </c>
      <c r="M610" s="1">
        <v>573</v>
      </c>
      <c r="N610" s="1" t="str">
        <f>IF($T610=0,"",INDEX(VIRMAN!$C$7:$C$406,$T610))</f>
        <v/>
      </c>
      <c r="O610" s="1" t="str">
        <f>IF($N610="","",INDEX(VIRMAN!$D$7:$D$406,$T610)&amp;" → "&amp;$C$36&amp;IF(INDEX(VIRMAN!$G$7:$G$406,$T610)="",""," – "&amp;INDEX(VIRMAN!$G$7:$G$406,$T610)))</f>
        <v/>
      </c>
      <c r="P610" s="1" t="str">
        <f t="shared" si="102"/>
        <v/>
      </c>
      <c r="Q610" s="1">
        <f>IF($N610="",0,INDEX(VIRMAN!$F$7:$F$406,$T610))</f>
        <v>0</v>
      </c>
      <c r="R610" s="1">
        <v>0</v>
      </c>
      <c r="S610" s="1">
        <f t="shared" si="97"/>
        <v>10000000000</v>
      </c>
      <c r="T610" s="1">
        <f>IFERROR(MATCH($C$36&amp;"|37",VIRMAN!$K$7:$K$406,0),0)</f>
        <v>0</v>
      </c>
      <c r="V610" s="1">
        <f t="shared" si="98"/>
        <v>10000000000</v>
      </c>
      <c r="W610" s="1">
        <f t="shared" si="99"/>
        <v>9</v>
      </c>
    </row>
    <row r="611" spans="2:23" ht="14.25" customHeight="1" x14ac:dyDescent="0.3">
      <c r="B611" s="65" t="str">
        <f t="shared" si="91"/>
        <v/>
      </c>
      <c r="C611" s="70" t="str">
        <f t="shared" si="92"/>
        <v/>
      </c>
      <c r="D611" s="74" t="str">
        <f t="shared" si="93"/>
        <v/>
      </c>
      <c r="F611" s="65" t="str">
        <f t="shared" si="94"/>
        <v/>
      </c>
      <c r="G611" s="68" t="str">
        <f t="shared" si="95"/>
        <v/>
      </c>
      <c r="H611" s="68" t="str">
        <f t="shared" si="96"/>
        <v/>
      </c>
      <c r="I611" s="68" t="str">
        <f t="shared" si="100"/>
        <v/>
      </c>
      <c r="M611" s="1">
        <v>574</v>
      </c>
      <c r="N611" s="1" t="str">
        <f>IF($T611=0,"",INDEX(VIRMAN!$C$7:$C$406,$T611))</f>
        <v/>
      </c>
      <c r="O611" s="1" t="str">
        <f>IF($N611="","",INDEX(VIRMAN!$D$7:$D$406,$T611)&amp;" → "&amp;$C$36&amp;IF(INDEX(VIRMAN!$G$7:$G$406,$T611)="",""," – "&amp;INDEX(VIRMAN!$G$7:$G$406,$T611)))</f>
        <v/>
      </c>
      <c r="P611" s="1" t="str">
        <f t="shared" si="102"/>
        <v/>
      </c>
      <c r="Q611" s="1">
        <f>IF($N611="",0,INDEX(VIRMAN!$F$7:$F$406,$T611))</f>
        <v>0</v>
      </c>
      <c r="R611" s="1">
        <v>0</v>
      </c>
      <c r="S611" s="1">
        <f t="shared" si="97"/>
        <v>10000000000</v>
      </c>
      <c r="T611" s="1">
        <f>IFERROR(MATCH($C$36&amp;"|38",VIRMAN!$K$7:$K$406,0),0)</f>
        <v>0</v>
      </c>
      <c r="V611" s="1">
        <f t="shared" si="98"/>
        <v>10000000000</v>
      </c>
      <c r="W611" s="1">
        <f t="shared" si="99"/>
        <v>9</v>
      </c>
    </row>
    <row r="612" spans="2:23" ht="14.25" customHeight="1" x14ac:dyDescent="0.3">
      <c r="B612" s="65" t="str">
        <f t="shared" si="91"/>
        <v/>
      </c>
      <c r="C612" s="70" t="str">
        <f t="shared" si="92"/>
        <v/>
      </c>
      <c r="D612" s="74" t="str">
        <f t="shared" si="93"/>
        <v/>
      </c>
      <c r="F612" s="65" t="str">
        <f t="shared" si="94"/>
        <v/>
      </c>
      <c r="G612" s="68" t="str">
        <f t="shared" si="95"/>
        <v/>
      </c>
      <c r="H612" s="68" t="str">
        <f t="shared" si="96"/>
        <v/>
      </c>
      <c r="I612" s="68" t="str">
        <f t="shared" si="100"/>
        <v/>
      </c>
      <c r="M612" s="1">
        <v>575</v>
      </c>
      <c r="N612" s="1" t="str">
        <f>IF($T612=0,"",INDEX(VIRMAN!$C$7:$C$406,$T612))</f>
        <v/>
      </c>
      <c r="O612" s="1" t="str">
        <f>IF($N612="","",INDEX(VIRMAN!$D$7:$D$406,$T612)&amp;" → "&amp;$C$36&amp;IF(INDEX(VIRMAN!$G$7:$G$406,$T612)="",""," – "&amp;INDEX(VIRMAN!$G$7:$G$406,$T612)))</f>
        <v/>
      </c>
      <c r="P612" s="1" t="str">
        <f t="shared" si="102"/>
        <v/>
      </c>
      <c r="Q612" s="1">
        <f>IF($N612="",0,INDEX(VIRMAN!$F$7:$F$406,$T612))</f>
        <v>0</v>
      </c>
      <c r="R612" s="1">
        <v>0</v>
      </c>
      <c r="S612" s="1">
        <f t="shared" si="97"/>
        <v>10000000000</v>
      </c>
      <c r="T612" s="1">
        <f>IFERROR(MATCH($C$36&amp;"|39",VIRMAN!$K$7:$K$406,0),0)</f>
        <v>0</v>
      </c>
      <c r="V612" s="1">
        <f t="shared" si="98"/>
        <v>10000000000</v>
      </c>
      <c r="W612" s="1">
        <f t="shared" si="99"/>
        <v>9</v>
      </c>
    </row>
    <row r="613" spans="2:23" ht="14.25" customHeight="1" x14ac:dyDescent="0.3">
      <c r="B613" s="65" t="str">
        <f t="shared" si="91"/>
        <v/>
      </c>
      <c r="C613" s="70" t="str">
        <f t="shared" si="92"/>
        <v/>
      </c>
      <c r="D613" s="74" t="str">
        <f t="shared" si="93"/>
        <v/>
      </c>
      <c r="F613" s="65" t="str">
        <f t="shared" si="94"/>
        <v/>
      </c>
      <c r="G613" s="68" t="str">
        <f t="shared" si="95"/>
        <v/>
      </c>
      <c r="H613" s="68" t="str">
        <f t="shared" si="96"/>
        <v/>
      </c>
      <c r="I613" s="68" t="str">
        <f t="shared" si="100"/>
        <v/>
      </c>
      <c r="M613" s="1">
        <v>576</v>
      </c>
      <c r="N613" s="1" t="str">
        <f>IF($T613=0,"",INDEX(VIRMAN!$C$7:$C$406,$T613))</f>
        <v/>
      </c>
      <c r="O613" s="1" t="str">
        <f>IF($N613="","",INDEX(VIRMAN!$D$7:$D$406,$T613)&amp;" → "&amp;$C$36&amp;IF(INDEX(VIRMAN!$G$7:$G$406,$T613)="",""," – "&amp;INDEX(VIRMAN!$G$7:$G$406,$T613)))</f>
        <v/>
      </c>
      <c r="P613" s="1" t="str">
        <f t="shared" si="102"/>
        <v/>
      </c>
      <c r="Q613" s="1">
        <f>IF($N613="",0,INDEX(VIRMAN!$F$7:$F$406,$T613))</f>
        <v>0</v>
      </c>
      <c r="R613" s="1">
        <v>0</v>
      </c>
      <c r="S613" s="1">
        <f t="shared" si="97"/>
        <v>10000000000</v>
      </c>
      <c r="T613" s="1">
        <f>IFERROR(MATCH($C$36&amp;"|40",VIRMAN!$K$7:$K$406,0),0)</f>
        <v>0</v>
      </c>
      <c r="V613" s="1">
        <f t="shared" si="98"/>
        <v>10000000000</v>
      </c>
      <c r="W613" s="1">
        <f t="shared" si="99"/>
        <v>9</v>
      </c>
    </row>
    <row r="614" spans="2:23" ht="14.25" customHeight="1" x14ac:dyDescent="0.3">
      <c r="B614" s="65" t="str">
        <f t="shared" ref="B614:B677" si="103">IF($C614="","",ROW()-37)</f>
        <v/>
      </c>
      <c r="C614" s="70" t="str">
        <f t="shared" ref="C614:C677" si="104">IF($W614="","",IF(INDEX($N$38:$N$953,$W614)="","",INDEX($N$38:$N$953,$W614)))</f>
        <v/>
      </c>
      <c r="D614" s="74" t="str">
        <f t="shared" ref="D614:D677" si="105">IF($C614="","",INDEX($O$38:$O$953,$W614))</f>
        <v/>
      </c>
      <c r="F614" s="65" t="str">
        <f t="shared" ref="F614:F677" si="106">IF($C614="","",INDEX($P$38:$P$953,$W614))</f>
        <v/>
      </c>
      <c r="G614" s="68" t="str">
        <f t="shared" ref="G614:G677" si="107">IF($C614="","",INDEX($Q$38:$Q$953,$W614))</f>
        <v/>
      </c>
      <c r="H614" s="68" t="str">
        <f t="shared" ref="H614:H677" si="108">IF($C614="","",INDEX($R$38:$R$953,$W614))</f>
        <v/>
      </c>
      <c r="I614" s="68" t="str">
        <f t="shared" si="100"/>
        <v/>
      </c>
      <c r="M614" s="1">
        <v>577</v>
      </c>
      <c r="N614" s="1" t="str">
        <f>IF($T614=0,"",INDEX(VIRMAN!$C$7:$C$406,$T614))</f>
        <v/>
      </c>
      <c r="O614" s="1" t="str">
        <f>IF($N614="","",INDEX(VIRMAN!$D$7:$D$406,$T614)&amp;" → "&amp;$C$36&amp;IF(INDEX(VIRMAN!$G$7:$G$406,$T614)="",""," – "&amp;INDEX(VIRMAN!$G$7:$G$406,$T614)))</f>
        <v/>
      </c>
      <c r="P614" s="1" t="str">
        <f t="shared" si="102"/>
        <v/>
      </c>
      <c r="Q614" s="1">
        <f>IF($N614="",0,INDEX(VIRMAN!$F$7:$F$406,$T614))</f>
        <v>0</v>
      </c>
      <c r="R614" s="1">
        <v>0</v>
      </c>
      <c r="S614" s="1">
        <f t="shared" ref="S614:S677" si="109">IF($N614="",10000000000,$N614*100000+$M614)</f>
        <v>10000000000</v>
      </c>
      <c r="T614" s="1">
        <f>IFERROR(MATCH($C$36&amp;"|41",VIRMAN!$K$7:$K$406,0),0)</f>
        <v>0</v>
      </c>
      <c r="V614" s="1">
        <f t="shared" ref="V614:V677" si="110">IFERROR(SMALL($S$38:$S$953,ROW()-37),"")</f>
        <v>10000000000</v>
      </c>
      <c r="W614" s="1">
        <f t="shared" ref="W614:W677" si="111">IFERROR(MATCH($V614,$S$38:$S$953,0),"")</f>
        <v>9</v>
      </c>
    </row>
    <row r="615" spans="2:23" ht="14.25" customHeight="1" x14ac:dyDescent="0.3">
      <c r="B615" s="65" t="str">
        <f t="shared" si="103"/>
        <v/>
      </c>
      <c r="C615" s="70" t="str">
        <f t="shared" si="104"/>
        <v/>
      </c>
      <c r="D615" s="74" t="str">
        <f t="shared" si="105"/>
        <v/>
      </c>
      <c r="F615" s="65" t="str">
        <f t="shared" si="106"/>
        <v/>
      </c>
      <c r="G615" s="68" t="str">
        <f t="shared" si="107"/>
        <v/>
      </c>
      <c r="H615" s="68" t="str">
        <f t="shared" si="108"/>
        <v/>
      </c>
      <c r="I615" s="68" t="str">
        <f t="shared" ref="I615:I678" si="112">IF($C615="","",N($I614)+$G615-$H615)</f>
        <v/>
      </c>
      <c r="M615" s="1">
        <v>578</v>
      </c>
      <c r="N615" s="1" t="str">
        <f>IF($T615=0,"",INDEX(VIRMAN!$C$7:$C$406,$T615))</f>
        <v/>
      </c>
      <c r="O615" s="1" t="str">
        <f>IF($N615="","",INDEX(VIRMAN!$D$7:$D$406,$T615)&amp;" → "&amp;$C$36&amp;IF(INDEX(VIRMAN!$G$7:$G$406,$T615)="",""," – "&amp;INDEX(VIRMAN!$G$7:$G$406,$T615)))</f>
        <v/>
      </c>
      <c r="P615" s="1" t="str">
        <f t="shared" si="102"/>
        <v/>
      </c>
      <c r="Q615" s="1">
        <f>IF($N615="",0,INDEX(VIRMAN!$F$7:$F$406,$T615))</f>
        <v>0</v>
      </c>
      <c r="R615" s="1">
        <v>0</v>
      </c>
      <c r="S615" s="1">
        <f t="shared" si="109"/>
        <v>10000000000</v>
      </c>
      <c r="T615" s="1">
        <f>IFERROR(MATCH($C$36&amp;"|42",VIRMAN!$K$7:$K$406,0),0)</f>
        <v>0</v>
      </c>
      <c r="V615" s="1">
        <f t="shared" si="110"/>
        <v>10000000000</v>
      </c>
      <c r="W615" s="1">
        <f t="shared" si="111"/>
        <v>9</v>
      </c>
    </row>
    <row r="616" spans="2:23" ht="14.25" customHeight="1" x14ac:dyDescent="0.3">
      <c r="B616" s="65" t="str">
        <f t="shared" si="103"/>
        <v/>
      </c>
      <c r="C616" s="70" t="str">
        <f t="shared" si="104"/>
        <v/>
      </c>
      <c r="D616" s="74" t="str">
        <f t="shared" si="105"/>
        <v/>
      </c>
      <c r="F616" s="65" t="str">
        <f t="shared" si="106"/>
        <v/>
      </c>
      <c r="G616" s="68" t="str">
        <f t="shared" si="107"/>
        <v/>
      </c>
      <c r="H616" s="68" t="str">
        <f t="shared" si="108"/>
        <v/>
      </c>
      <c r="I616" s="68" t="str">
        <f t="shared" si="112"/>
        <v/>
      </c>
      <c r="M616" s="1">
        <v>579</v>
      </c>
      <c r="N616" s="1" t="str">
        <f>IF($T616=0,"",INDEX(VIRMAN!$C$7:$C$406,$T616))</f>
        <v/>
      </c>
      <c r="O616" s="1" t="str">
        <f>IF($N616="","",INDEX(VIRMAN!$D$7:$D$406,$T616)&amp;" → "&amp;$C$36&amp;IF(INDEX(VIRMAN!$G$7:$G$406,$T616)="",""," – "&amp;INDEX(VIRMAN!$G$7:$G$406,$T616)))</f>
        <v/>
      </c>
      <c r="P616" s="1" t="str">
        <f t="shared" si="102"/>
        <v/>
      </c>
      <c r="Q616" s="1">
        <f>IF($N616="",0,INDEX(VIRMAN!$F$7:$F$406,$T616))</f>
        <v>0</v>
      </c>
      <c r="R616" s="1">
        <v>0</v>
      </c>
      <c r="S616" s="1">
        <f t="shared" si="109"/>
        <v>10000000000</v>
      </c>
      <c r="T616" s="1">
        <f>IFERROR(MATCH($C$36&amp;"|43",VIRMAN!$K$7:$K$406,0),0)</f>
        <v>0</v>
      </c>
      <c r="V616" s="1">
        <f t="shared" si="110"/>
        <v>10000000000</v>
      </c>
      <c r="W616" s="1">
        <f t="shared" si="111"/>
        <v>9</v>
      </c>
    </row>
    <row r="617" spans="2:23" ht="14.25" customHeight="1" x14ac:dyDescent="0.3">
      <c r="B617" s="65" t="str">
        <f t="shared" si="103"/>
        <v/>
      </c>
      <c r="C617" s="70" t="str">
        <f t="shared" si="104"/>
        <v/>
      </c>
      <c r="D617" s="74" t="str">
        <f t="shared" si="105"/>
        <v/>
      </c>
      <c r="F617" s="65" t="str">
        <f t="shared" si="106"/>
        <v/>
      </c>
      <c r="G617" s="68" t="str">
        <f t="shared" si="107"/>
        <v/>
      </c>
      <c r="H617" s="68" t="str">
        <f t="shared" si="108"/>
        <v/>
      </c>
      <c r="I617" s="68" t="str">
        <f t="shared" si="112"/>
        <v/>
      </c>
      <c r="M617" s="1">
        <v>580</v>
      </c>
      <c r="N617" s="1" t="str">
        <f>IF($T617=0,"",INDEX(VIRMAN!$C$7:$C$406,$T617))</f>
        <v/>
      </c>
      <c r="O617" s="1" t="str">
        <f>IF($N617="","",INDEX(VIRMAN!$D$7:$D$406,$T617)&amp;" → "&amp;$C$36&amp;IF(INDEX(VIRMAN!$G$7:$G$406,$T617)="",""," – "&amp;INDEX(VIRMAN!$G$7:$G$406,$T617)))</f>
        <v/>
      </c>
      <c r="P617" s="1" t="str">
        <f t="shared" si="102"/>
        <v/>
      </c>
      <c r="Q617" s="1">
        <f>IF($N617="",0,INDEX(VIRMAN!$F$7:$F$406,$T617))</f>
        <v>0</v>
      </c>
      <c r="R617" s="1">
        <v>0</v>
      </c>
      <c r="S617" s="1">
        <f t="shared" si="109"/>
        <v>10000000000</v>
      </c>
      <c r="T617" s="1">
        <f>IFERROR(MATCH($C$36&amp;"|44",VIRMAN!$K$7:$K$406,0),0)</f>
        <v>0</v>
      </c>
      <c r="V617" s="1">
        <f t="shared" si="110"/>
        <v>10000000000</v>
      </c>
      <c r="W617" s="1">
        <f t="shared" si="111"/>
        <v>9</v>
      </c>
    </row>
    <row r="618" spans="2:23" ht="14.25" customHeight="1" x14ac:dyDescent="0.3">
      <c r="B618" s="65" t="str">
        <f t="shared" si="103"/>
        <v/>
      </c>
      <c r="C618" s="70" t="str">
        <f t="shared" si="104"/>
        <v/>
      </c>
      <c r="D618" s="74" t="str">
        <f t="shared" si="105"/>
        <v/>
      </c>
      <c r="F618" s="65" t="str">
        <f t="shared" si="106"/>
        <v/>
      </c>
      <c r="G618" s="68" t="str">
        <f t="shared" si="107"/>
        <v/>
      </c>
      <c r="H618" s="68" t="str">
        <f t="shared" si="108"/>
        <v/>
      </c>
      <c r="I618" s="68" t="str">
        <f t="shared" si="112"/>
        <v/>
      </c>
      <c r="M618" s="1">
        <v>581</v>
      </c>
      <c r="N618" s="1" t="str">
        <f>IF($T618=0,"",INDEX(VIRMAN!$C$7:$C$406,$T618))</f>
        <v/>
      </c>
      <c r="O618" s="1" t="str">
        <f>IF($N618="","",INDEX(VIRMAN!$D$7:$D$406,$T618)&amp;" → "&amp;$C$36&amp;IF(INDEX(VIRMAN!$G$7:$G$406,$T618)="",""," – "&amp;INDEX(VIRMAN!$G$7:$G$406,$T618)))</f>
        <v/>
      </c>
      <c r="P618" s="1" t="str">
        <f t="shared" si="102"/>
        <v/>
      </c>
      <c r="Q618" s="1">
        <f>IF($N618="",0,INDEX(VIRMAN!$F$7:$F$406,$T618))</f>
        <v>0</v>
      </c>
      <c r="R618" s="1">
        <v>0</v>
      </c>
      <c r="S618" s="1">
        <f t="shared" si="109"/>
        <v>10000000000</v>
      </c>
      <c r="T618" s="1">
        <f>IFERROR(MATCH($C$36&amp;"|45",VIRMAN!$K$7:$K$406,0),0)</f>
        <v>0</v>
      </c>
      <c r="V618" s="1">
        <f t="shared" si="110"/>
        <v>10000000000</v>
      </c>
      <c r="W618" s="1">
        <f t="shared" si="111"/>
        <v>9</v>
      </c>
    </row>
    <row r="619" spans="2:23" ht="14.25" customHeight="1" x14ac:dyDescent="0.3">
      <c r="B619" s="65" t="str">
        <f t="shared" si="103"/>
        <v/>
      </c>
      <c r="C619" s="70" t="str">
        <f t="shared" si="104"/>
        <v/>
      </c>
      <c r="D619" s="74" t="str">
        <f t="shared" si="105"/>
        <v/>
      </c>
      <c r="F619" s="65" t="str">
        <f t="shared" si="106"/>
        <v/>
      </c>
      <c r="G619" s="68" t="str">
        <f t="shared" si="107"/>
        <v/>
      </c>
      <c r="H619" s="68" t="str">
        <f t="shared" si="108"/>
        <v/>
      </c>
      <c r="I619" s="68" t="str">
        <f t="shared" si="112"/>
        <v/>
      </c>
      <c r="M619" s="1">
        <v>582</v>
      </c>
      <c r="N619" s="1" t="str">
        <f>IF($T619=0,"",INDEX(VIRMAN!$C$7:$C$406,$T619))</f>
        <v/>
      </c>
      <c r="O619" s="1" t="str">
        <f>IF($N619="","",INDEX(VIRMAN!$D$7:$D$406,$T619)&amp;" → "&amp;$C$36&amp;IF(INDEX(VIRMAN!$G$7:$G$406,$T619)="",""," – "&amp;INDEX(VIRMAN!$G$7:$G$406,$T619)))</f>
        <v/>
      </c>
      <c r="P619" s="1" t="str">
        <f t="shared" si="102"/>
        <v/>
      </c>
      <c r="Q619" s="1">
        <f>IF($N619="",0,INDEX(VIRMAN!$F$7:$F$406,$T619))</f>
        <v>0</v>
      </c>
      <c r="R619" s="1">
        <v>0</v>
      </c>
      <c r="S619" s="1">
        <f t="shared" si="109"/>
        <v>10000000000</v>
      </c>
      <c r="T619" s="1">
        <f>IFERROR(MATCH($C$36&amp;"|46",VIRMAN!$K$7:$K$406,0),0)</f>
        <v>0</v>
      </c>
      <c r="V619" s="1">
        <f t="shared" si="110"/>
        <v>10000000000</v>
      </c>
      <c r="W619" s="1">
        <f t="shared" si="111"/>
        <v>9</v>
      </c>
    </row>
    <row r="620" spans="2:23" ht="14.25" customHeight="1" x14ac:dyDescent="0.3">
      <c r="B620" s="65" t="str">
        <f t="shared" si="103"/>
        <v/>
      </c>
      <c r="C620" s="70" t="str">
        <f t="shared" si="104"/>
        <v/>
      </c>
      <c r="D620" s="74" t="str">
        <f t="shared" si="105"/>
        <v/>
      </c>
      <c r="F620" s="65" t="str">
        <f t="shared" si="106"/>
        <v/>
      </c>
      <c r="G620" s="68" t="str">
        <f t="shared" si="107"/>
        <v/>
      </c>
      <c r="H620" s="68" t="str">
        <f t="shared" si="108"/>
        <v/>
      </c>
      <c r="I620" s="68" t="str">
        <f t="shared" si="112"/>
        <v/>
      </c>
      <c r="M620" s="1">
        <v>583</v>
      </c>
      <c r="N620" s="1" t="str">
        <f>IF($T620=0,"",INDEX(VIRMAN!$C$7:$C$406,$T620))</f>
        <v/>
      </c>
      <c r="O620" s="1" t="str">
        <f>IF($N620="","",INDEX(VIRMAN!$D$7:$D$406,$T620)&amp;" → "&amp;$C$36&amp;IF(INDEX(VIRMAN!$G$7:$G$406,$T620)="",""," – "&amp;INDEX(VIRMAN!$G$7:$G$406,$T620)))</f>
        <v/>
      </c>
      <c r="P620" s="1" t="str">
        <f t="shared" si="102"/>
        <v/>
      </c>
      <c r="Q620" s="1">
        <f>IF($N620="",0,INDEX(VIRMAN!$F$7:$F$406,$T620))</f>
        <v>0</v>
      </c>
      <c r="R620" s="1">
        <v>0</v>
      </c>
      <c r="S620" s="1">
        <f t="shared" si="109"/>
        <v>10000000000</v>
      </c>
      <c r="T620" s="1">
        <f>IFERROR(MATCH($C$36&amp;"|47",VIRMAN!$K$7:$K$406,0),0)</f>
        <v>0</v>
      </c>
      <c r="V620" s="1">
        <f t="shared" si="110"/>
        <v>10000000000</v>
      </c>
      <c r="W620" s="1">
        <f t="shared" si="111"/>
        <v>9</v>
      </c>
    </row>
    <row r="621" spans="2:23" ht="14.25" customHeight="1" x14ac:dyDescent="0.3">
      <c r="B621" s="65" t="str">
        <f t="shared" si="103"/>
        <v/>
      </c>
      <c r="C621" s="70" t="str">
        <f t="shared" si="104"/>
        <v/>
      </c>
      <c r="D621" s="74" t="str">
        <f t="shared" si="105"/>
        <v/>
      </c>
      <c r="F621" s="65" t="str">
        <f t="shared" si="106"/>
        <v/>
      </c>
      <c r="G621" s="68" t="str">
        <f t="shared" si="107"/>
        <v/>
      </c>
      <c r="H621" s="68" t="str">
        <f t="shared" si="108"/>
        <v/>
      </c>
      <c r="I621" s="68" t="str">
        <f t="shared" si="112"/>
        <v/>
      </c>
      <c r="M621" s="1">
        <v>584</v>
      </c>
      <c r="N621" s="1" t="str">
        <f>IF($T621=0,"",INDEX(VIRMAN!$C$7:$C$406,$T621))</f>
        <v/>
      </c>
      <c r="O621" s="1" t="str">
        <f>IF($N621="","",INDEX(VIRMAN!$D$7:$D$406,$T621)&amp;" → "&amp;$C$36&amp;IF(INDEX(VIRMAN!$G$7:$G$406,$T621)="",""," – "&amp;INDEX(VIRMAN!$G$7:$G$406,$T621)))</f>
        <v/>
      </c>
      <c r="P621" s="1" t="str">
        <f t="shared" si="102"/>
        <v/>
      </c>
      <c r="Q621" s="1">
        <f>IF($N621="",0,INDEX(VIRMAN!$F$7:$F$406,$T621))</f>
        <v>0</v>
      </c>
      <c r="R621" s="1">
        <v>0</v>
      </c>
      <c r="S621" s="1">
        <f t="shared" si="109"/>
        <v>10000000000</v>
      </c>
      <c r="T621" s="1">
        <f>IFERROR(MATCH($C$36&amp;"|48",VIRMAN!$K$7:$K$406,0),0)</f>
        <v>0</v>
      </c>
      <c r="V621" s="1">
        <f t="shared" si="110"/>
        <v>10000000000</v>
      </c>
      <c r="W621" s="1">
        <f t="shared" si="111"/>
        <v>9</v>
      </c>
    </row>
    <row r="622" spans="2:23" ht="14.25" customHeight="1" x14ac:dyDescent="0.3">
      <c r="B622" s="65" t="str">
        <f t="shared" si="103"/>
        <v/>
      </c>
      <c r="C622" s="70" t="str">
        <f t="shared" si="104"/>
        <v/>
      </c>
      <c r="D622" s="74" t="str">
        <f t="shared" si="105"/>
        <v/>
      </c>
      <c r="F622" s="65" t="str">
        <f t="shared" si="106"/>
        <v/>
      </c>
      <c r="G622" s="68" t="str">
        <f t="shared" si="107"/>
        <v/>
      </c>
      <c r="H622" s="68" t="str">
        <f t="shared" si="108"/>
        <v/>
      </c>
      <c r="I622" s="68" t="str">
        <f t="shared" si="112"/>
        <v/>
      </c>
      <c r="M622" s="1">
        <v>585</v>
      </c>
      <c r="N622" s="1" t="str">
        <f>IF($T622=0,"",INDEX(VIRMAN!$C$7:$C$406,$T622))</f>
        <v/>
      </c>
      <c r="O622" s="1" t="str">
        <f>IF($N622="","",INDEX(VIRMAN!$D$7:$D$406,$T622)&amp;" → "&amp;$C$36&amp;IF(INDEX(VIRMAN!$G$7:$G$406,$T622)="",""," – "&amp;INDEX(VIRMAN!$G$7:$G$406,$T622)))</f>
        <v/>
      </c>
      <c r="P622" s="1" t="str">
        <f t="shared" si="102"/>
        <v/>
      </c>
      <c r="Q622" s="1">
        <f>IF($N622="",0,INDEX(VIRMAN!$F$7:$F$406,$T622))</f>
        <v>0</v>
      </c>
      <c r="R622" s="1">
        <v>0</v>
      </c>
      <c r="S622" s="1">
        <f t="shared" si="109"/>
        <v>10000000000</v>
      </c>
      <c r="T622" s="1">
        <f>IFERROR(MATCH($C$36&amp;"|49",VIRMAN!$K$7:$K$406,0),0)</f>
        <v>0</v>
      </c>
      <c r="V622" s="1">
        <f t="shared" si="110"/>
        <v>10000000000</v>
      </c>
      <c r="W622" s="1">
        <f t="shared" si="111"/>
        <v>9</v>
      </c>
    </row>
    <row r="623" spans="2:23" ht="14.25" customHeight="1" x14ac:dyDescent="0.3">
      <c r="B623" s="65" t="str">
        <f t="shared" si="103"/>
        <v/>
      </c>
      <c r="C623" s="70" t="str">
        <f t="shared" si="104"/>
        <v/>
      </c>
      <c r="D623" s="74" t="str">
        <f t="shared" si="105"/>
        <v/>
      </c>
      <c r="F623" s="65" t="str">
        <f t="shared" si="106"/>
        <v/>
      </c>
      <c r="G623" s="68" t="str">
        <f t="shared" si="107"/>
        <v/>
      </c>
      <c r="H623" s="68" t="str">
        <f t="shared" si="108"/>
        <v/>
      </c>
      <c r="I623" s="68" t="str">
        <f t="shared" si="112"/>
        <v/>
      </c>
      <c r="M623" s="1">
        <v>586</v>
      </c>
      <c r="N623" s="1" t="str">
        <f>IF($T623=0,"",INDEX(VIRMAN!$C$7:$C$406,$T623))</f>
        <v/>
      </c>
      <c r="O623" s="1" t="str">
        <f>IF($N623="","",INDEX(VIRMAN!$D$7:$D$406,$T623)&amp;" → "&amp;$C$36&amp;IF(INDEX(VIRMAN!$G$7:$G$406,$T623)="",""," – "&amp;INDEX(VIRMAN!$G$7:$G$406,$T623)))</f>
        <v/>
      </c>
      <c r="P623" s="1" t="str">
        <f t="shared" si="102"/>
        <v/>
      </c>
      <c r="Q623" s="1">
        <f>IF($N623="",0,INDEX(VIRMAN!$F$7:$F$406,$T623))</f>
        <v>0</v>
      </c>
      <c r="R623" s="1">
        <v>0</v>
      </c>
      <c r="S623" s="1">
        <f t="shared" si="109"/>
        <v>10000000000</v>
      </c>
      <c r="T623" s="1">
        <f>IFERROR(MATCH($C$36&amp;"|50",VIRMAN!$K$7:$K$406,0),0)</f>
        <v>0</v>
      </c>
      <c r="V623" s="1">
        <f t="shared" si="110"/>
        <v>10000000000</v>
      </c>
      <c r="W623" s="1">
        <f t="shared" si="111"/>
        <v>9</v>
      </c>
    </row>
    <row r="624" spans="2:23" ht="14.25" customHeight="1" x14ac:dyDescent="0.3">
      <c r="B624" s="65" t="str">
        <f t="shared" si="103"/>
        <v/>
      </c>
      <c r="C624" s="70" t="str">
        <f t="shared" si="104"/>
        <v/>
      </c>
      <c r="D624" s="74" t="str">
        <f t="shared" si="105"/>
        <v/>
      </c>
      <c r="F624" s="65" t="str">
        <f t="shared" si="106"/>
        <v/>
      </c>
      <c r="G624" s="68" t="str">
        <f t="shared" si="107"/>
        <v/>
      </c>
      <c r="H624" s="68" t="str">
        <f t="shared" si="108"/>
        <v/>
      </c>
      <c r="I624" s="68" t="str">
        <f t="shared" si="112"/>
        <v/>
      </c>
      <c r="M624" s="1">
        <v>587</v>
      </c>
      <c r="N624" s="1" t="str">
        <f>IF($T624=0,"",INDEX(VIRMAN!$C$7:$C$406,$T624))</f>
        <v/>
      </c>
      <c r="O624" s="1" t="str">
        <f>IF($N624="","",INDEX(VIRMAN!$D$7:$D$406,$T624)&amp;" → "&amp;$C$36&amp;IF(INDEX(VIRMAN!$G$7:$G$406,$T624)="",""," – "&amp;INDEX(VIRMAN!$G$7:$G$406,$T624)))</f>
        <v/>
      </c>
      <c r="P624" s="1" t="str">
        <f t="shared" si="102"/>
        <v/>
      </c>
      <c r="Q624" s="1">
        <f>IF($N624="",0,INDEX(VIRMAN!$F$7:$F$406,$T624))</f>
        <v>0</v>
      </c>
      <c r="R624" s="1">
        <v>0</v>
      </c>
      <c r="S624" s="1">
        <f t="shared" si="109"/>
        <v>10000000000</v>
      </c>
      <c r="T624" s="1">
        <f>IFERROR(MATCH($C$36&amp;"|51",VIRMAN!$K$7:$K$406,0),0)</f>
        <v>0</v>
      </c>
      <c r="V624" s="1">
        <f t="shared" si="110"/>
        <v>10000000000</v>
      </c>
      <c r="W624" s="1">
        <f t="shared" si="111"/>
        <v>9</v>
      </c>
    </row>
    <row r="625" spans="2:23" ht="14.25" customHeight="1" x14ac:dyDescent="0.3">
      <c r="B625" s="65" t="str">
        <f t="shared" si="103"/>
        <v/>
      </c>
      <c r="C625" s="70" t="str">
        <f t="shared" si="104"/>
        <v/>
      </c>
      <c r="D625" s="74" t="str">
        <f t="shared" si="105"/>
        <v/>
      </c>
      <c r="F625" s="65" t="str">
        <f t="shared" si="106"/>
        <v/>
      </c>
      <c r="G625" s="68" t="str">
        <f t="shared" si="107"/>
        <v/>
      </c>
      <c r="H625" s="68" t="str">
        <f t="shared" si="108"/>
        <v/>
      </c>
      <c r="I625" s="68" t="str">
        <f t="shared" si="112"/>
        <v/>
      </c>
      <c r="M625" s="1">
        <v>588</v>
      </c>
      <c r="N625" s="1" t="str">
        <f>IF($T625=0,"",INDEX(VIRMAN!$C$7:$C$406,$T625))</f>
        <v/>
      </c>
      <c r="O625" s="1" t="str">
        <f>IF($N625="","",INDEX(VIRMAN!$D$7:$D$406,$T625)&amp;" → "&amp;$C$36&amp;IF(INDEX(VIRMAN!$G$7:$G$406,$T625)="",""," – "&amp;INDEX(VIRMAN!$G$7:$G$406,$T625)))</f>
        <v/>
      </c>
      <c r="P625" s="1" t="str">
        <f t="shared" si="102"/>
        <v/>
      </c>
      <c r="Q625" s="1">
        <f>IF($N625="",0,INDEX(VIRMAN!$F$7:$F$406,$T625))</f>
        <v>0</v>
      </c>
      <c r="R625" s="1">
        <v>0</v>
      </c>
      <c r="S625" s="1">
        <f t="shared" si="109"/>
        <v>10000000000</v>
      </c>
      <c r="T625" s="1">
        <f>IFERROR(MATCH($C$36&amp;"|52",VIRMAN!$K$7:$K$406,0),0)</f>
        <v>0</v>
      </c>
      <c r="V625" s="1">
        <f t="shared" si="110"/>
        <v>10000000000</v>
      </c>
      <c r="W625" s="1">
        <f t="shared" si="111"/>
        <v>9</v>
      </c>
    </row>
    <row r="626" spans="2:23" ht="14.25" customHeight="1" x14ac:dyDescent="0.3">
      <c r="B626" s="65" t="str">
        <f t="shared" si="103"/>
        <v/>
      </c>
      <c r="C626" s="70" t="str">
        <f t="shared" si="104"/>
        <v/>
      </c>
      <c r="D626" s="74" t="str">
        <f t="shared" si="105"/>
        <v/>
      </c>
      <c r="F626" s="65" t="str">
        <f t="shared" si="106"/>
        <v/>
      </c>
      <c r="G626" s="68" t="str">
        <f t="shared" si="107"/>
        <v/>
      </c>
      <c r="H626" s="68" t="str">
        <f t="shared" si="108"/>
        <v/>
      </c>
      <c r="I626" s="68" t="str">
        <f t="shared" si="112"/>
        <v/>
      </c>
      <c r="M626" s="1">
        <v>589</v>
      </c>
      <c r="N626" s="1" t="str">
        <f>IF($T626=0,"",INDEX(VIRMAN!$C$7:$C$406,$T626))</f>
        <v/>
      </c>
      <c r="O626" s="1" t="str">
        <f>IF($N626="","",INDEX(VIRMAN!$D$7:$D$406,$T626)&amp;" → "&amp;$C$36&amp;IF(INDEX(VIRMAN!$G$7:$G$406,$T626)="",""," – "&amp;INDEX(VIRMAN!$G$7:$G$406,$T626)))</f>
        <v/>
      </c>
      <c r="P626" s="1" t="str">
        <f t="shared" si="102"/>
        <v/>
      </c>
      <c r="Q626" s="1">
        <f>IF($N626="",0,INDEX(VIRMAN!$F$7:$F$406,$T626))</f>
        <v>0</v>
      </c>
      <c r="R626" s="1">
        <v>0</v>
      </c>
      <c r="S626" s="1">
        <f t="shared" si="109"/>
        <v>10000000000</v>
      </c>
      <c r="T626" s="1">
        <f>IFERROR(MATCH($C$36&amp;"|53",VIRMAN!$K$7:$K$406,0),0)</f>
        <v>0</v>
      </c>
      <c r="V626" s="1">
        <f t="shared" si="110"/>
        <v>10000000000</v>
      </c>
      <c r="W626" s="1">
        <f t="shared" si="111"/>
        <v>9</v>
      </c>
    </row>
    <row r="627" spans="2:23" ht="14.25" customHeight="1" x14ac:dyDescent="0.3">
      <c r="B627" s="65" t="str">
        <f t="shared" si="103"/>
        <v/>
      </c>
      <c r="C627" s="70" t="str">
        <f t="shared" si="104"/>
        <v/>
      </c>
      <c r="D627" s="74" t="str">
        <f t="shared" si="105"/>
        <v/>
      </c>
      <c r="F627" s="65" t="str">
        <f t="shared" si="106"/>
        <v/>
      </c>
      <c r="G627" s="68" t="str">
        <f t="shared" si="107"/>
        <v/>
      </c>
      <c r="H627" s="68" t="str">
        <f t="shared" si="108"/>
        <v/>
      </c>
      <c r="I627" s="68" t="str">
        <f t="shared" si="112"/>
        <v/>
      </c>
      <c r="M627" s="1">
        <v>590</v>
      </c>
      <c r="N627" s="1" t="str">
        <f>IF($T627=0,"",INDEX(VIRMAN!$C$7:$C$406,$T627))</f>
        <v/>
      </c>
      <c r="O627" s="1" t="str">
        <f>IF($N627="","",INDEX(VIRMAN!$D$7:$D$406,$T627)&amp;" → "&amp;$C$36&amp;IF(INDEX(VIRMAN!$G$7:$G$406,$T627)="",""," – "&amp;INDEX(VIRMAN!$G$7:$G$406,$T627)))</f>
        <v/>
      </c>
      <c r="P627" s="1" t="str">
        <f t="shared" si="102"/>
        <v/>
      </c>
      <c r="Q627" s="1">
        <f>IF($N627="",0,INDEX(VIRMAN!$F$7:$F$406,$T627))</f>
        <v>0</v>
      </c>
      <c r="R627" s="1">
        <v>0</v>
      </c>
      <c r="S627" s="1">
        <f t="shared" si="109"/>
        <v>10000000000</v>
      </c>
      <c r="T627" s="1">
        <f>IFERROR(MATCH($C$36&amp;"|54",VIRMAN!$K$7:$K$406,0),0)</f>
        <v>0</v>
      </c>
      <c r="V627" s="1">
        <f t="shared" si="110"/>
        <v>10000000000</v>
      </c>
      <c r="W627" s="1">
        <f t="shared" si="111"/>
        <v>9</v>
      </c>
    </row>
    <row r="628" spans="2:23" ht="14.25" customHeight="1" x14ac:dyDescent="0.3">
      <c r="B628" s="65" t="str">
        <f t="shared" si="103"/>
        <v/>
      </c>
      <c r="C628" s="70" t="str">
        <f t="shared" si="104"/>
        <v/>
      </c>
      <c r="D628" s="74" t="str">
        <f t="shared" si="105"/>
        <v/>
      </c>
      <c r="F628" s="65" t="str">
        <f t="shared" si="106"/>
        <v/>
      </c>
      <c r="G628" s="68" t="str">
        <f t="shared" si="107"/>
        <v/>
      </c>
      <c r="H628" s="68" t="str">
        <f t="shared" si="108"/>
        <v/>
      </c>
      <c r="I628" s="68" t="str">
        <f t="shared" si="112"/>
        <v/>
      </c>
      <c r="M628" s="1">
        <v>591</v>
      </c>
      <c r="N628" s="1" t="str">
        <f>IF($T628=0,"",INDEX(VIRMAN!$C$7:$C$406,$T628))</f>
        <v/>
      </c>
      <c r="O628" s="1" t="str">
        <f>IF($N628="","",INDEX(VIRMAN!$D$7:$D$406,$T628)&amp;" → "&amp;$C$36&amp;IF(INDEX(VIRMAN!$G$7:$G$406,$T628)="",""," – "&amp;INDEX(VIRMAN!$G$7:$G$406,$T628)))</f>
        <v/>
      </c>
      <c r="P628" s="1" t="str">
        <f t="shared" si="102"/>
        <v/>
      </c>
      <c r="Q628" s="1">
        <f>IF($N628="",0,INDEX(VIRMAN!$F$7:$F$406,$T628))</f>
        <v>0</v>
      </c>
      <c r="R628" s="1">
        <v>0</v>
      </c>
      <c r="S628" s="1">
        <f t="shared" si="109"/>
        <v>10000000000</v>
      </c>
      <c r="T628" s="1">
        <f>IFERROR(MATCH($C$36&amp;"|55",VIRMAN!$K$7:$K$406,0),0)</f>
        <v>0</v>
      </c>
      <c r="V628" s="1">
        <f t="shared" si="110"/>
        <v>10000000000</v>
      </c>
      <c r="W628" s="1">
        <f t="shared" si="111"/>
        <v>9</v>
      </c>
    </row>
    <row r="629" spans="2:23" ht="14.25" customHeight="1" x14ac:dyDescent="0.3">
      <c r="B629" s="65" t="str">
        <f t="shared" si="103"/>
        <v/>
      </c>
      <c r="C629" s="70" t="str">
        <f t="shared" si="104"/>
        <v/>
      </c>
      <c r="D629" s="74" t="str">
        <f t="shared" si="105"/>
        <v/>
      </c>
      <c r="F629" s="65" t="str">
        <f t="shared" si="106"/>
        <v/>
      </c>
      <c r="G629" s="68" t="str">
        <f t="shared" si="107"/>
        <v/>
      </c>
      <c r="H629" s="68" t="str">
        <f t="shared" si="108"/>
        <v/>
      </c>
      <c r="I629" s="68" t="str">
        <f t="shared" si="112"/>
        <v/>
      </c>
      <c r="M629" s="1">
        <v>592</v>
      </c>
      <c r="N629" s="1" t="str">
        <f>IF($T629=0,"",INDEX(VIRMAN!$C$7:$C$406,$T629))</f>
        <v/>
      </c>
      <c r="O629" s="1" t="str">
        <f>IF($N629="","",INDEX(VIRMAN!$D$7:$D$406,$T629)&amp;" → "&amp;$C$36&amp;IF(INDEX(VIRMAN!$G$7:$G$406,$T629)="",""," – "&amp;INDEX(VIRMAN!$G$7:$G$406,$T629)))</f>
        <v/>
      </c>
      <c r="P629" s="1" t="str">
        <f t="shared" si="102"/>
        <v/>
      </c>
      <c r="Q629" s="1">
        <f>IF($N629="",0,INDEX(VIRMAN!$F$7:$F$406,$T629))</f>
        <v>0</v>
      </c>
      <c r="R629" s="1">
        <v>0</v>
      </c>
      <c r="S629" s="1">
        <f t="shared" si="109"/>
        <v>10000000000</v>
      </c>
      <c r="T629" s="1">
        <f>IFERROR(MATCH($C$36&amp;"|56",VIRMAN!$K$7:$K$406,0),0)</f>
        <v>0</v>
      </c>
      <c r="V629" s="1">
        <f t="shared" si="110"/>
        <v>10000000000</v>
      </c>
      <c r="W629" s="1">
        <f t="shared" si="111"/>
        <v>9</v>
      </c>
    </row>
    <row r="630" spans="2:23" ht="14.25" customHeight="1" x14ac:dyDescent="0.3">
      <c r="B630" s="65" t="str">
        <f t="shared" si="103"/>
        <v/>
      </c>
      <c r="C630" s="70" t="str">
        <f t="shared" si="104"/>
        <v/>
      </c>
      <c r="D630" s="74" t="str">
        <f t="shared" si="105"/>
        <v/>
      </c>
      <c r="F630" s="65" t="str">
        <f t="shared" si="106"/>
        <v/>
      </c>
      <c r="G630" s="68" t="str">
        <f t="shared" si="107"/>
        <v/>
      </c>
      <c r="H630" s="68" t="str">
        <f t="shared" si="108"/>
        <v/>
      </c>
      <c r="I630" s="68" t="str">
        <f t="shared" si="112"/>
        <v/>
      </c>
      <c r="M630" s="1">
        <v>593</v>
      </c>
      <c r="N630" s="1" t="str">
        <f>IF($T630=0,"",INDEX(VIRMAN!$C$7:$C$406,$T630))</f>
        <v/>
      </c>
      <c r="O630" s="1" t="str">
        <f>IF($N630="","",INDEX(VIRMAN!$D$7:$D$406,$T630)&amp;" → "&amp;$C$36&amp;IF(INDEX(VIRMAN!$G$7:$G$406,$T630)="",""," – "&amp;INDEX(VIRMAN!$G$7:$G$406,$T630)))</f>
        <v/>
      </c>
      <c r="P630" s="1" t="str">
        <f t="shared" si="102"/>
        <v/>
      </c>
      <c r="Q630" s="1">
        <f>IF($N630="",0,INDEX(VIRMAN!$F$7:$F$406,$T630))</f>
        <v>0</v>
      </c>
      <c r="R630" s="1">
        <v>0</v>
      </c>
      <c r="S630" s="1">
        <f t="shared" si="109"/>
        <v>10000000000</v>
      </c>
      <c r="T630" s="1">
        <f>IFERROR(MATCH($C$36&amp;"|57",VIRMAN!$K$7:$K$406,0),0)</f>
        <v>0</v>
      </c>
      <c r="V630" s="1">
        <f t="shared" si="110"/>
        <v>10000000000</v>
      </c>
      <c r="W630" s="1">
        <f t="shared" si="111"/>
        <v>9</v>
      </c>
    </row>
    <row r="631" spans="2:23" ht="14.25" customHeight="1" x14ac:dyDescent="0.3">
      <c r="B631" s="65" t="str">
        <f t="shared" si="103"/>
        <v/>
      </c>
      <c r="C631" s="70" t="str">
        <f t="shared" si="104"/>
        <v/>
      </c>
      <c r="D631" s="74" t="str">
        <f t="shared" si="105"/>
        <v/>
      </c>
      <c r="F631" s="65" t="str">
        <f t="shared" si="106"/>
        <v/>
      </c>
      <c r="G631" s="68" t="str">
        <f t="shared" si="107"/>
        <v/>
      </c>
      <c r="H631" s="68" t="str">
        <f t="shared" si="108"/>
        <v/>
      </c>
      <c r="I631" s="68" t="str">
        <f t="shared" si="112"/>
        <v/>
      </c>
      <c r="M631" s="1">
        <v>594</v>
      </c>
      <c r="N631" s="1" t="str">
        <f>IF($T631=0,"",INDEX(VIRMAN!$C$7:$C$406,$T631))</f>
        <v/>
      </c>
      <c r="O631" s="1" t="str">
        <f>IF($N631="","",INDEX(VIRMAN!$D$7:$D$406,$T631)&amp;" → "&amp;$C$36&amp;IF(INDEX(VIRMAN!$G$7:$G$406,$T631)="",""," – "&amp;INDEX(VIRMAN!$G$7:$G$406,$T631)))</f>
        <v/>
      </c>
      <c r="P631" s="1" t="str">
        <f t="shared" si="102"/>
        <v/>
      </c>
      <c r="Q631" s="1">
        <f>IF($N631="",0,INDEX(VIRMAN!$F$7:$F$406,$T631))</f>
        <v>0</v>
      </c>
      <c r="R631" s="1">
        <v>0</v>
      </c>
      <c r="S631" s="1">
        <f t="shared" si="109"/>
        <v>10000000000</v>
      </c>
      <c r="T631" s="1">
        <f>IFERROR(MATCH($C$36&amp;"|58",VIRMAN!$K$7:$K$406,0),0)</f>
        <v>0</v>
      </c>
      <c r="V631" s="1">
        <f t="shared" si="110"/>
        <v>10000000000</v>
      </c>
      <c r="W631" s="1">
        <f t="shared" si="111"/>
        <v>9</v>
      </c>
    </row>
    <row r="632" spans="2:23" ht="14.25" customHeight="1" x14ac:dyDescent="0.3">
      <c r="B632" s="65" t="str">
        <f t="shared" si="103"/>
        <v/>
      </c>
      <c r="C632" s="70" t="str">
        <f t="shared" si="104"/>
        <v/>
      </c>
      <c r="D632" s="74" t="str">
        <f t="shared" si="105"/>
        <v/>
      </c>
      <c r="F632" s="65" t="str">
        <f t="shared" si="106"/>
        <v/>
      </c>
      <c r="G632" s="68" t="str">
        <f t="shared" si="107"/>
        <v/>
      </c>
      <c r="H632" s="68" t="str">
        <f t="shared" si="108"/>
        <v/>
      </c>
      <c r="I632" s="68" t="str">
        <f t="shared" si="112"/>
        <v/>
      </c>
      <c r="M632" s="1">
        <v>595</v>
      </c>
      <c r="N632" s="1" t="str">
        <f>IF($T632=0,"",INDEX(VIRMAN!$C$7:$C$406,$T632))</f>
        <v/>
      </c>
      <c r="O632" s="1" t="str">
        <f>IF($N632="","",INDEX(VIRMAN!$D$7:$D$406,$T632)&amp;" → "&amp;$C$36&amp;IF(INDEX(VIRMAN!$G$7:$G$406,$T632)="",""," – "&amp;INDEX(VIRMAN!$G$7:$G$406,$T632)))</f>
        <v/>
      </c>
      <c r="P632" s="1" t="str">
        <f t="shared" si="102"/>
        <v/>
      </c>
      <c r="Q632" s="1">
        <f>IF($N632="",0,INDEX(VIRMAN!$F$7:$F$406,$T632))</f>
        <v>0</v>
      </c>
      <c r="R632" s="1">
        <v>0</v>
      </c>
      <c r="S632" s="1">
        <f t="shared" si="109"/>
        <v>10000000000</v>
      </c>
      <c r="T632" s="1">
        <f>IFERROR(MATCH($C$36&amp;"|59",VIRMAN!$K$7:$K$406,0),0)</f>
        <v>0</v>
      </c>
      <c r="V632" s="1">
        <f t="shared" si="110"/>
        <v>10000000000</v>
      </c>
      <c r="W632" s="1">
        <f t="shared" si="111"/>
        <v>9</v>
      </c>
    </row>
    <row r="633" spans="2:23" ht="14.25" customHeight="1" x14ac:dyDescent="0.3">
      <c r="B633" s="65" t="str">
        <f t="shared" si="103"/>
        <v/>
      </c>
      <c r="C633" s="70" t="str">
        <f t="shared" si="104"/>
        <v/>
      </c>
      <c r="D633" s="74" t="str">
        <f t="shared" si="105"/>
        <v/>
      </c>
      <c r="F633" s="65" t="str">
        <f t="shared" si="106"/>
        <v/>
      </c>
      <c r="G633" s="68" t="str">
        <f t="shared" si="107"/>
        <v/>
      </c>
      <c r="H633" s="68" t="str">
        <f t="shared" si="108"/>
        <v/>
      </c>
      <c r="I633" s="68" t="str">
        <f t="shared" si="112"/>
        <v/>
      </c>
      <c r="M633" s="1">
        <v>596</v>
      </c>
      <c r="N633" s="1" t="str">
        <f>IF($T633=0,"",INDEX(VIRMAN!$C$7:$C$406,$T633))</f>
        <v/>
      </c>
      <c r="O633" s="1" t="str">
        <f>IF($N633="","",INDEX(VIRMAN!$D$7:$D$406,$T633)&amp;" → "&amp;$C$36&amp;IF(INDEX(VIRMAN!$G$7:$G$406,$T633)="",""," – "&amp;INDEX(VIRMAN!$G$7:$G$406,$T633)))</f>
        <v/>
      </c>
      <c r="P633" s="1" t="str">
        <f t="shared" si="102"/>
        <v/>
      </c>
      <c r="Q633" s="1">
        <f>IF($N633="",0,INDEX(VIRMAN!$F$7:$F$406,$T633))</f>
        <v>0</v>
      </c>
      <c r="R633" s="1">
        <v>0</v>
      </c>
      <c r="S633" s="1">
        <f t="shared" si="109"/>
        <v>10000000000</v>
      </c>
      <c r="T633" s="1">
        <f>IFERROR(MATCH($C$36&amp;"|60",VIRMAN!$K$7:$K$406,0),0)</f>
        <v>0</v>
      </c>
      <c r="V633" s="1">
        <f t="shared" si="110"/>
        <v>10000000000</v>
      </c>
      <c r="W633" s="1">
        <f t="shared" si="111"/>
        <v>9</v>
      </c>
    </row>
    <row r="634" spans="2:23" ht="14.25" customHeight="1" x14ac:dyDescent="0.3">
      <c r="B634" s="65" t="str">
        <f t="shared" si="103"/>
        <v/>
      </c>
      <c r="C634" s="70" t="str">
        <f t="shared" si="104"/>
        <v/>
      </c>
      <c r="D634" s="74" t="str">
        <f t="shared" si="105"/>
        <v/>
      </c>
      <c r="F634" s="65" t="str">
        <f t="shared" si="106"/>
        <v/>
      </c>
      <c r="G634" s="68" t="str">
        <f t="shared" si="107"/>
        <v/>
      </c>
      <c r="H634" s="68" t="str">
        <f t="shared" si="108"/>
        <v/>
      </c>
      <c r="I634" s="68" t="str">
        <f t="shared" si="112"/>
        <v/>
      </c>
      <c r="M634" s="1">
        <v>597</v>
      </c>
      <c r="N634" s="1" t="str">
        <f>IF($T634=0,"",INDEX(VIRMAN!$C$7:$C$406,$T634))</f>
        <v/>
      </c>
      <c r="O634" s="1" t="str">
        <f>IF($N634="","",INDEX(VIRMAN!$D$7:$D$406,$T634)&amp;" → "&amp;$C$36&amp;IF(INDEX(VIRMAN!$G$7:$G$406,$T634)="",""," – "&amp;INDEX(VIRMAN!$G$7:$G$406,$T634)))</f>
        <v/>
      </c>
      <c r="P634" s="1" t="str">
        <f t="shared" si="102"/>
        <v/>
      </c>
      <c r="Q634" s="1">
        <f>IF($N634="",0,INDEX(VIRMAN!$F$7:$F$406,$T634))</f>
        <v>0</v>
      </c>
      <c r="R634" s="1">
        <v>0</v>
      </c>
      <c r="S634" s="1">
        <f t="shared" si="109"/>
        <v>10000000000</v>
      </c>
      <c r="T634" s="1">
        <f>IFERROR(MATCH($C$36&amp;"|61",VIRMAN!$K$7:$K$406,0),0)</f>
        <v>0</v>
      </c>
      <c r="V634" s="1">
        <f t="shared" si="110"/>
        <v>10000000000</v>
      </c>
      <c r="W634" s="1">
        <f t="shared" si="111"/>
        <v>9</v>
      </c>
    </row>
    <row r="635" spans="2:23" ht="14.25" customHeight="1" x14ac:dyDescent="0.3">
      <c r="B635" s="65" t="str">
        <f t="shared" si="103"/>
        <v/>
      </c>
      <c r="C635" s="70" t="str">
        <f t="shared" si="104"/>
        <v/>
      </c>
      <c r="D635" s="74" t="str">
        <f t="shared" si="105"/>
        <v/>
      </c>
      <c r="F635" s="65" t="str">
        <f t="shared" si="106"/>
        <v/>
      </c>
      <c r="G635" s="68" t="str">
        <f t="shared" si="107"/>
        <v/>
      </c>
      <c r="H635" s="68" t="str">
        <f t="shared" si="108"/>
        <v/>
      </c>
      <c r="I635" s="68" t="str">
        <f t="shared" si="112"/>
        <v/>
      </c>
      <c r="M635" s="1">
        <v>598</v>
      </c>
      <c r="N635" s="1" t="str">
        <f>IF($T635=0,"",INDEX(VIRMAN!$C$7:$C$406,$T635))</f>
        <v/>
      </c>
      <c r="O635" s="1" t="str">
        <f>IF($N635="","",INDEX(VIRMAN!$D$7:$D$406,$T635)&amp;" → "&amp;$C$36&amp;IF(INDEX(VIRMAN!$G$7:$G$406,$T635)="",""," – "&amp;INDEX(VIRMAN!$G$7:$G$406,$T635)))</f>
        <v/>
      </c>
      <c r="P635" s="1" t="str">
        <f t="shared" si="102"/>
        <v/>
      </c>
      <c r="Q635" s="1">
        <f>IF($N635="",0,INDEX(VIRMAN!$F$7:$F$406,$T635))</f>
        <v>0</v>
      </c>
      <c r="R635" s="1">
        <v>0</v>
      </c>
      <c r="S635" s="1">
        <f t="shared" si="109"/>
        <v>10000000000</v>
      </c>
      <c r="T635" s="1">
        <f>IFERROR(MATCH($C$36&amp;"|62",VIRMAN!$K$7:$K$406,0),0)</f>
        <v>0</v>
      </c>
      <c r="V635" s="1">
        <f t="shared" si="110"/>
        <v>10000000000</v>
      </c>
      <c r="W635" s="1">
        <f t="shared" si="111"/>
        <v>9</v>
      </c>
    </row>
    <row r="636" spans="2:23" ht="14.25" customHeight="1" x14ac:dyDescent="0.3">
      <c r="B636" s="65" t="str">
        <f t="shared" si="103"/>
        <v/>
      </c>
      <c r="C636" s="70" t="str">
        <f t="shared" si="104"/>
        <v/>
      </c>
      <c r="D636" s="74" t="str">
        <f t="shared" si="105"/>
        <v/>
      </c>
      <c r="F636" s="65" t="str">
        <f t="shared" si="106"/>
        <v/>
      </c>
      <c r="G636" s="68" t="str">
        <f t="shared" si="107"/>
        <v/>
      </c>
      <c r="H636" s="68" t="str">
        <f t="shared" si="108"/>
        <v/>
      </c>
      <c r="I636" s="68" t="str">
        <f t="shared" si="112"/>
        <v/>
      </c>
      <c r="M636" s="1">
        <v>599</v>
      </c>
      <c r="N636" s="1" t="str">
        <f>IF($T636=0,"",INDEX(VIRMAN!$C$7:$C$406,$T636))</f>
        <v/>
      </c>
      <c r="O636" s="1" t="str">
        <f>IF($N636="","",INDEX(VIRMAN!$D$7:$D$406,$T636)&amp;" → "&amp;$C$36&amp;IF(INDEX(VIRMAN!$G$7:$G$406,$T636)="",""," – "&amp;INDEX(VIRMAN!$G$7:$G$406,$T636)))</f>
        <v/>
      </c>
      <c r="P636" s="1" t="str">
        <f t="shared" si="102"/>
        <v/>
      </c>
      <c r="Q636" s="1">
        <f>IF($N636="",0,INDEX(VIRMAN!$F$7:$F$406,$T636))</f>
        <v>0</v>
      </c>
      <c r="R636" s="1">
        <v>0</v>
      </c>
      <c r="S636" s="1">
        <f t="shared" si="109"/>
        <v>10000000000</v>
      </c>
      <c r="T636" s="1">
        <f>IFERROR(MATCH($C$36&amp;"|63",VIRMAN!$K$7:$K$406,0),0)</f>
        <v>0</v>
      </c>
      <c r="V636" s="1">
        <f t="shared" si="110"/>
        <v>10000000000</v>
      </c>
      <c r="W636" s="1">
        <f t="shared" si="111"/>
        <v>9</v>
      </c>
    </row>
    <row r="637" spans="2:23" ht="14.25" customHeight="1" x14ac:dyDescent="0.3">
      <c r="B637" s="65" t="str">
        <f t="shared" si="103"/>
        <v/>
      </c>
      <c r="C637" s="70" t="str">
        <f t="shared" si="104"/>
        <v/>
      </c>
      <c r="D637" s="74" t="str">
        <f t="shared" si="105"/>
        <v/>
      </c>
      <c r="F637" s="65" t="str">
        <f t="shared" si="106"/>
        <v/>
      </c>
      <c r="G637" s="68" t="str">
        <f t="shared" si="107"/>
        <v/>
      </c>
      <c r="H637" s="68" t="str">
        <f t="shared" si="108"/>
        <v/>
      </c>
      <c r="I637" s="68" t="str">
        <f t="shared" si="112"/>
        <v/>
      </c>
      <c r="M637" s="1">
        <v>600</v>
      </c>
      <c r="N637" s="1" t="str">
        <f>IF($T637=0,"",INDEX(VIRMAN!$C$7:$C$406,$T637))</f>
        <v/>
      </c>
      <c r="O637" s="1" t="str">
        <f>IF($N637="","",INDEX(VIRMAN!$D$7:$D$406,$T637)&amp;" → "&amp;$C$36&amp;IF(INDEX(VIRMAN!$G$7:$G$406,$T637)="",""," – "&amp;INDEX(VIRMAN!$G$7:$G$406,$T637)))</f>
        <v/>
      </c>
      <c r="P637" s="1" t="str">
        <f t="shared" si="102"/>
        <v/>
      </c>
      <c r="Q637" s="1">
        <f>IF($N637="",0,INDEX(VIRMAN!$F$7:$F$406,$T637))</f>
        <v>0</v>
      </c>
      <c r="R637" s="1">
        <v>0</v>
      </c>
      <c r="S637" s="1">
        <f t="shared" si="109"/>
        <v>10000000000</v>
      </c>
      <c r="T637" s="1">
        <f>IFERROR(MATCH($C$36&amp;"|64",VIRMAN!$K$7:$K$406,0),0)</f>
        <v>0</v>
      </c>
      <c r="V637" s="1">
        <f t="shared" si="110"/>
        <v>10000000000</v>
      </c>
      <c r="W637" s="1">
        <f t="shared" si="111"/>
        <v>9</v>
      </c>
    </row>
    <row r="638" spans="2:23" ht="14.25" customHeight="1" x14ac:dyDescent="0.3">
      <c r="B638" s="65" t="str">
        <f t="shared" si="103"/>
        <v/>
      </c>
      <c r="C638" s="70" t="str">
        <f t="shared" si="104"/>
        <v/>
      </c>
      <c r="D638" s="74" t="str">
        <f t="shared" si="105"/>
        <v/>
      </c>
      <c r="F638" s="65" t="str">
        <f t="shared" si="106"/>
        <v/>
      </c>
      <c r="G638" s="68" t="str">
        <f t="shared" si="107"/>
        <v/>
      </c>
      <c r="H638" s="68" t="str">
        <f t="shared" si="108"/>
        <v/>
      </c>
      <c r="I638" s="68" t="str">
        <f t="shared" si="112"/>
        <v/>
      </c>
      <c r="M638" s="1">
        <v>601</v>
      </c>
      <c r="N638" s="1" t="str">
        <f>IF($T638=0,"",INDEX(VIRMAN!$C$7:$C$406,$T638))</f>
        <v/>
      </c>
      <c r="O638" s="1" t="str">
        <f>IF($N638="","",INDEX(VIRMAN!$D$7:$D$406,$T638)&amp;" → "&amp;$C$36&amp;IF(INDEX(VIRMAN!$G$7:$G$406,$T638)="",""," – "&amp;INDEX(VIRMAN!$G$7:$G$406,$T638)))</f>
        <v/>
      </c>
      <c r="P638" s="1" t="str">
        <f t="shared" ref="P638:P669" si="113">IF($N638="","","VİRMAN GELDİ")</f>
        <v/>
      </c>
      <c r="Q638" s="1">
        <f>IF($N638="",0,INDEX(VIRMAN!$F$7:$F$406,$T638))</f>
        <v>0</v>
      </c>
      <c r="R638" s="1">
        <v>0</v>
      </c>
      <c r="S638" s="1">
        <f t="shared" si="109"/>
        <v>10000000000</v>
      </c>
      <c r="T638" s="1">
        <f>IFERROR(MATCH($C$36&amp;"|65",VIRMAN!$K$7:$K$406,0),0)</f>
        <v>0</v>
      </c>
      <c r="V638" s="1">
        <f t="shared" si="110"/>
        <v>10000000000</v>
      </c>
      <c r="W638" s="1">
        <f t="shared" si="111"/>
        <v>9</v>
      </c>
    </row>
    <row r="639" spans="2:23" ht="14.25" customHeight="1" x14ac:dyDescent="0.3">
      <c r="B639" s="65" t="str">
        <f t="shared" si="103"/>
        <v/>
      </c>
      <c r="C639" s="70" t="str">
        <f t="shared" si="104"/>
        <v/>
      </c>
      <c r="D639" s="74" t="str">
        <f t="shared" si="105"/>
        <v/>
      </c>
      <c r="F639" s="65" t="str">
        <f t="shared" si="106"/>
        <v/>
      </c>
      <c r="G639" s="68" t="str">
        <f t="shared" si="107"/>
        <v/>
      </c>
      <c r="H639" s="68" t="str">
        <f t="shared" si="108"/>
        <v/>
      </c>
      <c r="I639" s="68" t="str">
        <f t="shared" si="112"/>
        <v/>
      </c>
      <c r="M639" s="1">
        <v>602</v>
      </c>
      <c r="N639" s="1" t="str">
        <f>IF($T639=0,"",INDEX(VIRMAN!$C$7:$C$406,$T639))</f>
        <v/>
      </c>
      <c r="O639" s="1" t="str">
        <f>IF($N639="","",INDEX(VIRMAN!$D$7:$D$406,$T639)&amp;" → "&amp;$C$36&amp;IF(INDEX(VIRMAN!$G$7:$G$406,$T639)="",""," – "&amp;INDEX(VIRMAN!$G$7:$G$406,$T639)))</f>
        <v/>
      </c>
      <c r="P639" s="1" t="str">
        <f t="shared" si="113"/>
        <v/>
      </c>
      <c r="Q639" s="1">
        <f>IF($N639="",0,INDEX(VIRMAN!$F$7:$F$406,$T639))</f>
        <v>0</v>
      </c>
      <c r="R639" s="1">
        <v>0</v>
      </c>
      <c r="S639" s="1">
        <f t="shared" si="109"/>
        <v>10000000000</v>
      </c>
      <c r="T639" s="1">
        <f>IFERROR(MATCH($C$36&amp;"|66",VIRMAN!$K$7:$K$406,0),0)</f>
        <v>0</v>
      </c>
      <c r="V639" s="1">
        <f t="shared" si="110"/>
        <v>10000000000</v>
      </c>
      <c r="W639" s="1">
        <f t="shared" si="111"/>
        <v>9</v>
      </c>
    </row>
    <row r="640" spans="2:23" ht="14.25" customHeight="1" x14ac:dyDescent="0.3">
      <c r="B640" s="65" t="str">
        <f t="shared" si="103"/>
        <v/>
      </c>
      <c r="C640" s="70" t="str">
        <f t="shared" si="104"/>
        <v/>
      </c>
      <c r="D640" s="74" t="str">
        <f t="shared" si="105"/>
        <v/>
      </c>
      <c r="F640" s="65" t="str">
        <f t="shared" si="106"/>
        <v/>
      </c>
      <c r="G640" s="68" t="str">
        <f t="shared" si="107"/>
        <v/>
      </c>
      <c r="H640" s="68" t="str">
        <f t="shared" si="108"/>
        <v/>
      </c>
      <c r="I640" s="68" t="str">
        <f t="shared" si="112"/>
        <v/>
      </c>
      <c r="M640" s="1">
        <v>603</v>
      </c>
      <c r="N640" s="1" t="str">
        <f>IF($T640=0,"",INDEX(VIRMAN!$C$7:$C$406,$T640))</f>
        <v/>
      </c>
      <c r="O640" s="1" t="str">
        <f>IF($N640="","",INDEX(VIRMAN!$D$7:$D$406,$T640)&amp;" → "&amp;$C$36&amp;IF(INDEX(VIRMAN!$G$7:$G$406,$T640)="",""," – "&amp;INDEX(VIRMAN!$G$7:$G$406,$T640)))</f>
        <v/>
      </c>
      <c r="P640" s="1" t="str">
        <f t="shared" si="113"/>
        <v/>
      </c>
      <c r="Q640" s="1">
        <f>IF($N640="",0,INDEX(VIRMAN!$F$7:$F$406,$T640))</f>
        <v>0</v>
      </c>
      <c r="R640" s="1">
        <v>0</v>
      </c>
      <c r="S640" s="1">
        <f t="shared" si="109"/>
        <v>10000000000</v>
      </c>
      <c r="T640" s="1">
        <f>IFERROR(MATCH($C$36&amp;"|67",VIRMAN!$K$7:$K$406,0),0)</f>
        <v>0</v>
      </c>
      <c r="V640" s="1">
        <f t="shared" si="110"/>
        <v>10000000000</v>
      </c>
      <c r="W640" s="1">
        <f t="shared" si="111"/>
        <v>9</v>
      </c>
    </row>
    <row r="641" spans="2:23" ht="14.25" customHeight="1" x14ac:dyDescent="0.3">
      <c r="B641" s="65" t="str">
        <f t="shared" si="103"/>
        <v/>
      </c>
      <c r="C641" s="70" t="str">
        <f t="shared" si="104"/>
        <v/>
      </c>
      <c r="D641" s="74" t="str">
        <f t="shared" si="105"/>
        <v/>
      </c>
      <c r="F641" s="65" t="str">
        <f t="shared" si="106"/>
        <v/>
      </c>
      <c r="G641" s="68" t="str">
        <f t="shared" si="107"/>
        <v/>
      </c>
      <c r="H641" s="68" t="str">
        <f t="shared" si="108"/>
        <v/>
      </c>
      <c r="I641" s="68" t="str">
        <f t="shared" si="112"/>
        <v/>
      </c>
      <c r="M641" s="1">
        <v>604</v>
      </c>
      <c r="N641" s="1" t="str">
        <f>IF($T641=0,"",INDEX(VIRMAN!$C$7:$C$406,$T641))</f>
        <v/>
      </c>
      <c r="O641" s="1" t="str">
        <f>IF($N641="","",INDEX(VIRMAN!$D$7:$D$406,$T641)&amp;" → "&amp;$C$36&amp;IF(INDEX(VIRMAN!$G$7:$G$406,$T641)="",""," – "&amp;INDEX(VIRMAN!$G$7:$G$406,$T641)))</f>
        <v/>
      </c>
      <c r="P641" s="1" t="str">
        <f t="shared" si="113"/>
        <v/>
      </c>
      <c r="Q641" s="1">
        <f>IF($N641="",0,INDEX(VIRMAN!$F$7:$F$406,$T641))</f>
        <v>0</v>
      </c>
      <c r="R641" s="1">
        <v>0</v>
      </c>
      <c r="S641" s="1">
        <f t="shared" si="109"/>
        <v>10000000000</v>
      </c>
      <c r="T641" s="1">
        <f>IFERROR(MATCH($C$36&amp;"|68",VIRMAN!$K$7:$K$406,0),0)</f>
        <v>0</v>
      </c>
      <c r="V641" s="1">
        <f t="shared" si="110"/>
        <v>10000000000</v>
      </c>
      <c r="W641" s="1">
        <f t="shared" si="111"/>
        <v>9</v>
      </c>
    </row>
    <row r="642" spans="2:23" ht="14.25" customHeight="1" x14ac:dyDescent="0.3">
      <c r="B642" s="65" t="str">
        <f t="shared" si="103"/>
        <v/>
      </c>
      <c r="C642" s="70" t="str">
        <f t="shared" si="104"/>
        <v/>
      </c>
      <c r="D642" s="74" t="str">
        <f t="shared" si="105"/>
        <v/>
      </c>
      <c r="F642" s="65" t="str">
        <f t="shared" si="106"/>
        <v/>
      </c>
      <c r="G642" s="68" t="str">
        <f t="shared" si="107"/>
        <v/>
      </c>
      <c r="H642" s="68" t="str">
        <f t="shared" si="108"/>
        <v/>
      </c>
      <c r="I642" s="68" t="str">
        <f t="shared" si="112"/>
        <v/>
      </c>
      <c r="M642" s="1">
        <v>605</v>
      </c>
      <c r="N642" s="1" t="str">
        <f>IF($T642=0,"",INDEX(VIRMAN!$C$7:$C$406,$T642))</f>
        <v/>
      </c>
      <c r="O642" s="1" t="str">
        <f>IF($N642="","",INDEX(VIRMAN!$D$7:$D$406,$T642)&amp;" → "&amp;$C$36&amp;IF(INDEX(VIRMAN!$G$7:$G$406,$T642)="",""," – "&amp;INDEX(VIRMAN!$G$7:$G$406,$T642)))</f>
        <v/>
      </c>
      <c r="P642" s="1" t="str">
        <f t="shared" si="113"/>
        <v/>
      </c>
      <c r="Q642" s="1">
        <f>IF($N642="",0,INDEX(VIRMAN!$F$7:$F$406,$T642))</f>
        <v>0</v>
      </c>
      <c r="R642" s="1">
        <v>0</v>
      </c>
      <c r="S642" s="1">
        <f t="shared" si="109"/>
        <v>10000000000</v>
      </c>
      <c r="T642" s="1">
        <f>IFERROR(MATCH($C$36&amp;"|69",VIRMAN!$K$7:$K$406,0),0)</f>
        <v>0</v>
      </c>
      <c r="V642" s="1">
        <f t="shared" si="110"/>
        <v>10000000000</v>
      </c>
      <c r="W642" s="1">
        <f t="shared" si="111"/>
        <v>9</v>
      </c>
    </row>
    <row r="643" spans="2:23" ht="14.25" customHeight="1" x14ac:dyDescent="0.3">
      <c r="B643" s="65" t="str">
        <f t="shared" si="103"/>
        <v/>
      </c>
      <c r="C643" s="70" t="str">
        <f t="shared" si="104"/>
        <v/>
      </c>
      <c r="D643" s="74" t="str">
        <f t="shared" si="105"/>
        <v/>
      </c>
      <c r="F643" s="65" t="str">
        <f t="shared" si="106"/>
        <v/>
      </c>
      <c r="G643" s="68" t="str">
        <f t="shared" si="107"/>
        <v/>
      </c>
      <c r="H643" s="68" t="str">
        <f t="shared" si="108"/>
        <v/>
      </c>
      <c r="I643" s="68" t="str">
        <f t="shared" si="112"/>
        <v/>
      </c>
      <c r="M643" s="1">
        <v>606</v>
      </c>
      <c r="N643" s="1" t="str">
        <f>IF($T643=0,"",INDEX(VIRMAN!$C$7:$C$406,$T643))</f>
        <v/>
      </c>
      <c r="O643" s="1" t="str">
        <f>IF($N643="","",INDEX(VIRMAN!$D$7:$D$406,$T643)&amp;" → "&amp;$C$36&amp;IF(INDEX(VIRMAN!$G$7:$G$406,$T643)="",""," – "&amp;INDEX(VIRMAN!$G$7:$G$406,$T643)))</f>
        <v/>
      </c>
      <c r="P643" s="1" t="str">
        <f t="shared" si="113"/>
        <v/>
      </c>
      <c r="Q643" s="1">
        <f>IF($N643="",0,INDEX(VIRMAN!$F$7:$F$406,$T643))</f>
        <v>0</v>
      </c>
      <c r="R643" s="1">
        <v>0</v>
      </c>
      <c r="S643" s="1">
        <f t="shared" si="109"/>
        <v>10000000000</v>
      </c>
      <c r="T643" s="1">
        <f>IFERROR(MATCH($C$36&amp;"|70",VIRMAN!$K$7:$K$406,0),0)</f>
        <v>0</v>
      </c>
      <c r="V643" s="1">
        <f t="shared" si="110"/>
        <v>10000000000</v>
      </c>
      <c r="W643" s="1">
        <f t="shared" si="111"/>
        <v>9</v>
      </c>
    </row>
    <row r="644" spans="2:23" ht="14.25" customHeight="1" x14ac:dyDescent="0.3">
      <c r="B644" s="65" t="str">
        <f t="shared" si="103"/>
        <v/>
      </c>
      <c r="C644" s="70" t="str">
        <f t="shared" si="104"/>
        <v/>
      </c>
      <c r="D644" s="74" t="str">
        <f t="shared" si="105"/>
        <v/>
      </c>
      <c r="F644" s="65" t="str">
        <f t="shared" si="106"/>
        <v/>
      </c>
      <c r="G644" s="68" t="str">
        <f t="shared" si="107"/>
        <v/>
      </c>
      <c r="H644" s="68" t="str">
        <f t="shared" si="108"/>
        <v/>
      </c>
      <c r="I644" s="68" t="str">
        <f t="shared" si="112"/>
        <v/>
      </c>
      <c r="M644" s="1">
        <v>607</v>
      </c>
      <c r="N644" s="1" t="str">
        <f>IF($T644=0,"",INDEX(VIRMAN!$C$7:$C$406,$T644))</f>
        <v/>
      </c>
      <c r="O644" s="1" t="str">
        <f>IF($N644="","",INDEX(VIRMAN!$D$7:$D$406,$T644)&amp;" → "&amp;$C$36&amp;IF(INDEX(VIRMAN!$G$7:$G$406,$T644)="",""," – "&amp;INDEX(VIRMAN!$G$7:$G$406,$T644)))</f>
        <v/>
      </c>
      <c r="P644" s="1" t="str">
        <f t="shared" si="113"/>
        <v/>
      </c>
      <c r="Q644" s="1">
        <f>IF($N644="",0,INDEX(VIRMAN!$F$7:$F$406,$T644))</f>
        <v>0</v>
      </c>
      <c r="R644" s="1">
        <v>0</v>
      </c>
      <c r="S644" s="1">
        <f t="shared" si="109"/>
        <v>10000000000</v>
      </c>
      <c r="T644" s="1">
        <f>IFERROR(MATCH($C$36&amp;"|71",VIRMAN!$K$7:$K$406,0),0)</f>
        <v>0</v>
      </c>
      <c r="V644" s="1">
        <f t="shared" si="110"/>
        <v>10000000000</v>
      </c>
      <c r="W644" s="1">
        <f t="shared" si="111"/>
        <v>9</v>
      </c>
    </row>
    <row r="645" spans="2:23" ht="14.25" customHeight="1" x14ac:dyDescent="0.3">
      <c r="B645" s="65" t="str">
        <f t="shared" si="103"/>
        <v/>
      </c>
      <c r="C645" s="70" t="str">
        <f t="shared" si="104"/>
        <v/>
      </c>
      <c r="D645" s="74" t="str">
        <f t="shared" si="105"/>
        <v/>
      </c>
      <c r="F645" s="65" t="str">
        <f t="shared" si="106"/>
        <v/>
      </c>
      <c r="G645" s="68" t="str">
        <f t="shared" si="107"/>
        <v/>
      </c>
      <c r="H645" s="68" t="str">
        <f t="shared" si="108"/>
        <v/>
      </c>
      <c r="I645" s="68" t="str">
        <f t="shared" si="112"/>
        <v/>
      </c>
      <c r="M645" s="1">
        <v>608</v>
      </c>
      <c r="N645" s="1" t="str">
        <f>IF($T645=0,"",INDEX(VIRMAN!$C$7:$C$406,$T645))</f>
        <v/>
      </c>
      <c r="O645" s="1" t="str">
        <f>IF($N645="","",INDEX(VIRMAN!$D$7:$D$406,$T645)&amp;" → "&amp;$C$36&amp;IF(INDEX(VIRMAN!$G$7:$G$406,$T645)="",""," – "&amp;INDEX(VIRMAN!$G$7:$G$406,$T645)))</f>
        <v/>
      </c>
      <c r="P645" s="1" t="str">
        <f t="shared" si="113"/>
        <v/>
      </c>
      <c r="Q645" s="1">
        <f>IF($N645="",0,INDEX(VIRMAN!$F$7:$F$406,$T645))</f>
        <v>0</v>
      </c>
      <c r="R645" s="1">
        <v>0</v>
      </c>
      <c r="S645" s="1">
        <f t="shared" si="109"/>
        <v>10000000000</v>
      </c>
      <c r="T645" s="1">
        <f>IFERROR(MATCH($C$36&amp;"|72",VIRMAN!$K$7:$K$406,0),0)</f>
        <v>0</v>
      </c>
      <c r="V645" s="1">
        <f t="shared" si="110"/>
        <v>10000000000</v>
      </c>
      <c r="W645" s="1">
        <f t="shared" si="111"/>
        <v>9</v>
      </c>
    </row>
    <row r="646" spans="2:23" ht="14.25" customHeight="1" x14ac:dyDescent="0.3">
      <c r="B646" s="65" t="str">
        <f t="shared" si="103"/>
        <v/>
      </c>
      <c r="C646" s="70" t="str">
        <f t="shared" si="104"/>
        <v/>
      </c>
      <c r="D646" s="74" t="str">
        <f t="shared" si="105"/>
        <v/>
      </c>
      <c r="F646" s="65" t="str">
        <f t="shared" si="106"/>
        <v/>
      </c>
      <c r="G646" s="68" t="str">
        <f t="shared" si="107"/>
        <v/>
      </c>
      <c r="H646" s="68" t="str">
        <f t="shared" si="108"/>
        <v/>
      </c>
      <c r="I646" s="68" t="str">
        <f t="shared" si="112"/>
        <v/>
      </c>
      <c r="M646" s="1">
        <v>609</v>
      </c>
      <c r="N646" s="1" t="str">
        <f>IF($T646=0,"",INDEX(VIRMAN!$C$7:$C$406,$T646))</f>
        <v/>
      </c>
      <c r="O646" s="1" t="str">
        <f>IF($N646="","",INDEX(VIRMAN!$D$7:$D$406,$T646)&amp;" → "&amp;$C$36&amp;IF(INDEX(VIRMAN!$G$7:$G$406,$T646)="",""," – "&amp;INDEX(VIRMAN!$G$7:$G$406,$T646)))</f>
        <v/>
      </c>
      <c r="P646" s="1" t="str">
        <f t="shared" si="113"/>
        <v/>
      </c>
      <c r="Q646" s="1">
        <f>IF($N646="",0,INDEX(VIRMAN!$F$7:$F$406,$T646))</f>
        <v>0</v>
      </c>
      <c r="R646" s="1">
        <v>0</v>
      </c>
      <c r="S646" s="1">
        <f t="shared" si="109"/>
        <v>10000000000</v>
      </c>
      <c r="T646" s="1">
        <f>IFERROR(MATCH($C$36&amp;"|73",VIRMAN!$K$7:$K$406,0),0)</f>
        <v>0</v>
      </c>
      <c r="V646" s="1">
        <f t="shared" si="110"/>
        <v>10000000000</v>
      </c>
      <c r="W646" s="1">
        <f t="shared" si="111"/>
        <v>9</v>
      </c>
    </row>
    <row r="647" spans="2:23" ht="14.25" customHeight="1" x14ac:dyDescent="0.3">
      <c r="B647" s="65" t="str">
        <f t="shared" si="103"/>
        <v/>
      </c>
      <c r="C647" s="70" t="str">
        <f t="shared" si="104"/>
        <v/>
      </c>
      <c r="D647" s="74" t="str">
        <f t="shared" si="105"/>
        <v/>
      </c>
      <c r="F647" s="65" t="str">
        <f t="shared" si="106"/>
        <v/>
      </c>
      <c r="G647" s="68" t="str">
        <f t="shared" si="107"/>
        <v/>
      </c>
      <c r="H647" s="68" t="str">
        <f t="shared" si="108"/>
        <v/>
      </c>
      <c r="I647" s="68" t="str">
        <f t="shared" si="112"/>
        <v/>
      </c>
      <c r="M647" s="1">
        <v>610</v>
      </c>
      <c r="N647" s="1" t="str">
        <f>IF($T647=0,"",INDEX(VIRMAN!$C$7:$C$406,$T647))</f>
        <v/>
      </c>
      <c r="O647" s="1" t="str">
        <f>IF($N647="","",INDEX(VIRMAN!$D$7:$D$406,$T647)&amp;" → "&amp;$C$36&amp;IF(INDEX(VIRMAN!$G$7:$G$406,$T647)="",""," – "&amp;INDEX(VIRMAN!$G$7:$G$406,$T647)))</f>
        <v/>
      </c>
      <c r="P647" s="1" t="str">
        <f t="shared" si="113"/>
        <v/>
      </c>
      <c r="Q647" s="1">
        <f>IF($N647="",0,INDEX(VIRMAN!$F$7:$F$406,$T647))</f>
        <v>0</v>
      </c>
      <c r="R647" s="1">
        <v>0</v>
      </c>
      <c r="S647" s="1">
        <f t="shared" si="109"/>
        <v>10000000000</v>
      </c>
      <c r="T647" s="1">
        <f>IFERROR(MATCH($C$36&amp;"|74",VIRMAN!$K$7:$K$406,0),0)</f>
        <v>0</v>
      </c>
      <c r="V647" s="1">
        <f t="shared" si="110"/>
        <v>10000000000</v>
      </c>
      <c r="W647" s="1">
        <f t="shared" si="111"/>
        <v>9</v>
      </c>
    </row>
    <row r="648" spans="2:23" ht="14.25" customHeight="1" x14ac:dyDescent="0.3">
      <c r="B648" s="65" t="str">
        <f t="shared" si="103"/>
        <v/>
      </c>
      <c r="C648" s="70" t="str">
        <f t="shared" si="104"/>
        <v/>
      </c>
      <c r="D648" s="74" t="str">
        <f t="shared" si="105"/>
        <v/>
      </c>
      <c r="F648" s="65" t="str">
        <f t="shared" si="106"/>
        <v/>
      </c>
      <c r="G648" s="68" t="str">
        <f t="shared" si="107"/>
        <v/>
      </c>
      <c r="H648" s="68" t="str">
        <f t="shared" si="108"/>
        <v/>
      </c>
      <c r="I648" s="68" t="str">
        <f t="shared" si="112"/>
        <v/>
      </c>
      <c r="M648" s="1">
        <v>611</v>
      </c>
      <c r="N648" s="1" t="str">
        <f>IF($T648=0,"",INDEX(VIRMAN!$C$7:$C$406,$T648))</f>
        <v/>
      </c>
      <c r="O648" s="1" t="str">
        <f>IF($N648="","",INDEX(VIRMAN!$D$7:$D$406,$T648)&amp;" → "&amp;$C$36&amp;IF(INDEX(VIRMAN!$G$7:$G$406,$T648)="",""," – "&amp;INDEX(VIRMAN!$G$7:$G$406,$T648)))</f>
        <v/>
      </c>
      <c r="P648" s="1" t="str">
        <f t="shared" si="113"/>
        <v/>
      </c>
      <c r="Q648" s="1">
        <f>IF($N648="",0,INDEX(VIRMAN!$F$7:$F$406,$T648))</f>
        <v>0</v>
      </c>
      <c r="R648" s="1">
        <v>0</v>
      </c>
      <c r="S648" s="1">
        <f t="shared" si="109"/>
        <v>10000000000</v>
      </c>
      <c r="T648" s="1">
        <f>IFERROR(MATCH($C$36&amp;"|75",VIRMAN!$K$7:$K$406,0),0)</f>
        <v>0</v>
      </c>
      <c r="V648" s="1">
        <f t="shared" si="110"/>
        <v>10000000000</v>
      </c>
      <c r="W648" s="1">
        <f t="shared" si="111"/>
        <v>9</v>
      </c>
    </row>
    <row r="649" spans="2:23" ht="14.25" customHeight="1" x14ac:dyDescent="0.3">
      <c r="B649" s="65" t="str">
        <f t="shared" si="103"/>
        <v/>
      </c>
      <c r="C649" s="70" t="str">
        <f t="shared" si="104"/>
        <v/>
      </c>
      <c r="D649" s="74" t="str">
        <f t="shared" si="105"/>
        <v/>
      </c>
      <c r="F649" s="65" t="str">
        <f t="shared" si="106"/>
        <v/>
      </c>
      <c r="G649" s="68" t="str">
        <f t="shared" si="107"/>
        <v/>
      </c>
      <c r="H649" s="68" t="str">
        <f t="shared" si="108"/>
        <v/>
      </c>
      <c r="I649" s="68" t="str">
        <f t="shared" si="112"/>
        <v/>
      </c>
      <c r="M649" s="1">
        <v>612</v>
      </c>
      <c r="N649" s="1" t="str">
        <f>IF($T649=0,"",INDEX(VIRMAN!$C$7:$C$406,$T649))</f>
        <v/>
      </c>
      <c r="O649" s="1" t="str">
        <f>IF($N649="","",INDEX(VIRMAN!$D$7:$D$406,$T649)&amp;" → "&amp;$C$36&amp;IF(INDEX(VIRMAN!$G$7:$G$406,$T649)="",""," – "&amp;INDEX(VIRMAN!$G$7:$G$406,$T649)))</f>
        <v/>
      </c>
      <c r="P649" s="1" t="str">
        <f t="shared" si="113"/>
        <v/>
      </c>
      <c r="Q649" s="1">
        <f>IF($N649="",0,INDEX(VIRMAN!$F$7:$F$406,$T649))</f>
        <v>0</v>
      </c>
      <c r="R649" s="1">
        <v>0</v>
      </c>
      <c r="S649" s="1">
        <f t="shared" si="109"/>
        <v>10000000000</v>
      </c>
      <c r="T649" s="1">
        <f>IFERROR(MATCH($C$36&amp;"|76",VIRMAN!$K$7:$K$406,0),0)</f>
        <v>0</v>
      </c>
      <c r="V649" s="1">
        <f t="shared" si="110"/>
        <v>10000000000</v>
      </c>
      <c r="W649" s="1">
        <f t="shared" si="111"/>
        <v>9</v>
      </c>
    </row>
    <row r="650" spans="2:23" ht="14.25" customHeight="1" x14ac:dyDescent="0.3">
      <c r="B650" s="65" t="str">
        <f t="shared" si="103"/>
        <v/>
      </c>
      <c r="C650" s="70" t="str">
        <f t="shared" si="104"/>
        <v/>
      </c>
      <c r="D650" s="74" t="str">
        <f t="shared" si="105"/>
        <v/>
      </c>
      <c r="F650" s="65" t="str">
        <f t="shared" si="106"/>
        <v/>
      </c>
      <c r="G650" s="68" t="str">
        <f t="shared" si="107"/>
        <v/>
      </c>
      <c r="H650" s="68" t="str">
        <f t="shared" si="108"/>
        <v/>
      </c>
      <c r="I650" s="68" t="str">
        <f t="shared" si="112"/>
        <v/>
      </c>
      <c r="M650" s="1">
        <v>613</v>
      </c>
      <c r="N650" s="1" t="str">
        <f>IF($T650=0,"",INDEX(VIRMAN!$C$7:$C$406,$T650))</f>
        <v/>
      </c>
      <c r="O650" s="1" t="str">
        <f>IF($N650="","",INDEX(VIRMAN!$D$7:$D$406,$T650)&amp;" → "&amp;$C$36&amp;IF(INDEX(VIRMAN!$G$7:$G$406,$T650)="",""," – "&amp;INDEX(VIRMAN!$G$7:$G$406,$T650)))</f>
        <v/>
      </c>
      <c r="P650" s="1" t="str">
        <f t="shared" si="113"/>
        <v/>
      </c>
      <c r="Q650" s="1">
        <f>IF($N650="",0,INDEX(VIRMAN!$F$7:$F$406,$T650))</f>
        <v>0</v>
      </c>
      <c r="R650" s="1">
        <v>0</v>
      </c>
      <c r="S650" s="1">
        <f t="shared" si="109"/>
        <v>10000000000</v>
      </c>
      <c r="T650" s="1">
        <f>IFERROR(MATCH($C$36&amp;"|77",VIRMAN!$K$7:$K$406,0),0)</f>
        <v>0</v>
      </c>
      <c r="V650" s="1">
        <f t="shared" si="110"/>
        <v>10000000000</v>
      </c>
      <c r="W650" s="1">
        <f t="shared" si="111"/>
        <v>9</v>
      </c>
    </row>
    <row r="651" spans="2:23" ht="14.25" customHeight="1" x14ac:dyDescent="0.3">
      <c r="B651" s="65" t="str">
        <f t="shared" si="103"/>
        <v/>
      </c>
      <c r="C651" s="70" t="str">
        <f t="shared" si="104"/>
        <v/>
      </c>
      <c r="D651" s="74" t="str">
        <f t="shared" si="105"/>
        <v/>
      </c>
      <c r="F651" s="65" t="str">
        <f t="shared" si="106"/>
        <v/>
      </c>
      <c r="G651" s="68" t="str">
        <f t="shared" si="107"/>
        <v/>
      </c>
      <c r="H651" s="68" t="str">
        <f t="shared" si="108"/>
        <v/>
      </c>
      <c r="I651" s="68" t="str">
        <f t="shared" si="112"/>
        <v/>
      </c>
      <c r="M651" s="1">
        <v>614</v>
      </c>
      <c r="N651" s="1" t="str">
        <f>IF($T651=0,"",INDEX(VIRMAN!$C$7:$C$406,$T651))</f>
        <v/>
      </c>
      <c r="O651" s="1" t="str">
        <f>IF($N651="","",INDEX(VIRMAN!$D$7:$D$406,$T651)&amp;" → "&amp;$C$36&amp;IF(INDEX(VIRMAN!$G$7:$G$406,$T651)="",""," – "&amp;INDEX(VIRMAN!$G$7:$G$406,$T651)))</f>
        <v/>
      </c>
      <c r="P651" s="1" t="str">
        <f t="shared" si="113"/>
        <v/>
      </c>
      <c r="Q651" s="1">
        <f>IF($N651="",0,INDEX(VIRMAN!$F$7:$F$406,$T651))</f>
        <v>0</v>
      </c>
      <c r="R651" s="1">
        <v>0</v>
      </c>
      <c r="S651" s="1">
        <f t="shared" si="109"/>
        <v>10000000000</v>
      </c>
      <c r="T651" s="1">
        <f>IFERROR(MATCH($C$36&amp;"|78",VIRMAN!$K$7:$K$406,0),0)</f>
        <v>0</v>
      </c>
      <c r="V651" s="1">
        <f t="shared" si="110"/>
        <v>10000000000</v>
      </c>
      <c r="W651" s="1">
        <f t="shared" si="111"/>
        <v>9</v>
      </c>
    </row>
    <row r="652" spans="2:23" ht="14.25" customHeight="1" x14ac:dyDescent="0.3">
      <c r="B652" s="65" t="str">
        <f t="shared" si="103"/>
        <v/>
      </c>
      <c r="C652" s="70" t="str">
        <f t="shared" si="104"/>
        <v/>
      </c>
      <c r="D652" s="74" t="str">
        <f t="shared" si="105"/>
        <v/>
      </c>
      <c r="F652" s="65" t="str">
        <f t="shared" si="106"/>
        <v/>
      </c>
      <c r="G652" s="68" t="str">
        <f t="shared" si="107"/>
        <v/>
      </c>
      <c r="H652" s="68" t="str">
        <f t="shared" si="108"/>
        <v/>
      </c>
      <c r="I652" s="68" t="str">
        <f t="shared" si="112"/>
        <v/>
      </c>
      <c r="M652" s="1">
        <v>615</v>
      </c>
      <c r="N652" s="1" t="str">
        <f>IF($T652=0,"",INDEX(VIRMAN!$C$7:$C$406,$T652))</f>
        <v/>
      </c>
      <c r="O652" s="1" t="str">
        <f>IF($N652="","",INDEX(VIRMAN!$D$7:$D$406,$T652)&amp;" → "&amp;$C$36&amp;IF(INDEX(VIRMAN!$G$7:$G$406,$T652)="",""," – "&amp;INDEX(VIRMAN!$G$7:$G$406,$T652)))</f>
        <v/>
      </c>
      <c r="P652" s="1" t="str">
        <f t="shared" si="113"/>
        <v/>
      </c>
      <c r="Q652" s="1">
        <f>IF($N652="",0,INDEX(VIRMAN!$F$7:$F$406,$T652))</f>
        <v>0</v>
      </c>
      <c r="R652" s="1">
        <v>0</v>
      </c>
      <c r="S652" s="1">
        <f t="shared" si="109"/>
        <v>10000000000</v>
      </c>
      <c r="T652" s="1">
        <f>IFERROR(MATCH($C$36&amp;"|79",VIRMAN!$K$7:$K$406,0),0)</f>
        <v>0</v>
      </c>
      <c r="V652" s="1">
        <f t="shared" si="110"/>
        <v>10000000000</v>
      </c>
      <c r="W652" s="1">
        <f t="shared" si="111"/>
        <v>9</v>
      </c>
    </row>
    <row r="653" spans="2:23" ht="14.25" customHeight="1" x14ac:dyDescent="0.3">
      <c r="B653" s="65" t="str">
        <f t="shared" si="103"/>
        <v/>
      </c>
      <c r="C653" s="70" t="str">
        <f t="shared" si="104"/>
        <v/>
      </c>
      <c r="D653" s="74" t="str">
        <f t="shared" si="105"/>
        <v/>
      </c>
      <c r="F653" s="65" t="str">
        <f t="shared" si="106"/>
        <v/>
      </c>
      <c r="G653" s="68" t="str">
        <f t="shared" si="107"/>
        <v/>
      </c>
      <c r="H653" s="68" t="str">
        <f t="shared" si="108"/>
        <v/>
      </c>
      <c r="I653" s="68" t="str">
        <f t="shared" si="112"/>
        <v/>
      </c>
      <c r="M653" s="1">
        <v>616</v>
      </c>
      <c r="N653" s="1" t="str">
        <f>IF($T653=0,"",INDEX(VIRMAN!$C$7:$C$406,$T653))</f>
        <v/>
      </c>
      <c r="O653" s="1" t="str">
        <f>IF($N653="","",INDEX(VIRMAN!$D$7:$D$406,$T653)&amp;" → "&amp;$C$36&amp;IF(INDEX(VIRMAN!$G$7:$G$406,$T653)="",""," – "&amp;INDEX(VIRMAN!$G$7:$G$406,$T653)))</f>
        <v/>
      </c>
      <c r="P653" s="1" t="str">
        <f t="shared" si="113"/>
        <v/>
      </c>
      <c r="Q653" s="1">
        <f>IF($N653="",0,INDEX(VIRMAN!$F$7:$F$406,$T653))</f>
        <v>0</v>
      </c>
      <c r="R653" s="1">
        <v>0</v>
      </c>
      <c r="S653" s="1">
        <f t="shared" si="109"/>
        <v>10000000000</v>
      </c>
      <c r="T653" s="1">
        <f>IFERROR(MATCH($C$36&amp;"|80",VIRMAN!$K$7:$K$406,0),0)</f>
        <v>0</v>
      </c>
      <c r="V653" s="1">
        <f t="shared" si="110"/>
        <v>10000000000</v>
      </c>
      <c r="W653" s="1">
        <f t="shared" si="111"/>
        <v>9</v>
      </c>
    </row>
    <row r="654" spans="2:23" ht="14.25" customHeight="1" x14ac:dyDescent="0.3">
      <c r="B654" s="65" t="str">
        <f t="shared" si="103"/>
        <v/>
      </c>
      <c r="C654" s="70" t="str">
        <f t="shared" si="104"/>
        <v/>
      </c>
      <c r="D654" s="74" t="str">
        <f t="shared" si="105"/>
        <v/>
      </c>
      <c r="F654" s="65" t="str">
        <f t="shared" si="106"/>
        <v/>
      </c>
      <c r="G654" s="68" t="str">
        <f t="shared" si="107"/>
        <v/>
      </c>
      <c r="H654" s="68" t="str">
        <f t="shared" si="108"/>
        <v/>
      </c>
      <c r="I654" s="68" t="str">
        <f t="shared" si="112"/>
        <v/>
      </c>
      <c r="M654" s="1">
        <v>617</v>
      </c>
      <c r="N654" s="1" t="str">
        <f>IF($T654=0,"",INDEX(VIRMAN!$C$7:$C$406,$T654))</f>
        <v/>
      </c>
      <c r="O654" s="1" t="str">
        <f>IF($N654="","",INDEX(VIRMAN!$D$7:$D$406,$T654)&amp;" → "&amp;$C$36&amp;IF(INDEX(VIRMAN!$G$7:$G$406,$T654)="",""," – "&amp;INDEX(VIRMAN!$G$7:$G$406,$T654)))</f>
        <v/>
      </c>
      <c r="P654" s="1" t="str">
        <f t="shared" si="113"/>
        <v/>
      </c>
      <c r="Q654" s="1">
        <f>IF($N654="",0,INDEX(VIRMAN!$F$7:$F$406,$T654))</f>
        <v>0</v>
      </c>
      <c r="R654" s="1">
        <v>0</v>
      </c>
      <c r="S654" s="1">
        <f t="shared" si="109"/>
        <v>10000000000</v>
      </c>
      <c r="T654" s="1">
        <f>IFERROR(MATCH($C$36&amp;"|81",VIRMAN!$K$7:$K$406,0),0)</f>
        <v>0</v>
      </c>
      <c r="V654" s="1">
        <f t="shared" si="110"/>
        <v>10000000000</v>
      </c>
      <c r="W654" s="1">
        <f t="shared" si="111"/>
        <v>9</v>
      </c>
    </row>
    <row r="655" spans="2:23" ht="14.25" customHeight="1" x14ac:dyDescent="0.3">
      <c r="B655" s="65" t="str">
        <f t="shared" si="103"/>
        <v/>
      </c>
      <c r="C655" s="70" t="str">
        <f t="shared" si="104"/>
        <v/>
      </c>
      <c r="D655" s="74" t="str">
        <f t="shared" si="105"/>
        <v/>
      </c>
      <c r="F655" s="65" t="str">
        <f t="shared" si="106"/>
        <v/>
      </c>
      <c r="G655" s="68" t="str">
        <f t="shared" si="107"/>
        <v/>
      </c>
      <c r="H655" s="68" t="str">
        <f t="shared" si="108"/>
        <v/>
      </c>
      <c r="I655" s="68" t="str">
        <f t="shared" si="112"/>
        <v/>
      </c>
      <c r="M655" s="1">
        <v>618</v>
      </c>
      <c r="N655" s="1" t="str">
        <f>IF($T655=0,"",INDEX(VIRMAN!$C$7:$C$406,$T655))</f>
        <v/>
      </c>
      <c r="O655" s="1" t="str">
        <f>IF($N655="","",INDEX(VIRMAN!$D$7:$D$406,$T655)&amp;" → "&amp;$C$36&amp;IF(INDEX(VIRMAN!$G$7:$G$406,$T655)="",""," – "&amp;INDEX(VIRMAN!$G$7:$G$406,$T655)))</f>
        <v/>
      </c>
      <c r="P655" s="1" t="str">
        <f t="shared" si="113"/>
        <v/>
      </c>
      <c r="Q655" s="1">
        <f>IF($N655="",0,INDEX(VIRMAN!$F$7:$F$406,$T655))</f>
        <v>0</v>
      </c>
      <c r="R655" s="1">
        <v>0</v>
      </c>
      <c r="S655" s="1">
        <f t="shared" si="109"/>
        <v>10000000000</v>
      </c>
      <c r="T655" s="1">
        <f>IFERROR(MATCH($C$36&amp;"|82",VIRMAN!$K$7:$K$406,0),0)</f>
        <v>0</v>
      </c>
      <c r="V655" s="1">
        <f t="shared" si="110"/>
        <v>10000000000</v>
      </c>
      <c r="W655" s="1">
        <f t="shared" si="111"/>
        <v>9</v>
      </c>
    </row>
    <row r="656" spans="2:23" ht="14.25" customHeight="1" x14ac:dyDescent="0.3">
      <c r="B656" s="65" t="str">
        <f t="shared" si="103"/>
        <v/>
      </c>
      <c r="C656" s="70" t="str">
        <f t="shared" si="104"/>
        <v/>
      </c>
      <c r="D656" s="74" t="str">
        <f t="shared" si="105"/>
        <v/>
      </c>
      <c r="F656" s="65" t="str">
        <f t="shared" si="106"/>
        <v/>
      </c>
      <c r="G656" s="68" t="str">
        <f t="shared" si="107"/>
        <v/>
      </c>
      <c r="H656" s="68" t="str">
        <f t="shared" si="108"/>
        <v/>
      </c>
      <c r="I656" s="68" t="str">
        <f t="shared" si="112"/>
        <v/>
      </c>
      <c r="M656" s="1">
        <v>619</v>
      </c>
      <c r="N656" s="1" t="str">
        <f>IF($T656=0,"",INDEX(VIRMAN!$C$7:$C$406,$T656))</f>
        <v/>
      </c>
      <c r="O656" s="1" t="str">
        <f>IF($N656="","",INDEX(VIRMAN!$D$7:$D$406,$T656)&amp;" → "&amp;$C$36&amp;IF(INDEX(VIRMAN!$G$7:$G$406,$T656)="",""," – "&amp;INDEX(VIRMAN!$G$7:$G$406,$T656)))</f>
        <v/>
      </c>
      <c r="P656" s="1" t="str">
        <f t="shared" si="113"/>
        <v/>
      </c>
      <c r="Q656" s="1">
        <f>IF($N656="",0,INDEX(VIRMAN!$F$7:$F$406,$T656))</f>
        <v>0</v>
      </c>
      <c r="R656" s="1">
        <v>0</v>
      </c>
      <c r="S656" s="1">
        <f t="shared" si="109"/>
        <v>10000000000</v>
      </c>
      <c r="T656" s="1">
        <f>IFERROR(MATCH($C$36&amp;"|83",VIRMAN!$K$7:$K$406,0),0)</f>
        <v>0</v>
      </c>
      <c r="V656" s="1">
        <f t="shared" si="110"/>
        <v>10000000000</v>
      </c>
      <c r="W656" s="1">
        <f t="shared" si="111"/>
        <v>9</v>
      </c>
    </row>
    <row r="657" spans="2:23" ht="14.25" customHeight="1" x14ac:dyDescent="0.3">
      <c r="B657" s="65" t="str">
        <f t="shared" si="103"/>
        <v/>
      </c>
      <c r="C657" s="70" t="str">
        <f t="shared" si="104"/>
        <v/>
      </c>
      <c r="D657" s="74" t="str">
        <f t="shared" si="105"/>
        <v/>
      </c>
      <c r="F657" s="65" t="str">
        <f t="shared" si="106"/>
        <v/>
      </c>
      <c r="G657" s="68" t="str">
        <f t="shared" si="107"/>
        <v/>
      </c>
      <c r="H657" s="68" t="str">
        <f t="shared" si="108"/>
        <v/>
      </c>
      <c r="I657" s="68" t="str">
        <f t="shared" si="112"/>
        <v/>
      </c>
      <c r="M657" s="1">
        <v>620</v>
      </c>
      <c r="N657" s="1" t="str">
        <f>IF($T657=0,"",INDEX(VIRMAN!$C$7:$C$406,$T657))</f>
        <v/>
      </c>
      <c r="O657" s="1" t="str">
        <f>IF($N657="","",INDEX(VIRMAN!$D$7:$D$406,$T657)&amp;" → "&amp;$C$36&amp;IF(INDEX(VIRMAN!$G$7:$G$406,$T657)="",""," – "&amp;INDEX(VIRMAN!$G$7:$G$406,$T657)))</f>
        <v/>
      </c>
      <c r="P657" s="1" t="str">
        <f t="shared" si="113"/>
        <v/>
      </c>
      <c r="Q657" s="1">
        <f>IF($N657="",0,INDEX(VIRMAN!$F$7:$F$406,$T657))</f>
        <v>0</v>
      </c>
      <c r="R657" s="1">
        <v>0</v>
      </c>
      <c r="S657" s="1">
        <f t="shared" si="109"/>
        <v>10000000000</v>
      </c>
      <c r="T657" s="1">
        <f>IFERROR(MATCH($C$36&amp;"|84",VIRMAN!$K$7:$K$406,0),0)</f>
        <v>0</v>
      </c>
      <c r="V657" s="1">
        <f t="shared" si="110"/>
        <v>10000000000</v>
      </c>
      <c r="W657" s="1">
        <f t="shared" si="111"/>
        <v>9</v>
      </c>
    </row>
    <row r="658" spans="2:23" ht="14.25" customHeight="1" x14ac:dyDescent="0.3">
      <c r="B658" s="65" t="str">
        <f t="shared" si="103"/>
        <v/>
      </c>
      <c r="C658" s="70" t="str">
        <f t="shared" si="104"/>
        <v/>
      </c>
      <c r="D658" s="74" t="str">
        <f t="shared" si="105"/>
        <v/>
      </c>
      <c r="F658" s="65" t="str">
        <f t="shared" si="106"/>
        <v/>
      </c>
      <c r="G658" s="68" t="str">
        <f t="shared" si="107"/>
        <v/>
      </c>
      <c r="H658" s="68" t="str">
        <f t="shared" si="108"/>
        <v/>
      </c>
      <c r="I658" s="68" t="str">
        <f t="shared" si="112"/>
        <v/>
      </c>
      <c r="M658" s="1">
        <v>621</v>
      </c>
      <c r="N658" s="1" t="str">
        <f>IF($T658=0,"",INDEX(VIRMAN!$C$7:$C$406,$T658))</f>
        <v/>
      </c>
      <c r="O658" s="1" t="str">
        <f>IF($N658="","",INDEX(VIRMAN!$D$7:$D$406,$T658)&amp;" → "&amp;$C$36&amp;IF(INDEX(VIRMAN!$G$7:$G$406,$T658)="",""," – "&amp;INDEX(VIRMAN!$G$7:$G$406,$T658)))</f>
        <v/>
      </c>
      <c r="P658" s="1" t="str">
        <f t="shared" si="113"/>
        <v/>
      </c>
      <c r="Q658" s="1">
        <f>IF($N658="",0,INDEX(VIRMAN!$F$7:$F$406,$T658))</f>
        <v>0</v>
      </c>
      <c r="R658" s="1">
        <v>0</v>
      </c>
      <c r="S658" s="1">
        <f t="shared" si="109"/>
        <v>10000000000</v>
      </c>
      <c r="T658" s="1">
        <f>IFERROR(MATCH($C$36&amp;"|85",VIRMAN!$K$7:$K$406,0),0)</f>
        <v>0</v>
      </c>
      <c r="V658" s="1">
        <f t="shared" si="110"/>
        <v>10000000000</v>
      </c>
      <c r="W658" s="1">
        <f t="shared" si="111"/>
        <v>9</v>
      </c>
    </row>
    <row r="659" spans="2:23" ht="14.25" customHeight="1" x14ac:dyDescent="0.3">
      <c r="B659" s="65" t="str">
        <f t="shared" si="103"/>
        <v/>
      </c>
      <c r="C659" s="70" t="str">
        <f t="shared" si="104"/>
        <v/>
      </c>
      <c r="D659" s="74" t="str">
        <f t="shared" si="105"/>
        <v/>
      </c>
      <c r="F659" s="65" t="str">
        <f t="shared" si="106"/>
        <v/>
      </c>
      <c r="G659" s="68" t="str">
        <f t="shared" si="107"/>
        <v/>
      </c>
      <c r="H659" s="68" t="str">
        <f t="shared" si="108"/>
        <v/>
      </c>
      <c r="I659" s="68" t="str">
        <f t="shared" si="112"/>
        <v/>
      </c>
      <c r="M659" s="1">
        <v>622</v>
      </c>
      <c r="N659" s="1" t="str">
        <f>IF($T659=0,"",INDEX(VIRMAN!$C$7:$C$406,$T659))</f>
        <v/>
      </c>
      <c r="O659" s="1" t="str">
        <f>IF($N659="","",INDEX(VIRMAN!$D$7:$D$406,$T659)&amp;" → "&amp;$C$36&amp;IF(INDEX(VIRMAN!$G$7:$G$406,$T659)="",""," – "&amp;INDEX(VIRMAN!$G$7:$G$406,$T659)))</f>
        <v/>
      </c>
      <c r="P659" s="1" t="str">
        <f t="shared" si="113"/>
        <v/>
      </c>
      <c r="Q659" s="1">
        <f>IF($N659="",0,INDEX(VIRMAN!$F$7:$F$406,$T659))</f>
        <v>0</v>
      </c>
      <c r="R659" s="1">
        <v>0</v>
      </c>
      <c r="S659" s="1">
        <f t="shared" si="109"/>
        <v>10000000000</v>
      </c>
      <c r="T659" s="1">
        <f>IFERROR(MATCH($C$36&amp;"|86",VIRMAN!$K$7:$K$406,0),0)</f>
        <v>0</v>
      </c>
      <c r="V659" s="1">
        <f t="shared" si="110"/>
        <v>10000000000</v>
      </c>
      <c r="W659" s="1">
        <f t="shared" si="111"/>
        <v>9</v>
      </c>
    </row>
    <row r="660" spans="2:23" ht="14.25" customHeight="1" x14ac:dyDescent="0.3">
      <c r="B660" s="65" t="str">
        <f t="shared" si="103"/>
        <v/>
      </c>
      <c r="C660" s="70" t="str">
        <f t="shared" si="104"/>
        <v/>
      </c>
      <c r="D660" s="74" t="str">
        <f t="shared" si="105"/>
        <v/>
      </c>
      <c r="F660" s="65" t="str">
        <f t="shared" si="106"/>
        <v/>
      </c>
      <c r="G660" s="68" t="str">
        <f t="shared" si="107"/>
        <v/>
      </c>
      <c r="H660" s="68" t="str">
        <f t="shared" si="108"/>
        <v/>
      </c>
      <c r="I660" s="68" t="str">
        <f t="shared" si="112"/>
        <v/>
      </c>
      <c r="M660" s="1">
        <v>623</v>
      </c>
      <c r="N660" s="1" t="str">
        <f>IF($T660=0,"",INDEX(VIRMAN!$C$7:$C$406,$T660))</f>
        <v/>
      </c>
      <c r="O660" s="1" t="str">
        <f>IF($N660="","",INDEX(VIRMAN!$D$7:$D$406,$T660)&amp;" → "&amp;$C$36&amp;IF(INDEX(VIRMAN!$G$7:$G$406,$T660)="",""," – "&amp;INDEX(VIRMAN!$G$7:$G$406,$T660)))</f>
        <v/>
      </c>
      <c r="P660" s="1" t="str">
        <f t="shared" si="113"/>
        <v/>
      </c>
      <c r="Q660" s="1">
        <f>IF($N660="",0,INDEX(VIRMAN!$F$7:$F$406,$T660))</f>
        <v>0</v>
      </c>
      <c r="R660" s="1">
        <v>0</v>
      </c>
      <c r="S660" s="1">
        <f t="shared" si="109"/>
        <v>10000000000</v>
      </c>
      <c r="T660" s="1">
        <f>IFERROR(MATCH($C$36&amp;"|87",VIRMAN!$K$7:$K$406,0),0)</f>
        <v>0</v>
      </c>
      <c r="V660" s="1">
        <f t="shared" si="110"/>
        <v>10000000000</v>
      </c>
      <c r="W660" s="1">
        <f t="shared" si="111"/>
        <v>9</v>
      </c>
    </row>
    <row r="661" spans="2:23" ht="14.25" customHeight="1" x14ac:dyDescent="0.3">
      <c r="B661" s="65" t="str">
        <f t="shared" si="103"/>
        <v/>
      </c>
      <c r="C661" s="70" t="str">
        <f t="shared" si="104"/>
        <v/>
      </c>
      <c r="D661" s="74" t="str">
        <f t="shared" si="105"/>
        <v/>
      </c>
      <c r="F661" s="65" t="str">
        <f t="shared" si="106"/>
        <v/>
      </c>
      <c r="G661" s="68" t="str">
        <f t="shared" si="107"/>
        <v/>
      </c>
      <c r="H661" s="68" t="str">
        <f t="shared" si="108"/>
        <v/>
      </c>
      <c r="I661" s="68" t="str">
        <f t="shared" si="112"/>
        <v/>
      </c>
      <c r="M661" s="1">
        <v>624</v>
      </c>
      <c r="N661" s="1" t="str">
        <f>IF($T661=0,"",INDEX(VIRMAN!$C$7:$C$406,$T661))</f>
        <v/>
      </c>
      <c r="O661" s="1" t="str">
        <f>IF($N661="","",INDEX(VIRMAN!$D$7:$D$406,$T661)&amp;" → "&amp;$C$36&amp;IF(INDEX(VIRMAN!$G$7:$G$406,$T661)="",""," – "&amp;INDEX(VIRMAN!$G$7:$G$406,$T661)))</f>
        <v/>
      </c>
      <c r="P661" s="1" t="str">
        <f t="shared" si="113"/>
        <v/>
      </c>
      <c r="Q661" s="1">
        <f>IF($N661="",0,INDEX(VIRMAN!$F$7:$F$406,$T661))</f>
        <v>0</v>
      </c>
      <c r="R661" s="1">
        <v>0</v>
      </c>
      <c r="S661" s="1">
        <f t="shared" si="109"/>
        <v>10000000000</v>
      </c>
      <c r="T661" s="1">
        <f>IFERROR(MATCH($C$36&amp;"|88",VIRMAN!$K$7:$K$406,0),0)</f>
        <v>0</v>
      </c>
      <c r="V661" s="1">
        <f t="shared" si="110"/>
        <v>10000000000</v>
      </c>
      <c r="W661" s="1">
        <f t="shared" si="111"/>
        <v>9</v>
      </c>
    </row>
    <row r="662" spans="2:23" ht="14.25" customHeight="1" x14ac:dyDescent="0.3">
      <c r="B662" s="65" t="str">
        <f t="shared" si="103"/>
        <v/>
      </c>
      <c r="C662" s="70" t="str">
        <f t="shared" si="104"/>
        <v/>
      </c>
      <c r="D662" s="74" t="str">
        <f t="shared" si="105"/>
        <v/>
      </c>
      <c r="F662" s="65" t="str">
        <f t="shared" si="106"/>
        <v/>
      </c>
      <c r="G662" s="68" t="str">
        <f t="shared" si="107"/>
        <v/>
      </c>
      <c r="H662" s="68" t="str">
        <f t="shared" si="108"/>
        <v/>
      </c>
      <c r="I662" s="68" t="str">
        <f t="shared" si="112"/>
        <v/>
      </c>
      <c r="M662" s="1">
        <v>625</v>
      </c>
      <c r="N662" s="1" t="str">
        <f>IF($T662=0,"",INDEX(VIRMAN!$C$7:$C$406,$T662))</f>
        <v/>
      </c>
      <c r="O662" s="1" t="str">
        <f>IF($N662="","",INDEX(VIRMAN!$D$7:$D$406,$T662)&amp;" → "&amp;$C$36&amp;IF(INDEX(VIRMAN!$G$7:$G$406,$T662)="",""," – "&amp;INDEX(VIRMAN!$G$7:$G$406,$T662)))</f>
        <v/>
      </c>
      <c r="P662" s="1" t="str">
        <f t="shared" si="113"/>
        <v/>
      </c>
      <c r="Q662" s="1">
        <f>IF($N662="",0,INDEX(VIRMAN!$F$7:$F$406,$T662))</f>
        <v>0</v>
      </c>
      <c r="R662" s="1">
        <v>0</v>
      </c>
      <c r="S662" s="1">
        <f t="shared" si="109"/>
        <v>10000000000</v>
      </c>
      <c r="T662" s="1">
        <f>IFERROR(MATCH($C$36&amp;"|89",VIRMAN!$K$7:$K$406,0),0)</f>
        <v>0</v>
      </c>
      <c r="V662" s="1">
        <f t="shared" si="110"/>
        <v>10000000000</v>
      </c>
      <c r="W662" s="1">
        <f t="shared" si="111"/>
        <v>9</v>
      </c>
    </row>
    <row r="663" spans="2:23" ht="14.25" customHeight="1" x14ac:dyDescent="0.3">
      <c r="B663" s="65" t="str">
        <f t="shared" si="103"/>
        <v/>
      </c>
      <c r="C663" s="70" t="str">
        <f t="shared" si="104"/>
        <v/>
      </c>
      <c r="D663" s="74" t="str">
        <f t="shared" si="105"/>
        <v/>
      </c>
      <c r="F663" s="65" t="str">
        <f t="shared" si="106"/>
        <v/>
      </c>
      <c r="G663" s="68" t="str">
        <f t="shared" si="107"/>
        <v/>
      </c>
      <c r="H663" s="68" t="str">
        <f t="shared" si="108"/>
        <v/>
      </c>
      <c r="I663" s="68" t="str">
        <f t="shared" si="112"/>
        <v/>
      </c>
      <c r="M663" s="1">
        <v>626</v>
      </c>
      <c r="N663" s="1" t="str">
        <f>IF($T663=0,"",INDEX(VIRMAN!$C$7:$C$406,$T663))</f>
        <v/>
      </c>
      <c r="O663" s="1" t="str">
        <f>IF($N663="","",INDEX(VIRMAN!$D$7:$D$406,$T663)&amp;" → "&amp;$C$36&amp;IF(INDEX(VIRMAN!$G$7:$G$406,$T663)="",""," – "&amp;INDEX(VIRMAN!$G$7:$G$406,$T663)))</f>
        <v/>
      </c>
      <c r="P663" s="1" t="str">
        <f t="shared" si="113"/>
        <v/>
      </c>
      <c r="Q663" s="1">
        <f>IF($N663="",0,INDEX(VIRMAN!$F$7:$F$406,$T663))</f>
        <v>0</v>
      </c>
      <c r="R663" s="1">
        <v>0</v>
      </c>
      <c r="S663" s="1">
        <f t="shared" si="109"/>
        <v>10000000000</v>
      </c>
      <c r="T663" s="1">
        <f>IFERROR(MATCH($C$36&amp;"|90",VIRMAN!$K$7:$K$406,0),0)</f>
        <v>0</v>
      </c>
      <c r="V663" s="1">
        <f t="shared" si="110"/>
        <v>10000000000</v>
      </c>
      <c r="W663" s="1">
        <f t="shared" si="111"/>
        <v>9</v>
      </c>
    </row>
    <row r="664" spans="2:23" ht="14.25" customHeight="1" x14ac:dyDescent="0.3">
      <c r="B664" s="65" t="str">
        <f t="shared" si="103"/>
        <v/>
      </c>
      <c r="C664" s="70" t="str">
        <f t="shared" si="104"/>
        <v/>
      </c>
      <c r="D664" s="74" t="str">
        <f t="shared" si="105"/>
        <v/>
      </c>
      <c r="F664" s="65" t="str">
        <f t="shared" si="106"/>
        <v/>
      </c>
      <c r="G664" s="68" t="str">
        <f t="shared" si="107"/>
        <v/>
      </c>
      <c r="H664" s="68" t="str">
        <f t="shared" si="108"/>
        <v/>
      </c>
      <c r="I664" s="68" t="str">
        <f t="shared" si="112"/>
        <v/>
      </c>
      <c r="M664" s="1">
        <v>627</v>
      </c>
      <c r="N664" s="1" t="str">
        <f>IF($T664=0,"",INDEX(VIRMAN!$C$7:$C$406,$T664))</f>
        <v/>
      </c>
      <c r="O664" s="1" t="str">
        <f>IF($N664="","",INDEX(VIRMAN!$D$7:$D$406,$T664)&amp;" → "&amp;$C$36&amp;IF(INDEX(VIRMAN!$G$7:$G$406,$T664)="",""," – "&amp;INDEX(VIRMAN!$G$7:$G$406,$T664)))</f>
        <v/>
      </c>
      <c r="P664" s="1" t="str">
        <f t="shared" si="113"/>
        <v/>
      </c>
      <c r="Q664" s="1">
        <f>IF($N664="",0,INDEX(VIRMAN!$F$7:$F$406,$T664))</f>
        <v>0</v>
      </c>
      <c r="R664" s="1">
        <v>0</v>
      </c>
      <c r="S664" s="1">
        <f t="shared" si="109"/>
        <v>10000000000</v>
      </c>
      <c r="T664" s="1">
        <f>IFERROR(MATCH($C$36&amp;"|91",VIRMAN!$K$7:$K$406,0),0)</f>
        <v>0</v>
      </c>
      <c r="V664" s="1">
        <f t="shared" si="110"/>
        <v>10000000000</v>
      </c>
      <c r="W664" s="1">
        <f t="shared" si="111"/>
        <v>9</v>
      </c>
    </row>
    <row r="665" spans="2:23" ht="14.25" customHeight="1" x14ac:dyDescent="0.3">
      <c r="B665" s="65" t="str">
        <f t="shared" si="103"/>
        <v/>
      </c>
      <c r="C665" s="70" t="str">
        <f t="shared" si="104"/>
        <v/>
      </c>
      <c r="D665" s="74" t="str">
        <f t="shared" si="105"/>
        <v/>
      </c>
      <c r="F665" s="65" t="str">
        <f t="shared" si="106"/>
        <v/>
      </c>
      <c r="G665" s="68" t="str">
        <f t="shared" si="107"/>
        <v/>
      </c>
      <c r="H665" s="68" t="str">
        <f t="shared" si="108"/>
        <v/>
      </c>
      <c r="I665" s="68" t="str">
        <f t="shared" si="112"/>
        <v/>
      </c>
      <c r="M665" s="1">
        <v>628</v>
      </c>
      <c r="N665" s="1" t="str">
        <f>IF($T665=0,"",INDEX(VIRMAN!$C$7:$C$406,$T665))</f>
        <v/>
      </c>
      <c r="O665" s="1" t="str">
        <f>IF($N665="","",INDEX(VIRMAN!$D$7:$D$406,$T665)&amp;" → "&amp;$C$36&amp;IF(INDEX(VIRMAN!$G$7:$G$406,$T665)="",""," – "&amp;INDEX(VIRMAN!$G$7:$G$406,$T665)))</f>
        <v/>
      </c>
      <c r="P665" s="1" t="str">
        <f t="shared" si="113"/>
        <v/>
      </c>
      <c r="Q665" s="1">
        <f>IF($N665="",0,INDEX(VIRMAN!$F$7:$F$406,$T665))</f>
        <v>0</v>
      </c>
      <c r="R665" s="1">
        <v>0</v>
      </c>
      <c r="S665" s="1">
        <f t="shared" si="109"/>
        <v>10000000000</v>
      </c>
      <c r="T665" s="1">
        <f>IFERROR(MATCH($C$36&amp;"|92",VIRMAN!$K$7:$K$406,0),0)</f>
        <v>0</v>
      </c>
      <c r="V665" s="1">
        <f t="shared" si="110"/>
        <v>10000000000</v>
      </c>
      <c r="W665" s="1">
        <f t="shared" si="111"/>
        <v>9</v>
      </c>
    </row>
    <row r="666" spans="2:23" ht="14.25" customHeight="1" x14ac:dyDescent="0.3">
      <c r="B666" s="65" t="str">
        <f t="shared" si="103"/>
        <v/>
      </c>
      <c r="C666" s="70" t="str">
        <f t="shared" si="104"/>
        <v/>
      </c>
      <c r="D666" s="74" t="str">
        <f t="shared" si="105"/>
        <v/>
      </c>
      <c r="F666" s="65" t="str">
        <f t="shared" si="106"/>
        <v/>
      </c>
      <c r="G666" s="68" t="str">
        <f t="shared" si="107"/>
        <v/>
      </c>
      <c r="H666" s="68" t="str">
        <f t="shared" si="108"/>
        <v/>
      </c>
      <c r="I666" s="68" t="str">
        <f t="shared" si="112"/>
        <v/>
      </c>
      <c r="M666" s="1">
        <v>629</v>
      </c>
      <c r="N666" s="1" t="str">
        <f>IF($T666=0,"",INDEX(VIRMAN!$C$7:$C$406,$T666))</f>
        <v/>
      </c>
      <c r="O666" s="1" t="str">
        <f>IF($N666="","",INDEX(VIRMAN!$D$7:$D$406,$T666)&amp;" → "&amp;$C$36&amp;IF(INDEX(VIRMAN!$G$7:$G$406,$T666)="",""," – "&amp;INDEX(VIRMAN!$G$7:$G$406,$T666)))</f>
        <v/>
      </c>
      <c r="P666" s="1" t="str">
        <f t="shared" si="113"/>
        <v/>
      </c>
      <c r="Q666" s="1">
        <f>IF($N666="",0,INDEX(VIRMAN!$F$7:$F$406,$T666))</f>
        <v>0</v>
      </c>
      <c r="R666" s="1">
        <v>0</v>
      </c>
      <c r="S666" s="1">
        <f t="shared" si="109"/>
        <v>10000000000</v>
      </c>
      <c r="T666" s="1">
        <f>IFERROR(MATCH($C$36&amp;"|93",VIRMAN!$K$7:$K$406,0),0)</f>
        <v>0</v>
      </c>
      <c r="V666" s="1">
        <f t="shared" si="110"/>
        <v>10000000000</v>
      </c>
      <c r="W666" s="1">
        <f t="shared" si="111"/>
        <v>9</v>
      </c>
    </row>
    <row r="667" spans="2:23" ht="14.25" customHeight="1" x14ac:dyDescent="0.3">
      <c r="B667" s="65" t="str">
        <f t="shared" si="103"/>
        <v/>
      </c>
      <c r="C667" s="70" t="str">
        <f t="shared" si="104"/>
        <v/>
      </c>
      <c r="D667" s="74" t="str">
        <f t="shared" si="105"/>
        <v/>
      </c>
      <c r="F667" s="65" t="str">
        <f t="shared" si="106"/>
        <v/>
      </c>
      <c r="G667" s="68" t="str">
        <f t="shared" si="107"/>
        <v/>
      </c>
      <c r="H667" s="68" t="str">
        <f t="shared" si="108"/>
        <v/>
      </c>
      <c r="I667" s="68" t="str">
        <f t="shared" si="112"/>
        <v/>
      </c>
      <c r="M667" s="1">
        <v>630</v>
      </c>
      <c r="N667" s="1" t="str">
        <f>IF($T667=0,"",INDEX(VIRMAN!$C$7:$C$406,$T667))</f>
        <v/>
      </c>
      <c r="O667" s="1" t="str">
        <f>IF($N667="","",INDEX(VIRMAN!$D$7:$D$406,$T667)&amp;" → "&amp;$C$36&amp;IF(INDEX(VIRMAN!$G$7:$G$406,$T667)="",""," – "&amp;INDEX(VIRMAN!$G$7:$G$406,$T667)))</f>
        <v/>
      </c>
      <c r="P667" s="1" t="str">
        <f t="shared" si="113"/>
        <v/>
      </c>
      <c r="Q667" s="1">
        <f>IF($N667="",0,INDEX(VIRMAN!$F$7:$F$406,$T667))</f>
        <v>0</v>
      </c>
      <c r="R667" s="1">
        <v>0</v>
      </c>
      <c r="S667" s="1">
        <f t="shared" si="109"/>
        <v>10000000000</v>
      </c>
      <c r="T667" s="1">
        <f>IFERROR(MATCH($C$36&amp;"|94",VIRMAN!$K$7:$K$406,0),0)</f>
        <v>0</v>
      </c>
      <c r="V667" s="1">
        <f t="shared" si="110"/>
        <v>10000000000</v>
      </c>
      <c r="W667" s="1">
        <f t="shared" si="111"/>
        <v>9</v>
      </c>
    </row>
    <row r="668" spans="2:23" ht="14.25" customHeight="1" x14ac:dyDescent="0.3">
      <c r="B668" s="65" t="str">
        <f t="shared" si="103"/>
        <v/>
      </c>
      <c r="C668" s="70" t="str">
        <f t="shared" si="104"/>
        <v/>
      </c>
      <c r="D668" s="74" t="str">
        <f t="shared" si="105"/>
        <v/>
      </c>
      <c r="F668" s="65" t="str">
        <f t="shared" si="106"/>
        <v/>
      </c>
      <c r="G668" s="68" t="str">
        <f t="shared" si="107"/>
        <v/>
      </c>
      <c r="H668" s="68" t="str">
        <f t="shared" si="108"/>
        <v/>
      </c>
      <c r="I668" s="68" t="str">
        <f t="shared" si="112"/>
        <v/>
      </c>
      <c r="M668" s="1">
        <v>631</v>
      </c>
      <c r="N668" s="1" t="str">
        <f>IF($T668=0,"",INDEX(VIRMAN!$C$7:$C$406,$T668))</f>
        <v/>
      </c>
      <c r="O668" s="1" t="str">
        <f>IF($N668="","",INDEX(VIRMAN!$D$7:$D$406,$T668)&amp;" → "&amp;$C$36&amp;IF(INDEX(VIRMAN!$G$7:$G$406,$T668)="",""," – "&amp;INDEX(VIRMAN!$G$7:$G$406,$T668)))</f>
        <v/>
      </c>
      <c r="P668" s="1" t="str">
        <f t="shared" si="113"/>
        <v/>
      </c>
      <c r="Q668" s="1">
        <f>IF($N668="",0,INDEX(VIRMAN!$F$7:$F$406,$T668))</f>
        <v>0</v>
      </c>
      <c r="R668" s="1">
        <v>0</v>
      </c>
      <c r="S668" s="1">
        <f t="shared" si="109"/>
        <v>10000000000</v>
      </c>
      <c r="T668" s="1">
        <f>IFERROR(MATCH($C$36&amp;"|95",VIRMAN!$K$7:$K$406,0),0)</f>
        <v>0</v>
      </c>
      <c r="V668" s="1">
        <f t="shared" si="110"/>
        <v>10000000000</v>
      </c>
      <c r="W668" s="1">
        <f t="shared" si="111"/>
        <v>9</v>
      </c>
    </row>
    <row r="669" spans="2:23" ht="14.25" customHeight="1" x14ac:dyDescent="0.3">
      <c r="B669" s="65" t="str">
        <f t="shared" si="103"/>
        <v/>
      </c>
      <c r="C669" s="70" t="str">
        <f t="shared" si="104"/>
        <v/>
      </c>
      <c r="D669" s="74" t="str">
        <f t="shared" si="105"/>
        <v/>
      </c>
      <c r="F669" s="65" t="str">
        <f t="shared" si="106"/>
        <v/>
      </c>
      <c r="G669" s="68" t="str">
        <f t="shared" si="107"/>
        <v/>
      </c>
      <c r="H669" s="68" t="str">
        <f t="shared" si="108"/>
        <v/>
      </c>
      <c r="I669" s="68" t="str">
        <f t="shared" si="112"/>
        <v/>
      </c>
      <c r="M669" s="1">
        <v>632</v>
      </c>
      <c r="N669" s="1" t="str">
        <f>IF($T669=0,"",INDEX(VIRMAN!$C$7:$C$406,$T669))</f>
        <v/>
      </c>
      <c r="O669" s="1" t="str">
        <f>IF($N669="","",INDEX(VIRMAN!$D$7:$D$406,$T669)&amp;" → "&amp;$C$36&amp;IF(INDEX(VIRMAN!$G$7:$G$406,$T669)="",""," – "&amp;INDEX(VIRMAN!$G$7:$G$406,$T669)))</f>
        <v/>
      </c>
      <c r="P669" s="1" t="str">
        <f t="shared" si="113"/>
        <v/>
      </c>
      <c r="Q669" s="1">
        <f>IF($N669="",0,INDEX(VIRMAN!$F$7:$F$406,$T669))</f>
        <v>0</v>
      </c>
      <c r="R669" s="1">
        <v>0</v>
      </c>
      <c r="S669" s="1">
        <f t="shared" si="109"/>
        <v>10000000000</v>
      </c>
      <c r="T669" s="1">
        <f>IFERROR(MATCH($C$36&amp;"|96",VIRMAN!$K$7:$K$406,0),0)</f>
        <v>0</v>
      </c>
      <c r="V669" s="1">
        <f t="shared" si="110"/>
        <v>10000000000</v>
      </c>
      <c r="W669" s="1">
        <f t="shared" si="111"/>
        <v>9</v>
      </c>
    </row>
    <row r="670" spans="2:23" ht="14.25" customHeight="1" x14ac:dyDescent="0.3">
      <c r="B670" s="65" t="str">
        <f t="shared" si="103"/>
        <v/>
      </c>
      <c r="C670" s="70" t="str">
        <f t="shared" si="104"/>
        <v/>
      </c>
      <c r="D670" s="74" t="str">
        <f t="shared" si="105"/>
        <v/>
      </c>
      <c r="F670" s="65" t="str">
        <f t="shared" si="106"/>
        <v/>
      </c>
      <c r="G670" s="68" t="str">
        <f t="shared" si="107"/>
        <v/>
      </c>
      <c r="H670" s="68" t="str">
        <f t="shared" si="108"/>
        <v/>
      </c>
      <c r="I670" s="68" t="str">
        <f t="shared" si="112"/>
        <v/>
      </c>
      <c r="M670" s="1">
        <v>633</v>
      </c>
      <c r="N670" s="1" t="str">
        <f>IF($T670=0,"",INDEX(VIRMAN!$C$7:$C$406,$T670))</f>
        <v/>
      </c>
      <c r="O670" s="1" t="str">
        <f>IF($N670="","",INDEX(VIRMAN!$D$7:$D$406,$T670)&amp;" → "&amp;$C$36&amp;IF(INDEX(VIRMAN!$G$7:$G$406,$T670)="",""," – "&amp;INDEX(VIRMAN!$G$7:$G$406,$T670)))</f>
        <v/>
      </c>
      <c r="P670" s="1" t="str">
        <f t="shared" ref="P670:P701" si="114">IF($N670="","","VİRMAN GELDİ")</f>
        <v/>
      </c>
      <c r="Q670" s="1">
        <f>IF($N670="",0,INDEX(VIRMAN!$F$7:$F$406,$T670))</f>
        <v>0</v>
      </c>
      <c r="R670" s="1">
        <v>0</v>
      </c>
      <c r="S670" s="1">
        <f t="shared" si="109"/>
        <v>10000000000</v>
      </c>
      <c r="T670" s="1">
        <f>IFERROR(MATCH($C$36&amp;"|97",VIRMAN!$K$7:$K$406,0),0)</f>
        <v>0</v>
      </c>
      <c r="V670" s="1">
        <f t="shared" si="110"/>
        <v>10000000000</v>
      </c>
      <c r="W670" s="1">
        <f t="shared" si="111"/>
        <v>9</v>
      </c>
    </row>
    <row r="671" spans="2:23" ht="14.25" customHeight="1" x14ac:dyDescent="0.3">
      <c r="B671" s="65" t="str">
        <f t="shared" si="103"/>
        <v/>
      </c>
      <c r="C671" s="70" t="str">
        <f t="shared" si="104"/>
        <v/>
      </c>
      <c r="D671" s="74" t="str">
        <f t="shared" si="105"/>
        <v/>
      </c>
      <c r="F671" s="65" t="str">
        <f t="shared" si="106"/>
        <v/>
      </c>
      <c r="G671" s="68" t="str">
        <f t="shared" si="107"/>
        <v/>
      </c>
      <c r="H671" s="68" t="str">
        <f t="shared" si="108"/>
        <v/>
      </c>
      <c r="I671" s="68" t="str">
        <f t="shared" si="112"/>
        <v/>
      </c>
      <c r="M671" s="1">
        <v>634</v>
      </c>
      <c r="N671" s="1" t="str">
        <f>IF($T671=0,"",INDEX(VIRMAN!$C$7:$C$406,$T671))</f>
        <v/>
      </c>
      <c r="O671" s="1" t="str">
        <f>IF($N671="","",INDEX(VIRMAN!$D$7:$D$406,$T671)&amp;" → "&amp;$C$36&amp;IF(INDEX(VIRMAN!$G$7:$G$406,$T671)="",""," – "&amp;INDEX(VIRMAN!$G$7:$G$406,$T671)))</f>
        <v/>
      </c>
      <c r="P671" s="1" t="str">
        <f t="shared" si="114"/>
        <v/>
      </c>
      <c r="Q671" s="1">
        <f>IF($N671="",0,INDEX(VIRMAN!$F$7:$F$406,$T671))</f>
        <v>0</v>
      </c>
      <c r="R671" s="1">
        <v>0</v>
      </c>
      <c r="S671" s="1">
        <f t="shared" si="109"/>
        <v>10000000000</v>
      </c>
      <c r="T671" s="1">
        <f>IFERROR(MATCH($C$36&amp;"|98",VIRMAN!$K$7:$K$406,0),0)</f>
        <v>0</v>
      </c>
      <c r="V671" s="1">
        <f t="shared" si="110"/>
        <v>10000000000</v>
      </c>
      <c r="W671" s="1">
        <f t="shared" si="111"/>
        <v>9</v>
      </c>
    </row>
    <row r="672" spans="2:23" ht="14.25" customHeight="1" x14ac:dyDescent="0.3">
      <c r="B672" s="65" t="str">
        <f t="shared" si="103"/>
        <v/>
      </c>
      <c r="C672" s="70" t="str">
        <f t="shared" si="104"/>
        <v/>
      </c>
      <c r="D672" s="74" t="str">
        <f t="shared" si="105"/>
        <v/>
      </c>
      <c r="F672" s="65" t="str">
        <f t="shared" si="106"/>
        <v/>
      </c>
      <c r="G672" s="68" t="str">
        <f t="shared" si="107"/>
        <v/>
      </c>
      <c r="H672" s="68" t="str">
        <f t="shared" si="108"/>
        <v/>
      </c>
      <c r="I672" s="68" t="str">
        <f t="shared" si="112"/>
        <v/>
      </c>
      <c r="M672" s="1">
        <v>635</v>
      </c>
      <c r="N672" s="1" t="str">
        <f>IF($T672=0,"",INDEX(VIRMAN!$C$7:$C$406,$T672))</f>
        <v/>
      </c>
      <c r="O672" s="1" t="str">
        <f>IF($N672="","",INDEX(VIRMAN!$D$7:$D$406,$T672)&amp;" → "&amp;$C$36&amp;IF(INDEX(VIRMAN!$G$7:$G$406,$T672)="",""," – "&amp;INDEX(VIRMAN!$G$7:$G$406,$T672)))</f>
        <v/>
      </c>
      <c r="P672" s="1" t="str">
        <f t="shared" si="114"/>
        <v/>
      </c>
      <c r="Q672" s="1">
        <f>IF($N672="",0,INDEX(VIRMAN!$F$7:$F$406,$T672))</f>
        <v>0</v>
      </c>
      <c r="R672" s="1">
        <v>0</v>
      </c>
      <c r="S672" s="1">
        <f t="shared" si="109"/>
        <v>10000000000</v>
      </c>
      <c r="T672" s="1">
        <f>IFERROR(MATCH($C$36&amp;"|99",VIRMAN!$K$7:$K$406,0),0)</f>
        <v>0</v>
      </c>
      <c r="V672" s="1">
        <f t="shared" si="110"/>
        <v>10000000000</v>
      </c>
      <c r="W672" s="1">
        <f t="shared" si="111"/>
        <v>9</v>
      </c>
    </row>
    <row r="673" spans="2:23" ht="14.25" customHeight="1" x14ac:dyDescent="0.3">
      <c r="B673" s="65" t="str">
        <f t="shared" si="103"/>
        <v/>
      </c>
      <c r="C673" s="70" t="str">
        <f t="shared" si="104"/>
        <v/>
      </c>
      <c r="D673" s="74" t="str">
        <f t="shared" si="105"/>
        <v/>
      </c>
      <c r="F673" s="65" t="str">
        <f t="shared" si="106"/>
        <v/>
      </c>
      <c r="G673" s="68" t="str">
        <f t="shared" si="107"/>
        <v/>
      </c>
      <c r="H673" s="68" t="str">
        <f t="shared" si="108"/>
        <v/>
      </c>
      <c r="I673" s="68" t="str">
        <f t="shared" si="112"/>
        <v/>
      </c>
      <c r="M673" s="1">
        <v>636</v>
      </c>
      <c r="N673" s="1" t="str">
        <f>IF($T673=0,"",INDEX(VIRMAN!$C$7:$C$406,$T673))</f>
        <v/>
      </c>
      <c r="O673" s="1" t="str">
        <f>IF($N673="","",INDEX(VIRMAN!$D$7:$D$406,$T673)&amp;" → "&amp;$C$36&amp;IF(INDEX(VIRMAN!$G$7:$G$406,$T673)="",""," – "&amp;INDEX(VIRMAN!$G$7:$G$406,$T673)))</f>
        <v/>
      </c>
      <c r="P673" s="1" t="str">
        <f t="shared" si="114"/>
        <v/>
      </c>
      <c r="Q673" s="1">
        <f>IF($N673="",0,INDEX(VIRMAN!$F$7:$F$406,$T673))</f>
        <v>0</v>
      </c>
      <c r="R673" s="1">
        <v>0</v>
      </c>
      <c r="S673" s="1">
        <f t="shared" si="109"/>
        <v>10000000000</v>
      </c>
      <c r="T673" s="1">
        <f>IFERROR(MATCH($C$36&amp;"|100",VIRMAN!$K$7:$K$406,0),0)</f>
        <v>0</v>
      </c>
      <c r="V673" s="1">
        <f t="shared" si="110"/>
        <v>10000000000</v>
      </c>
      <c r="W673" s="1">
        <f t="shared" si="111"/>
        <v>9</v>
      </c>
    </row>
    <row r="674" spans="2:23" ht="14.25" customHeight="1" x14ac:dyDescent="0.3">
      <c r="B674" s="65" t="str">
        <f t="shared" si="103"/>
        <v/>
      </c>
      <c r="C674" s="70" t="str">
        <f t="shared" si="104"/>
        <v/>
      </c>
      <c r="D674" s="74" t="str">
        <f t="shared" si="105"/>
        <v/>
      </c>
      <c r="F674" s="65" t="str">
        <f t="shared" si="106"/>
        <v/>
      </c>
      <c r="G674" s="68" t="str">
        <f t="shared" si="107"/>
        <v/>
      </c>
      <c r="H674" s="68" t="str">
        <f t="shared" si="108"/>
        <v/>
      </c>
      <c r="I674" s="68" t="str">
        <f t="shared" si="112"/>
        <v/>
      </c>
      <c r="M674" s="1">
        <v>637</v>
      </c>
      <c r="N674" s="1" t="str">
        <f>IF($T674=0,"",INDEX(VIRMAN!$C$7:$C$406,$T674))</f>
        <v/>
      </c>
      <c r="O674" s="1" t="str">
        <f>IF($N674="","",INDEX(VIRMAN!$D$7:$D$406,$T674)&amp;" → "&amp;$C$36&amp;IF(INDEX(VIRMAN!$G$7:$G$406,$T674)="",""," – "&amp;INDEX(VIRMAN!$G$7:$G$406,$T674)))</f>
        <v/>
      </c>
      <c r="P674" s="1" t="str">
        <f t="shared" si="114"/>
        <v/>
      </c>
      <c r="Q674" s="1">
        <f>IF($N674="",0,INDEX(VIRMAN!$F$7:$F$406,$T674))</f>
        <v>0</v>
      </c>
      <c r="R674" s="1">
        <v>0</v>
      </c>
      <c r="S674" s="1">
        <f t="shared" si="109"/>
        <v>10000000000</v>
      </c>
      <c r="T674" s="1">
        <f>IFERROR(MATCH($C$36&amp;"|101",VIRMAN!$K$7:$K$406,0),0)</f>
        <v>0</v>
      </c>
      <c r="V674" s="1">
        <f t="shared" si="110"/>
        <v>10000000000</v>
      </c>
      <c r="W674" s="1">
        <f t="shared" si="111"/>
        <v>9</v>
      </c>
    </row>
    <row r="675" spans="2:23" ht="14.25" customHeight="1" x14ac:dyDescent="0.3">
      <c r="B675" s="65" t="str">
        <f t="shared" si="103"/>
        <v/>
      </c>
      <c r="C675" s="70" t="str">
        <f t="shared" si="104"/>
        <v/>
      </c>
      <c r="D675" s="74" t="str">
        <f t="shared" si="105"/>
        <v/>
      </c>
      <c r="F675" s="65" t="str">
        <f t="shared" si="106"/>
        <v/>
      </c>
      <c r="G675" s="68" t="str">
        <f t="shared" si="107"/>
        <v/>
      </c>
      <c r="H675" s="68" t="str">
        <f t="shared" si="108"/>
        <v/>
      </c>
      <c r="I675" s="68" t="str">
        <f t="shared" si="112"/>
        <v/>
      </c>
      <c r="M675" s="1">
        <v>638</v>
      </c>
      <c r="N675" s="1" t="str">
        <f>IF($T675=0,"",INDEX(VIRMAN!$C$7:$C$406,$T675))</f>
        <v/>
      </c>
      <c r="O675" s="1" t="str">
        <f>IF($N675="","",INDEX(VIRMAN!$D$7:$D$406,$T675)&amp;" → "&amp;$C$36&amp;IF(INDEX(VIRMAN!$G$7:$G$406,$T675)="",""," – "&amp;INDEX(VIRMAN!$G$7:$G$406,$T675)))</f>
        <v/>
      </c>
      <c r="P675" s="1" t="str">
        <f t="shared" si="114"/>
        <v/>
      </c>
      <c r="Q675" s="1">
        <f>IF($N675="",0,INDEX(VIRMAN!$F$7:$F$406,$T675))</f>
        <v>0</v>
      </c>
      <c r="R675" s="1">
        <v>0</v>
      </c>
      <c r="S675" s="1">
        <f t="shared" si="109"/>
        <v>10000000000</v>
      </c>
      <c r="T675" s="1">
        <f>IFERROR(MATCH($C$36&amp;"|102",VIRMAN!$K$7:$K$406,0),0)</f>
        <v>0</v>
      </c>
      <c r="V675" s="1">
        <f t="shared" si="110"/>
        <v>10000000000</v>
      </c>
      <c r="W675" s="1">
        <f t="shared" si="111"/>
        <v>9</v>
      </c>
    </row>
    <row r="676" spans="2:23" ht="14.25" customHeight="1" x14ac:dyDescent="0.3">
      <c r="B676" s="65" t="str">
        <f t="shared" si="103"/>
        <v/>
      </c>
      <c r="C676" s="70" t="str">
        <f t="shared" si="104"/>
        <v/>
      </c>
      <c r="D676" s="74" t="str">
        <f t="shared" si="105"/>
        <v/>
      </c>
      <c r="F676" s="65" t="str">
        <f t="shared" si="106"/>
        <v/>
      </c>
      <c r="G676" s="68" t="str">
        <f t="shared" si="107"/>
        <v/>
      </c>
      <c r="H676" s="68" t="str">
        <f t="shared" si="108"/>
        <v/>
      </c>
      <c r="I676" s="68" t="str">
        <f t="shared" si="112"/>
        <v/>
      </c>
      <c r="M676" s="1">
        <v>639</v>
      </c>
      <c r="N676" s="1" t="str">
        <f>IF($T676=0,"",INDEX(VIRMAN!$C$7:$C$406,$T676))</f>
        <v/>
      </c>
      <c r="O676" s="1" t="str">
        <f>IF($N676="","",INDEX(VIRMAN!$D$7:$D$406,$T676)&amp;" → "&amp;$C$36&amp;IF(INDEX(VIRMAN!$G$7:$G$406,$T676)="",""," – "&amp;INDEX(VIRMAN!$G$7:$G$406,$T676)))</f>
        <v/>
      </c>
      <c r="P676" s="1" t="str">
        <f t="shared" si="114"/>
        <v/>
      </c>
      <c r="Q676" s="1">
        <f>IF($N676="",0,INDEX(VIRMAN!$F$7:$F$406,$T676))</f>
        <v>0</v>
      </c>
      <c r="R676" s="1">
        <v>0</v>
      </c>
      <c r="S676" s="1">
        <f t="shared" si="109"/>
        <v>10000000000</v>
      </c>
      <c r="T676" s="1">
        <f>IFERROR(MATCH($C$36&amp;"|103",VIRMAN!$K$7:$K$406,0),0)</f>
        <v>0</v>
      </c>
      <c r="V676" s="1">
        <f t="shared" si="110"/>
        <v>10000000000</v>
      </c>
      <c r="W676" s="1">
        <f t="shared" si="111"/>
        <v>9</v>
      </c>
    </row>
    <row r="677" spans="2:23" ht="14.25" customHeight="1" x14ac:dyDescent="0.3">
      <c r="B677" s="65" t="str">
        <f t="shared" si="103"/>
        <v/>
      </c>
      <c r="C677" s="70" t="str">
        <f t="shared" si="104"/>
        <v/>
      </c>
      <c r="D677" s="74" t="str">
        <f t="shared" si="105"/>
        <v/>
      </c>
      <c r="F677" s="65" t="str">
        <f t="shared" si="106"/>
        <v/>
      </c>
      <c r="G677" s="68" t="str">
        <f t="shared" si="107"/>
        <v/>
      </c>
      <c r="H677" s="68" t="str">
        <f t="shared" si="108"/>
        <v/>
      </c>
      <c r="I677" s="68" t="str">
        <f t="shared" si="112"/>
        <v/>
      </c>
      <c r="M677" s="1">
        <v>640</v>
      </c>
      <c r="N677" s="1" t="str">
        <f>IF($T677=0,"",INDEX(VIRMAN!$C$7:$C$406,$T677))</f>
        <v/>
      </c>
      <c r="O677" s="1" t="str">
        <f>IF($N677="","",INDEX(VIRMAN!$D$7:$D$406,$T677)&amp;" → "&amp;$C$36&amp;IF(INDEX(VIRMAN!$G$7:$G$406,$T677)="",""," – "&amp;INDEX(VIRMAN!$G$7:$G$406,$T677)))</f>
        <v/>
      </c>
      <c r="P677" s="1" t="str">
        <f t="shared" si="114"/>
        <v/>
      </c>
      <c r="Q677" s="1">
        <f>IF($N677="",0,INDEX(VIRMAN!$F$7:$F$406,$T677))</f>
        <v>0</v>
      </c>
      <c r="R677" s="1">
        <v>0</v>
      </c>
      <c r="S677" s="1">
        <f t="shared" si="109"/>
        <v>10000000000</v>
      </c>
      <c r="T677" s="1">
        <f>IFERROR(MATCH($C$36&amp;"|104",VIRMAN!$K$7:$K$406,0),0)</f>
        <v>0</v>
      </c>
      <c r="V677" s="1">
        <f t="shared" si="110"/>
        <v>10000000000</v>
      </c>
      <c r="W677" s="1">
        <f t="shared" si="111"/>
        <v>9</v>
      </c>
    </row>
    <row r="678" spans="2:23" ht="14.25" customHeight="1" x14ac:dyDescent="0.3">
      <c r="B678" s="65" t="str">
        <f t="shared" ref="B678:B741" si="115">IF($C678="","",ROW()-37)</f>
        <v/>
      </c>
      <c r="C678" s="70" t="str">
        <f t="shared" ref="C678:C741" si="116">IF($W678="","",IF(INDEX($N$38:$N$953,$W678)="","",INDEX($N$38:$N$953,$W678)))</f>
        <v/>
      </c>
      <c r="D678" s="74" t="str">
        <f t="shared" ref="D678:D741" si="117">IF($C678="","",INDEX($O$38:$O$953,$W678))</f>
        <v/>
      </c>
      <c r="F678" s="65" t="str">
        <f t="shared" ref="F678:F741" si="118">IF($C678="","",INDEX($P$38:$P$953,$W678))</f>
        <v/>
      </c>
      <c r="G678" s="68" t="str">
        <f t="shared" ref="G678:G741" si="119">IF($C678="","",INDEX($Q$38:$Q$953,$W678))</f>
        <v/>
      </c>
      <c r="H678" s="68" t="str">
        <f t="shared" ref="H678:H741" si="120">IF($C678="","",INDEX($R$38:$R$953,$W678))</f>
        <v/>
      </c>
      <c r="I678" s="68" t="str">
        <f t="shared" si="112"/>
        <v/>
      </c>
      <c r="M678" s="1">
        <v>641</v>
      </c>
      <c r="N678" s="1" t="str">
        <f>IF($T678=0,"",INDEX(VIRMAN!$C$7:$C$406,$T678))</f>
        <v/>
      </c>
      <c r="O678" s="1" t="str">
        <f>IF($N678="","",INDEX(VIRMAN!$D$7:$D$406,$T678)&amp;" → "&amp;$C$36&amp;IF(INDEX(VIRMAN!$G$7:$G$406,$T678)="",""," – "&amp;INDEX(VIRMAN!$G$7:$G$406,$T678)))</f>
        <v/>
      </c>
      <c r="P678" s="1" t="str">
        <f t="shared" si="114"/>
        <v/>
      </c>
      <c r="Q678" s="1">
        <f>IF($N678="",0,INDEX(VIRMAN!$F$7:$F$406,$T678))</f>
        <v>0</v>
      </c>
      <c r="R678" s="1">
        <v>0</v>
      </c>
      <c r="S678" s="1">
        <f t="shared" ref="S678:S741" si="121">IF($N678="",10000000000,$N678*100000+$M678)</f>
        <v>10000000000</v>
      </c>
      <c r="T678" s="1">
        <f>IFERROR(MATCH($C$36&amp;"|105",VIRMAN!$K$7:$K$406,0),0)</f>
        <v>0</v>
      </c>
      <c r="V678" s="1">
        <f t="shared" ref="V678:V741" si="122">IFERROR(SMALL($S$38:$S$953,ROW()-37),"")</f>
        <v>10000000000</v>
      </c>
      <c r="W678" s="1">
        <f t="shared" ref="W678:W741" si="123">IFERROR(MATCH($V678,$S$38:$S$953,0),"")</f>
        <v>9</v>
      </c>
    </row>
    <row r="679" spans="2:23" ht="14.25" customHeight="1" x14ac:dyDescent="0.3">
      <c r="B679" s="65" t="str">
        <f t="shared" si="115"/>
        <v/>
      </c>
      <c r="C679" s="70" t="str">
        <f t="shared" si="116"/>
        <v/>
      </c>
      <c r="D679" s="74" t="str">
        <f t="shared" si="117"/>
        <v/>
      </c>
      <c r="F679" s="65" t="str">
        <f t="shared" si="118"/>
        <v/>
      </c>
      <c r="G679" s="68" t="str">
        <f t="shared" si="119"/>
        <v/>
      </c>
      <c r="H679" s="68" t="str">
        <f t="shared" si="120"/>
        <v/>
      </c>
      <c r="I679" s="68" t="str">
        <f t="shared" ref="I679:I742" si="124">IF($C679="","",N($I678)+$G679-$H679)</f>
        <v/>
      </c>
      <c r="M679" s="1">
        <v>642</v>
      </c>
      <c r="N679" s="1" t="str">
        <f>IF($T679=0,"",INDEX(VIRMAN!$C$7:$C$406,$T679))</f>
        <v/>
      </c>
      <c r="O679" s="1" t="str">
        <f>IF($N679="","",INDEX(VIRMAN!$D$7:$D$406,$T679)&amp;" → "&amp;$C$36&amp;IF(INDEX(VIRMAN!$G$7:$G$406,$T679)="",""," – "&amp;INDEX(VIRMAN!$G$7:$G$406,$T679)))</f>
        <v/>
      </c>
      <c r="P679" s="1" t="str">
        <f t="shared" si="114"/>
        <v/>
      </c>
      <c r="Q679" s="1">
        <f>IF($N679="",0,INDEX(VIRMAN!$F$7:$F$406,$T679))</f>
        <v>0</v>
      </c>
      <c r="R679" s="1">
        <v>0</v>
      </c>
      <c r="S679" s="1">
        <f t="shared" si="121"/>
        <v>10000000000</v>
      </c>
      <c r="T679" s="1">
        <f>IFERROR(MATCH($C$36&amp;"|106",VIRMAN!$K$7:$K$406,0),0)</f>
        <v>0</v>
      </c>
      <c r="V679" s="1">
        <f t="shared" si="122"/>
        <v>10000000000</v>
      </c>
      <c r="W679" s="1">
        <f t="shared" si="123"/>
        <v>9</v>
      </c>
    </row>
    <row r="680" spans="2:23" ht="14.25" customHeight="1" x14ac:dyDescent="0.3">
      <c r="B680" s="65" t="str">
        <f t="shared" si="115"/>
        <v/>
      </c>
      <c r="C680" s="70" t="str">
        <f t="shared" si="116"/>
        <v/>
      </c>
      <c r="D680" s="74" t="str">
        <f t="shared" si="117"/>
        <v/>
      </c>
      <c r="F680" s="65" t="str">
        <f t="shared" si="118"/>
        <v/>
      </c>
      <c r="G680" s="68" t="str">
        <f t="shared" si="119"/>
        <v/>
      </c>
      <c r="H680" s="68" t="str">
        <f t="shared" si="120"/>
        <v/>
      </c>
      <c r="I680" s="68" t="str">
        <f t="shared" si="124"/>
        <v/>
      </c>
      <c r="M680" s="1">
        <v>643</v>
      </c>
      <c r="N680" s="1" t="str">
        <f>IF($T680=0,"",INDEX(VIRMAN!$C$7:$C$406,$T680))</f>
        <v/>
      </c>
      <c r="O680" s="1" t="str">
        <f>IF($N680="","",INDEX(VIRMAN!$D$7:$D$406,$T680)&amp;" → "&amp;$C$36&amp;IF(INDEX(VIRMAN!$G$7:$G$406,$T680)="",""," – "&amp;INDEX(VIRMAN!$G$7:$G$406,$T680)))</f>
        <v/>
      </c>
      <c r="P680" s="1" t="str">
        <f t="shared" si="114"/>
        <v/>
      </c>
      <c r="Q680" s="1">
        <f>IF($N680="",0,INDEX(VIRMAN!$F$7:$F$406,$T680))</f>
        <v>0</v>
      </c>
      <c r="R680" s="1">
        <v>0</v>
      </c>
      <c r="S680" s="1">
        <f t="shared" si="121"/>
        <v>10000000000</v>
      </c>
      <c r="T680" s="1">
        <f>IFERROR(MATCH($C$36&amp;"|107",VIRMAN!$K$7:$K$406,0),0)</f>
        <v>0</v>
      </c>
      <c r="V680" s="1">
        <f t="shared" si="122"/>
        <v>10000000000</v>
      </c>
      <c r="W680" s="1">
        <f t="shared" si="123"/>
        <v>9</v>
      </c>
    </row>
    <row r="681" spans="2:23" ht="14.25" customHeight="1" x14ac:dyDescent="0.3">
      <c r="B681" s="65" t="str">
        <f t="shared" si="115"/>
        <v/>
      </c>
      <c r="C681" s="70" t="str">
        <f t="shared" si="116"/>
        <v/>
      </c>
      <c r="D681" s="74" t="str">
        <f t="shared" si="117"/>
        <v/>
      </c>
      <c r="F681" s="65" t="str">
        <f t="shared" si="118"/>
        <v/>
      </c>
      <c r="G681" s="68" t="str">
        <f t="shared" si="119"/>
        <v/>
      </c>
      <c r="H681" s="68" t="str">
        <f t="shared" si="120"/>
        <v/>
      </c>
      <c r="I681" s="68" t="str">
        <f t="shared" si="124"/>
        <v/>
      </c>
      <c r="M681" s="1">
        <v>644</v>
      </c>
      <c r="N681" s="1" t="str">
        <f>IF($T681=0,"",INDEX(VIRMAN!$C$7:$C$406,$T681))</f>
        <v/>
      </c>
      <c r="O681" s="1" t="str">
        <f>IF($N681="","",INDEX(VIRMAN!$D$7:$D$406,$T681)&amp;" → "&amp;$C$36&amp;IF(INDEX(VIRMAN!$G$7:$G$406,$T681)="",""," – "&amp;INDEX(VIRMAN!$G$7:$G$406,$T681)))</f>
        <v/>
      </c>
      <c r="P681" s="1" t="str">
        <f t="shared" si="114"/>
        <v/>
      </c>
      <c r="Q681" s="1">
        <f>IF($N681="",0,INDEX(VIRMAN!$F$7:$F$406,$T681))</f>
        <v>0</v>
      </c>
      <c r="R681" s="1">
        <v>0</v>
      </c>
      <c r="S681" s="1">
        <f t="shared" si="121"/>
        <v>10000000000</v>
      </c>
      <c r="T681" s="1">
        <f>IFERROR(MATCH($C$36&amp;"|108",VIRMAN!$K$7:$K$406,0),0)</f>
        <v>0</v>
      </c>
      <c r="V681" s="1">
        <f t="shared" si="122"/>
        <v>10000000000</v>
      </c>
      <c r="W681" s="1">
        <f t="shared" si="123"/>
        <v>9</v>
      </c>
    </row>
    <row r="682" spans="2:23" ht="14.25" customHeight="1" x14ac:dyDescent="0.3">
      <c r="B682" s="65" t="str">
        <f t="shared" si="115"/>
        <v/>
      </c>
      <c r="C682" s="70" t="str">
        <f t="shared" si="116"/>
        <v/>
      </c>
      <c r="D682" s="74" t="str">
        <f t="shared" si="117"/>
        <v/>
      </c>
      <c r="F682" s="65" t="str">
        <f t="shared" si="118"/>
        <v/>
      </c>
      <c r="G682" s="68" t="str">
        <f t="shared" si="119"/>
        <v/>
      </c>
      <c r="H682" s="68" t="str">
        <f t="shared" si="120"/>
        <v/>
      </c>
      <c r="I682" s="68" t="str">
        <f t="shared" si="124"/>
        <v/>
      </c>
      <c r="M682" s="1">
        <v>645</v>
      </c>
      <c r="N682" s="1" t="str">
        <f>IF($T682=0,"",INDEX(VIRMAN!$C$7:$C$406,$T682))</f>
        <v/>
      </c>
      <c r="O682" s="1" t="str">
        <f>IF($N682="","",INDEX(VIRMAN!$D$7:$D$406,$T682)&amp;" → "&amp;$C$36&amp;IF(INDEX(VIRMAN!$G$7:$G$406,$T682)="",""," – "&amp;INDEX(VIRMAN!$G$7:$G$406,$T682)))</f>
        <v/>
      </c>
      <c r="P682" s="1" t="str">
        <f t="shared" si="114"/>
        <v/>
      </c>
      <c r="Q682" s="1">
        <f>IF($N682="",0,INDEX(VIRMAN!$F$7:$F$406,$T682))</f>
        <v>0</v>
      </c>
      <c r="R682" s="1">
        <v>0</v>
      </c>
      <c r="S682" s="1">
        <f t="shared" si="121"/>
        <v>10000000000</v>
      </c>
      <c r="T682" s="1">
        <f>IFERROR(MATCH($C$36&amp;"|109",VIRMAN!$K$7:$K$406,0),0)</f>
        <v>0</v>
      </c>
      <c r="V682" s="1">
        <f t="shared" si="122"/>
        <v>10000000000</v>
      </c>
      <c r="W682" s="1">
        <f t="shared" si="123"/>
        <v>9</v>
      </c>
    </row>
    <row r="683" spans="2:23" ht="14.25" customHeight="1" x14ac:dyDescent="0.3">
      <c r="B683" s="65" t="str">
        <f t="shared" si="115"/>
        <v/>
      </c>
      <c r="C683" s="70" t="str">
        <f t="shared" si="116"/>
        <v/>
      </c>
      <c r="D683" s="74" t="str">
        <f t="shared" si="117"/>
        <v/>
      </c>
      <c r="F683" s="65" t="str">
        <f t="shared" si="118"/>
        <v/>
      </c>
      <c r="G683" s="68" t="str">
        <f t="shared" si="119"/>
        <v/>
      </c>
      <c r="H683" s="68" t="str">
        <f t="shared" si="120"/>
        <v/>
      </c>
      <c r="I683" s="68" t="str">
        <f t="shared" si="124"/>
        <v/>
      </c>
      <c r="M683" s="1">
        <v>646</v>
      </c>
      <c r="N683" s="1" t="str">
        <f>IF($T683=0,"",INDEX(VIRMAN!$C$7:$C$406,$T683))</f>
        <v/>
      </c>
      <c r="O683" s="1" t="str">
        <f>IF($N683="","",INDEX(VIRMAN!$D$7:$D$406,$T683)&amp;" → "&amp;$C$36&amp;IF(INDEX(VIRMAN!$G$7:$G$406,$T683)="",""," – "&amp;INDEX(VIRMAN!$G$7:$G$406,$T683)))</f>
        <v/>
      </c>
      <c r="P683" s="1" t="str">
        <f t="shared" si="114"/>
        <v/>
      </c>
      <c r="Q683" s="1">
        <f>IF($N683="",0,INDEX(VIRMAN!$F$7:$F$406,$T683))</f>
        <v>0</v>
      </c>
      <c r="R683" s="1">
        <v>0</v>
      </c>
      <c r="S683" s="1">
        <f t="shared" si="121"/>
        <v>10000000000</v>
      </c>
      <c r="T683" s="1">
        <f>IFERROR(MATCH($C$36&amp;"|110",VIRMAN!$K$7:$K$406,0),0)</f>
        <v>0</v>
      </c>
      <c r="V683" s="1">
        <f t="shared" si="122"/>
        <v>10000000000</v>
      </c>
      <c r="W683" s="1">
        <f t="shared" si="123"/>
        <v>9</v>
      </c>
    </row>
    <row r="684" spans="2:23" ht="14.25" customHeight="1" x14ac:dyDescent="0.3">
      <c r="B684" s="65" t="str">
        <f t="shared" si="115"/>
        <v/>
      </c>
      <c r="C684" s="70" t="str">
        <f t="shared" si="116"/>
        <v/>
      </c>
      <c r="D684" s="74" t="str">
        <f t="shared" si="117"/>
        <v/>
      </c>
      <c r="F684" s="65" t="str">
        <f t="shared" si="118"/>
        <v/>
      </c>
      <c r="G684" s="68" t="str">
        <f t="shared" si="119"/>
        <v/>
      </c>
      <c r="H684" s="68" t="str">
        <f t="shared" si="120"/>
        <v/>
      </c>
      <c r="I684" s="68" t="str">
        <f t="shared" si="124"/>
        <v/>
      </c>
      <c r="M684" s="1">
        <v>647</v>
      </c>
      <c r="N684" s="1" t="str">
        <f>IF($T684=0,"",INDEX(VIRMAN!$C$7:$C$406,$T684))</f>
        <v/>
      </c>
      <c r="O684" s="1" t="str">
        <f>IF($N684="","",INDEX(VIRMAN!$D$7:$D$406,$T684)&amp;" → "&amp;$C$36&amp;IF(INDEX(VIRMAN!$G$7:$G$406,$T684)="",""," – "&amp;INDEX(VIRMAN!$G$7:$G$406,$T684)))</f>
        <v/>
      </c>
      <c r="P684" s="1" t="str">
        <f t="shared" si="114"/>
        <v/>
      </c>
      <c r="Q684" s="1">
        <f>IF($N684="",0,INDEX(VIRMAN!$F$7:$F$406,$T684))</f>
        <v>0</v>
      </c>
      <c r="R684" s="1">
        <v>0</v>
      </c>
      <c r="S684" s="1">
        <f t="shared" si="121"/>
        <v>10000000000</v>
      </c>
      <c r="T684" s="1">
        <f>IFERROR(MATCH($C$36&amp;"|111",VIRMAN!$K$7:$K$406,0),0)</f>
        <v>0</v>
      </c>
      <c r="V684" s="1">
        <f t="shared" si="122"/>
        <v>10000000000</v>
      </c>
      <c r="W684" s="1">
        <f t="shared" si="123"/>
        <v>9</v>
      </c>
    </row>
    <row r="685" spans="2:23" ht="14.25" customHeight="1" x14ac:dyDescent="0.3">
      <c r="B685" s="65" t="str">
        <f t="shared" si="115"/>
        <v/>
      </c>
      <c r="C685" s="70" t="str">
        <f t="shared" si="116"/>
        <v/>
      </c>
      <c r="D685" s="74" t="str">
        <f t="shared" si="117"/>
        <v/>
      </c>
      <c r="F685" s="65" t="str">
        <f t="shared" si="118"/>
        <v/>
      </c>
      <c r="G685" s="68" t="str">
        <f t="shared" si="119"/>
        <v/>
      </c>
      <c r="H685" s="68" t="str">
        <f t="shared" si="120"/>
        <v/>
      </c>
      <c r="I685" s="68" t="str">
        <f t="shared" si="124"/>
        <v/>
      </c>
      <c r="M685" s="1">
        <v>648</v>
      </c>
      <c r="N685" s="1" t="str">
        <f>IF($T685=0,"",INDEX(VIRMAN!$C$7:$C$406,$T685))</f>
        <v/>
      </c>
      <c r="O685" s="1" t="str">
        <f>IF($N685="","",INDEX(VIRMAN!$D$7:$D$406,$T685)&amp;" → "&amp;$C$36&amp;IF(INDEX(VIRMAN!$G$7:$G$406,$T685)="",""," – "&amp;INDEX(VIRMAN!$G$7:$G$406,$T685)))</f>
        <v/>
      </c>
      <c r="P685" s="1" t="str">
        <f t="shared" si="114"/>
        <v/>
      </c>
      <c r="Q685" s="1">
        <f>IF($N685="",0,INDEX(VIRMAN!$F$7:$F$406,$T685))</f>
        <v>0</v>
      </c>
      <c r="R685" s="1">
        <v>0</v>
      </c>
      <c r="S685" s="1">
        <f t="shared" si="121"/>
        <v>10000000000</v>
      </c>
      <c r="T685" s="1">
        <f>IFERROR(MATCH($C$36&amp;"|112",VIRMAN!$K$7:$K$406,0),0)</f>
        <v>0</v>
      </c>
      <c r="V685" s="1">
        <f t="shared" si="122"/>
        <v>10000000000</v>
      </c>
      <c r="W685" s="1">
        <f t="shared" si="123"/>
        <v>9</v>
      </c>
    </row>
    <row r="686" spans="2:23" ht="14.25" customHeight="1" x14ac:dyDescent="0.3">
      <c r="B686" s="65" t="str">
        <f t="shared" si="115"/>
        <v/>
      </c>
      <c r="C686" s="70" t="str">
        <f t="shared" si="116"/>
        <v/>
      </c>
      <c r="D686" s="74" t="str">
        <f t="shared" si="117"/>
        <v/>
      </c>
      <c r="F686" s="65" t="str">
        <f t="shared" si="118"/>
        <v/>
      </c>
      <c r="G686" s="68" t="str">
        <f t="shared" si="119"/>
        <v/>
      </c>
      <c r="H686" s="68" t="str">
        <f t="shared" si="120"/>
        <v/>
      </c>
      <c r="I686" s="68" t="str">
        <f t="shared" si="124"/>
        <v/>
      </c>
      <c r="M686" s="1">
        <v>649</v>
      </c>
      <c r="N686" s="1" t="str">
        <f>IF($T686=0,"",INDEX(VIRMAN!$C$7:$C$406,$T686))</f>
        <v/>
      </c>
      <c r="O686" s="1" t="str">
        <f>IF($N686="","",INDEX(VIRMAN!$D$7:$D$406,$T686)&amp;" → "&amp;$C$36&amp;IF(INDEX(VIRMAN!$G$7:$G$406,$T686)="",""," – "&amp;INDEX(VIRMAN!$G$7:$G$406,$T686)))</f>
        <v/>
      </c>
      <c r="P686" s="1" t="str">
        <f t="shared" si="114"/>
        <v/>
      </c>
      <c r="Q686" s="1">
        <f>IF($N686="",0,INDEX(VIRMAN!$F$7:$F$406,$T686))</f>
        <v>0</v>
      </c>
      <c r="R686" s="1">
        <v>0</v>
      </c>
      <c r="S686" s="1">
        <f t="shared" si="121"/>
        <v>10000000000</v>
      </c>
      <c r="T686" s="1">
        <f>IFERROR(MATCH($C$36&amp;"|113",VIRMAN!$K$7:$K$406,0),0)</f>
        <v>0</v>
      </c>
      <c r="V686" s="1">
        <f t="shared" si="122"/>
        <v>10000000000</v>
      </c>
      <c r="W686" s="1">
        <f t="shared" si="123"/>
        <v>9</v>
      </c>
    </row>
    <row r="687" spans="2:23" ht="14.25" customHeight="1" x14ac:dyDescent="0.3">
      <c r="B687" s="65" t="str">
        <f t="shared" si="115"/>
        <v/>
      </c>
      <c r="C687" s="70" t="str">
        <f t="shared" si="116"/>
        <v/>
      </c>
      <c r="D687" s="74" t="str">
        <f t="shared" si="117"/>
        <v/>
      </c>
      <c r="F687" s="65" t="str">
        <f t="shared" si="118"/>
        <v/>
      </c>
      <c r="G687" s="68" t="str">
        <f t="shared" si="119"/>
        <v/>
      </c>
      <c r="H687" s="68" t="str">
        <f t="shared" si="120"/>
        <v/>
      </c>
      <c r="I687" s="68" t="str">
        <f t="shared" si="124"/>
        <v/>
      </c>
      <c r="M687" s="1">
        <v>650</v>
      </c>
      <c r="N687" s="1" t="str">
        <f>IF($T687=0,"",INDEX(VIRMAN!$C$7:$C$406,$T687))</f>
        <v/>
      </c>
      <c r="O687" s="1" t="str">
        <f>IF($N687="","",INDEX(VIRMAN!$D$7:$D$406,$T687)&amp;" → "&amp;$C$36&amp;IF(INDEX(VIRMAN!$G$7:$G$406,$T687)="",""," – "&amp;INDEX(VIRMAN!$G$7:$G$406,$T687)))</f>
        <v/>
      </c>
      <c r="P687" s="1" t="str">
        <f t="shared" si="114"/>
        <v/>
      </c>
      <c r="Q687" s="1">
        <f>IF($N687="",0,INDEX(VIRMAN!$F$7:$F$406,$T687))</f>
        <v>0</v>
      </c>
      <c r="R687" s="1">
        <v>0</v>
      </c>
      <c r="S687" s="1">
        <f t="shared" si="121"/>
        <v>10000000000</v>
      </c>
      <c r="T687" s="1">
        <f>IFERROR(MATCH($C$36&amp;"|114",VIRMAN!$K$7:$K$406,0),0)</f>
        <v>0</v>
      </c>
      <c r="V687" s="1">
        <f t="shared" si="122"/>
        <v>10000000000</v>
      </c>
      <c r="W687" s="1">
        <f t="shared" si="123"/>
        <v>9</v>
      </c>
    </row>
    <row r="688" spans="2:23" ht="14.25" customHeight="1" x14ac:dyDescent="0.3">
      <c r="B688" s="65" t="str">
        <f t="shared" si="115"/>
        <v/>
      </c>
      <c r="C688" s="70" t="str">
        <f t="shared" si="116"/>
        <v/>
      </c>
      <c r="D688" s="74" t="str">
        <f t="shared" si="117"/>
        <v/>
      </c>
      <c r="F688" s="65" t="str">
        <f t="shared" si="118"/>
        <v/>
      </c>
      <c r="G688" s="68" t="str">
        <f t="shared" si="119"/>
        <v/>
      </c>
      <c r="H688" s="68" t="str">
        <f t="shared" si="120"/>
        <v/>
      </c>
      <c r="I688" s="68" t="str">
        <f t="shared" si="124"/>
        <v/>
      </c>
      <c r="M688" s="1">
        <v>651</v>
      </c>
      <c r="N688" s="1" t="str">
        <f>IF($T688=0,"",INDEX(VIRMAN!$C$7:$C$406,$T688))</f>
        <v/>
      </c>
      <c r="O688" s="1" t="str">
        <f>IF($N688="","",INDEX(VIRMAN!$D$7:$D$406,$T688)&amp;" → "&amp;$C$36&amp;IF(INDEX(VIRMAN!$G$7:$G$406,$T688)="",""," – "&amp;INDEX(VIRMAN!$G$7:$G$406,$T688)))</f>
        <v/>
      </c>
      <c r="P688" s="1" t="str">
        <f t="shared" si="114"/>
        <v/>
      </c>
      <c r="Q688" s="1">
        <f>IF($N688="",0,INDEX(VIRMAN!$F$7:$F$406,$T688))</f>
        <v>0</v>
      </c>
      <c r="R688" s="1">
        <v>0</v>
      </c>
      <c r="S688" s="1">
        <f t="shared" si="121"/>
        <v>10000000000</v>
      </c>
      <c r="T688" s="1">
        <f>IFERROR(MATCH($C$36&amp;"|115",VIRMAN!$K$7:$K$406,0),0)</f>
        <v>0</v>
      </c>
      <c r="V688" s="1">
        <f t="shared" si="122"/>
        <v>10000000000</v>
      </c>
      <c r="W688" s="1">
        <f t="shared" si="123"/>
        <v>9</v>
      </c>
    </row>
    <row r="689" spans="2:23" ht="14.25" customHeight="1" x14ac:dyDescent="0.3">
      <c r="B689" s="65" t="str">
        <f t="shared" si="115"/>
        <v/>
      </c>
      <c r="C689" s="70" t="str">
        <f t="shared" si="116"/>
        <v/>
      </c>
      <c r="D689" s="74" t="str">
        <f t="shared" si="117"/>
        <v/>
      </c>
      <c r="F689" s="65" t="str">
        <f t="shared" si="118"/>
        <v/>
      </c>
      <c r="G689" s="68" t="str">
        <f t="shared" si="119"/>
        <v/>
      </c>
      <c r="H689" s="68" t="str">
        <f t="shared" si="120"/>
        <v/>
      </c>
      <c r="I689" s="68" t="str">
        <f t="shared" si="124"/>
        <v/>
      </c>
      <c r="M689" s="1">
        <v>652</v>
      </c>
      <c r="N689" s="1" t="str">
        <f>IF($T689=0,"",INDEX(VIRMAN!$C$7:$C$406,$T689))</f>
        <v/>
      </c>
      <c r="O689" s="1" t="str">
        <f>IF($N689="","",INDEX(VIRMAN!$D$7:$D$406,$T689)&amp;" → "&amp;$C$36&amp;IF(INDEX(VIRMAN!$G$7:$G$406,$T689)="",""," – "&amp;INDEX(VIRMAN!$G$7:$G$406,$T689)))</f>
        <v/>
      </c>
      <c r="P689" s="1" t="str">
        <f t="shared" si="114"/>
        <v/>
      </c>
      <c r="Q689" s="1">
        <f>IF($N689="",0,INDEX(VIRMAN!$F$7:$F$406,$T689))</f>
        <v>0</v>
      </c>
      <c r="R689" s="1">
        <v>0</v>
      </c>
      <c r="S689" s="1">
        <f t="shared" si="121"/>
        <v>10000000000</v>
      </c>
      <c r="T689" s="1">
        <f>IFERROR(MATCH($C$36&amp;"|116",VIRMAN!$K$7:$K$406,0),0)</f>
        <v>0</v>
      </c>
      <c r="V689" s="1">
        <f t="shared" si="122"/>
        <v>10000000000</v>
      </c>
      <c r="W689" s="1">
        <f t="shared" si="123"/>
        <v>9</v>
      </c>
    </row>
    <row r="690" spans="2:23" ht="14.25" customHeight="1" x14ac:dyDescent="0.3">
      <c r="B690" s="65" t="str">
        <f t="shared" si="115"/>
        <v/>
      </c>
      <c r="C690" s="70" t="str">
        <f t="shared" si="116"/>
        <v/>
      </c>
      <c r="D690" s="74" t="str">
        <f t="shared" si="117"/>
        <v/>
      </c>
      <c r="F690" s="65" t="str">
        <f t="shared" si="118"/>
        <v/>
      </c>
      <c r="G690" s="68" t="str">
        <f t="shared" si="119"/>
        <v/>
      </c>
      <c r="H690" s="68" t="str">
        <f t="shared" si="120"/>
        <v/>
      </c>
      <c r="I690" s="68" t="str">
        <f t="shared" si="124"/>
        <v/>
      </c>
      <c r="M690" s="1">
        <v>653</v>
      </c>
      <c r="N690" s="1" t="str">
        <f>IF($T690=0,"",INDEX(VIRMAN!$C$7:$C$406,$T690))</f>
        <v/>
      </c>
      <c r="O690" s="1" t="str">
        <f>IF($N690="","",INDEX(VIRMAN!$D$7:$D$406,$T690)&amp;" → "&amp;$C$36&amp;IF(INDEX(VIRMAN!$G$7:$G$406,$T690)="",""," – "&amp;INDEX(VIRMAN!$G$7:$G$406,$T690)))</f>
        <v/>
      </c>
      <c r="P690" s="1" t="str">
        <f t="shared" si="114"/>
        <v/>
      </c>
      <c r="Q690" s="1">
        <f>IF($N690="",0,INDEX(VIRMAN!$F$7:$F$406,$T690))</f>
        <v>0</v>
      </c>
      <c r="R690" s="1">
        <v>0</v>
      </c>
      <c r="S690" s="1">
        <f t="shared" si="121"/>
        <v>10000000000</v>
      </c>
      <c r="T690" s="1">
        <f>IFERROR(MATCH($C$36&amp;"|117",VIRMAN!$K$7:$K$406,0),0)</f>
        <v>0</v>
      </c>
      <c r="V690" s="1">
        <f t="shared" si="122"/>
        <v>10000000000</v>
      </c>
      <c r="W690" s="1">
        <f t="shared" si="123"/>
        <v>9</v>
      </c>
    </row>
    <row r="691" spans="2:23" ht="14.25" customHeight="1" x14ac:dyDescent="0.3">
      <c r="B691" s="65" t="str">
        <f t="shared" si="115"/>
        <v/>
      </c>
      <c r="C691" s="70" t="str">
        <f t="shared" si="116"/>
        <v/>
      </c>
      <c r="D691" s="74" t="str">
        <f t="shared" si="117"/>
        <v/>
      </c>
      <c r="F691" s="65" t="str">
        <f t="shared" si="118"/>
        <v/>
      </c>
      <c r="G691" s="68" t="str">
        <f t="shared" si="119"/>
        <v/>
      </c>
      <c r="H691" s="68" t="str">
        <f t="shared" si="120"/>
        <v/>
      </c>
      <c r="I691" s="68" t="str">
        <f t="shared" si="124"/>
        <v/>
      </c>
      <c r="M691" s="1">
        <v>654</v>
      </c>
      <c r="N691" s="1" t="str">
        <f>IF($T691=0,"",INDEX(VIRMAN!$C$7:$C$406,$T691))</f>
        <v/>
      </c>
      <c r="O691" s="1" t="str">
        <f>IF($N691="","",INDEX(VIRMAN!$D$7:$D$406,$T691)&amp;" → "&amp;$C$36&amp;IF(INDEX(VIRMAN!$G$7:$G$406,$T691)="",""," – "&amp;INDEX(VIRMAN!$G$7:$G$406,$T691)))</f>
        <v/>
      </c>
      <c r="P691" s="1" t="str">
        <f t="shared" si="114"/>
        <v/>
      </c>
      <c r="Q691" s="1">
        <f>IF($N691="",0,INDEX(VIRMAN!$F$7:$F$406,$T691))</f>
        <v>0</v>
      </c>
      <c r="R691" s="1">
        <v>0</v>
      </c>
      <c r="S691" s="1">
        <f t="shared" si="121"/>
        <v>10000000000</v>
      </c>
      <c r="T691" s="1">
        <f>IFERROR(MATCH($C$36&amp;"|118",VIRMAN!$K$7:$K$406,0),0)</f>
        <v>0</v>
      </c>
      <c r="V691" s="1">
        <f t="shared" si="122"/>
        <v>10000000000</v>
      </c>
      <c r="W691" s="1">
        <f t="shared" si="123"/>
        <v>9</v>
      </c>
    </row>
    <row r="692" spans="2:23" ht="14.25" customHeight="1" x14ac:dyDescent="0.3">
      <c r="B692" s="65" t="str">
        <f t="shared" si="115"/>
        <v/>
      </c>
      <c r="C692" s="70" t="str">
        <f t="shared" si="116"/>
        <v/>
      </c>
      <c r="D692" s="74" t="str">
        <f t="shared" si="117"/>
        <v/>
      </c>
      <c r="F692" s="65" t="str">
        <f t="shared" si="118"/>
        <v/>
      </c>
      <c r="G692" s="68" t="str">
        <f t="shared" si="119"/>
        <v/>
      </c>
      <c r="H692" s="68" t="str">
        <f t="shared" si="120"/>
        <v/>
      </c>
      <c r="I692" s="68" t="str">
        <f t="shared" si="124"/>
        <v/>
      </c>
      <c r="M692" s="1">
        <v>655</v>
      </c>
      <c r="N692" s="1" t="str">
        <f>IF($T692=0,"",INDEX(VIRMAN!$C$7:$C$406,$T692))</f>
        <v/>
      </c>
      <c r="O692" s="1" t="str">
        <f>IF($N692="","",INDEX(VIRMAN!$D$7:$D$406,$T692)&amp;" → "&amp;$C$36&amp;IF(INDEX(VIRMAN!$G$7:$G$406,$T692)="",""," – "&amp;INDEX(VIRMAN!$G$7:$G$406,$T692)))</f>
        <v/>
      </c>
      <c r="P692" s="1" t="str">
        <f t="shared" si="114"/>
        <v/>
      </c>
      <c r="Q692" s="1">
        <f>IF($N692="",0,INDEX(VIRMAN!$F$7:$F$406,$T692))</f>
        <v>0</v>
      </c>
      <c r="R692" s="1">
        <v>0</v>
      </c>
      <c r="S692" s="1">
        <f t="shared" si="121"/>
        <v>10000000000</v>
      </c>
      <c r="T692" s="1">
        <f>IFERROR(MATCH($C$36&amp;"|119",VIRMAN!$K$7:$K$406,0),0)</f>
        <v>0</v>
      </c>
      <c r="V692" s="1">
        <f t="shared" si="122"/>
        <v>10000000000</v>
      </c>
      <c r="W692" s="1">
        <f t="shared" si="123"/>
        <v>9</v>
      </c>
    </row>
    <row r="693" spans="2:23" ht="14.25" customHeight="1" x14ac:dyDescent="0.3">
      <c r="B693" s="65" t="str">
        <f t="shared" si="115"/>
        <v/>
      </c>
      <c r="C693" s="70" t="str">
        <f t="shared" si="116"/>
        <v/>
      </c>
      <c r="D693" s="74" t="str">
        <f t="shared" si="117"/>
        <v/>
      </c>
      <c r="F693" s="65" t="str">
        <f t="shared" si="118"/>
        <v/>
      </c>
      <c r="G693" s="68" t="str">
        <f t="shared" si="119"/>
        <v/>
      </c>
      <c r="H693" s="68" t="str">
        <f t="shared" si="120"/>
        <v/>
      </c>
      <c r="I693" s="68" t="str">
        <f t="shared" si="124"/>
        <v/>
      </c>
      <c r="M693" s="1">
        <v>656</v>
      </c>
      <c r="N693" s="1" t="str">
        <f>IF($T693=0,"",INDEX(VIRMAN!$C$7:$C$406,$T693))</f>
        <v/>
      </c>
      <c r="O693" s="1" t="str">
        <f>IF($N693="","",INDEX(VIRMAN!$D$7:$D$406,$T693)&amp;" → "&amp;$C$36&amp;IF(INDEX(VIRMAN!$G$7:$G$406,$T693)="",""," – "&amp;INDEX(VIRMAN!$G$7:$G$406,$T693)))</f>
        <v/>
      </c>
      <c r="P693" s="1" t="str">
        <f t="shared" si="114"/>
        <v/>
      </c>
      <c r="Q693" s="1">
        <f>IF($N693="",0,INDEX(VIRMAN!$F$7:$F$406,$T693))</f>
        <v>0</v>
      </c>
      <c r="R693" s="1">
        <v>0</v>
      </c>
      <c r="S693" s="1">
        <f t="shared" si="121"/>
        <v>10000000000</v>
      </c>
      <c r="T693" s="1">
        <f>IFERROR(MATCH($C$36&amp;"|120",VIRMAN!$K$7:$K$406,0),0)</f>
        <v>0</v>
      </c>
      <c r="V693" s="1">
        <f t="shared" si="122"/>
        <v>10000000000</v>
      </c>
      <c r="W693" s="1">
        <f t="shared" si="123"/>
        <v>9</v>
      </c>
    </row>
    <row r="694" spans="2:23" ht="14.25" customHeight="1" x14ac:dyDescent="0.3">
      <c r="B694" s="65" t="str">
        <f t="shared" si="115"/>
        <v/>
      </c>
      <c r="C694" s="70" t="str">
        <f t="shared" si="116"/>
        <v/>
      </c>
      <c r="D694" s="74" t="str">
        <f t="shared" si="117"/>
        <v/>
      </c>
      <c r="F694" s="65" t="str">
        <f t="shared" si="118"/>
        <v/>
      </c>
      <c r="G694" s="68" t="str">
        <f t="shared" si="119"/>
        <v/>
      </c>
      <c r="H694" s="68" t="str">
        <f t="shared" si="120"/>
        <v/>
      </c>
      <c r="I694" s="68" t="str">
        <f t="shared" si="124"/>
        <v/>
      </c>
      <c r="M694" s="1">
        <v>657</v>
      </c>
      <c r="N694" s="1" t="str">
        <f>IF($T694=0,"",INDEX(VIRMAN!$C$7:$C$406,$T694))</f>
        <v/>
      </c>
      <c r="O694" s="1" t="str">
        <f>IF($N694="","",INDEX(VIRMAN!$D$7:$D$406,$T694)&amp;" → "&amp;$C$36&amp;IF(INDEX(VIRMAN!$G$7:$G$406,$T694)="",""," – "&amp;INDEX(VIRMAN!$G$7:$G$406,$T694)))</f>
        <v/>
      </c>
      <c r="P694" s="1" t="str">
        <f t="shared" si="114"/>
        <v/>
      </c>
      <c r="Q694" s="1">
        <f>IF($N694="",0,INDEX(VIRMAN!$F$7:$F$406,$T694))</f>
        <v>0</v>
      </c>
      <c r="R694" s="1">
        <v>0</v>
      </c>
      <c r="S694" s="1">
        <f t="shared" si="121"/>
        <v>10000000000</v>
      </c>
      <c r="T694" s="1">
        <f>IFERROR(MATCH($C$36&amp;"|121",VIRMAN!$K$7:$K$406,0),0)</f>
        <v>0</v>
      </c>
      <c r="V694" s="1">
        <f t="shared" si="122"/>
        <v>10000000000</v>
      </c>
      <c r="W694" s="1">
        <f t="shared" si="123"/>
        <v>9</v>
      </c>
    </row>
    <row r="695" spans="2:23" ht="14.25" customHeight="1" x14ac:dyDescent="0.3">
      <c r="B695" s="65" t="str">
        <f t="shared" si="115"/>
        <v/>
      </c>
      <c r="C695" s="70" t="str">
        <f t="shared" si="116"/>
        <v/>
      </c>
      <c r="D695" s="74" t="str">
        <f t="shared" si="117"/>
        <v/>
      </c>
      <c r="F695" s="65" t="str">
        <f t="shared" si="118"/>
        <v/>
      </c>
      <c r="G695" s="68" t="str">
        <f t="shared" si="119"/>
        <v/>
      </c>
      <c r="H695" s="68" t="str">
        <f t="shared" si="120"/>
        <v/>
      </c>
      <c r="I695" s="68" t="str">
        <f t="shared" si="124"/>
        <v/>
      </c>
      <c r="M695" s="1">
        <v>658</v>
      </c>
      <c r="N695" s="1" t="str">
        <f>IF($T695=0,"",INDEX(VIRMAN!$C$7:$C$406,$T695))</f>
        <v/>
      </c>
      <c r="O695" s="1" t="str">
        <f>IF($N695="","",INDEX(VIRMAN!$D$7:$D$406,$T695)&amp;" → "&amp;$C$36&amp;IF(INDEX(VIRMAN!$G$7:$G$406,$T695)="",""," – "&amp;INDEX(VIRMAN!$G$7:$G$406,$T695)))</f>
        <v/>
      </c>
      <c r="P695" s="1" t="str">
        <f t="shared" si="114"/>
        <v/>
      </c>
      <c r="Q695" s="1">
        <f>IF($N695="",0,INDEX(VIRMAN!$F$7:$F$406,$T695))</f>
        <v>0</v>
      </c>
      <c r="R695" s="1">
        <v>0</v>
      </c>
      <c r="S695" s="1">
        <f t="shared" si="121"/>
        <v>10000000000</v>
      </c>
      <c r="T695" s="1">
        <f>IFERROR(MATCH($C$36&amp;"|122",VIRMAN!$K$7:$K$406,0),0)</f>
        <v>0</v>
      </c>
      <c r="V695" s="1">
        <f t="shared" si="122"/>
        <v>10000000000</v>
      </c>
      <c r="W695" s="1">
        <f t="shared" si="123"/>
        <v>9</v>
      </c>
    </row>
    <row r="696" spans="2:23" ht="14.25" customHeight="1" x14ac:dyDescent="0.3">
      <c r="B696" s="65" t="str">
        <f t="shared" si="115"/>
        <v/>
      </c>
      <c r="C696" s="70" t="str">
        <f t="shared" si="116"/>
        <v/>
      </c>
      <c r="D696" s="74" t="str">
        <f t="shared" si="117"/>
        <v/>
      </c>
      <c r="F696" s="65" t="str">
        <f t="shared" si="118"/>
        <v/>
      </c>
      <c r="G696" s="68" t="str">
        <f t="shared" si="119"/>
        <v/>
      </c>
      <c r="H696" s="68" t="str">
        <f t="shared" si="120"/>
        <v/>
      </c>
      <c r="I696" s="68" t="str">
        <f t="shared" si="124"/>
        <v/>
      </c>
      <c r="M696" s="1">
        <v>659</v>
      </c>
      <c r="N696" s="1" t="str">
        <f>IF($T696=0,"",INDEX(VIRMAN!$C$7:$C$406,$T696))</f>
        <v/>
      </c>
      <c r="O696" s="1" t="str">
        <f>IF($N696="","",INDEX(VIRMAN!$D$7:$D$406,$T696)&amp;" → "&amp;$C$36&amp;IF(INDEX(VIRMAN!$G$7:$G$406,$T696)="",""," – "&amp;INDEX(VIRMAN!$G$7:$G$406,$T696)))</f>
        <v/>
      </c>
      <c r="P696" s="1" t="str">
        <f t="shared" si="114"/>
        <v/>
      </c>
      <c r="Q696" s="1">
        <f>IF($N696="",0,INDEX(VIRMAN!$F$7:$F$406,$T696))</f>
        <v>0</v>
      </c>
      <c r="R696" s="1">
        <v>0</v>
      </c>
      <c r="S696" s="1">
        <f t="shared" si="121"/>
        <v>10000000000</v>
      </c>
      <c r="T696" s="1">
        <f>IFERROR(MATCH($C$36&amp;"|123",VIRMAN!$K$7:$K$406,0),0)</f>
        <v>0</v>
      </c>
      <c r="V696" s="1">
        <f t="shared" si="122"/>
        <v>10000000000</v>
      </c>
      <c r="W696" s="1">
        <f t="shared" si="123"/>
        <v>9</v>
      </c>
    </row>
    <row r="697" spans="2:23" ht="14.25" customHeight="1" x14ac:dyDescent="0.3">
      <c r="B697" s="65" t="str">
        <f t="shared" si="115"/>
        <v/>
      </c>
      <c r="C697" s="70" t="str">
        <f t="shared" si="116"/>
        <v/>
      </c>
      <c r="D697" s="74" t="str">
        <f t="shared" si="117"/>
        <v/>
      </c>
      <c r="F697" s="65" t="str">
        <f t="shared" si="118"/>
        <v/>
      </c>
      <c r="G697" s="68" t="str">
        <f t="shared" si="119"/>
        <v/>
      </c>
      <c r="H697" s="68" t="str">
        <f t="shared" si="120"/>
        <v/>
      </c>
      <c r="I697" s="68" t="str">
        <f t="shared" si="124"/>
        <v/>
      </c>
      <c r="M697" s="1">
        <v>660</v>
      </c>
      <c r="N697" s="1" t="str">
        <f>IF($T697=0,"",INDEX(VIRMAN!$C$7:$C$406,$T697))</f>
        <v/>
      </c>
      <c r="O697" s="1" t="str">
        <f>IF($N697="","",INDEX(VIRMAN!$D$7:$D$406,$T697)&amp;" → "&amp;$C$36&amp;IF(INDEX(VIRMAN!$G$7:$G$406,$T697)="",""," – "&amp;INDEX(VIRMAN!$G$7:$G$406,$T697)))</f>
        <v/>
      </c>
      <c r="P697" s="1" t="str">
        <f t="shared" si="114"/>
        <v/>
      </c>
      <c r="Q697" s="1">
        <f>IF($N697="",0,INDEX(VIRMAN!$F$7:$F$406,$T697))</f>
        <v>0</v>
      </c>
      <c r="R697" s="1">
        <v>0</v>
      </c>
      <c r="S697" s="1">
        <f t="shared" si="121"/>
        <v>10000000000</v>
      </c>
      <c r="T697" s="1">
        <f>IFERROR(MATCH($C$36&amp;"|124",VIRMAN!$K$7:$K$406,0),0)</f>
        <v>0</v>
      </c>
      <c r="V697" s="1">
        <f t="shared" si="122"/>
        <v>10000000000</v>
      </c>
      <c r="W697" s="1">
        <f t="shared" si="123"/>
        <v>9</v>
      </c>
    </row>
    <row r="698" spans="2:23" ht="14.25" customHeight="1" x14ac:dyDescent="0.3">
      <c r="B698" s="65" t="str">
        <f t="shared" si="115"/>
        <v/>
      </c>
      <c r="C698" s="70" t="str">
        <f t="shared" si="116"/>
        <v/>
      </c>
      <c r="D698" s="74" t="str">
        <f t="shared" si="117"/>
        <v/>
      </c>
      <c r="F698" s="65" t="str">
        <f t="shared" si="118"/>
        <v/>
      </c>
      <c r="G698" s="68" t="str">
        <f t="shared" si="119"/>
        <v/>
      </c>
      <c r="H698" s="68" t="str">
        <f t="shared" si="120"/>
        <v/>
      </c>
      <c r="I698" s="68" t="str">
        <f t="shared" si="124"/>
        <v/>
      </c>
      <c r="M698" s="1">
        <v>661</v>
      </c>
      <c r="N698" s="1" t="str">
        <f>IF($T698=0,"",INDEX(VIRMAN!$C$7:$C$406,$T698))</f>
        <v/>
      </c>
      <c r="O698" s="1" t="str">
        <f>IF($N698="","",INDEX(VIRMAN!$D$7:$D$406,$T698)&amp;" → "&amp;$C$36&amp;IF(INDEX(VIRMAN!$G$7:$G$406,$T698)="",""," – "&amp;INDEX(VIRMAN!$G$7:$G$406,$T698)))</f>
        <v/>
      </c>
      <c r="P698" s="1" t="str">
        <f t="shared" si="114"/>
        <v/>
      </c>
      <c r="Q698" s="1">
        <f>IF($N698="",0,INDEX(VIRMAN!$F$7:$F$406,$T698))</f>
        <v>0</v>
      </c>
      <c r="R698" s="1">
        <v>0</v>
      </c>
      <c r="S698" s="1">
        <f t="shared" si="121"/>
        <v>10000000000</v>
      </c>
      <c r="T698" s="1">
        <f>IFERROR(MATCH($C$36&amp;"|125",VIRMAN!$K$7:$K$406,0),0)</f>
        <v>0</v>
      </c>
      <c r="V698" s="1">
        <f t="shared" si="122"/>
        <v>10000000000</v>
      </c>
      <c r="W698" s="1">
        <f t="shared" si="123"/>
        <v>9</v>
      </c>
    </row>
    <row r="699" spans="2:23" ht="14.25" customHeight="1" x14ac:dyDescent="0.3">
      <c r="B699" s="65" t="str">
        <f t="shared" si="115"/>
        <v/>
      </c>
      <c r="C699" s="70" t="str">
        <f t="shared" si="116"/>
        <v/>
      </c>
      <c r="D699" s="74" t="str">
        <f t="shared" si="117"/>
        <v/>
      </c>
      <c r="F699" s="65" t="str">
        <f t="shared" si="118"/>
        <v/>
      </c>
      <c r="G699" s="68" t="str">
        <f t="shared" si="119"/>
        <v/>
      </c>
      <c r="H699" s="68" t="str">
        <f t="shared" si="120"/>
        <v/>
      </c>
      <c r="I699" s="68" t="str">
        <f t="shared" si="124"/>
        <v/>
      </c>
      <c r="M699" s="1">
        <v>662</v>
      </c>
      <c r="N699" s="1" t="str">
        <f>IF($T699=0,"",INDEX(VIRMAN!$C$7:$C$406,$T699))</f>
        <v/>
      </c>
      <c r="O699" s="1" t="str">
        <f>IF($N699="","",INDEX(VIRMAN!$D$7:$D$406,$T699)&amp;" → "&amp;$C$36&amp;IF(INDEX(VIRMAN!$G$7:$G$406,$T699)="",""," – "&amp;INDEX(VIRMAN!$G$7:$G$406,$T699)))</f>
        <v/>
      </c>
      <c r="P699" s="1" t="str">
        <f t="shared" si="114"/>
        <v/>
      </c>
      <c r="Q699" s="1">
        <f>IF($N699="",0,INDEX(VIRMAN!$F$7:$F$406,$T699))</f>
        <v>0</v>
      </c>
      <c r="R699" s="1">
        <v>0</v>
      </c>
      <c r="S699" s="1">
        <f t="shared" si="121"/>
        <v>10000000000</v>
      </c>
      <c r="T699" s="1">
        <f>IFERROR(MATCH($C$36&amp;"|126",VIRMAN!$K$7:$K$406,0),0)</f>
        <v>0</v>
      </c>
      <c r="V699" s="1">
        <f t="shared" si="122"/>
        <v>10000000000</v>
      </c>
      <c r="W699" s="1">
        <f t="shared" si="123"/>
        <v>9</v>
      </c>
    </row>
    <row r="700" spans="2:23" ht="14.25" customHeight="1" x14ac:dyDescent="0.3">
      <c r="B700" s="65" t="str">
        <f t="shared" si="115"/>
        <v/>
      </c>
      <c r="C700" s="70" t="str">
        <f t="shared" si="116"/>
        <v/>
      </c>
      <c r="D700" s="74" t="str">
        <f t="shared" si="117"/>
        <v/>
      </c>
      <c r="F700" s="65" t="str">
        <f t="shared" si="118"/>
        <v/>
      </c>
      <c r="G700" s="68" t="str">
        <f t="shared" si="119"/>
        <v/>
      </c>
      <c r="H700" s="68" t="str">
        <f t="shared" si="120"/>
        <v/>
      </c>
      <c r="I700" s="68" t="str">
        <f t="shared" si="124"/>
        <v/>
      </c>
      <c r="M700" s="1">
        <v>663</v>
      </c>
      <c r="N700" s="1" t="str">
        <f>IF($T700=0,"",INDEX(VIRMAN!$C$7:$C$406,$T700))</f>
        <v/>
      </c>
      <c r="O700" s="1" t="str">
        <f>IF($N700="","",INDEX(VIRMAN!$D$7:$D$406,$T700)&amp;" → "&amp;$C$36&amp;IF(INDEX(VIRMAN!$G$7:$G$406,$T700)="",""," – "&amp;INDEX(VIRMAN!$G$7:$G$406,$T700)))</f>
        <v/>
      </c>
      <c r="P700" s="1" t="str">
        <f t="shared" si="114"/>
        <v/>
      </c>
      <c r="Q700" s="1">
        <f>IF($N700="",0,INDEX(VIRMAN!$F$7:$F$406,$T700))</f>
        <v>0</v>
      </c>
      <c r="R700" s="1">
        <v>0</v>
      </c>
      <c r="S700" s="1">
        <f t="shared" si="121"/>
        <v>10000000000</v>
      </c>
      <c r="T700" s="1">
        <f>IFERROR(MATCH($C$36&amp;"|127",VIRMAN!$K$7:$K$406,0),0)</f>
        <v>0</v>
      </c>
      <c r="V700" s="1">
        <f t="shared" si="122"/>
        <v>10000000000</v>
      </c>
      <c r="W700" s="1">
        <f t="shared" si="123"/>
        <v>9</v>
      </c>
    </row>
    <row r="701" spans="2:23" ht="14.25" customHeight="1" x14ac:dyDescent="0.3">
      <c r="B701" s="65" t="str">
        <f t="shared" si="115"/>
        <v/>
      </c>
      <c r="C701" s="70" t="str">
        <f t="shared" si="116"/>
        <v/>
      </c>
      <c r="D701" s="74" t="str">
        <f t="shared" si="117"/>
        <v/>
      </c>
      <c r="F701" s="65" t="str">
        <f t="shared" si="118"/>
        <v/>
      </c>
      <c r="G701" s="68" t="str">
        <f t="shared" si="119"/>
        <v/>
      </c>
      <c r="H701" s="68" t="str">
        <f t="shared" si="120"/>
        <v/>
      </c>
      <c r="I701" s="68" t="str">
        <f t="shared" si="124"/>
        <v/>
      </c>
      <c r="M701" s="1">
        <v>664</v>
      </c>
      <c r="N701" s="1" t="str">
        <f>IF($T701=0,"",INDEX(VIRMAN!$C$7:$C$406,$T701))</f>
        <v/>
      </c>
      <c r="O701" s="1" t="str">
        <f>IF($N701="","",INDEX(VIRMAN!$D$7:$D$406,$T701)&amp;" → "&amp;$C$36&amp;IF(INDEX(VIRMAN!$G$7:$G$406,$T701)="",""," – "&amp;INDEX(VIRMAN!$G$7:$G$406,$T701)))</f>
        <v/>
      </c>
      <c r="P701" s="1" t="str">
        <f t="shared" si="114"/>
        <v/>
      </c>
      <c r="Q701" s="1">
        <f>IF($N701="",0,INDEX(VIRMAN!$F$7:$F$406,$T701))</f>
        <v>0</v>
      </c>
      <c r="R701" s="1">
        <v>0</v>
      </c>
      <c r="S701" s="1">
        <f t="shared" si="121"/>
        <v>10000000000</v>
      </c>
      <c r="T701" s="1">
        <f>IFERROR(MATCH($C$36&amp;"|128",VIRMAN!$K$7:$K$406,0),0)</f>
        <v>0</v>
      </c>
      <c r="V701" s="1">
        <f t="shared" si="122"/>
        <v>10000000000</v>
      </c>
      <c r="W701" s="1">
        <f t="shared" si="123"/>
        <v>9</v>
      </c>
    </row>
    <row r="702" spans="2:23" ht="14.25" customHeight="1" x14ac:dyDescent="0.3">
      <c r="B702" s="65" t="str">
        <f t="shared" si="115"/>
        <v/>
      </c>
      <c r="C702" s="70" t="str">
        <f t="shared" si="116"/>
        <v/>
      </c>
      <c r="D702" s="74" t="str">
        <f t="shared" si="117"/>
        <v/>
      </c>
      <c r="F702" s="65" t="str">
        <f t="shared" si="118"/>
        <v/>
      </c>
      <c r="G702" s="68" t="str">
        <f t="shared" si="119"/>
        <v/>
      </c>
      <c r="H702" s="68" t="str">
        <f t="shared" si="120"/>
        <v/>
      </c>
      <c r="I702" s="68" t="str">
        <f t="shared" si="124"/>
        <v/>
      </c>
      <c r="M702" s="1">
        <v>665</v>
      </c>
      <c r="N702" s="1" t="str">
        <f>IF($T702=0,"",INDEX(VIRMAN!$C$7:$C$406,$T702))</f>
        <v/>
      </c>
      <c r="O702" s="1" t="str">
        <f>IF($N702="","",INDEX(VIRMAN!$D$7:$D$406,$T702)&amp;" → "&amp;$C$36&amp;IF(INDEX(VIRMAN!$G$7:$G$406,$T702)="",""," – "&amp;INDEX(VIRMAN!$G$7:$G$406,$T702)))</f>
        <v/>
      </c>
      <c r="P702" s="1" t="str">
        <f t="shared" ref="P702:P733" si="125">IF($N702="","","VİRMAN GELDİ")</f>
        <v/>
      </c>
      <c r="Q702" s="1">
        <f>IF($N702="",0,INDEX(VIRMAN!$F$7:$F$406,$T702))</f>
        <v>0</v>
      </c>
      <c r="R702" s="1">
        <v>0</v>
      </c>
      <c r="S702" s="1">
        <f t="shared" si="121"/>
        <v>10000000000</v>
      </c>
      <c r="T702" s="1">
        <f>IFERROR(MATCH($C$36&amp;"|129",VIRMAN!$K$7:$K$406,0),0)</f>
        <v>0</v>
      </c>
      <c r="V702" s="1">
        <f t="shared" si="122"/>
        <v>10000000000</v>
      </c>
      <c r="W702" s="1">
        <f t="shared" si="123"/>
        <v>9</v>
      </c>
    </row>
    <row r="703" spans="2:23" ht="14.25" customHeight="1" x14ac:dyDescent="0.3">
      <c r="B703" s="65" t="str">
        <f t="shared" si="115"/>
        <v/>
      </c>
      <c r="C703" s="70" t="str">
        <f t="shared" si="116"/>
        <v/>
      </c>
      <c r="D703" s="74" t="str">
        <f t="shared" si="117"/>
        <v/>
      </c>
      <c r="F703" s="65" t="str">
        <f t="shared" si="118"/>
        <v/>
      </c>
      <c r="G703" s="68" t="str">
        <f t="shared" si="119"/>
        <v/>
      </c>
      <c r="H703" s="68" t="str">
        <f t="shared" si="120"/>
        <v/>
      </c>
      <c r="I703" s="68" t="str">
        <f t="shared" si="124"/>
        <v/>
      </c>
      <c r="M703" s="1">
        <v>666</v>
      </c>
      <c r="N703" s="1" t="str">
        <f>IF($T703=0,"",INDEX(VIRMAN!$C$7:$C$406,$T703))</f>
        <v/>
      </c>
      <c r="O703" s="1" t="str">
        <f>IF($N703="","",INDEX(VIRMAN!$D$7:$D$406,$T703)&amp;" → "&amp;$C$36&amp;IF(INDEX(VIRMAN!$G$7:$G$406,$T703)="",""," – "&amp;INDEX(VIRMAN!$G$7:$G$406,$T703)))</f>
        <v/>
      </c>
      <c r="P703" s="1" t="str">
        <f t="shared" si="125"/>
        <v/>
      </c>
      <c r="Q703" s="1">
        <f>IF($N703="",0,INDEX(VIRMAN!$F$7:$F$406,$T703))</f>
        <v>0</v>
      </c>
      <c r="R703" s="1">
        <v>0</v>
      </c>
      <c r="S703" s="1">
        <f t="shared" si="121"/>
        <v>10000000000</v>
      </c>
      <c r="T703" s="1">
        <f>IFERROR(MATCH($C$36&amp;"|130",VIRMAN!$K$7:$K$406,0),0)</f>
        <v>0</v>
      </c>
      <c r="V703" s="1">
        <f t="shared" si="122"/>
        <v>10000000000</v>
      </c>
      <c r="W703" s="1">
        <f t="shared" si="123"/>
        <v>9</v>
      </c>
    </row>
    <row r="704" spans="2:23" ht="14.25" customHeight="1" x14ac:dyDescent="0.3">
      <c r="B704" s="65" t="str">
        <f t="shared" si="115"/>
        <v/>
      </c>
      <c r="C704" s="70" t="str">
        <f t="shared" si="116"/>
        <v/>
      </c>
      <c r="D704" s="74" t="str">
        <f t="shared" si="117"/>
        <v/>
      </c>
      <c r="F704" s="65" t="str">
        <f t="shared" si="118"/>
        <v/>
      </c>
      <c r="G704" s="68" t="str">
        <f t="shared" si="119"/>
        <v/>
      </c>
      <c r="H704" s="68" t="str">
        <f t="shared" si="120"/>
        <v/>
      </c>
      <c r="I704" s="68" t="str">
        <f t="shared" si="124"/>
        <v/>
      </c>
      <c r="M704" s="1">
        <v>667</v>
      </c>
      <c r="N704" s="1" t="str">
        <f>IF($T704=0,"",INDEX(VIRMAN!$C$7:$C$406,$T704))</f>
        <v/>
      </c>
      <c r="O704" s="1" t="str">
        <f>IF($N704="","",INDEX(VIRMAN!$D$7:$D$406,$T704)&amp;" → "&amp;$C$36&amp;IF(INDEX(VIRMAN!$G$7:$G$406,$T704)="",""," – "&amp;INDEX(VIRMAN!$G$7:$G$406,$T704)))</f>
        <v/>
      </c>
      <c r="P704" s="1" t="str">
        <f t="shared" si="125"/>
        <v/>
      </c>
      <c r="Q704" s="1">
        <f>IF($N704="",0,INDEX(VIRMAN!$F$7:$F$406,$T704))</f>
        <v>0</v>
      </c>
      <c r="R704" s="1">
        <v>0</v>
      </c>
      <c r="S704" s="1">
        <f t="shared" si="121"/>
        <v>10000000000</v>
      </c>
      <c r="T704" s="1">
        <f>IFERROR(MATCH($C$36&amp;"|131",VIRMAN!$K$7:$K$406,0),0)</f>
        <v>0</v>
      </c>
      <c r="V704" s="1">
        <f t="shared" si="122"/>
        <v>10000000000</v>
      </c>
      <c r="W704" s="1">
        <f t="shared" si="123"/>
        <v>9</v>
      </c>
    </row>
    <row r="705" spans="2:23" ht="14.25" customHeight="1" x14ac:dyDescent="0.3">
      <c r="B705" s="65" t="str">
        <f t="shared" si="115"/>
        <v/>
      </c>
      <c r="C705" s="70" t="str">
        <f t="shared" si="116"/>
        <v/>
      </c>
      <c r="D705" s="74" t="str">
        <f t="shared" si="117"/>
        <v/>
      </c>
      <c r="F705" s="65" t="str">
        <f t="shared" si="118"/>
        <v/>
      </c>
      <c r="G705" s="68" t="str">
        <f t="shared" si="119"/>
        <v/>
      </c>
      <c r="H705" s="68" t="str">
        <f t="shared" si="120"/>
        <v/>
      </c>
      <c r="I705" s="68" t="str">
        <f t="shared" si="124"/>
        <v/>
      </c>
      <c r="M705" s="1">
        <v>668</v>
      </c>
      <c r="N705" s="1" t="str">
        <f>IF($T705=0,"",INDEX(VIRMAN!$C$7:$C$406,$T705))</f>
        <v/>
      </c>
      <c r="O705" s="1" t="str">
        <f>IF($N705="","",INDEX(VIRMAN!$D$7:$D$406,$T705)&amp;" → "&amp;$C$36&amp;IF(INDEX(VIRMAN!$G$7:$G$406,$T705)="",""," – "&amp;INDEX(VIRMAN!$G$7:$G$406,$T705)))</f>
        <v/>
      </c>
      <c r="P705" s="1" t="str">
        <f t="shared" si="125"/>
        <v/>
      </c>
      <c r="Q705" s="1">
        <f>IF($N705="",0,INDEX(VIRMAN!$F$7:$F$406,$T705))</f>
        <v>0</v>
      </c>
      <c r="R705" s="1">
        <v>0</v>
      </c>
      <c r="S705" s="1">
        <f t="shared" si="121"/>
        <v>10000000000</v>
      </c>
      <c r="T705" s="1">
        <f>IFERROR(MATCH($C$36&amp;"|132",VIRMAN!$K$7:$K$406,0),0)</f>
        <v>0</v>
      </c>
      <c r="V705" s="1">
        <f t="shared" si="122"/>
        <v>10000000000</v>
      </c>
      <c r="W705" s="1">
        <f t="shared" si="123"/>
        <v>9</v>
      </c>
    </row>
    <row r="706" spans="2:23" ht="14.25" customHeight="1" x14ac:dyDescent="0.3">
      <c r="B706" s="65" t="str">
        <f t="shared" si="115"/>
        <v/>
      </c>
      <c r="C706" s="70" t="str">
        <f t="shared" si="116"/>
        <v/>
      </c>
      <c r="D706" s="74" t="str">
        <f t="shared" si="117"/>
        <v/>
      </c>
      <c r="F706" s="65" t="str">
        <f t="shared" si="118"/>
        <v/>
      </c>
      <c r="G706" s="68" t="str">
        <f t="shared" si="119"/>
        <v/>
      </c>
      <c r="H706" s="68" t="str">
        <f t="shared" si="120"/>
        <v/>
      </c>
      <c r="I706" s="68" t="str">
        <f t="shared" si="124"/>
        <v/>
      </c>
      <c r="M706" s="1">
        <v>669</v>
      </c>
      <c r="N706" s="1" t="str">
        <f>IF($T706=0,"",INDEX(VIRMAN!$C$7:$C$406,$T706))</f>
        <v/>
      </c>
      <c r="O706" s="1" t="str">
        <f>IF($N706="","",INDEX(VIRMAN!$D$7:$D$406,$T706)&amp;" → "&amp;$C$36&amp;IF(INDEX(VIRMAN!$G$7:$G$406,$T706)="",""," – "&amp;INDEX(VIRMAN!$G$7:$G$406,$T706)))</f>
        <v/>
      </c>
      <c r="P706" s="1" t="str">
        <f t="shared" si="125"/>
        <v/>
      </c>
      <c r="Q706" s="1">
        <f>IF($N706="",0,INDEX(VIRMAN!$F$7:$F$406,$T706))</f>
        <v>0</v>
      </c>
      <c r="R706" s="1">
        <v>0</v>
      </c>
      <c r="S706" s="1">
        <f t="shared" si="121"/>
        <v>10000000000</v>
      </c>
      <c r="T706" s="1">
        <f>IFERROR(MATCH($C$36&amp;"|133",VIRMAN!$K$7:$K$406,0),0)</f>
        <v>0</v>
      </c>
      <c r="V706" s="1">
        <f t="shared" si="122"/>
        <v>10000000000</v>
      </c>
      <c r="W706" s="1">
        <f t="shared" si="123"/>
        <v>9</v>
      </c>
    </row>
    <row r="707" spans="2:23" ht="14.25" customHeight="1" x14ac:dyDescent="0.3">
      <c r="B707" s="65" t="str">
        <f t="shared" si="115"/>
        <v/>
      </c>
      <c r="C707" s="70" t="str">
        <f t="shared" si="116"/>
        <v/>
      </c>
      <c r="D707" s="74" t="str">
        <f t="shared" si="117"/>
        <v/>
      </c>
      <c r="F707" s="65" t="str">
        <f t="shared" si="118"/>
        <v/>
      </c>
      <c r="G707" s="68" t="str">
        <f t="shared" si="119"/>
        <v/>
      </c>
      <c r="H707" s="68" t="str">
        <f t="shared" si="120"/>
        <v/>
      </c>
      <c r="I707" s="68" t="str">
        <f t="shared" si="124"/>
        <v/>
      </c>
      <c r="M707" s="1">
        <v>670</v>
      </c>
      <c r="N707" s="1" t="str">
        <f>IF($T707=0,"",INDEX(VIRMAN!$C$7:$C$406,$T707))</f>
        <v/>
      </c>
      <c r="O707" s="1" t="str">
        <f>IF($N707="","",INDEX(VIRMAN!$D$7:$D$406,$T707)&amp;" → "&amp;$C$36&amp;IF(INDEX(VIRMAN!$G$7:$G$406,$T707)="",""," – "&amp;INDEX(VIRMAN!$G$7:$G$406,$T707)))</f>
        <v/>
      </c>
      <c r="P707" s="1" t="str">
        <f t="shared" si="125"/>
        <v/>
      </c>
      <c r="Q707" s="1">
        <f>IF($N707="",0,INDEX(VIRMAN!$F$7:$F$406,$T707))</f>
        <v>0</v>
      </c>
      <c r="R707" s="1">
        <v>0</v>
      </c>
      <c r="S707" s="1">
        <f t="shared" si="121"/>
        <v>10000000000</v>
      </c>
      <c r="T707" s="1">
        <f>IFERROR(MATCH($C$36&amp;"|134",VIRMAN!$K$7:$K$406,0),0)</f>
        <v>0</v>
      </c>
      <c r="V707" s="1">
        <f t="shared" si="122"/>
        <v>10000000000</v>
      </c>
      <c r="W707" s="1">
        <f t="shared" si="123"/>
        <v>9</v>
      </c>
    </row>
    <row r="708" spans="2:23" ht="14.25" customHeight="1" x14ac:dyDescent="0.3">
      <c r="B708" s="65" t="str">
        <f t="shared" si="115"/>
        <v/>
      </c>
      <c r="C708" s="70" t="str">
        <f t="shared" si="116"/>
        <v/>
      </c>
      <c r="D708" s="74" t="str">
        <f t="shared" si="117"/>
        <v/>
      </c>
      <c r="F708" s="65" t="str">
        <f t="shared" si="118"/>
        <v/>
      </c>
      <c r="G708" s="68" t="str">
        <f t="shared" si="119"/>
        <v/>
      </c>
      <c r="H708" s="68" t="str">
        <f t="shared" si="120"/>
        <v/>
      </c>
      <c r="I708" s="68" t="str">
        <f t="shared" si="124"/>
        <v/>
      </c>
      <c r="M708" s="1">
        <v>671</v>
      </c>
      <c r="N708" s="1" t="str">
        <f>IF($T708=0,"",INDEX(VIRMAN!$C$7:$C$406,$T708))</f>
        <v/>
      </c>
      <c r="O708" s="1" t="str">
        <f>IF($N708="","",INDEX(VIRMAN!$D$7:$D$406,$T708)&amp;" → "&amp;$C$36&amp;IF(INDEX(VIRMAN!$G$7:$G$406,$T708)="",""," – "&amp;INDEX(VIRMAN!$G$7:$G$406,$T708)))</f>
        <v/>
      </c>
      <c r="P708" s="1" t="str">
        <f t="shared" si="125"/>
        <v/>
      </c>
      <c r="Q708" s="1">
        <f>IF($N708="",0,INDEX(VIRMAN!$F$7:$F$406,$T708))</f>
        <v>0</v>
      </c>
      <c r="R708" s="1">
        <v>0</v>
      </c>
      <c r="S708" s="1">
        <f t="shared" si="121"/>
        <v>10000000000</v>
      </c>
      <c r="T708" s="1">
        <f>IFERROR(MATCH($C$36&amp;"|135",VIRMAN!$K$7:$K$406,0),0)</f>
        <v>0</v>
      </c>
      <c r="V708" s="1">
        <f t="shared" si="122"/>
        <v>10000000000</v>
      </c>
      <c r="W708" s="1">
        <f t="shared" si="123"/>
        <v>9</v>
      </c>
    </row>
    <row r="709" spans="2:23" ht="14.25" customHeight="1" x14ac:dyDescent="0.3">
      <c r="B709" s="65" t="str">
        <f t="shared" si="115"/>
        <v/>
      </c>
      <c r="C709" s="70" t="str">
        <f t="shared" si="116"/>
        <v/>
      </c>
      <c r="D709" s="74" t="str">
        <f t="shared" si="117"/>
        <v/>
      </c>
      <c r="F709" s="65" t="str">
        <f t="shared" si="118"/>
        <v/>
      </c>
      <c r="G709" s="68" t="str">
        <f t="shared" si="119"/>
        <v/>
      </c>
      <c r="H709" s="68" t="str">
        <f t="shared" si="120"/>
        <v/>
      </c>
      <c r="I709" s="68" t="str">
        <f t="shared" si="124"/>
        <v/>
      </c>
      <c r="M709" s="1">
        <v>672</v>
      </c>
      <c r="N709" s="1" t="str">
        <f>IF($T709=0,"",INDEX(VIRMAN!$C$7:$C$406,$T709))</f>
        <v/>
      </c>
      <c r="O709" s="1" t="str">
        <f>IF($N709="","",INDEX(VIRMAN!$D$7:$D$406,$T709)&amp;" → "&amp;$C$36&amp;IF(INDEX(VIRMAN!$G$7:$G$406,$T709)="",""," – "&amp;INDEX(VIRMAN!$G$7:$G$406,$T709)))</f>
        <v/>
      </c>
      <c r="P709" s="1" t="str">
        <f t="shared" si="125"/>
        <v/>
      </c>
      <c r="Q709" s="1">
        <f>IF($N709="",0,INDEX(VIRMAN!$F$7:$F$406,$T709))</f>
        <v>0</v>
      </c>
      <c r="R709" s="1">
        <v>0</v>
      </c>
      <c r="S709" s="1">
        <f t="shared" si="121"/>
        <v>10000000000</v>
      </c>
      <c r="T709" s="1">
        <f>IFERROR(MATCH($C$36&amp;"|136",VIRMAN!$K$7:$K$406,0),0)</f>
        <v>0</v>
      </c>
      <c r="V709" s="1">
        <f t="shared" si="122"/>
        <v>10000000000</v>
      </c>
      <c r="W709" s="1">
        <f t="shared" si="123"/>
        <v>9</v>
      </c>
    </row>
    <row r="710" spans="2:23" ht="14.25" customHeight="1" x14ac:dyDescent="0.3">
      <c r="B710" s="65" t="str">
        <f t="shared" si="115"/>
        <v/>
      </c>
      <c r="C710" s="70" t="str">
        <f t="shared" si="116"/>
        <v/>
      </c>
      <c r="D710" s="74" t="str">
        <f t="shared" si="117"/>
        <v/>
      </c>
      <c r="F710" s="65" t="str">
        <f t="shared" si="118"/>
        <v/>
      </c>
      <c r="G710" s="68" t="str">
        <f t="shared" si="119"/>
        <v/>
      </c>
      <c r="H710" s="68" t="str">
        <f t="shared" si="120"/>
        <v/>
      </c>
      <c r="I710" s="68" t="str">
        <f t="shared" si="124"/>
        <v/>
      </c>
      <c r="M710" s="1">
        <v>673</v>
      </c>
      <c r="N710" s="1" t="str">
        <f>IF($T710=0,"",INDEX(VIRMAN!$C$7:$C$406,$T710))</f>
        <v/>
      </c>
      <c r="O710" s="1" t="str">
        <f>IF($N710="","",INDEX(VIRMAN!$D$7:$D$406,$T710)&amp;" → "&amp;$C$36&amp;IF(INDEX(VIRMAN!$G$7:$G$406,$T710)="",""," – "&amp;INDEX(VIRMAN!$G$7:$G$406,$T710)))</f>
        <v/>
      </c>
      <c r="P710" s="1" t="str">
        <f t="shared" si="125"/>
        <v/>
      </c>
      <c r="Q710" s="1">
        <f>IF($N710="",0,INDEX(VIRMAN!$F$7:$F$406,$T710))</f>
        <v>0</v>
      </c>
      <c r="R710" s="1">
        <v>0</v>
      </c>
      <c r="S710" s="1">
        <f t="shared" si="121"/>
        <v>10000000000</v>
      </c>
      <c r="T710" s="1">
        <f>IFERROR(MATCH($C$36&amp;"|137",VIRMAN!$K$7:$K$406,0),0)</f>
        <v>0</v>
      </c>
      <c r="V710" s="1">
        <f t="shared" si="122"/>
        <v>10000000000</v>
      </c>
      <c r="W710" s="1">
        <f t="shared" si="123"/>
        <v>9</v>
      </c>
    </row>
    <row r="711" spans="2:23" ht="14.25" customHeight="1" x14ac:dyDescent="0.3">
      <c r="B711" s="65" t="str">
        <f t="shared" si="115"/>
        <v/>
      </c>
      <c r="C711" s="70" t="str">
        <f t="shared" si="116"/>
        <v/>
      </c>
      <c r="D711" s="74" t="str">
        <f t="shared" si="117"/>
        <v/>
      </c>
      <c r="F711" s="65" t="str">
        <f t="shared" si="118"/>
        <v/>
      </c>
      <c r="G711" s="68" t="str">
        <f t="shared" si="119"/>
        <v/>
      </c>
      <c r="H711" s="68" t="str">
        <f t="shared" si="120"/>
        <v/>
      </c>
      <c r="I711" s="68" t="str">
        <f t="shared" si="124"/>
        <v/>
      </c>
      <c r="M711" s="1">
        <v>674</v>
      </c>
      <c r="N711" s="1" t="str">
        <f>IF($T711=0,"",INDEX(VIRMAN!$C$7:$C$406,$T711))</f>
        <v/>
      </c>
      <c r="O711" s="1" t="str">
        <f>IF($N711="","",INDEX(VIRMAN!$D$7:$D$406,$T711)&amp;" → "&amp;$C$36&amp;IF(INDEX(VIRMAN!$G$7:$G$406,$T711)="",""," – "&amp;INDEX(VIRMAN!$G$7:$G$406,$T711)))</f>
        <v/>
      </c>
      <c r="P711" s="1" t="str">
        <f t="shared" si="125"/>
        <v/>
      </c>
      <c r="Q711" s="1">
        <f>IF($N711="",0,INDEX(VIRMAN!$F$7:$F$406,$T711))</f>
        <v>0</v>
      </c>
      <c r="R711" s="1">
        <v>0</v>
      </c>
      <c r="S711" s="1">
        <f t="shared" si="121"/>
        <v>10000000000</v>
      </c>
      <c r="T711" s="1">
        <f>IFERROR(MATCH($C$36&amp;"|138",VIRMAN!$K$7:$K$406,0),0)</f>
        <v>0</v>
      </c>
      <c r="V711" s="1">
        <f t="shared" si="122"/>
        <v>10000000000</v>
      </c>
      <c r="W711" s="1">
        <f t="shared" si="123"/>
        <v>9</v>
      </c>
    </row>
    <row r="712" spans="2:23" ht="14.25" customHeight="1" x14ac:dyDescent="0.3">
      <c r="B712" s="65" t="str">
        <f t="shared" si="115"/>
        <v/>
      </c>
      <c r="C712" s="70" t="str">
        <f t="shared" si="116"/>
        <v/>
      </c>
      <c r="D712" s="74" t="str">
        <f t="shared" si="117"/>
        <v/>
      </c>
      <c r="F712" s="65" t="str">
        <f t="shared" si="118"/>
        <v/>
      </c>
      <c r="G712" s="68" t="str">
        <f t="shared" si="119"/>
        <v/>
      </c>
      <c r="H712" s="68" t="str">
        <f t="shared" si="120"/>
        <v/>
      </c>
      <c r="I712" s="68" t="str">
        <f t="shared" si="124"/>
        <v/>
      </c>
      <c r="M712" s="1">
        <v>675</v>
      </c>
      <c r="N712" s="1" t="str">
        <f>IF($T712=0,"",INDEX(VIRMAN!$C$7:$C$406,$T712))</f>
        <v/>
      </c>
      <c r="O712" s="1" t="str">
        <f>IF($N712="","",INDEX(VIRMAN!$D$7:$D$406,$T712)&amp;" → "&amp;$C$36&amp;IF(INDEX(VIRMAN!$G$7:$G$406,$T712)="",""," – "&amp;INDEX(VIRMAN!$G$7:$G$406,$T712)))</f>
        <v/>
      </c>
      <c r="P712" s="1" t="str">
        <f t="shared" si="125"/>
        <v/>
      </c>
      <c r="Q712" s="1">
        <f>IF($N712="",0,INDEX(VIRMAN!$F$7:$F$406,$T712))</f>
        <v>0</v>
      </c>
      <c r="R712" s="1">
        <v>0</v>
      </c>
      <c r="S712" s="1">
        <f t="shared" si="121"/>
        <v>10000000000</v>
      </c>
      <c r="T712" s="1">
        <f>IFERROR(MATCH($C$36&amp;"|139",VIRMAN!$K$7:$K$406,0),0)</f>
        <v>0</v>
      </c>
      <c r="V712" s="1">
        <f t="shared" si="122"/>
        <v>10000000000</v>
      </c>
      <c r="W712" s="1">
        <f t="shared" si="123"/>
        <v>9</v>
      </c>
    </row>
    <row r="713" spans="2:23" ht="14.25" customHeight="1" x14ac:dyDescent="0.3">
      <c r="B713" s="65" t="str">
        <f t="shared" si="115"/>
        <v/>
      </c>
      <c r="C713" s="70" t="str">
        <f t="shared" si="116"/>
        <v/>
      </c>
      <c r="D713" s="74" t="str">
        <f t="shared" si="117"/>
        <v/>
      </c>
      <c r="F713" s="65" t="str">
        <f t="shared" si="118"/>
        <v/>
      </c>
      <c r="G713" s="68" t="str">
        <f t="shared" si="119"/>
        <v/>
      </c>
      <c r="H713" s="68" t="str">
        <f t="shared" si="120"/>
        <v/>
      </c>
      <c r="I713" s="68" t="str">
        <f t="shared" si="124"/>
        <v/>
      </c>
      <c r="M713" s="1">
        <v>676</v>
      </c>
      <c r="N713" s="1" t="str">
        <f>IF($T713=0,"",INDEX(VIRMAN!$C$7:$C$406,$T713))</f>
        <v/>
      </c>
      <c r="O713" s="1" t="str">
        <f>IF($N713="","",INDEX(VIRMAN!$D$7:$D$406,$T713)&amp;" → "&amp;$C$36&amp;IF(INDEX(VIRMAN!$G$7:$G$406,$T713)="",""," – "&amp;INDEX(VIRMAN!$G$7:$G$406,$T713)))</f>
        <v/>
      </c>
      <c r="P713" s="1" t="str">
        <f t="shared" si="125"/>
        <v/>
      </c>
      <c r="Q713" s="1">
        <f>IF($N713="",0,INDEX(VIRMAN!$F$7:$F$406,$T713))</f>
        <v>0</v>
      </c>
      <c r="R713" s="1">
        <v>0</v>
      </c>
      <c r="S713" s="1">
        <f t="shared" si="121"/>
        <v>10000000000</v>
      </c>
      <c r="T713" s="1">
        <f>IFERROR(MATCH($C$36&amp;"|140",VIRMAN!$K$7:$K$406,0),0)</f>
        <v>0</v>
      </c>
      <c r="V713" s="1">
        <f t="shared" si="122"/>
        <v>10000000000</v>
      </c>
      <c r="W713" s="1">
        <f t="shared" si="123"/>
        <v>9</v>
      </c>
    </row>
    <row r="714" spans="2:23" ht="14.25" customHeight="1" x14ac:dyDescent="0.3">
      <c r="B714" s="65" t="str">
        <f t="shared" si="115"/>
        <v/>
      </c>
      <c r="C714" s="70" t="str">
        <f t="shared" si="116"/>
        <v/>
      </c>
      <c r="D714" s="74" t="str">
        <f t="shared" si="117"/>
        <v/>
      </c>
      <c r="F714" s="65" t="str">
        <f t="shared" si="118"/>
        <v/>
      </c>
      <c r="G714" s="68" t="str">
        <f t="shared" si="119"/>
        <v/>
      </c>
      <c r="H714" s="68" t="str">
        <f t="shared" si="120"/>
        <v/>
      </c>
      <c r="I714" s="68" t="str">
        <f t="shared" si="124"/>
        <v/>
      </c>
      <c r="M714" s="1">
        <v>677</v>
      </c>
      <c r="N714" s="1" t="str">
        <f>IF($T714=0,"",INDEX(VIRMAN!$C$7:$C$406,$T714))</f>
        <v/>
      </c>
      <c r="O714" s="1" t="str">
        <f>IF($N714="","",INDEX(VIRMAN!$D$7:$D$406,$T714)&amp;" → "&amp;$C$36&amp;IF(INDEX(VIRMAN!$G$7:$G$406,$T714)="",""," – "&amp;INDEX(VIRMAN!$G$7:$G$406,$T714)))</f>
        <v/>
      </c>
      <c r="P714" s="1" t="str">
        <f t="shared" si="125"/>
        <v/>
      </c>
      <c r="Q714" s="1">
        <f>IF($N714="",0,INDEX(VIRMAN!$F$7:$F$406,$T714))</f>
        <v>0</v>
      </c>
      <c r="R714" s="1">
        <v>0</v>
      </c>
      <c r="S714" s="1">
        <f t="shared" si="121"/>
        <v>10000000000</v>
      </c>
      <c r="T714" s="1">
        <f>IFERROR(MATCH($C$36&amp;"|141",VIRMAN!$K$7:$K$406,0),0)</f>
        <v>0</v>
      </c>
      <c r="V714" s="1">
        <f t="shared" si="122"/>
        <v>10000000000</v>
      </c>
      <c r="W714" s="1">
        <f t="shared" si="123"/>
        <v>9</v>
      </c>
    </row>
    <row r="715" spans="2:23" ht="14.25" customHeight="1" x14ac:dyDescent="0.3">
      <c r="B715" s="65" t="str">
        <f t="shared" si="115"/>
        <v/>
      </c>
      <c r="C715" s="70" t="str">
        <f t="shared" si="116"/>
        <v/>
      </c>
      <c r="D715" s="74" t="str">
        <f t="shared" si="117"/>
        <v/>
      </c>
      <c r="F715" s="65" t="str">
        <f t="shared" si="118"/>
        <v/>
      </c>
      <c r="G715" s="68" t="str">
        <f t="shared" si="119"/>
        <v/>
      </c>
      <c r="H715" s="68" t="str">
        <f t="shared" si="120"/>
        <v/>
      </c>
      <c r="I715" s="68" t="str">
        <f t="shared" si="124"/>
        <v/>
      </c>
      <c r="M715" s="1">
        <v>678</v>
      </c>
      <c r="N715" s="1" t="str">
        <f>IF($T715=0,"",INDEX(VIRMAN!$C$7:$C$406,$T715))</f>
        <v/>
      </c>
      <c r="O715" s="1" t="str">
        <f>IF($N715="","",INDEX(VIRMAN!$D$7:$D$406,$T715)&amp;" → "&amp;$C$36&amp;IF(INDEX(VIRMAN!$G$7:$G$406,$T715)="",""," – "&amp;INDEX(VIRMAN!$G$7:$G$406,$T715)))</f>
        <v/>
      </c>
      <c r="P715" s="1" t="str">
        <f t="shared" si="125"/>
        <v/>
      </c>
      <c r="Q715" s="1">
        <f>IF($N715="",0,INDEX(VIRMAN!$F$7:$F$406,$T715))</f>
        <v>0</v>
      </c>
      <c r="R715" s="1">
        <v>0</v>
      </c>
      <c r="S715" s="1">
        <f t="shared" si="121"/>
        <v>10000000000</v>
      </c>
      <c r="T715" s="1">
        <f>IFERROR(MATCH($C$36&amp;"|142",VIRMAN!$K$7:$K$406,0),0)</f>
        <v>0</v>
      </c>
      <c r="V715" s="1">
        <f t="shared" si="122"/>
        <v>10000000000</v>
      </c>
      <c r="W715" s="1">
        <f t="shared" si="123"/>
        <v>9</v>
      </c>
    </row>
    <row r="716" spans="2:23" ht="14.25" customHeight="1" x14ac:dyDescent="0.3">
      <c r="B716" s="65" t="str">
        <f t="shared" si="115"/>
        <v/>
      </c>
      <c r="C716" s="70" t="str">
        <f t="shared" si="116"/>
        <v/>
      </c>
      <c r="D716" s="74" t="str">
        <f t="shared" si="117"/>
        <v/>
      </c>
      <c r="F716" s="65" t="str">
        <f t="shared" si="118"/>
        <v/>
      </c>
      <c r="G716" s="68" t="str">
        <f t="shared" si="119"/>
        <v/>
      </c>
      <c r="H716" s="68" t="str">
        <f t="shared" si="120"/>
        <v/>
      </c>
      <c r="I716" s="68" t="str">
        <f t="shared" si="124"/>
        <v/>
      </c>
      <c r="M716" s="1">
        <v>679</v>
      </c>
      <c r="N716" s="1" t="str">
        <f>IF($T716=0,"",INDEX(VIRMAN!$C$7:$C$406,$T716))</f>
        <v/>
      </c>
      <c r="O716" s="1" t="str">
        <f>IF($N716="","",INDEX(VIRMAN!$D$7:$D$406,$T716)&amp;" → "&amp;$C$36&amp;IF(INDEX(VIRMAN!$G$7:$G$406,$T716)="",""," – "&amp;INDEX(VIRMAN!$G$7:$G$406,$T716)))</f>
        <v/>
      </c>
      <c r="P716" s="1" t="str">
        <f t="shared" si="125"/>
        <v/>
      </c>
      <c r="Q716" s="1">
        <f>IF($N716="",0,INDEX(VIRMAN!$F$7:$F$406,$T716))</f>
        <v>0</v>
      </c>
      <c r="R716" s="1">
        <v>0</v>
      </c>
      <c r="S716" s="1">
        <f t="shared" si="121"/>
        <v>10000000000</v>
      </c>
      <c r="T716" s="1">
        <f>IFERROR(MATCH($C$36&amp;"|143",VIRMAN!$K$7:$K$406,0),0)</f>
        <v>0</v>
      </c>
      <c r="V716" s="1">
        <f t="shared" si="122"/>
        <v>10000000000</v>
      </c>
      <c r="W716" s="1">
        <f t="shared" si="123"/>
        <v>9</v>
      </c>
    </row>
    <row r="717" spans="2:23" ht="14.25" customHeight="1" x14ac:dyDescent="0.3">
      <c r="B717" s="65" t="str">
        <f t="shared" si="115"/>
        <v/>
      </c>
      <c r="C717" s="70" t="str">
        <f t="shared" si="116"/>
        <v/>
      </c>
      <c r="D717" s="74" t="str">
        <f t="shared" si="117"/>
        <v/>
      </c>
      <c r="F717" s="65" t="str">
        <f t="shared" si="118"/>
        <v/>
      </c>
      <c r="G717" s="68" t="str">
        <f t="shared" si="119"/>
        <v/>
      </c>
      <c r="H717" s="68" t="str">
        <f t="shared" si="120"/>
        <v/>
      </c>
      <c r="I717" s="68" t="str">
        <f t="shared" si="124"/>
        <v/>
      </c>
      <c r="M717" s="1">
        <v>680</v>
      </c>
      <c r="N717" s="1" t="str">
        <f>IF($T717=0,"",INDEX(VIRMAN!$C$7:$C$406,$T717))</f>
        <v/>
      </c>
      <c r="O717" s="1" t="str">
        <f>IF($N717="","",INDEX(VIRMAN!$D$7:$D$406,$T717)&amp;" → "&amp;$C$36&amp;IF(INDEX(VIRMAN!$G$7:$G$406,$T717)="",""," – "&amp;INDEX(VIRMAN!$G$7:$G$406,$T717)))</f>
        <v/>
      </c>
      <c r="P717" s="1" t="str">
        <f t="shared" si="125"/>
        <v/>
      </c>
      <c r="Q717" s="1">
        <f>IF($N717="",0,INDEX(VIRMAN!$F$7:$F$406,$T717))</f>
        <v>0</v>
      </c>
      <c r="R717" s="1">
        <v>0</v>
      </c>
      <c r="S717" s="1">
        <f t="shared" si="121"/>
        <v>10000000000</v>
      </c>
      <c r="T717" s="1">
        <f>IFERROR(MATCH($C$36&amp;"|144",VIRMAN!$K$7:$K$406,0),0)</f>
        <v>0</v>
      </c>
      <c r="V717" s="1">
        <f t="shared" si="122"/>
        <v>10000000000</v>
      </c>
      <c r="W717" s="1">
        <f t="shared" si="123"/>
        <v>9</v>
      </c>
    </row>
    <row r="718" spans="2:23" ht="14.25" customHeight="1" x14ac:dyDescent="0.3">
      <c r="B718" s="65" t="str">
        <f t="shared" si="115"/>
        <v/>
      </c>
      <c r="C718" s="70" t="str">
        <f t="shared" si="116"/>
        <v/>
      </c>
      <c r="D718" s="74" t="str">
        <f t="shared" si="117"/>
        <v/>
      </c>
      <c r="F718" s="65" t="str">
        <f t="shared" si="118"/>
        <v/>
      </c>
      <c r="G718" s="68" t="str">
        <f t="shared" si="119"/>
        <v/>
      </c>
      <c r="H718" s="68" t="str">
        <f t="shared" si="120"/>
        <v/>
      </c>
      <c r="I718" s="68" t="str">
        <f t="shared" si="124"/>
        <v/>
      </c>
      <c r="M718" s="1">
        <v>681</v>
      </c>
      <c r="N718" s="1" t="str">
        <f>IF($T718=0,"",INDEX(VIRMAN!$C$7:$C$406,$T718))</f>
        <v/>
      </c>
      <c r="O718" s="1" t="str">
        <f>IF($N718="","",INDEX(VIRMAN!$D$7:$D$406,$T718)&amp;" → "&amp;$C$36&amp;IF(INDEX(VIRMAN!$G$7:$G$406,$T718)="",""," – "&amp;INDEX(VIRMAN!$G$7:$G$406,$T718)))</f>
        <v/>
      </c>
      <c r="P718" s="1" t="str">
        <f t="shared" si="125"/>
        <v/>
      </c>
      <c r="Q718" s="1">
        <f>IF($N718="",0,INDEX(VIRMAN!$F$7:$F$406,$T718))</f>
        <v>0</v>
      </c>
      <c r="R718" s="1">
        <v>0</v>
      </c>
      <c r="S718" s="1">
        <f t="shared" si="121"/>
        <v>10000000000</v>
      </c>
      <c r="T718" s="1">
        <f>IFERROR(MATCH($C$36&amp;"|145",VIRMAN!$K$7:$K$406,0),0)</f>
        <v>0</v>
      </c>
      <c r="V718" s="1">
        <f t="shared" si="122"/>
        <v>10000000000</v>
      </c>
      <c r="W718" s="1">
        <f t="shared" si="123"/>
        <v>9</v>
      </c>
    </row>
    <row r="719" spans="2:23" ht="14.25" customHeight="1" x14ac:dyDescent="0.3">
      <c r="B719" s="65" t="str">
        <f t="shared" si="115"/>
        <v/>
      </c>
      <c r="C719" s="70" t="str">
        <f t="shared" si="116"/>
        <v/>
      </c>
      <c r="D719" s="74" t="str">
        <f t="shared" si="117"/>
        <v/>
      </c>
      <c r="F719" s="65" t="str">
        <f t="shared" si="118"/>
        <v/>
      </c>
      <c r="G719" s="68" t="str">
        <f t="shared" si="119"/>
        <v/>
      </c>
      <c r="H719" s="68" t="str">
        <f t="shared" si="120"/>
        <v/>
      </c>
      <c r="I719" s="68" t="str">
        <f t="shared" si="124"/>
        <v/>
      </c>
      <c r="M719" s="1">
        <v>682</v>
      </c>
      <c r="N719" s="1" t="str">
        <f>IF($T719=0,"",INDEX(VIRMAN!$C$7:$C$406,$T719))</f>
        <v/>
      </c>
      <c r="O719" s="1" t="str">
        <f>IF($N719="","",INDEX(VIRMAN!$D$7:$D$406,$T719)&amp;" → "&amp;$C$36&amp;IF(INDEX(VIRMAN!$G$7:$G$406,$T719)="",""," – "&amp;INDEX(VIRMAN!$G$7:$G$406,$T719)))</f>
        <v/>
      </c>
      <c r="P719" s="1" t="str">
        <f t="shared" si="125"/>
        <v/>
      </c>
      <c r="Q719" s="1">
        <f>IF($N719="",0,INDEX(VIRMAN!$F$7:$F$406,$T719))</f>
        <v>0</v>
      </c>
      <c r="R719" s="1">
        <v>0</v>
      </c>
      <c r="S719" s="1">
        <f t="shared" si="121"/>
        <v>10000000000</v>
      </c>
      <c r="T719" s="1">
        <f>IFERROR(MATCH($C$36&amp;"|146",VIRMAN!$K$7:$K$406,0),0)</f>
        <v>0</v>
      </c>
      <c r="V719" s="1">
        <f t="shared" si="122"/>
        <v>10000000000</v>
      </c>
      <c r="W719" s="1">
        <f t="shared" si="123"/>
        <v>9</v>
      </c>
    </row>
    <row r="720" spans="2:23" ht="14.25" customHeight="1" x14ac:dyDescent="0.3">
      <c r="B720" s="65" t="str">
        <f t="shared" si="115"/>
        <v/>
      </c>
      <c r="C720" s="70" t="str">
        <f t="shared" si="116"/>
        <v/>
      </c>
      <c r="D720" s="74" t="str">
        <f t="shared" si="117"/>
        <v/>
      </c>
      <c r="F720" s="65" t="str">
        <f t="shared" si="118"/>
        <v/>
      </c>
      <c r="G720" s="68" t="str">
        <f t="shared" si="119"/>
        <v/>
      </c>
      <c r="H720" s="68" t="str">
        <f t="shared" si="120"/>
        <v/>
      </c>
      <c r="I720" s="68" t="str">
        <f t="shared" si="124"/>
        <v/>
      </c>
      <c r="M720" s="1">
        <v>683</v>
      </c>
      <c r="N720" s="1" t="str">
        <f>IF($T720=0,"",INDEX(VIRMAN!$C$7:$C$406,$T720))</f>
        <v/>
      </c>
      <c r="O720" s="1" t="str">
        <f>IF($N720="","",INDEX(VIRMAN!$D$7:$D$406,$T720)&amp;" → "&amp;$C$36&amp;IF(INDEX(VIRMAN!$G$7:$G$406,$T720)="",""," – "&amp;INDEX(VIRMAN!$G$7:$G$406,$T720)))</f>
        <v/>
      </c>
      <c r="P720" s="1" t="str">
        <f t="shared" si="125"/>
        <v/>
      </c>
      <c r="Q720" s="1">
        <f>IF($N720="",0,INDEX(VIRMAN!$F$7:$F$406,$T720))</f>
        <v>0</v>
      </c>
      <c r="R720" s="1">
        <v>0</v>
      </c>
      <c r="S720" s="1">
        <f t="shared" si="121"/>
        <v>10000000000</v>
      </c>
      <c r="T720" s="1">
        <f>IFERROR(MATCH($C$36&amp;"|147",VIRMAN!$K$7:$K$406,0),0)</f>
        <v>0</v>
      </c>
      <c r="V720" s="1">
        <f t="shared" si="122"/>
        <v>10000000000</v>
      </c>
      <c r="W720" s="1">
        <f t="shared" si="123"/>
        <v>9</v>
      </c>
    </row>
    <row r="721" spans="2:23" ht="14.25" customHeight="1" x14ac:dyDescent="0.3">
      <c r="B721" s="65" t="str">
        <f t="shared" si="115"/>
        <v/>
      </c>
      <c r="C721" s="70" t="str">
        <f t="shared" si="116"/>
        <v/>
      </c>
      <c r="D721" s="74" t="str">
        <f t="shared" si="117"/>
        <v/>
      </c>
      <c r="F721" s="65" t="str">
        <f t="shared" si="118"/>
        <v/>
      </c>
      <c r="G721" s="68" t="str">
        <f t="shared" si="119"/>
        <v/>
      </c>
      <c r="H721" s="68" t="str">
        <f t="shared" si="120"/>
        <v/>
      </c>
      <c r="I721" s="68" t="str">
        <f t="shared" si="124"/>
        <v/>
      </c>
      <c r="M721" s="1">
        <v>684</v>
      </c>
      <c r="N721" s="1" t="str">
        <f>IF($T721=0,"",INDEX(VIRMAN!$C$7:$C$406,$T721))</f>
        <v/>
      </c>
      <c r="O721" s="1" t="str">
        <f>IF($N721="","",INDEX(VIRMAN!$D$7:$D$406,$T721)&amp;" → "&amp;$C$36&amp;IF(INDEX(VIRMAN!$G$7:$G$406,$T721)="",""," – "&amp;INDEX(VIRMAN!$G$7:$G$406,$T721)))</f>
        <v/>
      </c>
      <c r="P721" s="1" t="str">
        <f t="shared" si="125"/>
        <v/>
      </c>
      <c r="Q721" s="1">
        <f>IF($N721="",0,INDEX(VIRMAN!$F$7:$F$406,$T721))</f>
        <v>0</v>
      </c>
      <c r="R721" s="1">
        <v>0</v>
      </c>
      <c r="S721" s="1">
        <f t="shared" si="121"/>
        <v>10000000000</v>
      </c>
      <c r="T721" s="1">
        <f>IFERROR(MATCH($C$36&amp;"|148",VIRMAN!$K$7:$K$406,0),0)</f>
        <v>0</v>
      </c>
      <c r="V721" s="1">
        <f t="shared" si="122"/>
        <v>10000000000</v>
      </c>
      <c r="W721" s="1">
        <f t="shared" si="123"/>
        <v>9</v>
      </c>
    </row>
    <row r="722" spans="2:23" ht="14.25" customHeight="1" x14ac:dyDescent="0.3">
      <c r="B722" s="65" t="str">
        <f t="shared" si="115"/>
        <v/>
      </c>
      <c r="C722" s="70" t="str">
        <f t="shared" si="116"/>
        <v/>
      </c>
      <c r="D722" s="74" t="str">
        <f t="shared" si="117"/>
        <v/>
      </c>
      <c r="F722" s="65" t="str">
        <f t="shared" si="118"/>
        <v/>
      </c>
      <c r="G722" s="68" t="str">
        <f t="shared" si="119"/>
        <v/>
      </c>
      <c r="H722" s="68" t="str">
        <f t="shared" si="120"/>
        <v/>
      </c>
      <c r="I722" s="68" t="str">
        <f t="shared" si="124"/>
        <v/>
      </c>
      <c r="M722" s="1">
        <v>685</v>
      </c>
      <c r="N722" s="1" t="str">
        <f>IF($T722=0,"",INDEX(VIRMAN!$C$7:$C$406,$T722))</f>
        <v/>
      </c>
      <c r="O722" s="1" t="str">
        <f>IF($N722="","",INDEX(VIRMAN!$D$7:$D$406,$T722)&amp;" → "&amp;$C$36&amp;IF(INDEX(VIRMAN!$G$7:$G$406,$T722)="",""," – "&amp;INDEX(VIRMAN!$G$7:$G$406,$T722)))</f>
        <v/>
      </c>
      <c r="P722" s="1" t="str">
        <f t="shared" si="125"/>
        <v/>
      </c>
      <c r="Q722" s="1">
        <f>IF($N722="",0,INDEX(VIRMAN!$F$7:$F$406,$T722))</f>
        <v>0</v>
      </c>
      <c r="R722" s="1">
        <v>0</v>
      </c>
      <c r="S722" s="1">
        <f t="shared" si="121"/>
        <v>10000000000</v>
      </c>
      <c r="T722" s="1">
        <f>IFERROR(MATCH($C$36&amp;"|149",VIRMAN!$K$7:$K$406,0),0)</f>
        <v>0</v>
      </c>
      <c r="V722" s="1">
        <f t="shared" si="122"/>
        <v>10000000000</v>
      </c>
      <c r="W722" s="1">
        <f t="shared" si="123"/>
        <v>9</v>
      </c>
    </row>
    <row r="723" spans="2:23" ht="14.25" customHeight="1" x14ac:dyDescent="0.3">
      <c r="B723" s="65" t="str">
        <f t="shared" si="115"/>
        <v/>
      </c>
      <c r="C723" s="70" t="str">
        <f t="shared" si="116"/>
        <v/>
      </c>
      <c r="D723" s="74" t="str">
        <f t="shared" si="117"/>
        <v/>
      </c>
      <c r="F723" s="65" t="str">
        <f t="shared" si="118"/>
        <v/>
      </c>
      <c r="G723" s="68" t="str">
        <f t="shared" si="119"/>
        <v/>
      </c>
      <c r="H723" s="68" t="str">
        <f t="shared" si="120"/>
        <v/>
      </c>
      <c r="I723" s="68" t="str">
        <f t="shared" si="124"/>
        <v/>
      </c>
      <c r="M723" s="1">
        <v>686</v>
      </c>
      <c r="N723" s="1" t="str">
        <f>IF($T723=0,"",INDEX(VIRMAN!$C$7:$C$406,$T723))</f>
        <v/>
      </c>
      <c r="O723" s="1" t="str">
        <f>IF($N723="","",INDEX(VIRMAN!$D$7:$D$406,$T723)&amp;" → "&amp;$C$36&amp;IF(INDEX(VIRMAN!$G$7:$G$406,$T723)="",""," – "&amp;INDEX(VIRMAN!$G$7:$G$406,$T723)))</f>
        <v/>
      </c>
      <c r="P723" s="1" t="str">
        <f t="shared" si="125"/>
        <v/>
      </c>
      <c r="Q723" s="1">
        <f>IF($N723="",0,INDEX(VIRMAN!$F$7:$F$406,$T723))</f>
        <v>0</v>
      </c>
      <c r="R723" s="1">
        <v>0</v>
      </c>
      <c r="S723" s="1">
        <f t="shared" si="121"/>
        <v>10000000000</v>
      </c>
      <c r="T723" s="1">
        <f>IFERROR(MATCH($C$36&amp;"|150",VIRMAN!$K$7:$K$406,0),0)</f>
        <v>0</v>
      </c>
      <c r="V723" s="1">
        <f t="shared" si="122"/>
        <v>10000000000</v>
      </c>
      <c r="W723" s="1">
        <f t="shared" si="123"/>
        <v>9</v>
      </c>
    </row>
    <row r="724" spans="2:23" ht="14.25" customHeight="1" x14ac:dyDescent="0.3">
      <c r="B724" s="65" t="str">
        <f t="shared" si="115"/>
        <v/>
      </c>
      <c r="C724" s="70" t="str">
        <f t="shared" si="116"/>
        <v/>
      </c>
      <c r="D724" s="74" t="str">
        <f t="shared" si="117"/>
        <v/>
      </c>
      <c r="F724" s="65" t="str">
        <f t="shared" si="118"/>
        <v/>
      </c>
      <c r="G724" s="68" t="str">
        <f t="shared" si="119"/>
        <v/>
      </c>
      <c r="H724" s="68" t="str">
        <f t="shared" si="120"/>
        <v/>
      </c>
      <c r="I724" s="68" t="str">
        <f t="shared" si="124"/>
        <v/>
      </c>
      <c r="M724" s="1">
        <v>687</v>
      </c>
      <c r="N724" s="1" t="str">
        <f>IF($T724=0,"",INDEX(VIRMAN!$C$7:$C$406,$T724))</f>
        <v/>
      </c>
      <c r="O724" s="1" t="str">
        <f>IF($N724="","",INDEX(VIRMAN!$D$7:$D$406,$T724)&amp;" → "&amp;$C$36&amp;IF(INDEX(VIRMAN!$G$7:$G$406,$T724)="",""," – "&amp;INDEX(VIRMAN!$G$7:$G$406,$T724)))</f>
        <v/>
      </c>
      <c r="P724" s="1" t="str">
        <f t="shared" si="125"/>
        <v/>
      </c>
      <c r="Q724" s="1">
        <f>IF($N724="",0,INDEX(VIRMAN!$F$7:$F$406,$T724))</f>
        <v>0</v>
      </c>
      <c r="R724" s="1">
        <v>0</v>
      </c>
      <c r="S724" s="1">
        <f t="shared" si="121"/>
        <v>10000000000</v>
      </c>
      <c r="T724" s="1">
        <f>IFERROR(MATCH($C$36&amp;"|151",VIRMAN!$K$7:$K$406,0),0)</f>
        <v>0</v>
      </c>
      <c r="V724" s="1">
        <f t="shared" si="122"/>
        <v>10000000000</v>
      </c>
      <c r="W724" s="1">
        <f t="shared" si="123"/>
        <v>9</v>
      </c>
    </row>
    <row r="725" spans="2:23" ht="14.25" customHeight="1" x14ac:dyDescent="0.3">
      <c r="B725" s="65" t="str">
        <f t="shared" si="115"/>
        <v/>
      </c>
      <c r="C725" s="70" t="str">
        <f t="shared" si="116"/>
        <v/>
      </c>
      <c r="D725" s="74" t="str">
        <f t="shared" si="117"/>
        <v/>
      </c>
      <c r="F725" s="65" t="str">
        <f t="shared" si="118"/>
        <v/>
      </c>
      <c r="G725" s="68" t="str">
        <f t="shared" si="119"/>
        <v/>
      </c>
      <c r="H725" s="68" t="str">
        <f t="shared" si="120"/>
        <v/>
      </c>
      <c r="I725" s="68" t="str">
        <f t="shared" si="124"/>
        <v/>
      </c>
      <c r="M725" s="1">
        <v>688</v>
      </c>
      <c r="N725" s="1" t="str">
        <f>IF($T725=0,"",INDEX(VIRMAN!$C$7:$C$406,$T725))</f>
        <v/>
      </c>
      <c r="O725" s="1" t="str">
        <f>IF($N725="","",INDEX(VIRMAN!$D$7:$D$406,$T725)&amp;" → "&amp;$C$36&amp;IF(INDEX(VIRMAN!$G$7:$G$406,$T725)="",""," – "&amp;INDEX(VIRMAN!$G$7:$G$406,$T725)))</f>
        <v/>
      </c>
      <c r="P725" s="1" t="str">
        <f t="shared" si="125"/>
        <v/>
      </c>
      <c r="Q725" s="1">
        <f>IF($N725="",0,INDEX(VIRMAN!$F$7:$F$406,$T725))</f>
        <v>0</v>
      </c>
      <c r="R725" s="1">
        <v>0</v>
      </c>
      <c r="S725" s="1">
        <f t="shared" si="121"/>
        <v>10000000000</v>
      </c>
      <c r="T725" s="1">
        <f>IFERROR(MATCH($C$36&amp;"|152",VIRMAN!$K$7:$K$406,0),0)</f>
        <v>0</v>
      </c>
      <c r="V725" s="1">
        <f t="shared" si="122"/>
        <v>10000000000</v>
      </c>
      <c r="W725" s="1">
        <f t="shared" si="123"/>
        <v>9</v>
      </c>
    </row>
    <row r="726" spans="2:23" ht="14.25" customHeight="1" x14ac:dyDescent="0.3">
      <c r="B726" s="65" t="str">
        <f t="shared" si="115"/>
        <v/>
      </c>
      <c r="C726" s="70" t="str">
        <f t="shared" si="116"/>
        <v/>
      </c>
      <c r="D726" s="74" t="str">
        <f t="shared" si="117"/>
        <v/>
      </c>
      <c r="F726" s="65" t="str">
        <f t="shared" si="118"/>
        <v/>
      </c>
      <c r="G726" s="68" t="str">
        <f t="shared" si="119"/>
        <v/>
      </c>
      <c r="H726" s="68" t="str">
        <f t="shared" si="120"/>
        <v/>
      </c>
      <c r="I726" s="68" t="str">
        <f t="shared" si="124"/>
        <v/>
      </c>
      <c r="M726" s="1">
        <v>689</v>
      </c>
      <c r="N726" s="1" t="str">
        <f>IF($T726=0,"",INDEX(VIRMAN!$C$7:$C$406,$T726))</f>
        <v/>
      </c>
      <c r="O726" s="1" t="str">
        <f>IF($N726="","",INDEX(VIRMAN!$D$7:$D$406,$T726)&amp;" → "&amp;$C$36&amp;IF(INDEX(VIRMAN!$G$7:$G$406,$T726)="",""," – "&amp;INDEX(VIRMAN!$G$7:$G$406,$T726)))</f>
        <v/>
      </c>
      <c r="P726" s="1" t="str">
        <f t="shared" si="125"/>
        <v/>
      </c>
      <c r="Q726" s="1">
        <f>IF($N726="",0,INDEX(VIRMAN!$F$7:$F$406,$T726))</f>
        <v>0</v>
      </c>
      <c r="R726" s="1">
        <v>0</v>
      </c>
      <c r="S726" s="1">
        <f t="shared" si="121"/>
        <v>10000000000</v>
      </c>
      <c r="T726" s="1">
        <f>IFERROR(MATCH($C$36&amp;"|153",VIRMAN!$K$7:$K$406,0),0)</f>
        <v>0</v>
      </c>
      <c r="V726" s="1">
        <f t="shared" si="122"/>
        <v>10000000000</v>
      </c>
      <c r="W726" s="1">
        <f t="shared" si="123"/>
        <v>9</v>
      </c>
    </row>
    <row r="727" spans="2:23" ht="14.25" customHeight="1" x14ac:dyDescent="0.3">
      <c r="B727" s="65" t="str">
        <f t="shared" si="115"/>
        <v/>
      </c>
      <c r="C727" s="70" t="str">
        <f t="shared" si="116"/>
        <v/>
      </c>
      <c r="D727" s="74" t="str">
        <f t="shared" si="117"/>
        <v/>
      </c>
      <c r="F727" s="65" t="str">
        <f t="shared" si="118"/>
        <v/>
      </c>
      <c r="G727" s="68" t="str">
        <f t="shared" si="119"/>
        <v/>
      </c>
      <c r="H727" s="68" t="str">
        <f t="shared" si="120"/>
        <v/>
      </c>
      <c r="I727" s="68" t="str">
        <f t="shared" si="124"/>
        <v/>
      </c>
      <c r="M727" s="1">
        <v>690</v>
      </c>
      <c r="N727" s="1" t="str">
        <f>IF($T727=0,"",INDEX(VIRMAN!$C$7:$C$406,$T727))</f>
        <v/>
      </c>
      <c r="O727" s="1" t="str">
        <f>IF($N727="","",INDEX(VIRMAN!$D$7:$D$406,$T727)&amp;" → "&amp;$C$36&amp;IF(INDEX(VIRMAN!$G$7:$G$406,$T727)="",""," – "&amp;INDEX(VIRMAN!$G$7:$G$406,$T727)))</f>
        <v/>
      </c>
      <c r="P727" s="1" t="str">
        <f t="shared" si="125"/>
        <v/>
      </c>
      <c r="Q727" s="1">
        <f>IF($N727="",0,INDEX(VIRMAN!$F$7:$F$406,$T727))</f>
        <v>0</v>
      </c>
      <c r="R727" s="1">
        <v>0</v>
      </c>
      <c r="S727" s="1">
        <f t="shared" si="121"/>
        <v>10000000000</v>
      </c>
      <c r="T727" s="1">
        <f>IFERROR(MATCH($C$36&amp;"|154",VIRMAN!$K$7:$K$406,0),0)</f>
        <v>0</v>
      </c>
      <c r="V727" s="1">
        <f t="shared" si="122"/>
        <v>10000000000</v>
      </c>
      <c r="W727" s="1">
        <f t="shared" si="123"/>
        <v>9</v>
      </c>
    </row>
    <row r="728" spans="2:23" ht="14.25" customHeight="1" x14ac:dyDescent="0.3">
      <c r="B728" s="65" t="str">
        <f t="shared" si="115"/>
        <v/>
      </c>
      <c r="C728" s="70" t="str">
        <f t="shared" si="116"/>
        <v/>
      </c>
      <c r="D728" s="74" t="str">
        <f t="shared" si="117"/>
        <v/>
      </c>
      <c r="F728" s="65" t="str">
        <f t="shared" si="118"/>
        <v/>
      </c>
      <c r="G728" s="68" t="str">
        <f t="shared" si="119"/>
        <v/>
      </c>
      <c r="H728" s="68" t="str">
        <f t="shared" si="120"/>
        <v/>
      </c>
      <c r="I728" s="68" t="str">
        <f t="shared" si="124"/>
        <v/>
      </c>
      <c r="M728" s="1">
        <v>691</v>
      </c>
      <c r="N728" s="1" t="str">
        <f>IF($T728=0,"",INDEX(VIRMAN!$C$7:$C$406,$T728))</f>
        <v/>
      </c>
      <c r="O728" s="1" t="str">
        <f>IF($N728="","",INDEX(VIRMAN!$D$7:$D$406,$T728)&amp;" → "&amp;$C$36&amp;IF(INDEX(VIRMAN!$G$7:$G$406,$T728)="",""," – "&amp;INDEX(VIRMAN!$G$7:$G$406,$T728)))</f>
        <v/>
      </c>
      <c r="P728" s="1" t="str">
        <f t="shared" si="125"/>
        <v/>
      </c>
      <c r="Q728" s="1">
        <f>IF($N728="",0,INDEX(VIRMAN!$F$7:$F$406,$T728))</f>
        <v>0</v>
      </c>
      <c r="R728" s="1">
        <v>0</v>
      </c>
      <c r="S728" s="1">
        <f t="shared" si="121"/>
        <v>10000000000</v>
      </c>
      <c r="T728" s="1">
        <f>IFERROR(MATCH($C$36&amp;"|155",VIRMAN!$K$7:$K$406,0),0)</f>
        <v>0</v>
      </c>
      <c r="V728" s="1">
        <f t="shared" si="122"/>
        <v>10000000000</v>
      </c>
      <c r="W728" s="1">
        <f t="shared" si="123"/>
        <v>9</v>
      </c>
    </row>
    <row r="729" spans="2:23" ht="14.25" customHeight="1" x14ac:dyDescent="0.3">
      <c r="B729" s="65" t="str">
        <f t="shared" si="115"/>
        <v/>
      </c>
      <c r="C729" s="70" t="str">
        <f t="shared" si="116"/>
        <v/>
      </c>
      <c r="D729" s="74" t="str">
        <f t="shared" si="117"/>
        <v/>
      </c>
      <c r="F729" s="65" t="str">
        <f t="shared" si="118"/>
        <v/>
      </c>
      <c r="G729" s="68" t="str">
        <f t="shared" si="119"/>
        <v/>
      </c>
      <c r="H729" s="68" t="str">
        <f t="shared" si="120"/>
        <v/>
      </c>
      <c r="I729" s="68" t="str">
        <f t="shared" si="124"/>
        <v/>
      </c>
      <c r="M729" s="1">
        <v>692</v>
      </c>
      <c r="N729" s="1" t="str">
        <f>IF($T729=0,"",INDEX(VIRMAN!$C$7:$C$406,$T729))</f>
        <v/>
      </c>
      <c r="O729" s="1" t="str">
        <f>IF($N729="","",INDEX(VIRMAN!$D$7:$D$406,$T729)&amp;" → "&amp;$C$36&amp;IF(INDEX(VIRMAN!$G$7:$G$406,$T729)="",""," – "&amp;INDEX(VIRMAN!$G$7:$G$406,$T729)))</f>
        <v/>
      </c>
      <c r="P729" s="1" t="str">
        <f t="shared" si="125"/>
        <v/>
      </c>
      <c r="Q729" s="1">
        <f>IF($N729="",0,INDEX(VIRMAN!$F$7:$F$406,$T729))</f>
        <v>0</v>
      </c>
      <c r="R729" s="1">
        <v>0</v>
      </c>
      <c r="S729" s="1">
        <f t="shared" si="121"/>
        <v>10000000000</v>
      </c>
      <c r="T729" s="1">
        <f>IFERROR(MATCH($C$36&amp;"|156",VIRMAN!$K$7:$K$406,0),0)</f>
        <v>0</v>
      </c>
      <c r="V729" s="1">
        <f t="shared" si="122"/>
        <v>10000000000</v>
      </c>
      <c r="W729" s="1">
        <f t="shared" si="123"/>
        <v>9</v>
      </c>
    </row>
    <row r="730" spans="2:23" ht="14.25" customHeight="1" x14ac:dyDescent="0.3">
      <c r="B730" s="65" t="str">
        <f t="shared" si="115"/>
        <v/>
      </c>
      <c r="C730" s="70" t="str">
        <f t="shared" si="116"/>
        <v/>
      </c>
      <c r="D730" s="74" t="str">
        <f t="shared" si="117"/>
        <v/>
      </c>
      <c r="F730" s="65" t="str">
        <f t="shared" si="118"/>
        <v/>
      </c>
      <c r="G730" s="68" t="str">
        <f t="shared" si="119"/>
        <v/>
      </c>
      <c r="H730" s="68" t="str">
        <f t="shared" si="120"/>
        <v/>
      </c>
      <c r="I730" s="68" t="str">
        <f t="shared" si="124"/>
        <v/>
      </c>
      <c r="M730" s="1">
        <v>693</v>
      </c>
      <c r="N730" s="1" t="str">
        <f>IF($T730=0,"",INDEX(VIRMAN!$C$7:$C$406,$T730))</f>
        <v/>
      </c>
      <c r="O730" s="1" t="str">
        <f>IF($N730="","",INDEX(VIRMAN!$D$7:$D$406,$T730)&amp;" → "&amp;$C$36&amp;IF(INDEX(VIRMAN!$G$7:$G$406,$T730)="",""," – "&amp;INDEX(VIRMAN!$G$7:$G$406,$T730)))</f>
        <v/>
      </c>
      <c r="P730" s="1" t="str">
        <f t="shared" si="125"/>
        <v/>
      </c>
      <c r="Q730" s="1">
        <f>IF($N730="",0,INDEX(VIRMAN!$F$7:$F$406,$T730))</f>
        <v>0</v>
      </c>
      <c r="R730" s="1">
        <v>0</v>
      </c>
      <c r="S730" s="1">
        <f t="shared" si="121"/>
        <v>10000000000</v>
      </c>
      <c r="T730" s="1">
        <f>IFERROR(MATCH($C$36&amp;"|157",VIRMAN!$K$7:$K$406,0),0)</f>
        <v>0</v>
      </c>
      <c r="V730" s="1">
        <f t="shared" si="122"/>
        <v>10000000000</v>
      </c>
      <c r="W730" s="1">
        <f t="shared" si="123"/>
        <v>9</v>
      </c>
    </row>
    <row r="731" spans="2:23" ht="14.25" customHeight="1" x14ac:dyDescent="0.3">
      <c r="B731" s="65" t="str">
        <f t="shared" si="115"/>
        <v/>
      </c>
      <c r="C731" s="70" t="str">
        <f t="shared" si="116"/>
        <v/>
      </c>
      <c r="D731" s="74" t="str">
        <f t="shared" si="117"/>
        <v/>
      </c>
      <c r="F731" s="65" t="str">
        <f t="shared" si="118"/>
        <v/>
      </c>
      <c r="G731" s="68" t="str">
        <f t="shared" si="119"/>
        <v/>
      </c>
      <c r="H731" s="68" t="str">
        <f t="shared" si="120"/>
        <v/>
      </c>
      <c r="I731" s="68" t="str">
        <f t="shared" si="124"/>
        <v/>
      </c>
      <c r="M731" s="1">
        <v>694</v>
      </c>
      <c r="N731" s="1" t="str">
        <f>IF($T731=0,"",INDEX(VIRMAN!$C$7:$C$406,$T731))</f>
        <v/>
      </c>
      <c r="O731" s="1" t="str">
        <f>IF($N731="","",INDEX(VIRMAN!$D$7:$D$406,$T731)&amp;" → "&amp;$C$36&amp;IF(INDEX(VIRMAN!$G$7:$G$406,$T731)="",""," – "&amp;INDEX(VIRMAN!$G$7:$G$406,$T731)))</f>
        <v/>
      </c>
      <c r="P731" s="1" t="str">
        <f t="shared" si="125"/>
        <v/>
      </c>
      <c r="Q731" s="1">
        <f>IF($N731="",0,INDEX(VIRMAN!$F$7:$F$406,$T731))</f>
        <v>0</v>
      </c>
      <c r="R731" s="1">
        <v>0</v>
      </c>
      <c r="S731" s="1">
        <f t="shared" si="121"/>
        <v>10000000000</v>
      </c>
      <c r="T731" s="1">
        <f>IFERROR(MATCH($C$36&amp;"|158",VIRMAN!$K$7:$K$406,0),0)</f>
        <v>0</v>
      </c>
      <c r="V731" s="1">
        <f t="shared" si="122"/>
        <v>10000000000</v>
      </c>
      <c r="W731" s="1">
        <f t="shared" si="123"/>
        <v>9</v>
      </c>
    </row>
    <row r="732" spans="2:23" ht="14.25" customHeight="1" x14ac:dyDescent="0.3">
      <c r="B732" s="65" t="str">
        <f t="shared" si="115"/>
        <v/>
      </c>
      <c r="C732" s="70" t="str">
        <f t="shared" si="116"/>
        <v/>
      </c>
      <c r="D732" s="74" t="str">
        <f t="shared" si="117"/>
        <v/>
      </c>
      <c r="F732" s="65" t="str">
        <f t="shared" si="118"/>
        <v/>
      </c>
      <c r="G732" s="68" t="str">
        <f t="shared" si="119"/>
        <v/>
      </c>
      <c r="H732" s="68" t="str">
        <f t="shared" si="120"/>
        <v/>
      </c>
      <c r="I732" s="68" t="str">
        <f t="shared" si="124"/>
        <v/>
      </c>
      <c r="M732" s="1">
        <v>695</v>
      </c>
      <c r="N732" s="1" t="str">
        <f>IF($T732=0,"",INDEX(VIRMAN!$C$7:$C$406,$T732))</f>
        <v/>
      </c>
      <c r="O732" s="1" t="str">
        <f>IF($N732="","",INDEX(VIRMAN!$D$7:$D$406,$T732)&amp;" → "&amp;$C$36&amp;IF(INDEX(VIRMAN!$G$7:$G$406,$T732)="",""," – "&amp;INDEX(VIRMAN!$G$7:$G$406,$T732)))</f>
        <v/>
      </c>
      <c r="P732" s="1" t="str">
        <f t="shared" si="125"/>
        <v/>
      </c>
      <c r="Q732" s="1">
        <f>IF($N732="",0,INDEX(VIRMAN!$F$7:$F$406,$T732))</f>
        <v>0</v>
      </c>
      <c r="R732" s="1">
        <v>0</v>
      </c>
      <c r="S732" s="1">
        <f t="shared" si="121"/>
        <v>10000000000</v>
      </c>
      <c r="T732" s="1">
        <f>IFERROR(MATCH($C$36&amp;"|159",VIRMAN!$K$7:$K$406,0),0)</f>
        <v>0</v>
      </c>
      <c r="V732" s="1">
        <f t="shared" si="122"/>
        <v>10000000000</v>
      </c>
      <c r="W732" s="1">
        <f t="shared" si="123"/>
        <v>9</v>
      </c>
    </row>
    <row r="733" spans="2:23" ht="14.25" customHeight="1" x14ac:dyDescent="0.3">
      <c r="B733" s="65" t="str">
        <f t="shared" si="115"/>
        <v/>
      </c>
      <c r="C733" s="70" t="str">
        <f t="shared" si="116"/>
        <v/>
      </c>
      <c r="D733" s="74" t="str">
        <f t="shared" si="117"/>
        <v/>
      </c>
      <c r="F733" s="65" t="str">
        <f t="shared" si="118"/>
        <v/>
      </c>
      <c r="G733" s="68" t="str">
        <f t="shared" si="119"/>
        <v/>
      </c>
      <c r="H733" s="68" t="str">
        <f t="shared" si="120"/>
        <v/>
      </c>
      <c r="I733" s="68" t="str">
        <f t="shared" si="124"/>
        <v/>
      </c>
      <c r="M733" s="1">
        <v>696</v>
      </c>
      <c r="N733" s="1" t="str">
        <f>IF($T733=0,"",INDEX(VIRMAN!$C$7:$C$406,$T733))</f>
        <v/>
      </c>
      <c r="O733" s="1" t="str">
        <f>IF($N733="","",INDEX(VIRMAN!$D$7:$D$406,$T733)&amp;" → "&amp;$C$36&amp;IF(INDEX(VIRMAN!$G$7:$G$406,$T733)="",""," – "&amp;INDEX(VIRMAN!$G$7:$G$406,$T733)))</f>
        <v/>
      </c>
      <c r="P733" s="1" t="str">
        <f t="shared" si="125"/>
        <v/>
      </c>
      <c r="Q733" s="1">
        <f>IF($N733="",0,INDEX(VIRMAN!$F$7:$F$406,$T733))</f>
        <v>0</v>
      </c>
      <c r="R733" s="1">
        <v>0</v>
      </c>
      <c r="S733" s="1">
        <f t="shared" si="121"/>
        <v>10000000000</v>
      </c>
      <c r="T733" s="1">
        <f>IFERROR(MATCH($C$36&amp;"|160",VIRMAN!$K$7:$K$406,0),0)</f>
        <v>0</v>
      </c>
      <c r="V733" s="1">
        <f t="shared" si="122"/>
        <v>10000000000</v>
      </c>
      <c r="W733" s="1">
        <f t="shared" si="123"/>
        <v>9</v>
      </c>
    </row>
    <row r="734" spans="2:23" ht="14.25" customHeight="1" x14ac:dyDescent="0.3">
      <c r="B734" s="65" t="str">
        <f t="shared" si="115"/>
        <v/>
      </c>
      <c r="C734" s="70" t="str">
        <f t="shared" si="116"/>
        <v/>
      </c>
      <c r="D734" s="74" t="str">
        <f t="shared" si="117"/>
        <v/>
      </c>
      <c r="F734" s="65" t="str">
        <f t="shared" si="118"/>
        <v/>
      </c>
      <c r="G734" s="68" t="str">
        <f t="shared" si="119"/>
        <v/>
      </c>
      <c r="H734" s="68" t="str">
        <f t="shared" si="120"/>
        <v/>
      </c>
      <c r="I734" s="68" t="str">
        <f t="shared" si="124"/>
        <v/>
      </c>
      <c r="M734" s="1">
        <v>697</v>
      </c>
      <c r="N734" s="71">
        <f>IF($T734=0,"",INDEX(VIRMAN!$C$7:$C$406,$T734))</f>
        <v>46087</v>
      </c>
      <c r="O734" s="1" t="str">
        <f>IF($N734="","",$C$36&amp;" → "&amp;INDEX(VIRMAN!$E$7:$E$406,$T734)&amp;IF(INDEX(VIRMAN!$G$7:$G$406,$T734)="",""," – "&amp;INDEX(VIRMAN!$G$7:$G$406,$T734)))</f>
        <v xml:space="preserve">ÖMER KARTAL → MERKEZ KASA – KASAYA NAKİT ÖDENEN </v>
      </c>
      <c r="P734" s="1" t="str">
        <f t="shared" ref="P734:P765" si="126">IF($N734="","","OFİSE/KASAYA ÖDEDİ")</f>
        <v>OFİSE/KASAYA ÖDEDİ</v>
      </c>
      <c r="Q734" s="1">
        <v>0</v>
      </c>
      <c r="R734" s="79">
        <f>IF($N734="",0,INDEX(VIRMAN!$F$7:$F$406,$T734))</f>
        <v>15000</v>
      </c>
      <c r="S734" s="1">
        <f t="shared" si="121"/>
        <v>4608700697</v>
      </c>
      <c r="T734" s="1">
        <f>IFERROR(MATCH($C$36&amp;"|1",VIRMAN!$L$7:$L$406,0),0)</f>
        <v>10</v>
      </c>
      <c r="V734" s="1">
        <f t="shared" si="122"/>
        <v>10000000000</v>
      </c>
      <c r="W734" s="1">
        <f t="shared" si="123"/>
        <v>9</v>
      </c>
    </row>
    <row r="735" spans="2:23" ht="14.25" customHeight="1" x14ac:dyDescent="0.3">
      <c r="B735" s="65" t="str">
        <f t="shared" si="115"/>
        <v/>
      </c>
      <c r="C735" s="70" t="str">
        <f t="shared" si="116"/>
        <v/>
      </c>
      <c r="D735" s="74" t="str">
        <f t="shared" si="117"/>
        <v/>
      </c>
      <c r="F735" s="65" t="str">
        <f t="shared" si="118"/>
        <v/>
      </c>
      <c r="G735" s="68" t="str">
        <f t="shared" si="119"/>
        <v/>
      </c>
      <c r="H735" s="68" t="str">
        <f t="shared" si="120"/>
        <v/>
      </c>
      <c r="I735" s="68" t="str">
        <f t="shared" si="124"/>
        <v/>
      </c>
      <c r="M735" s="1">
        <v>698</v>
      </c>
      <c r="N735" s="71">
        <f>IF($T735=0,"",INDEX(VIRMAN!$C$7:$C$406,$T735))</f>
        <v>46054</v>
      </c>
      <c r="O735" s="1" t="str">
        <f>IF($N735="","",$C$36&amp;" → "&amp;INDEX(VIRMAN!$E$7:$E$406,$T735)&amp;IF(INDEX(VIRMAN!$G$7:$G$406,$T735)="",""," – "&amp;INDEX(VIRMAN!$G$7:$G$406,$T735)))</f>
        <v>ÖMER KARTAL → MERKEZ KASA – ÖMER KARTAL CARİ HESAP KASAYA ÖDEDİĞİ</v>
      </c>
      <c r="P735" s="1" t="str">
        <f t="shared" si="126"/>
        <v>OFİSE/KASAYA ÖDEDİ</v>
      </c>
      <c r="Q735" s="1">
        <v>0</v>
      </c>
      <c r="R735" s="79">
        <f>IF($N735="",0,INDEX(VIRMAN!$F$7:$F$406,$T735))</f>
        <v>32000</v>
      </c>
      <c r="S735" s="1">
        <f t="shared" si="121"/>
        <v>4605400698</v>
      </c>
      <c r="T735" s="1">
        <f>IFERROR(MATCH($C$36&amp;"|2",VIRMAN!$L$7:$L$406,0),0)</f>
        <v>31</v>
      </c>
      <c r="V735" s="1">
        <f t="shared" si="122"/>
        <v>10000000000</v>
      </c>
      <c r="W735" s="1">
        <f t="shared" si="123"/>
        <v>9</v>
      </c>
    </row>
    <row r="736" spans="2:23" ht="14.25" customHeight="1" x14ac:dyDescent="0.3">
      <c r="B736" s="65" t="str">
        <f t="shared" si="115"/>
        <v/>
      </c>
      <c r="C736" s="70" t="str">
        <f t="shared" si="116"/>
        <v/>
      </c>
      <c r="D736" s="74" t="str">
        <f t="shared" si="117"/>
        <v/>
      </c>
      <c r="F736" s="65" t="str">
        <f t="shared" si="118"/>
        <v/>
      </c>
      <c r="G736" s="68" t="str">
        <f t="shared" si="119"/>
        <v/>
      </c>
      <c r="H736" s="68" t="str">
        <f t="shared" si="120"/>
        <v/>
      </c>
      <c r="I736" s="68" t="str">
        <f t="shared" si="124"/>
        <v/>
      </c>
      <c r="M736" s="1">
        <v>699</v>
      </c>
      <c r="N736" s="1" t="str">
        <f>IF($T736=0,"",INDEX(VIRMAN!$C$7:$C$406,$T736))</f>
        <v/>
      </c>
      <c r="O736" s="1" t="str">
        <f>IF($N736="","",$C$36&amp;" → "&amp;INDEX(VIRMAN!$E$7:$E$406,$T736)&amp;IF(INDEX(VIRMAN!$G$7:$G$406,$T736)="",""," – "&amp;INDEX(VIRMAN!$G$7:$G$406,$T736)))</f>
        <v/>
      </c>
      <c r="P736" s="1" t="str">
        <f t="shared" si="126"/>
        <v/>
      </c>
      <c r="Q736" s="1">
        <v>0</v>
      </c>
      <c r="R736" s="1">
        <f>IF($N736="",0,INDEX(VIRMAN!$F$7:$F$406,$T736))</f>
        <v>0</v>
      </c>
      <c r="S736" s="1">
        <f t="shared" si="121"/>
        <v>10000000000</v>
      </c>
      <c r="T736" s="1">
        <f>IFERROR(MATCH($C$36&amp;"|3",VIRMAN!$L$7:$L$406,0),0)</f>
        <v>0</v>
      </c>
      <c r="V736" s="1">
        <f t="shared" si="122"/>
        <v>10000000000</v>
      </c>
      <c r="W736" s="1">
        <f t="shared" si="123"/>
        <v>9</v>
      </c>
    </row>
    <row r="737" spans="2:23" ht="14.25" customHeight="1" x14ac:dyDescent="0.3">
      <c r="B737" s="65" t="str">
        <f t="shared" si="115"/>
        <v/>
      </c>
      <c r="C737" s="70" t="str">
        <f t="shared" si="116"/>
        <v/>
      </c>
      <c r="D737" s="74" t="str">
        <f t="shared" si="117"/>
        <v/>
      </c>
      <c r="F737" s="65" t="str">
        <f t="shared" si="118"/>
        <v/>
      </c>
      <c r="G737" s="68" t="str">
        <f t="shared" si="119"/>
        <v/>
      </c>
      <c r="H737" s="68" t="str">
        <f t="shared" si="120"/>
        <v/>
      </c>
      <c r="I737" s="68" t="str">
        <f t="shared" si="124"/>
        <v/>
      </c>
      <c r="M737" s="1">
        <v>700</v>
      </c>
      <c r="N737" s="1" t="str">
        <f>IF($T737=0,"",INDEX(VIRMAN!$C$7:$C$406,$T737))</f>
        <v/>
      </c>
      <c r="O737" s="1" t="str">
        <f>IF($N737="","",$C$36&amp;" → "&amp;INDEX(VIRMAN!$E$7:$E$406,$T737)&amp;IF(INDEX(VIRMAN!$G$7:$G$406,$T737)="",""," – "&amp;INDEX(VIRMAN!$G$7:$G$406,$T737)))</f>
        <v/>
      </c>
      <c r="P737" s="1" t="str">
        <f t="shared" si="126"/>
        <v/>
      </c>
      <c r="Q737" s="1">
        <v>0</v>
      </c>
      <c r="R737" s="1">
        <f>IF($N737="",0,INDEX(VIRMAN!$F$7:$F$406,$T737))</f>
        <v>0</v>
      </c>
      <c r="S737" s="1">
        <f t="shared" si="121"/>
        <v>10000000000</v>
      </c>
      <c r="T737" s="1">
        <f>IFERROR(MATCH($C$36&amp;"|4",VIRMAN!$L$7:$L$406,0),0)</f>
        <v>0</v>
      </c>
      <c r="V737" s="1">
        <f t="shared" si="122"/>
        <v>10000000000</v>
      </c>
      <c r="W737" s="1">
        <f t="shared" si="123"/>
        <v>9</v>
      </c>
    </row>
    <row r="738" spans="2:23" ht="14.25" customHeight="1" x14ac:dyDescent="0.3">
      <c r="B738" s="65" t="str">
        <f t="shared" si="115"/>
        <v/>
      </c>
      <c r="C738" s="70" t="str">
        <f t="shared" si="116"/>
        <v/>
      </c>
      <c r="D738" s="74" t="str">
        <f t="shared" si="117"/>
        <v/>
      </c>
      <c r="F738" s="65" t="str">
        <f t="shared" si="118"/>
        <v/>
      </c>
      <c r="G738" s="68" t="str">
        <f t="shared" si="119"/>
        <v/>
      </c>
      <c r="H738" s="68" t="str">
        <f t="shared" si="120"/>
        <v/>
      </c>
      <c r="I738" s="68" t="str">
        <f t="shared" si="124"/>
        <v/>
      </c>
      <c r="M738" s="1">
        <v>701</v>
      </c>
      <c r="N738" s="1" t="str">
        <f>IF($T738=0,"",INDEX(VIRMAN!$C$7:$C$406,$T738))</f>
        <v/>
      </c>
      <c r="O738" s="1" t="str">
        <f>IF($N738="","",$C$36&amp;" → "&amp;INDEX(VIRMAN!$E$7:$E$406,$T738)&amp;IF(INDEX(VIRMAN!$G$7:$G$406,$T738)="",""," – "&amp;INDEX(VIRMAN!$G$7:$G$406,$T738)))</f>
        <v/>
      </c>
      <c r="P738" s="1" t="str">
        <f t="shared" si="126"/>
        <v/>
      </c>
      <c r="Q738" s="1">
        <v>0</v>
      </c>
      <c r="R738" s="1">
        <f>IF($N738="",0,INDEX(VIRMAN!$F$7:$F$406,$T738))</f>
        <v>0</v>
      </c>
      <c r="S738" s="1">
        <f t="shared" si="121"/>
        <v>10000000000</v>
      </c>
      <c r="T738" s="1">
        <f>IFERROR(MATCH($C$36&amp;"|5",VIRMAN!$L$7:$L$406,0),0)</f>
        <v>0</v>
      </c>
      <c r="V738" s="1">
        <f t="shared" si="122"/>
        <v>10000000000</v>
      </c>
      <c r="W738" s="1">
        <f t="shared" si="123"/>
        <v>9</v>
      </c>
    </row>
    <row r="739" spans="2:23" ht="14.25" customHeight="1" x14ac:dyDescent="0.3">
      <c r="B739" s="65" t="str">
        <f t="shared" si="115"/>
        <v/>
      </c>
      <c r="C739" s="70" t="str">
        <f t="shared" si="116"/>
        <v/>
      </c>
      <c r="D739" s="74" t="str">
        <f t="shared" si="117"/>
        <v/>
      </c>
      <c r="F739" s="65" t="str">
        <f t="shared" si="118"/>
        <v/>
      </c>
      <c r="G739" s="68" t="str">
        <f t="shared" si="119"/>
        <v/>
      </c>
      <c r="H739" s="68" t="str">
        <f t="shared" si="120"/>
        <v/>
      </c>
      <c r="I739" s="68" t="str">
        <f t="shared" si="124"/>
        <v/>
      </c>
      <c r="M739" s="1">
        <v>702</v>
      </c>
      <c r="N739" s="1" t="str">
        <f>IF($T739=0,"",INDEX(VIRMAN!$C$7:$C$406,$T739))</f>
        <v/>
      </c>
      <c r="O739" s="1" t="str">
        <f>IF($N739="","",$C$36&amp;" → "&amp;INDEX(VIRMAN!$E$7:$E$406,$T739)&amp;IF(INDEX(VIRMAN!$G$7:$G$406,$T739)="",""," – "&amp;INDEX(VIRMAN!$G$7:$G$406,$T739)))</f>
        <v/>
      </c>
      <c r="P739" s="1" t="str">
        <f t="shared" si="126"/>
        <v/>
      </c>
      <c r="Q739" s="1">
        <v>0</v>
      </c>
      <c r="R739" s="1">
        <f>IF($N739="",0,INDEX(VIRMAN!$F$7:$F$406,$T739))</f>
        <v>0</v>
      </c>
      <c r="S739" s="1">
        <f t="shared" si="121"/>
        <v>10000000000</v>
      </c>
      <c r="T739" s="1">
        <f>IFERROR(MATCH($C$36&amp;"|6",VIRMAN!$L$7:$L$406,0),0)</f>
        <v>0</v>
      </c>
      <c r="V739" s="1">
        <f t="shared" si="122"/>
        <v>10000000000</v>
      </c>
      <c r="W739" s="1">
        <f t="shared" si="123"/>
        <v>9</v>
      </c>
    </row>
    <row r="740" spans="2:23" ht="14.25" customHeight="1" x14ac:dyDescent="0.3">
      <c r="B740" s="65" t="str">
        <f t="shared" si="115"/>
        <v/>
      </c>
      <c r="C740" s="70" t="str">
        <f t="shared" si="116"/>
        <v/>
      </c>
      <c r="D740" s="74" t="str">
        <f t="shared" si="117"/>
        <v/>
      </c>
      <c r="F740" s="65" t="str">
        <f t="shared" si="118"/>
        <v/>
      </c>
      <c r="G740" s="68" t="str">
        <f t="shared" si="119"/>
        <v/>
      </c>
      <c r="H740" s="68" t="str">
        <f t="shared" si="120"/>
        <v/>
      </c>
      <c r="I740" s="68" t="str">
        <f t="shared" si="124"/>
        <v/>
      </c>
      <c r="M740" s="1">
        <v>703</v>
      </c>
      <c r="N740" s="1" t="str">
        <f>IF($T740=0,"",INDEX(VIRMAN!$C$7:$C$406,$T740))</f>
        <v/>
      </c>
      <c r="O740" s="1" t="str">
        <f>IF($N740="","",$C$36&amp;" → "&amp;INDEX(VIRMAN!$E$7:$E$406,$T740)&amp;IF(INDEX(VIRMAN!$G$7:$G$406,$T740)="",""," – "&amp;INDEX(VIRMAN!$G$7:$G$406,$T740)))</f>
        <v/>
      </c>
      <c r="P740" s="1" t="str">
        <f t="shared" si="126"/>
        <v/>
      </c>
      <c r="Q740" s="1">
        <v>0</v>
      </c>
      <c r="R740" s="1">
        <f>IF($N740="",0,INDEX(VIRMAN!$F$7:$F$406,$T740))</f>
        <v>0</v>
      </c>
      <c r="S740" s="1">
        <f t="shared" si="121"/>
        <v>10000000000</v>
      </c>
      <c r="T740" s="1">
        <f>IFERROR(MATCH($C$36&amp;"|7",VIRMAN!$L$7:$L$406,0),0)</f>
        <v>0</v>
      </c>
      <c r="V740" s="1">
        <f t="shared" si="122"/>
        <v>10000000000</v>
      </c>
      <c r="W740" s="1">
        <f t="shared" si="123"/>
        <v>9</v>
      </c>
    </row>
    <row r="741" spans="2:23" ht="14.25" customHeight="1" x14ac:dyDescent="0.3">
      <c r="B741" s="65" t="str">
        <f t="shared" si="115"/>
        <v/>
      </c>
      <c r="C741" s="70" t="str">
        <f t="shared" si="116"/>
        <v/>
      </c>
      <c r="D741" s="74" t="str">
        <f t="shared" si="117"/>
        <v/>
      </c>
      <c r="F741" s="65" t="str">
        <f t="shared" si="118"/>
        <v/>
      </c>
      <c r="G741" s="68" t="str">
        <f t="shared" si="119"/>
        <v/>
      </c>
      <c r="H741" s="68" t="str">
        <f t="shared" si="120"/>
        <v/>
      </c>
      <c r="I741" s="68" t="str">
        <f t="shared" si="124"/>
        <v/>
      </c>
      <c r="M741" s="1">
        <v>704</v>
      </c>
      <c r="N741" s="1" t="str">
        <f>IF($T741=0,"",INDEX(VIRMAN!$C$7:$C$406,$T741))</f>
        <v/>
      </c>
      <c r="O741" s="1" t="str">
        <f>IF($N741="","",$C$36&amp;" → "&amp;INDEX(VIRMAN!$E$7:$E$406,$T741)&amp;IF(INDEX(VIRMAN!$G$7:$G$406,$T741)="",""," – "&amp;INDEX(VIRMAN!$G$7:$G$406,$T741)))</f>
        <v/>
      </c>
      <c r="P741" s="1" t="str">
        <f t="shared" si="126"/>
        <v/>
      </c>
      <c r="Q741" s="1">
        <v>0</v>
      </c>
      <c r="R741" s="1">
        <f>IF($N741="",0,INDEX(VIRMAN!$F$7:$F$406,$T741))</f>
        <v>0</v>
      </c>
      <c r="S741" s="1">
        <f t="shared" si="121"/>
        <v>10000000000</v>
      </c>
      <c r="T741" s="1">
        <f>IFERROR(MATCH($C$36&amp;"|8",VIRMAN!$L$7:$L$406,0),0)</f>
        <v>0</v>
      </c>
      <c r="V741" s="1">
        <f t="shared" si="122"/>
        <v>10000000000</v>
      </c>
      <c r="W741" s="1">
        <f t="shared" si="123"/>
        <v>9</v>
      </c>
    </row>
    <row r="742" spans="2:23" ht="14.25" customHeight="1" x14ac:dyDescent="0.3">
      <c r="B742" s="65" t="str">
        <f t="shared" ref="B742:B805" si="127">IF($C742="","",ROW()-37)</f>
        <v/>
      </c>
      <c r="C742" s="70" t="str">
        <f t="shared" ref="C742:C805" si="128">IF($W742="","",IF(INDEX($N$38:$N$953,$W742)="","",INDEX($N$38:$N$953,$W742)))</f>
        <v/>
      </c>
      <c r="D742" s="74" t="str">
        <f t="shared" ref="D742:D805" si="129">IF($C742="","",INDEX($O$38:$O$953,$W742))</f>
        <v/>
      </c>
      <c r="F742" s="65" t="str">
        <f t="shared" ref="F742:F805" si="130">IF($C742="","",INDEX($P$38:$P$953,$W742))</f>
        <v/>
      </c>
      <c r="G742" s="68" t="str">
        <f t="shared" ref="G742:G805" si="131">IF($C742="","",INDEX($Q$38:$Q$953,$W742))</f>
        <v/>
      </c>
      <c r="H742" s="68" t="str">
        <f t="shared" ref="H742:H805" si="132">IF($C742="","",INDEX($R$38:$R$953,$W742))</f>
        <v/>
      </c>
      <c r="I742" s="68" t="str">
        <f t="shared" si="124"/>
        <v/>
      </c>
      <c r="M742" s="1">
        <v>705</v>
      </c>
      <c r="N742" s="1" t="str">
        <f>IF($T742=0,"",INDEX(VIRMAN!$C$7:$C$406,$T742))</f>
        <v/>
      </c>
      <c r="O742" s="1" t="str">
        <f>IF($N742="","",$C$36&amp;" → "&amp;INDEX(VIRMAN!$E$7:$E$406,$T742)&amp;IF(INDEX(VIRMAN!$G$7:$G$406,$T742)="",""," – "&amp;INDEX(VIRMAN!$G$7:$G$406,$T742)))</f>
        <v/>
      </c>
      <c r="P742" s="1" t="str">
        <f t="shared" si="126"/>
        <v/>
      </c>
      <c r="Q742" s="1">
        <v>0</v>
      </c>
      <c r="R742" s="1">
        <f>IF($N742="",0,INDEX(VIRMAN!$F$7:$F$406,$T742))</f>
        <v>0</v>
      </c>
      <c r="S742" s="1">
        <f t="shared" ref="S742:S805" si="133">IF($N742="",10000000000,$N742*100000+$M742)</f>
        <v>10000000000</v>
      </c>
      <c r="T742" s="1">
        <f>IFERROR(MATCH($C$36&amp;"|9",VIRMAN!$L$7:$L$406,0),0)</f>
        <v>0</v>
      </c>
      <c r="V742" s="1">
        <f t="shared" ref="V742:V805" si="134">IFERROR(SMALL($S$38:$S$953,ROW()-37),"")</f>
        <v>10000000000</v>
      </c>
      <c r="W742" s="1">
        <f t="shared" ref="W742:W805" si="135">IFERROR(MATCH($V742,$S$38:$S$953,0),"")</f>
        <v>9</v>
      </c>
    </row>
    <row r="743" spans="2:23" ht="14.25" customHeight="1" x14ac:dyDescent="0.3">
      <c r="B743" s="65" t="str">
        <f t="shared" si="127"/>
        <v/>
      </c>
      <c r="C743" s="70" t="str">
        <f t="shared" si="128"/>
        <v/>
      </c>
      <c r="D743" s="74" t="str">
        <f t="shared" si="129"/>
        <v/>
      </c>
      <c r="F743" s="65" t="str">
        <f t="shared" si="130"/>
        <v/>
      </c>
      <c r="G743" s="68" t="str">
        <f t="shared" si="131"/>
        <v/>
      </c>
      <c r="H743" s="68" t="str">
        <f t="shared" si="132"/>
        <v/>
      </c>
      <c r="I743" s="68" t="str">
        <f t="shared" ref="I743:I806" si="136">IF($C743="","",N($I742)+$G743-$H743)</f>
        <v/>
      </c>
      <c r="M743" s="1">
        <v>706</v>
      </c>
      <c r="N743" s="1" t="str">
        <f>IF($T743=0,"",INDEX(VIRMAN!$C$7:$C$406,$T743))</f>
        <v/>
      </c>
      <c r="O743" s="1" t="str">
        <f>IF($N743="","",$C$36&amp;" → "&amp;INDEX(VIRMAN!$E$7:$E$406,$T743)&amp;IF(INDEX(VIRMAN!$G$7:$G$406,$T743)="",""," – "&amp;INDEX(VIRMAN!$G$7:$G$406,$T743)))</f>
        <v/>
      </c>
      <c r="P743" s="1" t="str">
        <f t="shared" si="126"/>
        <v/>
      </c>
      <c r="Q743" s="1">
        <v>0</v>
      </c>
      <c r="R743" s="1">
        <f>IF($N743="",0,INDEX(VIRMAN!$F$7:$F$406,$T743))</f>
        <v>0</v>
      </c>
      <c r="S743" s="1">
        <f t="shared" si="133"/>
        <v>10000000000</v>
      </c>
      <c r="T743" s="1">
        <f>IFERROR(MATCH($C$36&amp;"|10",VIRMAN!$L$7:$L$406,0),0)</f>
        <v>0</v>
      </c>
      <c r="V743" s="1">
        <f t="shared" si="134"/>
        <v>10000000000</v>
      </c>
      <c r="W743" s="1">
        <f t="shared" si="135"/>
        <v>9</v>
      </c>
    </row>
    <row r="744" spans="2:23" ht="14.25" customHeight="1" x14ac:dyDescent="0.3">
      <c r="B744" s="65" t="str">
        <f t="shared" si="127"/>
        <v/>
      </c>
      <c r="C744" s="70" t="str">
        <f t="shared" si="128"/>
        <v/>
      </c>
      <c r="D744" s="74" t="str">
        <f t="shared" si="129"/>
        <v/>
      </c>
      <c r="F744" s="65" t="str">
        <f t="shared" si="130"/>
        <v/>
      </c>
      <c r="G744" s="68" t="str">
        <f t="shared" si="131"/>
        <v/>
      </c>
      <c r="H744" s="68" t="str">
        <f t="shared" si="132"/>
        <v/>
      </c>
      <c r="I744" s="68" t="str">
        <f t="shared" si="136"/>
        <v/>
      </c>
      <c r="M744" s="1">
        <v>707</v>
      </c>
      <c r="N744" s="1" t="str">
        <f>IF($T744=0,"",INDEX(VIRMAN!$C$7:$C$406,$T744))</f>
        <v/>
      </c>
      <c r="O744" s="1" t="str">
        <f>IF($N744="","",$C$36&amp;" → "&amp;INDEX(VIRMAN!$E$7:$E$406,$T744)&amp;IF(INDEX(VIRMAN!$G$7:$G$406,$T744)="",""," – "&amp;INDEX(VIRMAN!$G$7:$G$406,$T744)))</f>
        <v/>
      </c>
      <c r="P744" s="1" t="str">
        <f t="shared" si="126"/>
        <v/>
      </c>
      <c r="Q744" s="1">
        <v>0</v>
      </c>
      <c r="R744" s="1">
        <f>IF($N744="",0,INDEX(VIRMAN!$F$7:$F$406,$T744))</f>
        <v>0</v>
      </c>
      <c r="S744" s="1">
        <f t="shared" si="133"/>
        <v>10000000000</v>
      </c>
      <c r="T744" s="1">
        <f>IFERROR(MATCH($C$36&amp;"|11",VIRMAN!$L$7:$L$406,0),0)</f>
        <v>0</v>
      </c>
      <c r="V744" s="1">
        <f t="shared" si="134"/>
        <v>10000000000</v>
      </c>
      <c r="W744" s="1">
        <f t="shared" si="135"/>
        <v>9</v>
      </c>
    </row>
    <row r="745" spans="2:23" ht="14.25" customHeight="1" x14ac:dyDescent="0.3">
      <c r="B745" s="65" t="str">
        <f t="shared" si="127"/>
        <v/>
      </c>
      <c r="C745" s="70" t="str">
        <f t="shared" si="128"/>
        <v/>
      </c>
      <c r="D745" s="74" t="str">
        <f t="shared" si="129"/>
        <v/>
      </c>
      <c r="F745" s="65" t="str">
        <f t="shared" si="130"/>
        <v/>
      </c>
      <c r="G745" s="68" t="str">
        <f t="shared" si="131"/>
        <v/>
      </c>
      <c r="H745" s="68" t="str">
        <f t="shared" si="132"/>
        <v/>
      </c>
      <c r="I745" s="68" t="str">
        <f t="shared" si="136"/>
        <v/>
      </c>
      <c r="M745" s="1">
        <v>708</v>
      </c>
      <c r="N745" s="1" t="str">
        <f>IF($T745=0,"",INDEX(VIRMAN!$C$7:$C$406,$T745))</f>
        <v/>
      </c>
      <c r="O745" s="1" t="str">
        <f>IF($N745="","",$C$36&amp;" → "&amp;INDEX(VIRMAN!$E$7:$E$406,$T745)&amp;IF(INDEX(VIRMAN!$G$7:$G$406,$T745)="",""," – "&amp;INDEX(VIRMAN!$G$7:$G$406,$T745)))</f>
        <v/>
      </c>
      <c r="P745" s="1" t="str">
        <f t="shared" si="126"/>
        <v/>
      </c>
      <c r="Q745" s="1">
        <v>0</v>
      </c>
      <c r="R745" s="1">
        <f>IF($N745="",0,INDEX(VIRMAN!$F$7:$F$406,$T745))</f>
        <v>0</v>
      </c>
      <c r="S745" s="1">
        <f t="shared" si="133"/>
        <v>10000000000</v>
      </c>
      <c r="T745" s="1">
        <f>IFERROR(MATCH($C$36&amp;"|12",VIRMAN!$L$7:$L$406,0),0)</f>
        <v>0</v>
      </c>
      <c r="V745" s="1">
        <f t="shared" si="134"/>
        <v>10000000000</v>
      </c>
      <c r="W745" s="1">
        <f t="shared" si="135"/>
        <v>9</v>
      </c>
    </row>
    <row r="746" spans="2:23" ht="14.25" customHeight="1" x14ac:dyDescent="0.3">
      <c r="B746" s="65" t="str">
        <f t="shared" si="127"/>
        <v/>
      </c>
      <c r="C746" s="70" t="str">
        <f t="shared" si="128"/>
        <v/>
      </c>
      <c r="D746" s="74" t="str">
        <f t="shared" si="129"/>
        <v/>
      </c>
      <c r="F746" s="65" t="str">
        <f t="shared" si="130"/>
        <v/>
      </c>
      <c r="G746" s="68" t="str">
        <f t="shared" si="131"/>
        <v/>
      </c>
      <c r="H746" s="68" t="str">
        <f t="shared" si="132"/>
        <v/>
      </c>
      <c r="I746" s="68" t="str">
        <f t="shared" si="136"/>
        <v/>
      </c>
      <c r="M746" s="1">
        <v>709</v>
      </c>
      <c r="N746" s="1" t="str">
        <f>IF($T746=0,"",INDEX(VIRMAN!$C$7:$C$406,$T746))</f>
        <v/>
      </c>
      <c r="O746" s="1" t="str">
        <f>IF($N746="","",$C$36&amp;" → "&amp;INDEX(VIRMAN!$E$7:$E$406,$T746)&amp;IF(INDEX(VIRMAN!$G$7:$G$406,$T746)="",""," – "&amp;INDEX(VIRMAN!$G$7:$G$406,$T746)))</f>
        <v/>
      </c>
      <c r="P746" s="1" t="str">
        <f t="shared" si="126"/>
        <v/>
      </c>
      <c r="Q746" s="1">
        <v>0</v>
      </c>
      <c r="R746" s="1">
        <f>IF($N746="",0,INDEX(VIRMAN!$F$7:$F$406,$T746))</f>
        <v>0</v>
      </c>
      <c r="S746" s="1">
        <f t="shared" si="133"/>
        <v>10000000000</v>
      </c>
      <c r="T746" s="1">
        <f>IFERROR(MATCH($C$36&amp;"|13",VIRMAN!$L$7:$L$406,0),0)</f>
        <v>0</v>
      </c>
      <c r="V746" s="1">
        <f t="shared" si="134"/>
        <v>10000000000</v>
      </c>
      <c r="W746" s="1">
        <f t="shared" si="135"/>
        <v>9</v>
      </c>
    </row>
    <row r="747" spans="2:23" ht="14.25" customHeight="1" x14ac:dyDescent="0.3">
      <c r="B747" s="65" t="str">
        <f t="shared" si="127"/>
        <v/>
      </c>
      <c r="C747" s="70" t="str">
        <f t="shared" si="128"/>
        <v/>
      </c>
      <c r="D747" s="74" t="str">
        <f t="shared" si="129"/>
        <v/>
      </c>
      <c r="F747" s="65" t="str">
        <f t="shared" si="130"/>
        <v/>
      </c>
      <c r="G747" s="68" t="str">
        <f t="shared" si="131"/>
        <v/>
      </c>
      <c r="H747" s="68" t="str">
        <f t="shared" si="132"/>
        <v/>
      </c>
      <c r="I747" s="68" t="str">
        <f t="shared" si="136"/>
        <v/>
      </c>
      <c r="M747" s="1">
        <v>710</v>
      </c>
      <c r="N747" s="1" t="str">
        <f>IF($T747=0,"",INDEX(VIRMAN!$C$7:$C$406,$T747))</f>
        <v/>
      </c>
      <c r="O747" s="1" t="str">
        <f>IF($N747="","",$C$36&amp;" → "&amp;INDEX(VIRMAN!$E$7:$E$406,$T747)&amp;IF(INDEX(VIRMAN!$G$7:$G$406,$T747)="",""," – "&amp;INDEX(VIRMAN!$G$7:$G$406,$T747)))</f>
        <v/>
      </c>
      <c r="P747" s="1" t="str">
        <f t="shared" si="126"/>
        <v/>
      </c>
      <c r="Q747" s="1">
        <v>0</v>
      </c>
      <c r="R747" s="1">
        <f>IF($N747="",0,INDEX(VIRMAN!$F$7:$F$406,$T747))</f>
        <v>0</v>
      </c>
      <c r="S747" s="1">
        <f t="shared" si="133"/>
        <v>10000000000</v>
      </c>
      <c r="T747" s="1">
        <f>IFERROR(MATCH($C$36&amp;"|14",VIRMAN!$L$7:$L$406,0),0)</f>
        <v>0</v>
      </c>
      <c r="V747" s="1">
        <f t="shared" si="134"/>
        <v>10000000000</v>
      </c>
      <c r="W747" s="1">
        <f t="shared" si="135"/>
        <v>9</v>
      </c>
    </row>
    <row r="748" spans="2:23" ht="14.25" customHeight="1" x14ac:dyDescent="0.3">
      <c r="B748" s="65" t="str">
        <f t="shared" si="127"/>
        <v/>
      </c>
      <c r="C748" s="70" t="str">
        <f t="shared" si="128"/>
        <v/>
      </c>
      <c r="D748" s="74" t="str">
        <f t="shared" si="129"/>
        <v/>
      </c>
      <c r="F748" s="65" t="str">
        <f t="shared" si="130"/>
        <v/>
      </c>
      <c r="G748" s="68" t="str">
        <f t="shared" si="131"/>
        <v/>
      </c>
      <c r="H748" s="68" t="str">
        <f t="shared" si="132"/>
        <v/>
      </c>
      <c r="I748" s="68" t="str">
        <f t="shared" si="136"/>
        <v/>
      </c>
      <c r="M748" s="1">
        <v>711</v>
      </c>
      <c r="N748" s="1" t="str">
        <f>IF($T748=0,"",INDEX(VIRMAN!$C$7:$C$406,$T748))</f>
        <v/>
      </c>
      <c r="O748" s="1" t="str">
        <f>IF($N748="","",$C$36&amp;" → "&amp;INDEX(VIRMAN!$E$7:$E$406,$T748)&amp;IF(INDEX(VIRMAN!$G$7:$G$406,$T748)="",""," – "&amp;INDEX(VIRMAN!$G$7:$G$406,$T748)))</f>
        <v/>
      </c>
      <c r="P748" s="1" t="str">
        <f t="shared" si="126"/>
        <v/>
      </c>
      <c r="Q748" s="1">
        <v>0</v>
      </c>
      <c r="R748" s="1">
        <f>IF($N748="",0,INDEX(VIRMAN!$F$7:$F$406,$T748))</f>
        <v>0</v>
      </c>
      <c r="S748" s="1">
        <f t="shared" si="133"/>
        <v>10000000000</v>
      </c>
      <c r="T748" s="1">
        <f>IFERROR(MATCH($C$36&amp;"|15",VIRMAN!$L$7:$L$406,0),0)</f>
        <v>0</v>
      </c>
      <c r="V748" s="1">
        <f t="shared" si="134"/>
        <v>10000000000</v>
      </c>
      <c r="W748" s="1">
        <f t="shared" si="135"/>
        <v>9</v>
      </c>
    </row>
    <row r="749" spans="2:23" ht="14.25" customHeight="1" x14ac:dyDescent="0.3">
      <c r="B749" s="65" t="str">
        <f t="shared" si="127"/>
        <v/>
      </c>
      <c r="C749" s="70" t="str">
        <f t="shared" si="128"/>
        <v/>
      </c>
      <c r="D749" s="74" t="str">
        <f t="shared" si="129"/>
        <v/>
      </c>
      <c r="F749" s="65" t="str">
        <f t="shared" si="130"/>
        <v/>
      </c>
      <c r="G749" s="68" t="str">
        <f t="shared" si="131"/>
        <v/>
      </c>
      <c r="H749" s="68" t="str">
        <f t="shared" si="132"/>
        <v/>
      </c>
      <c r="I749" s="68" t="str">
        <f t="shared" si="136"/>
        <v/>
      </c>
      <c r="M749" s="1">
        <v>712</v>
      </c>
      <c r="N749" s="1" t="str">
        <f>IF($T749=0,"",INDEX(VIRMAN!$C$7:$C$406,$T749))</f>
        <v/>
      </c>
      <c r="O749" s="1" t="str">
        <f>IF($N749="","",$C$36&amp;" → "&amp;INDEX(VIRMAN!$E$7:$E$406,$T749)&amp;IF(INDEX(VIRMAN!$G$7:$G$406,$T749)="",""," – "&amp;INDEX(VIRMAN!$G$7:$G$406,$T749)))</f>
        <v/>
      </c>
      <c r="P749" s="1" t="str">
        <f t="shared" si="126"/>
        <v/>
      </c>
      <c r="Q749" s="1">
        <v>0</v>
      </c>
      <c r="R749" s="1">
        <f>IF($N749="",0,INDEX(VIRMAN!$F$7:$F$406,$T749))</f>
        <v>0</v>
      </c>
      <c r="S749" s="1">
        <f t="shared" si="133"/>
        <v>10000000000</v>
      </c>
      <c r="T749" s="1">
        <f>IFERROR(MATCH($C$36&amp;"|16",VIRMAN!$L$7:$L$406,0),0)</f>
        <v>0</v>
      </c>
      <c r="V749" s="1">
        <f t="shared" si="134"/>
        <v>10000000000</v>
      </c>
      <c r="W749" s="1">
        <f t="shared" si="135"/>
        <v>9</v>
      </c>
    </row>
    <row r="750" spans="2:23" ht="14.25" customHeight="1" x14ac:dyDescent="0.3">
      <c r="B750" s="65" t="str">
        <f t="shared" si="127"/>
        <v/>
      </c>
      <c r="C750" s="70" t="str">
        <f t="shared" si="128"/>
        <v/>
      </c>
      <c r="D750" s="74" t="str">
        <f t="shared" si="129"/>
        <v/>
      </c>
      <c r="F750" s="65" t="str">
        <f t="shared" si="130"/>
        <v/>
      </c>
      <c r="G750" s="68" t="str">
        <f t="shared" si="131"/>
        <v/>
      </c>
      <c r="H750" s="68" t="str">
        <f t="shared" si="132"/>
        <v/>
      </c>
      <c r="I750" s="68" t="str">
        <f t="shared" si="136"/>
        <v/>
      </c>
      <c r="M750" s="1">
        <v>713</v>
      </c>
      <c r="N750" s="1" t="str">
        <f>IF($T750=0,"",INDEX(VIRMAN!$C$7:$C$406,$T750))</f>
        <v/>
      </c>
      <c r="O750" s="1" t="str">
        <f>IF($N750="","",$C$36&amp;" → "&amp;INDEX(VIRMAN!$E$7:$E$406,$T750)&amp;IF(INDEX(VIRMAN!$G$7:$G$406,$T750)="",""," – "&amp;INDEX(VIRMAN!$G$7:$G$406,$T750)))</f>
        <v/>
      </c>
      <c r="P750" s="1" t="str">
        <f t="shared" si="126"/>
        <v/>
      </c>
      <c r="Q750" s="1">
        <v>0</v>
      </c>
      <c r="R750" s="1">
        <f>IF($N750="",0,INDEX(VIRMAN!$F$7:$F$406,$T750))</f>
        <v>0</v>
      </c>
      <c r="S750" s="1">
        <f t="shared" si="133"/>
        <v>10000000000</v>
      </c>
      <c r="T750" s="1">
        <f>IFERROR(MATCH($C$36&amp;"|17",VIRMAN!$L$7:$L$406,0),0)</f>
        <v>0</v>
      </c>
      <c r="V750" s="1">
        <f t="shared" si="134"/>
        <v>10000000000</v>
      </c>
      <c r="W750" s="1">
        <f t="shared" si="135"/>
        <v>9</v>
      </c>
    </row>
    <row r="751" spans="2:23" ht="14.25" customHeight="1" x14ac:dyDescent="0.3">
      <c r="B751" s="65" t="str">
        <f t="shared" si="127"/>
        <v/>
      </c>
      <c r="C751" s="70" t="str">
        <f t="shared" si="128"/>
        <v/>
      </c>
      <c r="D751" s="74" t="str">
        <f t="shared" si="129"/>
        <v/>
      </c>
      <c r="F751" s="65" t="str">
        <f t="shared" si="130"/>
        <v/>
      </c>
      <c r="G751" s="68" t="str">
        <f t="shared" si="131"/>
        <v/>
      </c>
      <c r="H751" s="68" t="str">
        <f t="shared" si="132"/>
        <v/>
      </c>
      <c r="I751" s="68" t="str">
        <f t="shared" si="136"/>
        <v/>
      </c>
      <c r="M751" s="1">
        <v>714</v>
      </c>
      <c r="N751" s="1" t="str">
        <f>IF($T751=0,"",INDEX(VIRMAN!$C$7:$C$406,$T751))</f>
        <v/>
      </c>
      <c r="O751" s="1" t="str">
        <f>IF($N751="","",$C$36&amp;" → "&amp;INDEX(VIRMAN!$E$7:$E$406,$T751)&amp;IF(INDEX(VIRMAN!$G$7:$G$406,$T751)="",""," – "&amp;INDEX(VIRMAN!$G$7:$G$406,$T751)))</f>
        <v/>
      </c>
      <c r="P751" s="1" t="str">
        <f t="shared" si="126"/>
        <v/>
      </c>
      <c r="Q751" s="1">
        <v>0</v>
      </c>
      <c r="R751" s="1">
        <f>IF($N751="",0,INDEX(VIRMAN!$F$7:$F$406,$T751))</f>
        <v>0</v>
      </c>
      <c r="S751" s="1">
        <f t="shared" si="133"/>
        <v>10000000000</v>
      </c>
      <c r="T751" s="1">
        <f>IFERROR(MATCH($C$36&amp;"|18",VIRMAN!$L$7:$L$406,0),0)</f>
        <v>0</v>
      </c>
      <c r="V751" s="1">
        <f t="shared" si="134"/>
        <v>10000000000</v>
      </c>
      <c r="W751" s="1">
        <f t="shared" si="135"/>
        <v>9</v>
      </c>
    </row>
    <row r="752" spans="2:23" ht="14.25" customHeight="1" x14ac:dyDescent="0.3">
      <c r="B752" s="65" t="str">
        <f t="shared" si="127"/>
        <v/>
      </c>
      <c r="C752" s="70" t="str">
        <f t="shared" si="128"/>
        <v/>
      </c>
      <c r="D752" s="74" t="str">
        <f t="shared" si="129"/>
        <v/>
      </c>
      <c r="F752" s="65" t="str">
        <f t="shared" si="130"/>
        <v/>
      </c>
      <c r="G752" s="68" t="str">
        <f t="shared" si="131"/>
        <v/>
      </c>
      <c r="H752" s="68" t="str">
        <f t="shared" si="132"/>
        <v/>
      </c>
      <c r="I752" s="68" t="str">
        <f t="shared" si="136"/>
        <v/>
      </c>
      <c r="M752" s="1">
        <v>715</v>
      </c>
      <c r="N752" s="1" t="str">
        <f>IF($T752=0,"",INDEX(VIRMAN!$C$7:$C$406,$T752))</f>
        <v/>
      </c>
      <c r="O752" s="1" t="str">
        <f>IF($N752="","",$C$36&amp;" → "&amp;INDEX(VIRMAN!$E$7:$E$406,$T752)&amp;IF(INDEX(VIRMAN!$G$7:$G$406,$T752)="",""," – "&amp;INDEX(VIRMAN!$G$7:$G$406,$T752)))</f>
        <v/>
      </c>
      <c r="P752" s="1" t="str">
        <f t="shared" si="126"/>
        <v/>
      </c>
      <c r="Q752" s="1">
        <v>0</v>
      </c>
      <c r="R752" s="1">
        <f>IF($N752="",0,INDEX(VIRMAN!$F$7:$F$406,$T752))</f>
        <v>0</v>
      </c>
      <c r="S752" s="1">
        <f t="shared" si="133"/>
        <v>10000000000</v>
      </c>
      <c r="T752" s="1">
        <f>IFERROR(MATCH($C$36&amp;"|19",VIRMAN!$L$7:$L$406,0),0)</f>
        <v>0</v>
      </c>
      <c r="V752" s="1">
        <f t="shared" si="134"/>
        <v>10000000000</v>
      </c>
      <c r="W752" s="1">
        <f t="shared" si="135"/>
        <v>9</v>
      </c>
    </row>
    <row r="753" spans="2:23" ht="14.25" customHeight="1" x14ac:dyDescent="0.3">
      <c r="B753" s="65" t="str">
        <f t="shared" si="127"/>
        <v/>
      </c>
      <c r="C753" s="70" t="str">
        <f t="shared" si="128"/>
        <v/>
      </c>
      <c r="D753" s="74" t="str">
        <f t="shared" si="129"/>
        <v/>
      </c>
      <c r="F753" s="65" t="str">
        <f t="shared" si="130"/>
        <v/>
      </c>
      <c r="G753" s="68" t="str">
        <f t="shared" si="131"/>
        <v/>
      </c>
      <c r="H753" s="68" t="str">
        <f t="shared" si="132"/>
        <v/>
      </c>
      <c r="I753" s="68" t="str">
        <f t="shared" si="136"/>
        <v/>
      </c>
      <c r="M753" s="1">
        <v>716</v>
      </c>
      <c r="N753" s="1" t="str">
        <f>IF($T753=0,"",INDEX(VIRMAN!$C$7:$C$406,$T753))</f>
        <v/>
      </c>
      <c r="O753" s="1" t="str">
        <f>IF($N753="","",$C$36&amp;" → "&amp;INDEX(VIRMAN!$E$7:$E$406,$T753)&amp;IF(INDEX(VIRMAN!$G$7:$G$406,$T753)="",""," – "&amp;INDEX(VIRMAN!$G$7:$G$406,$T753)))</f>
        <v/>
      </c>
      <c r="P753" s="1" t="str">
        <f t="shared" si="126"/>
        <v/>
      </c>
      <c r="Q753" s="1">
        <v>0</v>
      </c>
      <c r="R753" s="1">
        <f>IF($N753="",0,INDEX(VIRMAN!$F$7:$F$406,$T753))</f>
        <v>0</v>
      </c>
      <c r="S753" s="1">
        <f t="shared" si="133"/>
        <v>10000000000</v>
      </c>
      <c r="T753" s="1">
        <f>IFERROR(MATCH($C$36&amp;"|20",VIRMAN!$L$7:$L$406,0),0)</f>
        <v>0</v>
      </c>
      <c r="V753" s="1">
        <f t="shared" si="134"/>
        <v>10000000000</v>
      </c>
      <c r="W753" s="1">
        <f t="shared" si="135"/>
        <v>9</v>
      </c>
    </row>
    <row r="754" spans="2:23" ht="14.25" customHeight="1" x14ac:dyDescent="0.3">
      <c r="B754" s="65" t="str">
        <f t="shared" si="127"/>
        <v/>
      </c>
      <c r="C754" s="70" t="str">
        <f t="shared" si="128"/>
        <v/>
      </c>
      <c r="D754" s="74" t="str">
        <f t="shared" si="129"/>
        <v/>
      </c>
      <c r="F754" s="65" t="str">
        <f t="shared" si="130"/>
        <v/>
      </c>
      <c r="G754" s="68" t="str">
        <f t="shared" si="131"/>
        <v/>
      </c>
      <c r="H754" s="68" t="str">
        <f t="shared" si="132"/>
        <v/>
      </c>
      <c r="I754" s="68" t="str">
        <f t="shared" si="136"/>
        <v/>
      </c>
      <c r="M754" s="1">
        <v>717</v>
      </c>
      <c r="N754" s="1" t="str">
        <f>IF($T754=0,"",INDEX(VIRMAN!$C$7:$C$406,$T754))</f>
        <v/>
      </c>
      <c r="O754" s="1" t="str">
        <f>IF($N754="","",$C$36&amp;" → "&amp;INDEX(VIRMAN!$E$7:$E$406,$T754)&amp;IF(INDEX(VIRMAN!$G$7:$G$406,$T754)="",""," – "&amp;INDEX(VIRMAN!$G$7:$G$406,$T754)))</f>
        <v/>
      </c>
      <c r="P754" s="1" t="str">
        <f t="shared" si="126"/>
        <v/>
      </c>
      <c r="Q754" s="1">
        <v>0</v>
      </c>
      <c r="R754" s="1">
        <f>IF($N754="",0,INDEX(VIRMAN!$F$7:$F$406,$T754))</f>
        <v>0</v>
      </c>
      <c r="S754" s="1">
        <f t="shared" si="133"/>
        <v>10000000000</v>
      </c>
      <c r="T754" s="1">
        <f>IFERROR(MATCH($C$36&amp;"|21",VIRMAN!$L$7:$L$406,0),0)</f>
        <v>0</v>
      </c>
      <c r="V754" s="1">
        <f t="shared" si="134"/>
        <v>10000000000</v>
      </c>
      <c r="W754" s="1">
        <f t="shared" si="135"/>
        <v>9</v>
      </c>
    </row>
    <row r="755" spans="2:23" ht="14.25" customHeight="1" x14ac:dyDescent="0.3">
      <c r="B755" s="65" t="str">
        <f t="shared" si="127"/>
        <v/>
      </c>
      <c r="C755" s="70" t="str">
        <f t="shared" si="128"/>
        <v/>
      </c>
      <c r="D755" s="74" t="str">
        <f t="shared" si="129"/>
        <v/>
      </c>
      <c r="F755" s="65" t="str">
        <f t="shared" si="130"/>
        <v/>
      </c>
      <c r="G755" s="68" t="str">
        <f t="shared" si="131"/>
        <v/>
      </c>
      <c r="H755" s="68" t="str">
        <f t="shared" si="132"/>
        <v/>
      </c>
      <c r="I755" s="68" t="str">
        <f t="shared" si="136"/>
        <v/>
      </c>
      <c r="M755" s="1">
        <v>718</v>
      </c>
      <c r="N755" s="1" t="str">
        <f>IF($T755=0,"",INDEX(VIRMAN!$C$7:$C$406,$T755))</f>
        <v/>
      </c>
      <c r="O755" s="1" t="str">
        <f>IF($N755="","",$C$36&amp;" → "&amp;INDEX(VIRMAN!$E$7:$E$406,$T755)&amp;IF(INDEX(VIRMAN!$G$7:$G$406,$T755)="",""," – "&amp;INDEX(VIRMAN!$G$7:$G$406,$T755)))</f>
        <v/>
      </c>
      <c r="P755" s="1" t="str">
        <f t="shared" si="126"/>
        <v/>
      </c>
      <c r="Q755" s="1">
        <v>0</v>
      </c>
      <c r="R755" s="1">
        <f>IF($N755="",0,INDEX(VIRMAN!$F$7:$F$406,$T755))</f>
        <v>0</v>
      </c>
      <c r="S755" s="1">
        <f t="shared" si="133"/>
        <v>10000000000</v>
      </c>
      <c r="T755" s="1">
        <f>IFERROR(MATCH($C$36&amp;"|22",VIRMAN!$L$7:$L$406,0),0)</f>
        <v>0</v>
      </c>
      <c r="V755" s="1">
        <f t="shared" si="134"/>
        <v>10000000000</v>
      </c>
      <c r="W755" s="1">
        <f t="shared" si="135"/>
        <v>9</v>
      </c>
    </row>
    <row r="756" spans="2:23" ht="14.25" customHeight="1" x14ac:dyDescent="0.3">
      <c r="B756" s="65" t="str">
        <f t="shared" si="127"/>
        <v/>
      </c>
      <c r="C756" s="70" t="str">
        <f t="shared" si="128"/>
        <v/>
      </c>
      <c r="D756" s="74" t="str">
        <f t="shared" si="129"/>
        <v/>
      </c>
      <c r="F756" s="65" t="str">
        <f t="shared" si="130"/>
        <v/>
      </c>
      <c r="G756" s="68" t="str">
        <f t="shared" si="131"/>
        <v/>
      </c>
      <c r="H756" s="68" t="str">
        <f t="shared" si="132"/>
        <v/>
      </c>
      <c r="I756" s="68" t="str">
        <f t="shared" si="136"/>
        <v/>
      </c>
      <c r="M756" s="1">
        <v>719</v>
      </c>
      <c r="N756" s="1" t="str">
        <f>IF($T756=0,"",INDEX(VIRMAN!$C$7:$C$406,$T756))</f>
        <v/>
      </c>
      <c r="O756" s="1" t="str">
        <f>IF($N756="","",$C$36&amp;" → "&amp;INDEX(VIRMAN!$E$7:$E$406,$T756)&amp;IF(INDEX(VIRMAN!$G$7:$G$406,$T756)="",""," – "&amp;INDEX(VIRMAN!$G$7:$G$406,$T756)))</f>
        <v/>
      </c>
      <c r="P756" s="1" t="str">
        <f t="shared" si="126"/>
        <v/>
      </c>
      <c r="Q756" s="1">
        <v>0</v>
      </c>
      <c r="R756" s="1">
        <f>IF($N756="",0,INDEX(VIRMAN!$F$7:$F$406,$T756))</f>
        <v>0</v>
      </c>
      <c r="S756" s="1">
        <f t="shared" si="133"/>
        <v>10000000000</v>
      </c>
      <c r="T756" s="1">
        <f>IFERROR(MATCH($C$36&amp;"|23",VIRMAN!$L$7:$L$406,0),0)</f>
        <v>0</v>
      </c>
      <c r="V756" s="1">
        <f t="shared" si="134"/>
        <v>10000000000</v>
      </c>
      <c r="W756" s="1">
        <f t="shared" si="135"/>
        <v>9</v>
      </c>
    </row>
    <row r="757" spans="2:23" ht="14.25" customHeight="1" x14ac:dyDescent="0.3">
      <c r="B757" s="65" t="str">
        <f t="shared" si="127"/>
        <v/>
      </c>
      <c r="C757" s="70" t="str">
        <f t="shared" si="128"/>
        <v/>
      </c>
      <c r="D757" s="74" t="str">
        <f t="shared" si="129"/>
        <v/>
      </c>
      <c r="F757" s="65" t="str">
        <f t="shared" si="130"/>
        <v/>
      </c>
      <c r="G757" s="68" t="str">
        <f t="shared" si="131"/>
        <v/>
      </c>
      <c r="H757" s="68" t="str">
        <f t="shared" si="132"/>
        <v/>
      </c>
      <c r="I757" s="68" t="str">
        <f t="shared" si="136"/>
        <v/>
      </c>
      <c r="M757" s="1">
        <v>720</v>
      </c>
      <c r="N757" s="1" t="str">
        <f>IF($T757=0,"",INDEX(VIRMAN!$C$7:$C$406,$T757))</f>
        <v/>
      </c>
      <c r="O757" s="1" t="str">
        <f>IF($N757="","",$C$36&amp;" → "&amp;INDEX(VIRMAN!$E$7:$E$406,$T757)&amp;IF(INDEX(VIRMAN!$G$7:$G$406,$T757)="",""," – "&amp;INDEX(VIRMAN!$G$7:$G$406,$T757)))</f>
        <v/>
      </c>
      <c r="P757" s="1" t="str">
        <f t="shared" si="126"/>
        <v/>
      </c>
      <c r="Q757" s="1">
        <v>0</v>
      </c>
      <c r="R757" s="1">
        <f>IF($N757="",0,INDEX(VIRMAN!$F$7:$F$406,$T757))</f>
        <v>0</v>
      </c>
      <c r="S757" s="1">
        <f t="shared" si="133"/>
        <v>10000000000</v>
      </c>
      <c r="T757" s="1">
        <f>IFERROR(MATCH($C$36&amp;"|24",VIRMAN!$L$7:$L$406,0),0)</f>
        <v>0</v>
      </c>
      <c r="V757" s="1">
        <f t="shared" si="134"/>
        <v>10000000000</v>
      </c>
      <c r="W757" s="1">
        <f t="shared" si="135"/>
        <v>9</v>
      </c>
    </row>
    <row r="758" spans="2:23" ht="14.25" customHeight="1" x14ac:dyDescent="0.3">
      <c r="B758" s="65" t="str">
        <f t="shared" si="127"/>
        <v/>
      </c>
      <c r="C758" s="70" t="str">
        <f t="shared" si="128"/>
        <v/>
      </c>
      <c r="D758" s="74" t="str">
        <f t="shared" si="129"/>
        <v/>
      </c>
      <c r="F758" s="65" t="str">
        <f t="shared" si="130"/>
        <v/>
      </c>
      <c r="G758" s="68" t="str">
        <f t="shared" si="131"/>
        <v/>
      </c>
      <c r="H758" s="68" t="str">
        <f t="shared" si="132"/>
        <v/>
      </c>
      <c r="I758" s="68" t="str">
        <f t="shared" si="136"/>
        <v/>
      </c>
      <c r="M758" s="1">
        <v>721</v>
      </c>
      <c r="N758" s="1" t="str">
        <f>IF($T758=0,"",INDEX(VIRMAN!$C$7:$C$406,$T758))</f>
        <v/>
      </c>
      <c r="O758" s="1" t="str">
        <f>IF($N758="","",$C$36&amp;" → "&amp;INDEX(VIRMAN!$E$7:$E$406,$T758)&amp;IF(INDEX(VIRMAN!$G$7:$G$406,$T758)="",""," – "&amp;INDEX(VIRMAN!$G$7:$G$406,$T758)))</f>
        <v/>
      </c>
      <c r="P758" s="1" t="str">
        <f t="shared" si="126"/>
        <v/>
      </c>
      <c r="Q758" s="1">
        <v>0</v>
      </c>
      <c r="R758" s="1">
        <f>IF($N758="",0,INDEX(VIRMAN!$F$7:$F$406,$T758))</f>
        <v>0</v>
      </c>
      <c r="S758" s="1">
        <f t="shared" si="133"/>
        <v>10000000000</v>
      </c>
      <c r="T758" s="1">
        <f>IFERROR(MATCH($C$36&amp;"|25",VIRMAN!$L$7:$L$406,0),0)</f>
        <v>0</v>
      </c>
      <c r="V758" s="1">
        <f t="shared" si="134"/>
        <v>10000000000</v>
      </c>
      <c r="W758" s="1">
        <f t="shared" si="135"/>
        <v>9</v>
      </c>
    </row>
    <row r="759" spans="2:23" ht="14.25" customHeight="1" x14ac:dyDescent="0.3">
      <c r="B759" s="65" t="str">
        <f t="shared" si="127"/>
        <v/>
      </c>
      <c r="C759" s="70" t="str">
        <f t="shared" si="128"/>
        <v/>
      </c>
      <c r="D759" s="74" t="str">
        <f t="shared" si="129"/>
        <v/>
      </c>
      <c r="F759" s="65" t="str">
        <f t="shared" si="130"/>
        <v/>
      </c>
      <c r="G759" s="68" t="str">
        <f t="shared" si="131"/>
        <v/>
      </c>
      <c r="H759" s="68" t="str">
        <f t="shared" si="132"/>
        <v/>
      </c>
      <c r="I759" s="68" t="str">
        <f t="shared" si="136"/>
        <v/>
      </c>
      <c r="M759" s="1">
        <v>722</v>
      </c>
      <c r="N759" s="1" t="str">
        <f>IF($T759=0,"",INDEX(VIRMAN!$C$7:$C$406,$T759))</f>
        <v/>
      </c>
      <c r="O759" s="1" t="str">
        <f>IF($N759="","",$C$36&amp;" → "&amp;INDEX(VIRMAN!$E$7:$E$406,$T759)&amp;IF(INDEX(VIRMAN!$G$7:$G$406,$T759)="",""," – "&amp;INDEX(VIRMAN!$G$7:$G$406,$T759)))</f>
        <v/>
      </c>
      <c r="P759" s="1" t="str">
        <f t="shared" si="126"/>
        <v/>
      </c>
      <c r="Q759" s="1">
        <v>0</v>
      </c>
      <c r="R759" s="1">
        <f>IF($N759="",0,INDEX(VIRMAN!$F$7:$F$406,$T759))</f>
        <v>0</v>
      </c>
      <c r="S759" s="1">
        <f t="shared" si="133"/>
        <v>10000000000</v>
      </c>
      <c r="T759" s="1">
        <f>IFERROR(MATCH($C$36&amp;"|26",VIRMAN!$L$7:$L$406,0),0)</f>
        <v>0</v>
      </c>
      <c r="V759" s="1">
        <f t="shared" si="134"/>
        <v>10000000000</v>
      </c>
      <c r="W759" s="1">
        <f t="shared" si="135"/>
        <v>9</v>
      </c>
    </row>
    <row r="760" spans="2:23" ht="14.25" customHeight="1" x14ac:dyDescent="0.3">
      <c r="B760" s="65" t="str">
        <f t="shared" si="127"/>
        <v/>
      </c>
      <c r="C760" s="70" t="str">
        <f t="shared" si="128"/>
        <v/>
      </c>
      <c r="D760" s="74" t="str">
        <f t="shared" si="129"/>
        <v/>
      </c>
      <c r="F760" s="65" t="str">
        <f t="shared" si="130"/>
        <v/>
      </c>
      <c r="G760" s="68" t="str">
        <f t="shared" si="131"/>
        <v/>
      </c>
      <c r="H760" s="68" t="str">
        <f t="shared" si="132"/>
        <v/>
      </c>
      <c r="I760" s="68" t="str">
        <f t="shared" si="136"/>
        <v/>
      </c>
      <c r="M760" s="1">
        <v>723</v>
      </c>
      <c r="N760" s="1" t="str">
        <f>IF($T760=0,"",INDEX(VIRMAN!$C$7:$C$406,$T760))</f>
        <v/>
      </c>
      <c r="O760" s="1" t="str">
        <f>IF($N760="","",$C$36&amp;" → "&amp;INDEX(VIRMAN!$E$7:$E$406,$T760)&amp;IF(INDEX(VIRMAN!$G$7:$G$406,$T760)="",""," – "&amp;INDEX(VIRMAN!$G$7:$G$406,$T760)))</f>
        <v/>
      </c>
      <c r="P760" s="1" t="str">
        <f t="shared" si="126"/>
        <v/>
      </c>
      <c r="Q760" s="1">
        <v>0</v>
      </c>
      <c r="R760" s="1">
        <f>IF($N760="",0,INDEX(VIRMAN!$F$7:$F$406,$T760))</f>
        <v>0</v>
      </c>
      <c r="S760" s="1">
        <f t="shared" si="133"/>
        <v>10000000000</v>
      </c>
      <c r="T760" s="1">
        <f>IFERROR(MATCH($C$36&amp;"|27",VIRMAN!$L$7:$L$406,0),0)</f>
        <v>0</v>
      </c>
      <c r="V760" s="1">
        <f t="shared" si="134"/>
        <v>10000000000</v>
      </c>
      <c r="W760" s="1">
        <f t="shared" si="135"/>
        <v>9</v>
      </c>
    </row>
    <row r="761" spans="2:23" ht="14.25" customHeight="1" x14ac:dyDescent="0.3">
      <c r="B761" s="65" t="str">
        <f t="shared" si="127"/>
        <v/>
      </c>
      <c r="C761" s="70" t="str">
        <f t="shared" si="128"/>
        <v/>
      </c>
      <c r="D761" s="74" t="str">
        <f t="shared" si="129"/>
        <v/>
      </c>
      <c r="F761" s="65" t="str">
        <f t="shared" si="130"/>
        <v/>
      </c>
      <c r="G761" s="68" t="str">
        <f t="shared" si="131"/>
        <v/>
      </c>
      <c r="H761" s="68" t="str">
        <f t="shared" si="132"/>
        <v/>
      </c>
      <c r="I761" s="68" t="str">
        <f t="shared" si="136"/>
        <v/>
      </c>
      <c r="M761" s="1">
        <v>724</v>
      </c>
      <c r="N761" s="1" t="str">
        <f>IF($T761=0,"",INDEX(VIRMAN!$C$7:$C$406,$T761))</f>
        <v/>
      </c>
      <c r="O761" s="1" t="str">
        <f>IF($N761="","",$C$36&amp;" → "&amp;INDEX(VIRMAN!$E$7:$E$406,$T761)&amp;IF(INDEX(VIRMAN!$G$7:$G$406,$T761)="",""," – "&amp;INDEX(VIRMAN!$G$7:$G$406,$T761)))</f>
        <v/>
      </c>
      <c r="P761" s="1" t="str">
        <f t="shared" si="126"/>
        <v/>
      </c>
      <c r="Q761" s="1">
        <v>0</v>
      </c>
      <c r="R761" s="1">
        <f>IF($N761="",0,INDEX(VIRMAN!$F$7:$F$406,$T761))</f>
        <v>0</v>
      </c>
      <c r="S761" s="1">
        <f t="shared" si="133"/>
        <v>10000000000</v>
      </c>
      <c r="T761" s="1">
        <f>IFERROR(MATCH($C$36&amp;"|28",VIRMAN!$L$7:$L$406,0),0)</f>
        <v>0</v>
      </c>
      <c r="V761" s="1">
        <f t="shared" si="134"/>
        <v>10000000000</v>
      </c>
      <c r="W761" s="1">
        <f t="shared" si="135"/>
        <v>9</v>
      </c>
    </row>
    <row r="762" spans="2:23" ht="14.25" customHeight="1" x14ac:dyDescent="0.3">
      <c r="B762" s="65" t="str">
        <f t="shared" si="127"/>
        <v/>
      </c>
      <c r="C762" s="70" t="str">
        <f t="shared" si="128"/>
        <v/>
      </c>
      <c r="D762" s="74" t="str">
        <f t="shared" si="129"/>
        <v/>
      </c>
      <c r="F762" s="65" t="str">
        <f t="shared" si="130"/>
        <v/>
      </c>
      <c r="G762" s="68" t="str">
        <f t="shared" si="131"/>
        <v/>
      </c>
      <c r="H762" s="68" t="str">
        <f t="shared" si="132"/>
        <v/>
      </c>
      <c r="I762" s="68" t="str">
        <f t="shared" si="136"/>
        <v/>
      </c>
      <c r="M762" s="1">
        <v>725</v>
      </c>
      <c r="N762" s="1" t="str">
        <f>IF($T762=0,"",INDEX(VIRMAN!$C$7:$C$406,$T762))</f>
        <v/>
      </c>
      <c r="O762" s="1" t="str">
        <f>IF($N762="","",$C$36&amp;" → "&amp;INDEX(VIRMAN!$E$7:$E$406,$T762)&amp;IF(INDEX(VIRMAN!$G$7:$G$406,$T762)="",""," – "&amp;INDEX(VIRMAN!$G$7:$G$406,$T762)))</f>
        <v/>
      </c>
      <c r="P762" s="1" t="str">
        <f t="shared" si="126"/>
        <v/>
      </c>
      <c r="Q762" s="1">
        <v>0</v>
      </c>
      <c r="R762" s="1">
        <f>IF($N762="",0,INDEX(VIRMAN!$F$7:$F$406,$T762))</f>
        <v>0</v>
      </c>
      <c r="S762" s="1">
        <f t="shared" si="133"/>
        <v>10000000000</v>
      </c>
      <c r="T762" s="1">
        <f>IFERROR(MATCH($C$36&amp;"|29",VIRMAN!$L$7:$L$406,0),0)</f>
        <v>0</v>
      </c>
      <c r="V762" s="1">
        <f t="shared" si="134"/>
        <v>10000000000</v>
      </c>
      <c r="W762" s="1">
        <f t="shared" si="135"/>
        <v>9</v>
      </c>
    </row>
    <row r="763" spans="2:23" ht="14.25" customHeight="1" x14ac:dyDescent="0.3">
      <c r="B763" s="65" t="str">
        <f t="shared" si="127"/>
        <v/>
      </c>
      <c r="C763" s="70" t="str">
        <f t="shared" si="128"/>
        <v/>
      </c>
      <c r="D763" s="74" t="str">
        <f t="shared" si="129"/>
        <v/>
      </c>
      <c r="F763" s="65" t="str">
        <f t="shared" si="130"/>
        <v/>
      </c>
      <c r="G763" s="68" t="str">
        <f t="shared" si="131"/>
        <v/>
      </c>
      <c r="H763" s="68" t="str">
        <f t="shared" si="132"/>
        <v/>
      </c>
      <c r="I763" s="68" t="str">
        <f t="shared" si="136"/>
        <v/>
      </c>
      <c r="M763" s="1">
        <v>726</v>
      </c>
      <c r="N763" s="1" t="str">
        <f>IF($T763=0,"",INDEX(VIRMAN!$C$7:$C$406,$T763))</f>
        <v/>
      </c>
      <c r="O763" s="1" t="str">
        <f>IF($N763="","",$C$36&amp;" → "&amp;INDEX(VIRMAN!$E$7:$E$406,$T763)&amp;IF(INDEX(VIRMAN!$G$7:$G$406,$T763)="",""," – "&amp;INDEX(VIRMAN!$G$7:$G$406,$T763)))</f>
        <v/>
      </c>
      <c r="P763" s="1" t="str">
        <f t="shared" si="126"/>
        <v/>
      </c>
      <c r="Q763" s="1">
        <v>0</v>
      </c>
      <c r="R763" s="1">
        <f>IF($N763="",0,INDEX(VIRMAN!$F$7:$F$406,$T763))</f>
        <v>0</v>
      </c>
      <c r="S763" s="1">
        <f t="shared" si="133"/>
        <v>10000000000</v>
      </c>
      <c r="T763" s="1">
        <f>IFERROR(MATCH($C$36&amp;"|30",VIRMAN!$L$7:$L$406,0),0)</f>
        <v>0</v>
      </c>
      <c r="V763" s="1">
        <f t="shared" si="134"/>
        <v>10000000000</v>
      </c>
      <c r="W763" s="1">
        <f t="shared" si="135"/>
        <v>9</v>
      </c>
    </row>
    <row r="764" spans="2:23" ht="14.25" customHeight="1" x14ac:dyDescent="0.3">
      <c r="B764" s="65" t="str">
        <f t="shared" si="127"/>
        <v/>
      </c>
      <c r="C764" s="70" t="str">
        <f t="shared" si="128"/>
        <v/>
      </c>
      <c r="D764" s="74" t="str">
        <f t="shared" si="129"/>
        <v/>
      </c>
      <c r="F764" s="65" t="str">
        <f t="shared" si="130"/>
        <v/>
      </c>
      <c r="G764" s="68" t="str">
        <f t="shared" si="131"/>
        <v/>
      </c>
      <c r="H764" s="68" t="str">
        <f t="shared" si="132"/>
        <v/>
      </c>
      <c r="I764" s="68" t="str">
        <f t="shared" si="136"/>
        <v/>
      </c>
      <c r="M764" s="1">
        <v>727</v>
      </c>
      <c r="N764" s="1" t="str">
        <f>IF($T764=0,"",INDEX(VIRMAN!$C$7:$C$406,$T764))</f>
        <v/>
      </c>
      <c r="O764" s="1" t="str">
        <f>IF($N764="","",$C$36&amp;" → "&amp;INDEX(VIRMAN!$E$7:$E$406,$T764)&amp;IF(INDEX(VIRMAN!$G$7:$G$406,$T764)="",""," – "&amp;INDEX(VIRMAN!$G$7:$G$406,$T764)))</f>
        <v/>
      </c>
      <c r="P764" s="1" t="str">
        <f t="shared" si="126"/>
        <v/>
      </c>
      <c r="Q764" s="1">
        <v>0</v>
      </c>
      <c r="R764" s="1">
        <f>IF($N764="",0,INDEX(VIRMAN!$F$7:$F$406,$T764))</f>
        <v>0</v>
      </c>
      <c r="S764" s="1">
        <f t="shared" si="133"/>
        <v>10000000000</v>
      </c>
      <c r="T764" s="1">
        <f>IFERROR(MATCH($C$36&amp;"|31",VIRMAN!$L$7:$L$406,0),0)</f>
        <v>0</v>
      </c>
      <c r="V764" s="1">
        <f t="shared" si="134"/>
        <v>10000000000</v>
      </c>
      <c r="W764" s="1">
        <f t="shared" si="135"/>
        <v>9</v>
      </c>
    </row>
    <row r="765" spans="2:23" ht="14.25" customHeight="1" x14ac:dyDescent="0.3">
      <c r="B765" s="65" t="str">
        <f t="shared" si="127"/>
        <v/>
      </c>
      <c r="C765" s="70" t="str">
        <f t="shared" si="128"/>
        <v/>
      </c>
      <c r="D765" s="74" t="str">
        <f t="shared" si="129"/>
        <v/>
      </c>
      <c r="F765" s="65" t="str">
        <f t="shared" si="130"/>
        <v/>
      </c>
      <c r="G765" s="68" t="str">
        <f t="shared" si="131"/>
        <v/>
      </c>
      <c r="H765" s="68" t="str">
        <f t="shared" si="132"/>
        <v/>
      </c>
      <c r="I765" s="68" t="str">
        <f t="shared" si="136"/>
        <v/>
      </c>
      <c r="M765" s="1">
        <v>728</v>
      </c>
      <c r="N765" s="1" t="str">
        <f>IF($T765=0,"",INDEX(VIRMAN!$C$7:$C$406,$T765))</f>
        <v/>
      </c>
      <c r="O765" s="1" t="str">
        <f>IF($N765="","",$C$36&amp;" → "&amp;INDEX(VIRMAN!$E$7:$E$406,$T765)&amp;IF(INDEX(VIRMAN!$G$7:$G$406,$T765)="",""," – "&amp;INDEX(VIRMAN!$G$7:$G$406,$T765)))</f>
        <v/>
      </c>
      <c r="P765" s="1" t="str">
        <f t="shared" si="126"/>
        <v/>
      </c>
      <c r="Q765" s="1">
        <v>0</v>
      </c>
      <c r="R765" s="1">
        <f>IF($N765="",0,INDEX(VIRMAN!$F$7:$F$406,$T765))</f>
        <v>0</v>
      </c>
      <c r="S765" s="1">
        <f t="shared" si="133"/>
        <v>10000000000</v>
      </c>
      <c r="T765" s="1">
        <f>IFERROR(MATCH($C$36&amp;"|32",VIRMAN!$L$7:$L$406,0),0)</f>
        <v>0</v>
      </c>
      <c r="V765" s="1">
        <f t="shared" si="134"/>
        <v>10000000000</v>
      </c>
      <c r="W765" s="1">
        <f t="shared" si="135"/>
        <v>9</v>
      </c>
    </row>
    <row r="766" spans="2:23" ht="14.25" customHeight="1" x14ac:dyDescent="0.3">
      <c r="B766" s="65" t="str">
        <f t="shared" si="127"/>
        <v/>
      </c>
      <c r="C766" s="70" t="str">
        <f t="shared" si="128"/>
        <v/>
      </c>
      <c r="D766" s="74" t="str">
        <f t="shared" si="129"/>
        <v/>
      </c>
      <c r="F766" s="65" t="str">
        <f t="shared" si="130"/>
        <v/>
      </c>
      <c r="G766" s="68" t="str">
        <f t="shared" si="131"/>
        <v/>
      </c>
      <c r="H766" s="68" t="str">
        <f t="shared" si="132"/>
        <v/>
      </c>
      <c r="I766" s="68" t="str">
        <f t="shared" si="136"/>
        <v/>
      </c>
      <c r="M766" s="1">
        <v>729</v>
      </c>
      <c r="N766" s="1" t="str">
        <f>IF($T766=0,"",INDEX(VIRMAN!$C$7:$C$406,$T766))</f>
        <v/>
      </c>
      <c r="O766" s="1" t="str">
        <f>IF($N766="","",$C$36&amp;" → "&amp;INDEX(VIRMAN!$E$7:$E$406,$T766)&amp;IF(INDEX(VIRMAN!$G$7:$G$406,$T766)="",""," – "&amp;INDEX(VIRMAN!$G$7:$G$406,$T766)))</f>
        <v/>
      </c>
      <c r="P766" s="1" t="str">
        <f t="shared" ref="P766:P797" si="137">IF($N766="","","OFİSE/KASAYA ÖDEDİ")</f>
        <v/>
      </c>
      <c r="Q766" s="1">
        <v>0</v>
      </c>
      <c r="R766" s="1">
        <f>IF($N766="",0,INDEX(VIRMAN!$F$7:$F$406,$T766))</f>
        <v>0</v>
      </c>
      <c r="S766" s="1">
        <f t="shared" si="133"/>
        <v>10000000000</v>
      </c>
      <c r="T766" s="1">
        <f>IFERROR(MATCH($C$36&amp;"|33",VIRMAN!$L$7:$L$406,0),0)</f>
        <v>0</v>
      </c>
      <c r="V766" s="1">
        <f t="shared" si="134"/>
        <v>10000000000</v>
      </c>
      <c r="W766" s="1">
        <f t="shared" si="135"/>
        <v>9</v>
      </c>
    </row>
    <row r="767" spans="2:23" ht="14.25" customHeight="1" x14ac:dyDescent="0.3">
      <c r="B767" s="65" t="str">
        <f t="shared" si="127"/>
        <v/>
      </c>
      <c r="C767" s="70" t="str">
        <f t="shared" si="128"/>
        <v/>
      </c>
      <c r="D767" s="74" t="str">
        <f t="shared" si="129"/>
        <v/>
      </c>
      <c r="F767" s="65" t="str">
        <f t="shared" si="130"/>
        <v/>
      </c>
      <c r="G767" s="68" t="str">
        <f t="shared" si="131"/>
        <v/>
      </c>
      <c r="H767" s="68" t="str">
        <f t="shared" si="132"/>
        <v/>
      </c>
      <c r="I767" s="68" t="str">
        <f t="shared" si="136"/>
        <v/>
      </c>
      <c r="M767" s="1">
        <v>730</v>
      </c>
      <c r="N767" s="1" t="str">
        <f>IF($T767=0,"",INDEX(VIRMAN!$C$7:$C$406,$T767))</f>
        <v/>
      </c>
      <c r="O767" s="1" t="str">
        <f>IF($N767="","",$C$36&amp;" → "&amp;INDEX(VIRMAN!$E$7:$E$406,$T767)&amp;IF(INDEX(VIRMAN!$G$7:$G$406,$T767)="",""," – "&amp;INDEX(VIRMAN!$G$7:$G$406,$T767)))</f>
        <v/>
      </c>
      <c r="P767" s="1" t="str">
        <f t="shared" si="137"/>
        <v/>
      </c>
      <c r="Q767" s="1">
        <v>0</v>
      </c>
      <c r="R767" s="1">
        <f>IF($N767="",0,INDEX(VIRMAN!$F$7:$F$406,$T767))</f>
        <v>0</v>
      </c>
      <c r="S767" s="1">
        <f t="shared" si="133"/>
        <v>10000000000</v>
      </c>
      <c r="T767" s="1">
        <f>IFERROR(MATCH($C$36&amp;"|34",VIRMAN!$L$7:$L$406,0),0)</f>
        <v>0</v>
      </c>
      <c r="V767" s="1">
        <f t="shared" si="134"/>
        <v>10000000000</v>
      </c>
      <c r="W767" s="1">
        <f t="shared" si="135"/>
        <v>9</v>
      </c>
    </row>
    <row r="768" spans="2:23" ht="14.25" customHeight="1" x14ac:dyDescent="0.3">
      <c r="B768" s="65" t="str">
        <f t="shared" si="127"/>
        <v/>
      </c>
      <c r="C768" s="70" t="str">
        <f t="shared" si="128"/>
        <v/>
      </c>
      <c r="D768" s="74" t="str">
        <f t="shared" si="129"/>
        <v/>
      </c>
      <c r="F768" s="65" t="str">
        <f t="shared" si="130"/>
        <v/>
      </c>
      <c r="G768" s="68" t="str">
        <f t="shared" si="131"/>
        <v/>
      </c>
      <c r="H768" s="68" t="str">
        <f t="shared" si="132"/>
        <v/>
      </c>
      <c r="I768" s="68" t="str">
        <f t="shared" si="136"/>
        <v/>
      </c>
      <c r="M768" s="1">
        <v>731</v>
      </c>
      <c r="N768" s="1" t="str">
        <f>IF($T768=0,"",INDEX(VIRMAN!$C$7:$C$406,$T768))</f>
        <v/>
      </c>
      <c r="O768" s="1" t="str">
        <f>IF($N768="","",$C$36&amp;" → "&amp;INDEX(VIRMAN!$E$7:$E$406,$T768)&amp;IF(INDEX(VIRMAN!$G$7:$G$406,$T768)="",""," – "&amp;INDEX(VIRMAN!$G$7:$G$406,$T768)))</f>
        <v/>
      </c>
      <c r="P768" s="1" t="str">
        <f t="shared" si="137"/>
        <v/>
      </c>
      <c r="Q768" s="1">
        <v>0</v>
      </c>
      <c r="R768" s="1">
        <f>IF($N768="",0,INDEX(VIRMAN!$F$7:$F$406,$T768))</f>
        <v>0</v>
      </c>
      <c r="S768" s="1">
        <f t="shared" si="133"/>
        <v>10000000000</v>
      </c>
      <c r="T768" s="1">
        <f>IFERROR(MATCH($C$36&amp;"|35",VIRMAN!$L$7:$L$406,0),0)</f>
        <v>0</v>
      </c>
      <c r="V768" s="1">
        <f t="shared" si="134"/>
        <v>10000000000</v>
      </c>
      <c r="W768" s="1">
        <f t="shared" si="135"/>
        <v>9</v>
      </c>
    </row>
    <row r="769" spans="2:23" ht="14.25" customHeight="1" x14ac:dyDescent="0.3">
      <c r="B769" s="65" t="str">
        <f t="shared" si="127"/>
        <v/>
      </c>
      <c r="C769" s="70" t="str">
        <f t="shared" si="128"/>
        <v/>
      </c>
      <c r="D769" s="74" t="str">
        <f t="shared" si="129"/>
        <v/>
      </c>
      <c r="F769" s="65" t="str">
        <f t="shared" si="130"/>
        <v/>
      </c>
      <c r="G769" s="68" t="str">
        <f t="shared" si="131"/>
        <v/>
      </c>
      <c r="H769" s="68" t="str">
        <f t="shared" si="132"/>
        <v/>
      </c>
      <c r="I769" s="68" t="str">
        <f t="shared" si="136"/>
        <v/>
      </c>
      <c r="M769" s="1">
        <v>732</v>
      </c>
      <c r="N769" s="1" t="str">
        <f>IF($T769=0,"",INDEX(VIRMAN!$C$7:$C$406,$T769))</f>
        <v/>
      </c>
      <c r="O769" s="1" t="str">
        <f>IF($N769="","",$C$36&amp;" → "&amp;INDEX(VIRMAN!$E$7:$E$406,$T769)&amp;IF(INDEX(VIRMAN!$G$7:$G$406,$T769)="",""," – "&amp;INDEX(VIRMAN!$G$7:$G$406,$T769)))</f>
        <v/>
      </c>
      <c r="P769" s="1" t="str">
        <f t="shared" si="137"/>
        <v/>
      </c>
      <c r="Q769" s="1">
        <v>0</v>
      </c>
      <c r="R769" s="1">
        <f>IF($N769="",0,INDEX(VIRMAN!$F$7:$F$406,$T769))</f>
        <v>0</v>
      </c>
      <c r="S769" s="1">
        <f t="shared" si="133"/>
        <v>10000000000</v>
      </c>
      <c r="T769" s="1">
        <f>IFERROR(MATCH($C$36&amp;"|36",VIRMAN!$L$7:$L$406,0),0)</f>
        <v>0</v>
      </c>
      <c r="V769" s="1">
        <f t="shared" si="134"/>
        <v>10000000000</v>
      </c>
      <c r="W769" s="1">
        <f t="shared" si="135"/>
        <v>9</v>
      </c>
    </row>
    <row r="770" spans="2:23" ht="14.25" customHeight="1" x14ac:dyDescent="0.3">
      <c r="B770" s="65" t="str">
        <f t="shared" si="127"/>
        <v/>
      </c>
      <c r="C770" s="70" t="str">
        <f t="shared" si="128"/>
        <v/>
      </c>
      <c r="D770" s="74" t="str">
        <f t="shared" si="129"/>
        <v/>
      </c>
      <c r="F770" s="65" t="str">
        <f t="shared" si="130"/>
        <v/>
      </c>
      <c r="G770" s="68" t="str">
        <f t="shared" si="131"/>
        <v/>
      </c>
      <c r="H770" s="68" t="str">
        <f t="shared" si="132"/>
        <v/>
      </c>
      <c r="I770" s="68" t="str">
        <f t="shared" si="136"/>
        <v/>
      </c>
      <c r="M770" s="1">
        <v>733</v>
      </c>
      <c r="N770" s="1" t="str">
        <f>IF($T770=0,"",INDEX(VIRMAN!$C$7:$C$406,$T770))</f>
        <v/>
      </c>
      <c r="O770" s="1" t="str">
        <f>IF($N770="","",$C$36&amp;" → "&amp;INDEX(VIRMAN!$E$7:$E$406,$T770)&amp;IF(INDEX(VIRMAN!$G$7:$G$406,$T770)="",""," – "&amp;INDEX(VIRMAN!$G$7:$G$406,$T770)))</f>
        <v/>
      </c>
      <c r="P770" s="1" t="str">
        <f t="shared" si="137"/>
        <v/>
      </c>
      <c r="Q770" s="1">
        <v>0</v>
      </c>
      <c r="R770" s="1">
        <f>IF($N770="",0,INDEX(VIRMAN!$F$7:$F$406,$T770))</f>
        <v>0</v>
      </c>
      <c r="S770" s="1">
        <f t="shared" si="133"/>
        <v>10000000000</v>
      </c>
      <c r="T770" s="1">
        <f>IFERROR(MATCH($C$36&amp;"|37",VIRMAN!$L$7:$L$406,0),0)</f>
        <v>0</v>
      </c>
      <c r="V770" s="1">
        <f t="shared" si="134"/>
        <v>10000000000</v>
      </c>
      <c r="W770" s="1">
        <f t="shared" si="135"/>
        <v>9</v>
      </c>
    </row>
    <row r="771" spans="2:23" ht="14.25" customHeight="1" x14ac:dyDescent="0.3">
      <c r="B771" s="65" t="str">
        <f t="shared" si="127"/>
        <v/>
      </c>
      <c r="C771" s="70" t="str">
        <f t="shared" si="128"/>
        <v/>
      </c>
      <c r="D771" s="74" t="str">
        <f t="shared" si="129"/>
        <v/>
      </c>
      <c r="F771" s="65" t="str">
        <f t="shared" si="130"/>
        <v/>
      </c>
      <c r="G771" s="68" t="str">
        <f t="shared" si="131"/>
        <v/>
      </c>
      <c r="H771" s="68" t="str">
        <f t="shared" si="132"/>
        <v/>
      </c>
      <c r="I771" s="68" t="str">
        <f t="shared" si="136"/>
        <v/>
      </c>
      <c r="M771" s="1">
        <v>734</v>
      </c>
      <c r="N771" s="1" t="str">
        <f>IF($T771=0,"",INDEX(VIRMAN!$C$7:$C$406,$T771))</f>
        <v/>
      </c>
      <c r="O771" s="1" t="str">
        <f>IF($N771="","",$C$36&amp;" → "&amp;INDEX(VIRMAN!$E$7:$E$406,$T771)&amp;IF(INDEX(VIRMAN!$G$7:$G$406,$T771)="",""," – "&amp;INDEX(VIRMAN!$G$7:$G$406,$T771)))</f>
        <v/>
      </c>
      <c r="P771" s="1" t="str">
        <f t="shared" si="137"/>
        <v/>
      </c>
      <c r="Q771" s="1">
        <v>0</v>
      </c>
      <c r="R771" s="1">
        <f>IF($N771="",0,INDEX(VIRMAN!$F$7:$F$406,$T771))</f>
        <v>0</v>
      </c>
      <c r="S771" s="1">
        <f t="shared" si="133"/>
        <v>10000000000</v>
      </c>
      <c r="T771" s="1">
        <f>IFERROR(MATCH($C$36&amp;"|38",VIRMAN!$L$7:$L$406,0),0)</f>
        <v>0</v>
      </c>
      <c r="V771" s="1">
        <f t="shared" si="134"/>
        <v>10000000000</v>
      </c>
      <c r="W771" s="1">
        <f t="shared" si="135"/>
        <v>9</v>
      </c>
    </row>
    <row r="772" spans="2:23" ht="14.25" customHeight="1" x14ac:dyDescent="0.3">
      <c r="B772" s="65" t="str">
        <f t="shared" si="127"/>
        <v/>
      </c>
      <c r="C772" s="70" t="str">
        <f t="shared" si="128"/>
        <v/>
      </c>
      <c r="D772" s="74" t="str">
        <f t="shared" si="129"/>
        <v/>
      </c>
      <c r="F772" s="65" t="str">
        <f t="shared" si="130"/>
        <v/>
      </c>
      <c r="G772" s="68" t="str">
        <f t="shared" si="131"/>
        <v/>
      </c>
      <c r="H772" s="68" t="str">
        <f t="shared" si="132"/>
        <v/>
      </c>
      <c r="I772" s="68" t="str">
        <f t="shared" si="136"/>
        <v/>
      </c>
      <c r="M772" s="1">
        <v>735</v>
      </c>
      <c r="N772" s="1" t="str">
        <f>IF($T772=0,"",INDEX(VIRMAN!$C$7:$C$406,$T772))</f>
        <v/>
      </c>
      <c r="O772" s="1" t="str">
        <f>IF($N772="","",$C$36&amp;" → "&amp;INDEX(VIRMAN!$E$7:$E$406,$T772)&amp;IF(INDEX(VIRMAN!$G$7:$G$406,$T772)="",""," – "&amp;INDEX(VIRMAN!$G$7:$G$406,$T772)))</f>
        <v/>
      </c>
      <c r="P772" s="1" t="str">
        <f t="shared" si="137"/>
        <v/>
      </c>
      <c r="Q772" s="1">
        <v>0</v>
      </c>
      <c r="R772" s="1">
        <f>IF($N772="",0,INDEX(VIRMAN!$F$7:$F$406,$T772))</f>
        <v>0</v>
      </c>
      <c r="S772" s="1">
        <f t="shared" si="133"/>
        <v>10000000000</v>
      </c>
      <c r="T772" s="1">
        <f>IFERROR(MATCH($C$36&amp;"|39",VIRMAN!$L$7:$L$406,0),0)</f>
        <v>0</v>
      </c>
      <c r="V772" s="1">
        <f t="shared" si="134"/>
        <v>10000000000</v>
      </c>
      <c r="W772" s="1">
        <f t="shared" si="135"/>
        <v>9</v>
      </c>
    </row>
    <row r="773" spans="2:23" ht="14.25" customHeight="1" x14ac:dyDescent="0.3">
      <c r="B773" s="65" t="str">
        <f t="shared" si="127"/>
        <v/>
      </c>
      <c r="C773" s="70" t="str">
        <f t="shared" si="128"/>
        <v/>
      </c>
      <c r="D773" s="74" t="str">
        <f t="shared" si="129"/>
        <v/>
      </c>
      <c r="F773" s="65" t="str">
        <f t="shared" si="130"/>
        <v/>
      </c>
      <c r="G773" s="68" t="str">
        <f t="shared" si="131"/>
        <v/>
      </c>
      <c r="H773" s="68" t="str">
        <f t="shared" si="132"/>
        <v/>
      </c>
      <c r="I773" s="68" t="str">
        <f t="shared" si="136"/>
        <v/>
      </c>
      <c r="M773" s="1">
        <v>736</v>
      </c>
      <c r="N773" s="1" t="str">
        <f>IF($T773=0,"",INDEX(VIRMAN!$C$7:$C$406,$T773))</f>
        <v/>
      </c>
      <c r="O773" s="1" t="str">
        <f>IF($N773="","",$C$36&amp;" → "&amp;INDEX(VIRMAN!$E$7:$E$406,$T773)&amp;IF(INDEX(VIRMAN!$G$7:$G$406,$T773)="",""," – "&amp;INDEX(VIRMAN!$G$7:$G$406,$T773)))</f>
        <v/>
      </c>
      <c r="P773" s="1" t="str">
        <f t="shared" si="137"/>
        <v/>
      </c>
      <c r="Q773" s="1">
        <v>0</v>
      </c>
      <c r="R773" s="1">
        <f>IF($N773="",0,INDEX(VIRMAN!$F$7:$F$406,$T773))</f>
        <v>0</v>
      </c>
      <c r="S773" s="1">
        <f t="shared" si="133"/>
        <v>10000000000</v>
      </c>
      <c r="T773" s="1">
        <f>IFERROR(MATCH($C$36&amp;"|40",VIRMAN!$L$7:$L$406,0),0)</f>
        <v>0</v>
      </c>
      <c r="V773" s="1">
        <f t="shared" si="134"/>
        <v>10000000000</v>
      </c>
      <c r="W773" s="1">
        <f t="shared" si="135"/>
        <v>9</v>
      </c>
    </row>
    <row r="774" spans="2:23" ht="14.25" customHeight="1" x14ac:dyDescent="0.3">
      <c r="B774" s="65" t="str">
        <f t="shared" si="127"/>
        <v/>
      </c>
      <c r="C774" s="70" t="str">
        <f t="shared" si="128"/>
        <v/>
      </c>
      <c r="D774" s="74" t="str">
        <f t="shared" si="129"/>
        <v/>
      </c>
      <c r="F774" s="65" t="str">
        <f t="shared" si="130"/>
        <v/>
      </c>
      <c r="G774" s="68" t="str">
        <f t="shared" si="131"/>
        <v/>
      </c>
      <c r="H774" s="68" t="str">
        <f t="shared" si="132"/>
        <v/>
      </c>
      <c r="I774" s="68" t="str">
        <f t="shared" si="136"/>
        <v/>
      </c>
      <c r="M774" s="1">
        <v>737</v>
      </c>
      <c r="N774" s="1" t="str">
        <f>IF($T774=0,"",INDEX(VIRMAN!$C$7:$C$406,$T774))</f>
        <v/>
      </c>
      <c r="O774" s="1" t="str">
        <f>IF($N774="","",$C$36&amp;" → "&amp;INDEX(VIRMAN!$E$7:$E$406,$T774)&amp;IF(INDEX(VIRMAN!$G$7:$G$406,$T774)="",""," – "&amp;INDEX(VIRMAN!$G$7:$G$406,$T774)))</f>
        <v/>
      </c>
      <c r="P774" s="1" t="str">
        <f t="shared" si="137"/>
        <v/>
      </c>
      <c r="Q774" s="1">
        <v>0</v>
      </c>
      <c r="R774" s="1">
        <f>IF($N774="",0,INDEX(VIRMAN!$F$7:$F$406,$T774))</f>
        <v>0</v>
      </c>
      <c r="S774" s="1">
        <f t="shared" si="133"/>
        <v>10000000000</v>
      </c>
      <c r="T774" s="1">
        <f>IFERROR(MATCH($C$36&amp;"|41",VIRMAN!$L$7:$L$406,0),0)</f>
        <v>0</v>
      </c>
      <c r="V774" s="1">
        <f t="shared" si="134"/>
        <v>10000000000</v>
      </c>
      <c r="W774" s="1">
        <f t="shared" si="135"/>
        <v>9</v>
      </c>
    </row>
    <row r="775" spans="2:23" ht="14.25" customHeight="1" x14ac:dyDescent="0.3">
      <c r="B775" s="65" t="str">
        <f t="shared" si="127"/>
        <v/>
      </c>
      <c r="C775" s="70" t="str">
        <f t="shared" si="128"/>
        <v/>
      </c>
      <c r="D775" s="74" t="str">
        <f t="shared" si="129"/>
        <v/>
      </c>
      <c r="F775" s="65" t="str">
        <f t="shared" si="130"/>
        <v/>
      </c>
      <c r="G775" s="68" t="str">
        <f t="shared" si="131"/>
        <v/>
      </c>
      <c r="H775" s="68" t="str">
        <f t="shared" si="132"/>
        <v/>
      </c>
      <c r="I775" s="68" t="str">
        <f t="shared" si="136"/>
        <v/>
      </c>
      <c r="M775" s="1">
        <v>738</v>
      </c>
      <c r="N775" s="1" t="str">
        <f>IF($T775=0,"",INDEX(VIRMAN!$C$7:$C$406,$T775))</f>
        <v/>
      </c>
      <c r="O775" s="1" t="str">
        <f>IF($N775="","",$C$36&amp;" → "&amp;INDEX(VIRMAN!$E$7:$E$406,$T775)&amp;IF(INDEX(VIRMAN!$G$7:$G$406,$T775)="",""," – "&amp;INDEX(VIRMAN!$G$7:$G$406,$T775)))</f>
        <v/>
      </c>
      <c r="P775" s="1" t="str">
        <f t="shared" si="137"/>
        <v/>
      </c>
      <c r="Q775" s="1">
        <v>0</v>
      </c>
      <c r="R775" s="1">
        <f>IF($N775="",0,INDEX(VIRMAN!$F$7:$F$406,$T775))</f>
        <v>0</v>
      </c>
      <c r="S775" s="1">
        <f t="shared" si="133"/>
        <v>10000000000</v>
      </c>
      <c r="T775" s="1">
        <f>IFERROR(MATCH($C$36&amp;"|42",VIRMAN!$L$7:$L$406,0),0)</f>
        <v>0</v>
      </c>
      <c r="V775" s="1">
        <f t="shared" si="134"/>
        <v>10000000000</v>
      </c>
      <c r="W775" s="1">
        <f t="shared" si="135"/>
        <v>9</v>
      </c>
    </row>
    <row r="776" spans="2:23" ht="14.25" customHeight="1" x14ac:dyDescent="0.3">
      <c r="B776" s="65" t="str">
        <f t="shared" si="127"/>
        <v/>
      </c>
      <c r="C776" s="70" t="str">
        <f t="shared" si="128"/>
        <v/>
      </c>
      <c r="D776" s="74" t="str">
        <f t="shared" si="129"/>
        <v/>
      </c>
      <c r="F776" s="65" t="str">
        <f t="shared" si="130"/>
        <v/>
      </c>
      <c r="G776" s="68" t="str">
        <f t="shared" si="131"/>
        <v/>
      </c>
      <c r="H776" s="68" t="str">
        <f t="shared" si="132"/>
        <v/>
      </c>
      <c r="I776" s="68" t="str">
        <f t="shared" si="136"/>
        <v/>
      </c>
      <c r="M776" s="1">
        <v>739</v>
      </c>
      <c r="N776" s="1" t="str">
        <f>IF($T776=0,"",INDEX(VIRMAN!$C$7:$C$406,$T776))</f>
        <v/>
      </c>
      <c r="O776" s="1" t="str">
        <f>IF($N776="","",$C$36&amp;" → "&amp;INDEX(VIRMAN!$E$7:$E$406,$T776)&amp;IF(INDEX(VIRMAN!$G$7:$G$406,$T776)="",""," – "&amp;INDEX(VIRMAN!$G$7:$G$406,$T776)))</f>
        <v/>
      </c>
      <c r="P776" s="1" t="str">
        <f t="shared" si="137"/>
        <v/>
      </c>
      <c r="Q776" s="1">
        <v>0</v>
      </c>
      <c r="R776" s="1">
        <f>IF($N776="",0,INDEX(VIRMAN!$F$7:$F$406,$T776))</f>
        <v>0</v>
      </c>
      <c r="S776" s="1">
        <f t="shared" si="133"/>
        <v>10000000000</v>
      </c>
      <c r="T776" s="1">
        <f>IFERROR(MATCH($C$36&amp;"|43",VIRMAN!$L$7:$L$406,0),0)</f>
        <v>0</v>
      </c>
      <c r="V776" s="1">
        <f t="shared" si="134"/>
        <v>10000000000</v>
      </c>
      <c r="W776" s="1">
        <f t="shared" si="135"/>
        <v>9</v>
      </c>
    </row>
    <row r="777" spans="2:23" ht="14.25" customHeight="1" x14ac:dyDescent="0.3">
      <c r="B777" s="65" t="str">
        <f t="shared" si="127"/>
        <v/>
      </c>
      <c r="C777" s="70" t="str">
        <f t="shared" si="128"/>
        <v/>
      </c>
      <c r="D777" s="74" t="str">
        <f t="shared" si="129"/>
        <v/>
      </c>
      <c r="F777" s="65" t="str">
        <f t="shared" si="130"/>
        <v/>
      </c>
      <c r="G777" s="68" t="str">
        <f t="shared" si="131"/>
        <v/>
      </c>
      <c r="H777" s="68" t="str">
        <f t="shared" si="132"/>
        <v/>
      </c>
      <c r="I777" s="68" t="str">
        <f t="shared" si="136"/>
        <v/>
      </c>
      <c r="M777" s="1">
        <v>740</v>
      </c>
      <c r="N777" s="1" t="str">
        <f>IF($T777=0,"",INDEX(VIRMAN!$C$7:$C$406,$T777))</f>
        <v/>
      </c>
      <c r="O777" s="1" t="str">
        <f>IF($N777="","",$C$36&amp;" → "&amp;INDEX(VIRMAN!$E$7:$E$406,$T777)&amp;IF(INDEX(VIRMAN!$G$7:$G$406,$T777)="",""," – "&amp;INDEX(VIRMAN!$G$7:$G$406,$T777)))</f>
        <v/>
      </c>
      <c r="P777" s="1" t="str">
        <f t="shared" si="137"/>
        <v/>
      </c>
      <c r="Q777" s="1">
        <v>0</v>
      </c>
      <c r="R777" s="1">
        <f>IF($N777="",0,INDEX(VIRMAN!$F$7:$F$406,$T777))</f>
        <v>0</v>
      </c>
      <c r="S777" s="1">
        <f t="shared" si="133"/>
        <v>10000000000</v>
      </c>
      <c r="T777" s="1">
        <f>IFERROR(MATCH($C$36&amp;"|44",VIRMAN!$L$7:$L$406,0),0)</f>
        <v>0</v>
      </c>
      <c r="V777" s="1">
        <f t="shared" si="134"/>
        <v>10000000000</v>
      </c>
      <c r="W777" s="1">
        <f t="shared" si="135"/>
        <v>9</v>
      </c>
    </row>
    <row r="778" spans="2:23" ht="14.25" customHeight="1" x14ac:dyDescent="0.3">
      <c r="B778" s="65" t="str">
        <f t="shared" si="127"/>
        <v/>
      </c>
      <c r="C778" s="70" t="str">
        <f t="shared" si="128"/>
        <v/>
      </c>
      <c r="D778" s="74" t="str">
        <f t="shared" si="129"/>
        <v/>
      </c>
      <c r="F778" s="65" t="str">
        <f t="shared" si="130"/>
        <v/>
      </c>
      <c r="G778" s="68" t="str">
        <f t="shared" si="131"/>
        <v/>
      </c>
      <c r="H778" s="68" t="str">
        <f t="shared" si="132"/>
        <v/>
      </c>
      <c r="I778" s="68" t="str">
        <f t="shared" si="136"/>
        <v/>
      </c>
      <c r="M778" s="1">
        <v>741</v>
      </c>
      <c r="N778" s="1" t="str">
        <f>IF($T778=0,"",INDEX(VIRMAN!$C$7:$C$406,$T778))</f>
        <v/>
      </c>
      <c r="O778" s="1" t="str">
        <f>IF($N778="","",$C$36&amp;" → "&amp;INDEX(VIRMAN!$E$7:$E$406,$T778)&amp;IF(INDEX(VIRMAN!$G$7:$G$406,$T778)="",""," – "&amp;INDEX(VIRMAN!$G$7:$G$406,$T778)))</f>
        <v/>
      </c>
      <c r="P778" s="1" t="str">
        <f t="shared" si="137"/>
        <v/>
      </c>
      <c r="Q778" s="1">
        <v>0</v>
      </c>
      <c r="R778" s="1">
        <f>IF($N778="",0,INDEX(VIRMAN!$F$7:$F$406,$T778))</f>
        <v>0</v>
      </c>
      <c r="S778" s="1">
        <f t="shared" si="133"/>
        <v>10000000000</v>
      </c>
      <c r="T778" s="1">
        <f>IFERROR(MATCH($C$36&amp;"|45",VIRMAN!$L$7:$L$406,0),0)</f>
        <v>0</v>
      </c>
      <c r="V778" s="1">
        <f t="shared" si="134"/>
        <v>10000000000</v>
      </c>
      <c r="W778" s="1">
        <f t="shared" si="135"/>
        <v>9</v>
      </c>
    </row>
    <row r="779" spans="2:23" ht="14.25" customHeight="1" x14ac:dyDescent="0.3">
      <c r="B779" s="65" t="str">
        <f t="shared" si="127"/>
        <v/>
      </c>
      <c r="C779" s="70" t="str">
        <f t="shared" si="128"/>
        <v/>
      </c>
      <c r="D779" s="74" t="str">
        <f t="shared" si="129"/>
        <v/>
      </c>
      <c r="F779" s="65" t="str">
        <f t="shared" si="130"/>
        <v/>
      </c>
      <c r="G779" s="68" t="str">
        <f t="shared" si="131"/>
        <v/>
      </c>
      <c r="H779" s="68" t="str">
        <f t="shared" si="132"/>
        <v/>
      </c>
      <c r="I779" s="68" t="str">
        <f t="shared" si="136"/>
        <v/>
      </c>
      <c r="M779" s="1">
        <v>742</v>
      </c>
      <c r="N779" s="1" t="str">
        <f>IF($T779=0,"",INDEX(VIRMAN!$C$7:$C$406,$T779))</f>
        <v/>
      </c>
      <c r="O779" s="1" t="str">
        <f>IF($N779="","",$C$36&amp;" → "&amp;INDEX(VIRMAN!$E$7:$E$406,$T779)&amp;IF(INDEX(VIRMAN!$G$7:$G$406,$T779)="",""," – "&amp;INDEX(VIRMAN!$G$7:$G$406,$T779)))</f>
        <v/>
      </c>
      <c r="P779" s="1" t="str">
        <f t="shared" si="137"/>
        <v/>
      </c>
      <c r="Q779" s="1">
        <v>0</v>
      </c>
      <c r="R779" s="1">
        <f>IF($N779="",0,INDEX(VIRMAN!$F$7:$F$406,$T779))</f>
        <v>0</v>
      </c>
      <c r="S779" s="1">
        <f t="shared" si="133"/>
        <v>10000000000</v>
      </c>
      <c r="T779" s="1">
        <f>IFERROR(MATCH($C$36&amp;"|46",VIRMAN!$L$7:$L$406,0),0)</f>
        <v>0</v>
      </c>
      <c r="V779" s="1">
        <f t="shared" si="134"/>
        <v>10000000000</v>
      </c>
      <c r="W779" s="1">
        <f t="shared" si="135"/>
        <v>9</v>
      </c>
    </row>
    <row r="780" spans="2:23" ht="14.25" customHeight="1" x14ac:dyDescent="0.3">
      <c r="B780" s="65" t="str">
        <f t="shared" si="127"/>
        <v/>
      </c>
      <c r="C780" s="70" t="str">
        <f t="shared" si="128"/>
        <v/>
      </c>
      <c r="D780" s="74" t="str">
        <f t="shared" si="129"/>
        <v/>
      </c>
      <c r="F780" s="65" t="str">
        <f t="shared" si="130"/>
        <v/>
      </c>
      <c r="G780" s="68" t="str">
        <f t="shared" si="131"/>
        <v/>
      </c>
      <c r="H780" s="68" t="str">
        <f t="shared" si="132"/>
        <v/>
      </c>
      <c r="I780" s="68" t="str">
        <f t="shared" si="136"/>
        <v/>
      </c>
      <c r="M780" s="1">
        <v>743</v>
      </c>
      <c r="N780" s="1" t="str">
        <f>IF($T780=0,"",INDEX(VIRMAN!$C$7:$C$406,$T780))</f>
        <v/>
      </c>
      <c r="O780" s="1" t="str">
        <f>IF($N780="","",$C$36&amp;" → "&amp;INDEX(VIRMAN!$E$7:$E$406,$T780)&amp;IF(INDEX(VIRMAN!$G$7:$G$406,$T780)="",""," – "&amp;INDEX(VIRMAN!$G$7:$G$406,$T780)))</f>
        <v/>
      </c>
      <c r="P780" s="1" t="str">
        <f t="shared" si="137"/>
        <v/>
      </c>
      <c r="Q780" s="1">
        <v>0</v>
      </c>
      <c r="R780" s="1">
        <f>IF($N780="",0,INDEX(VIRMAN!$F$7:$F$406,$T780))</f>
        <v>0</v>
      </c>
      <c r="S780" s="1">
        <f t="shared" si="133"/>
        <v>10000000000</v>
      </c>
      <c r="T780" s="1">
        <f>IFERROR(MATCH($C$36&amp;"|47",VIRMAN!$L$7:$L$406,0),0)</f>
        <v>0</v>
      </c>
      <c r="V780" s="1">
        <f t="shared" si="134"/>
        <v>10000000000</v>
      </c>
      <c r="W780" s="1">
        <f t="shared" si="135"/>
        <v>9</v>
      </c>
    </row>
    <row r="781" spans="2:23" ht="14.25" customHeight="1" x14ac:dyDescent="0.3">
      <c r="B781" s="65" t="str">
        <f t="shared" si="127"/>
        <v/>
      </c>
      <c r="C781" s="70" t="str">
        <f t="shared" si="128"/>
        <v/>
      </c>
      <c r="D781" s="74" t="str">
        <f t="shared" si="129"/>
        <v/>
      </c>
      <c r="F781" s="65" t="str">
        <f t="shared" si="130"/>
        <v/>
      </c>
      <c r="G781" s="68" t="str">
        <f t="shared" si="131"/>
        <v/>
      </c>
      <c r="H781" s="68" t="str">
        <f t="shared" si="132"/>
        <v/>
      </c>
      <c r="I781" s="68" t="str">
        <f t="shared" si="136"/>
        <v/>
      </c>
      <c r="M781" s="1">
        <v>744</v>
      </c>
      <c r="N781" s="1" t="str">
        <f>IF($T781=0,"",INDEX(VIRMAN!$C$7:$C$406,$T781))</f>
        <v/>
      </c>
      <c r="O781" s="1" t="str">
        <f>IF($N781="","",$C$36&amp;" → "&amp;INDEX(VIRMAN!$E$7:$E$406,$T781)&amp;IF(INDEX(VIRMAN!$G$7:$G$406,$T781)="",""," – "&amp;INDEX(VIRMAN!$G$7:$G$406,$T781)))</f>
        <v/>
      </c>
      <c r="P781" s="1" t="str">
        <f t="shared" si="137"/>
        <v/>
      </c>
      <c r="Q781" s="1">
        <v>0</v>
      </c>
      <c r="R781" s="1">
        <f>IF($N781="",0,INDEX(VIRMAN!$F$7:$F$406,$T781))</f>
        <v>0</v>
      </c>
      <c r="S781" s="1">
        <f t="shared" si="133"/>
        <v>10000000000</v>
      </c>
      <c r="T781" s="1">
        <f>IFERROR(MATCH($C$36&amp;"|48",VIRMAN!$L$7:$L$406,0),0)</f>
        <v>0</v>
      </c>
      <c r="V781" s="1">
        <f t="shared" si="134"/>
        <v>10000000000</v>
      </c>
      <c r="W781" s="1">
        <f t="shared" si="135"/>
        <v>9</v>
      </c>
    </row>
    <row r="782" spans="2:23" ht="14.25" customHeight="1" x14ac:dyDescent="0.3">
      <c r="B782" s="65" t="str">
        <f t="shared" si="127"/>
        <v/>
      </c>
      <c r="C782" s="70" t="str">
        <f t="shared" si="128"/>
        <v/>
      </c>
      <c r="D782" s="74" t="str">
        <f t="shared" si="129"/>
        <v/>
      </c>
      <c r="F782" s="65" t="str">
        <f t="shared" si="130"/>
        <v/>
      </c>
      <c r="G782" s="68" t="str">
        <f t="shared" si="131"/>
        <v/>
      </c>
      <c r="H782" s="68" t="str">
        <f t="shared" si="132"/>
        <v/>
      </c>
      <c r="I782" s="68" t="str">
        <f t="shared" si="136"/>
        <v/>
      </c>
      <c r="M782" s="1">
        <v>745</v>
      </c>
      <c r="N782" s="1" t="str">
        <f>IF($T782=0,"",INDEX(VIRMAN!$C$7:$C$406,$T782))</f>
        <v/>
      </c>
      <c r="O782" s="1" t="str">
        <f>IF($N782="","",$C$36&amp;" → "&amp;INDEX(VIRMAN!$E$7:$E$406,$T782)&amp;IF(INDEX(VIRMAN!$G$7:$G$406,$T782)="",""," – "&amp;INDEX(VIRMAN!$G$7:$G$406,$T782)))</f>
        <v/>
      </c>
      <c r="P782" s="1" t="str">
        <f t="shared" si="137"/>
        <v/>
      </c>
      <c r="Q782" s="1">
        <v>0</v>
      </c>
      <c r="R782" s="1">
        <f>IF($N782="",0,INDEX(VIRMAN!$F$7:$F$406,$T782))</f>
        <v>0</v>
      </c>
      <c r="S782" s="1">
        <f t="shared" si="133"/>
        <v>10000000000</v>
      </c>
      <c r="T782" s="1">
        <f>IFERROR(MATCH($C$36&amp;"|49",VIRMAN!$L$7:$L$406,0),0)</f>
        <v>0</v>
      </c>
      <c r="V782" s="1">
        <f t="shared" si="134"/>
        <v>10000000000</v>
      </c>
      <c r="W782" s="1">
        <f t="shared" si="135"/>
        <v>9</v>
      </c>
    </row>
    <row r="783" spans="2:23" ht="14.25" customHeight="1" x14ac:dyDescent="0.3">
      <c r="B783" s="65" t="str">
        <f t="shared" si="127"/>
        <v/>
      </c>
      <c r="C783" s="70" t="str">
        <f t="shared" si="128"/>
        <v/>
      </c>
      <c r="D783" s="74" t="str">
        <f t="shared" si="129"/>
        <v/>
      </c>
      <c r="F783" s="65" t="str">
        <f t="shared" si="130"/>
        <v/>
      </c>
      <c r="G783" s="68" t="str">
        <f t="shared" si="131"/>
        <v/>
      </c>
      <c r="H783" s="68" t="str">
        <f t="shared" si="132"/>
        <v/>
      </c>
      <c r="I783" s="68" t="str">
        <f t="shared" si="136"/>
        <v/>
      </c>
      <c r="M783" s="1">
        <v>746</v>
      </c>
      <c r="N783" s="1" t="str">
        <f>IF($T783=0,"",INDEX(VIRMAN!$C$7:$C$406,$T783))</f>
        <v/>
      </c>
      <c r="O783" s="1" t="str">
        <f>IF($N783="","",$C$36&amp;" → "&amp;INDEX(VIRMAN!$E$7:$E$406,$T783)&amp;IF(INDEX(VIRMAN!$G$7:$G$406,$T783)="",""," – "&amp;INDEX(VIRMAN!$G$7:$G$406,$T783)))</f>
        <v/>
      </c>
      <c r="P783" s="1" t="str">
        <f t="shared" si="137"/>
        <v/>
      </c>
      <c r="Q783" s="1">
        <v>0</v>
      </c>
      <c r="R783" s="1">
        <f>IF($N783="",0,INDEX(VIRMAN!$F$7:$F$406,$T783))</f>
        <v>0</v>
      </c>
      <c r="S783" s="1">
        <f t="shared" si="133"/>
        <v>10000000000</v>
      </c>
      <c r="T783" s="1">
        <f>IFERROR(MATCH($C$36&amp;"|50",VIRMAN!$L$7:$L$406,0),0)</f>
        <v>0</v>
      </c>
      <c r="V783" s="1">
        <f t="shared" si="134"/>
        <v>10000000000</v>
      </c>
      <c r="W783" s="1">
        <f t="shared" si="135"/>
        <v>9</v>
      </c>
    </row>
    <row r="784" spans="2:23" ht="14.25" customHeight="1" x14ac:dyDescent="0.3">
      <c r="B784" s="65" t="str">
        <f t="shared" si="127"/>
        <v/>
      </c>
      <c r="C784" s="70" t="str">
        <f t="shared" si="128"/>
        <v/>
      </c>
      <c r="D784" s="74" t="str">
        <f t="shared" si="129"/>
        <v/>
      </c>
      <c r="F784" s="65" t="str">
        <f t="shared" si="130"/>
        <v/>
      </c>
      <c r="G784" s="68" t="str">
        <f t="shared" si="131"/>
        <v/>
      </c>
      <c r="H784" s="68" t="str">
        <f t="shared" si="132"/>
        <v/>
      </c>
      <c r="I784" s="68" t="str">
        <f t="shared" si="136"/>
        <v/>
      </c>
      <c r="M784" s="1">
        <v>747</v>
      </c>
      <c r="N784" s="1" t="str">
        <f>IF($T784=0,"",INDEX(VIRMAN!$C$7:$C$406,$T784))</f>
        <v/>
      </c>
      <c r="O784" s="1" t="str">
        <f>IF($N784="","",$C$36&amp;" → "&amp;INDEX(VIRMAN!$E$7:$E$406,$T784)&amp;IF(INDEX(VIRMAN!$G$7:$G$406,$T784)="",""," – "&amp;INDEX(VIRMAN!$G$7:$G$406,$T784)))</f>
        <v/>
      </c>
      <c r="P784" s="1" t="str">
        <f t="shared" si="137"/>
        <v/>
      </c>
      <c r="Q784" s="1">
        <v>0</v>
      </c>
      <c r="R784" s="1">
        <f>IF($N784="",0,INDEX(VIRMAN!$F$7:$F$406,$T784))</f>
        <v>0</v>
      </c>
      <c r="S784" s="1">
        <f t="shared" si="133"/>
        <v>10000000000</v>
      </c>
      <c r="T784" s="1">
        <f>IFERROR(MATCH($C$36&amp;"|51",VIRMAN!$L$7:$L$406,0),0)</f>
        <v>0</v>
      </c>
      <c r="V784" s="1">
        <f t="shared" si="134"/>
        <v>10000000000</v>
      </c>
      <c r="W784" s="1">
        <f t="shared" si="135"/>
        <v>9</v>
      </c>
    </row>
    <row r="785" spans="2:23" ht="14.25" customHeight="1" x14ac:dyDescent="0.3">
      <c r="B785" s="65" t="str">
        <f t="shared" si="127"/>
        <v/>
      </c>
      <c r="C785" s="70" t="str">
        <f t="shared" si="128"/>
        <v/>
      </c>
      <c r="D785" s="74" t="str">
        <f t="shared" si="129"/>
        <v/>
      </c>
      <c r="F785" s="65" t="str">
        <f t="shared" si="130"/>
        <v/>
      </c>
      <c r="G785" s="68" t="str">
        <f t="shared" si="131"/>
        <v/>
      </c>
      <c r="H785" s="68" t="str">
        <f t="shared" si="132"/>
        <v/>
      </c>
      <c r="I785" s="68" t="str">
        <f t="shared" si="136"/>
        <v/>
      </c>
      <c r="M785" s="1">
        <v>748</v>
      </c>
      <c r="N785" s="1" t="str">
        <f>IF($T785=0,"",INDEX(VIRMAN!$C$7:$C$406,$T785))</f>
        <v/>
      </c>
      <c r="O785" s="1" t="str">
        <f>IF($N785="","",$C$36&amp;" → "&amp;INDEX(VIRMAN!$E$7:$E$406,$T785)&amp;IF(INDEX(VIRMAN!$G$7:$G$406,$T785)="",""," – "&amp;INDEX(VIRMAN!$G$7:$G$406,$T785)))</f>
        <v/>
      </c>
      <c r="P785" s="1" t="str">
        <f t="shared" si="137"/>
        <v/>
      </c>
      <c r="Q785" s="1">
        <v>0</v>
      </c>
      <c r="R785" s="1">
        <f>IF($N785="",0,INDEX(VIRMAN!$F$7:$F$406,$T785))</f>
        <v>0</v>
      </c>
      <c r="S785" s="1">
        <f t="shared" si="133"/>
        <v>10000000000</v>
      </c>
      <c r="T785" s="1">
        <f>IFERROR(MATCH($C$36&amp;"|52",VIRMAN!$L$7:$L$406,0),0)</f>
        <v>0</v>
      </c>
      <c r="V785" s="1">
        <f t="shared" si="134"/>
        <v>10000000000</v>
      </c>
      <c r="W785" s="1">
        <f t="shared" si="135"/>
        <v>9</v>
      </c>
    </row>
    <row r="786" spans="2:23" ht="14.25" customHeight="1" x14ac:dyDescent="0.3">
      <c r="B786" s="65" t="str">
        <f t="shared" si="127"/>
        <v/>
      </c>
      <c r="C786" s="70" t="str">
        <f t="shared" si="128"/>
        <v/>
      </c>
      <c r="D786" s="74" t="str">
        <f t="shared" si="129"/>
        <v/>
      </c>
      <c r="F786" s="65" t="str">
        <f t="shared" si="130"/>
        <v/>
      </c>
      <c r="G786" s="68" t="str">
        <f t="shared" si="131"/>
        <v/>
      </c>
      <c r="H786" s="68" t="str">
        <f t="shared" si="132"/>
        <v/>
      </c>
      <c r="I786" s="68" t="str">
        <f t="shared" si="136"/>
        <v/>
      </c>
      <c r="M786" s="1">
        <v>749</v>
      </c>
      <c r="N786" s="1" t="str">
        <f>IF($T786=0,"",INDEX(VIRMAN!$C$7:$C$406,$T786))</f>
        <v/>
      </c>
      <c r="O786" s="1" t="str">
        <f>IF($N786="","",$C$36&amp;" → "&amp;INDEX(VIRMAN!$E$7:$E$406,$T786)&amp;IF(INDEX(VIRMAN!$G$7:$G$406,$T786)="",""," – "&amp;INDEX(VIRMAN!$G$7:$G$406,$T786)))</f>
        <v/>
      </c>
      <c r="P786" s="1" t="str">
        <f t="shared" si="137"/>
        <v/>
      </c>
      <c r="Q786" s="1">
        <v>0</v>
      </c>
      <c r="R786" s="1">
        <f>IF($N786="",0,INDEX(VIRMAN!$F$7:$F$406,$T786))</f>
        <v>0</v>
      </c>
      <c r="S786" s="1">
        <f t="shared" si="133"/>
        <v>10000000000</v>
      </c>
      <c r="T786" s="1">
        <f>IFERROR(MATCH($C$36&amp;"|53",VIRMAN!$L$7:$L$406,0),0)</f>
        <v>0</v>
      </c>
      <c r="V786" s="1">
        <f t="shared" si="134"/>
        <v>10000000000</v>
      </c>
      <c r="W786" s="1">
        <f t="shared" si="135"/>
        <v>9</v>
      </c>
    </row>
    <row r="787" spans="2:23" ht="14.25" customHeight="1" x14ac:dyDescent="0.3">
      <c r="B787" s="65" t="str">
        <f t="shared" si="127"/>
        <v/>
      </c>
      <c r="C787" s="70" t="str">
        <f t="shared" si="128"/>
        <v/>
      </c>
      <c r="D787" s="74" t="str">
        <f t="shared" si="129"/>
        <v/>
      </c>
      <c r="F787" s="65" t="str">
        <f t="shared" si="130"/>
        <v/>
      </c>
      <c r="G787" s="68" t="str">
        <f t="shared" si="131"/>
        <v/>
      </c>
      <c r="H787" s="68" t="str">
        <f t="shared" si="132"/>
        <v/>
      </c>
      <c r="I787" s="68" t="str">
        <f t="shared" si="136"/>
        <v/>
      </c>
      <c r="M787" s="1">
        <v>750</v>
      </c>
      <c r="N787" s="1" t="str">
        <f>IF($T787=0,"",INDEX(VIRMAN!$C$7:$C$406,$T787))</f>
        <v/>
      </c>
      <c r="O787" s="1" t="str">
        <f>IF($N787="","",$C$36&amp;" → "&amp;INDEX(VIRMAN!$E$7:$E$406,$T787)&amp;IF(INDEX(VIRMAN!$G$7:$G$406,$T787)="",""," – "&amp;INDEX(VIRMAN!$G$7:$G$406,$T787)))</f>
        <v/>
      </c>
      <c r="P787" s="1" t="str">
        <f t="shared" si="137"/>
        <v/>
      </c>
      <c r="Q787" s="1">
        <v>0</v>
      </c>
      <c r="R787" s="1">
        <f>IF($N787="",0,INDEX(VIRMAN!$F$7:$F$406,$T787))</f>
        <v>0</v>
      </c>
      <c r="S787" s="1">
        <f t="shared" si="133"/>
        <v>10000000000</v>
      </c>
      <c r="T787" s="1">
        <f>IFERROR(MATCH($C$36&amp;"|54",VIRMAN!$L$7:$L$406,0),0)</f>
        <v>0</v>
      </c>
      <c r="V787" s="1">
        <f t="shared" si="134"/>
        <v>10000000000</v>
      </c>
      <c r="W787" s="1">
        <f t="shared" si="135"/>
        <v>9</v>
      </c>
    </row>
    <row r="788" spans="2:23" ht="14.25" customHeight="1" x14ac:dyDescent="0.3">
      <c r="B788" s="65" t="str">
        <f t="shared" si="127"/>
        <v/>
      </c>
      <c r="C788" s="70" t="str">
        <f t="shared" si="128"/>
        <v/>
      </c>
      <c r="D788" s="74" t="str">
        <f t="shared" si="129"/>
        <v/>
      </c>
      <c r="F788" s="65" t="str">
        <f t="shared" si="130"/>
        <v/>
      </c>
      <c r="G788" s="68" t="str">
        <f t="shared" si="131"/>
        <v/>
      </c>
      <c r="H788" s="68" t="str">
        <f t="shared" si="132"/>
        <v/>
      </c>
      <c r="I788" s="68" t="str">
        <f t="shared" si="136"/>
        <v/>
      </c>
      <c r="M788" s="1">
        <v>751</v>
      </c>
      <c r="N788" s="1" t="str">
        <f>IF($T788=0,"",INDEX(VIRMAN!$C$7:$C$406,$T788))</f>
        <v/>
      </c>
      <c r="O788" s="1" t="str">
        <f>IF($N788="","",$C$36&amp;" → "&amp;INDEX(VIRMAN!$E$7:$E$406,$T788)&amp;IF(INDEX(VIRMAN!$G$7:$G$406,$T788)="",""," – "&amp;INDEX(VIRMAN!$G$7:$G$406,$T788)))</f>
        <v/>
      </c>
      <c r="P788" s="1" t="str">
        <f t="shared" si="137"/>
        <v/>
      </c>
      <c r="Q788" s="1">
        <v>0</v>
      </c>
      <c r="R788" s="1">
        <f>IF($N788="",0,INDEX(VIRMAN!$F$7:$F$406,$T788))</f>
        <v>0</v>
      </c>
      <c r="S788" s="1">
        <f t="shared" si="133"/>
        <v>10000000000</v>
      </c>
      <c r="T788" s="1">
        <f>IFERROR(MATCH($C$36&amp;"|55",VIRMAN!$L$7:$L$406,0),0)</f>
        <v>0</v>
      </c>
      <c r="V788" s="1">
        <f t="shared" si="134"/>
        <v>10000000000</v>
      </c>
      <c r="W788" s="1">
        <f t="shared" si="135"/>
        <v>9</v>
      </c>
    </row>
    <row r="789" spans="2:23" ht="14.25" customHeight="1" x14ac:dyDescent="0.3">
      <c r="B789" s="65" t="str">
        <f t="shared" si="127"/>
        <v/>
      </c>
      <c r="C789" s="70" t="str">
        <f t="shared" si="128"/>
        <v/>
      </c>
      <c r="D789" s="74" t="str">
        <f t="shared" si="129"/>
        <v/>
      </c>
      <c r="F789" s="65" t="str">
        <f t="shared" si="130"/>
        <v/>
      </c>
      <c r="G789" s="68" t="str">
        <f t="shared" si="131"/>
        <v/>
      </c>
      <c r="H789" s="68" t="str">
        <f t="shared" si="132"/>
        <v/>
      </c>
      <c r="I789" s="68" t="str">
        <f t="shared" si="136"/>
        <v/>
      </c>
      <c r="M789" s="1">
        <v>752</v>
      </c>
      <c r="N789" s="1" t="str">
        <f>IF($T789=0,"",INDEX(VIRMAN!$C$7:$C$406,$T789))</f>
        <v/>
      </c>
      <c r="O789" s="1" t="str">
        <f>IF($N789="","",$C$36&amp;" → "&amp;INDEX(VIRMAN!$E$7:$E$406,$T789)&amp;IF(INDEX(VIRMAN!$G$7:$G$406,$T789)="",""," – "&amp;INDEX(VIRMAN!$G$7:$G$406,$T789)))</f>
        <v/>
      </c>
      <c r="P789" s="1" t="str">
        <f t="shared" si="137"/>
        <v/>
      </c>
      <c r="Q789" s="1">
        <v>0</v>
      </c>
      <c r="R789" s="1">
        <f>IF($N789="",0,INDEX(VIRMAN!$F$7:$F$406,$T789))</f>
        <v>0</v>
      </c>
      <c r="S789" s="1">
        <f t="shared" si="133"/>
        <v>10000000000</v>
      </c>
      <c r="T789" s="1">
        <f>IFERROR(MATCH($C$36&amp;"|56",VIRMAN!$L$7:$L$406,0),0)</f>
        <v>0</v>
      </c>
      <c r="V789" s="1">
        <f t="shared" si="134"/>
        <v>10000000000</v>
      </c>
      <c r="W789" s="1">
        <f t="shared" si="135"/>
        <v>9</v>
      </c>
    </row>
    <row r="790" spans="2:23" ht="14.25" customHeight="1" x14ac:dyDescent="0.3">
      <c r="B790" s="65" t="str">
        <f t="shared" si="127"/>
        <v/>
      </c>
      <c r="C790" s="70" t="str">
        <f t="shared" si="128"/>
        <v/>
      </c>
      <c r="D790" s="74" t="str">
        <f t="shared" si="129"/>
        <v/>
      </c>
      <c r="F790" s="65" t="str">
        <f t="shared" si="130"/>
        <v/>
      </c>
      <c r="G790" s="68" t="str">
        <f t="shared" si="131"/>
        <v/>
      </c>
      <c r="H790" s="68" t="str">
        <f t="shared" si="132"/>
        <v/>
      </c>
      <c r="I790" s="68" t="str">
        <f t="shared" si="136"/>
        <v/>
      </c>
      <c r="M790" s="1">
        <v>753</v>
      </c>
      <c r="N790" s="1" t="str">
        <f>IF($T790=0,"",INDEX(VIRMAN!$C$7:$C$406,$T790))</f>
        <v/>
      </c>
      <c r="O790" s="1" t="str">
        <f>IF($N790="","",$C$36&amp;" → "&amp;INDEX(VIRMAN!$E$7:$E$406,$T790)&amp;IF(INDEX(VIRMAN!$G$7:$G$406,$T790)="",""," – "&amp;INDEX(VIRMAN!$G$7:$G$406,$T790)))</f>
        <v/>
      </c>
      <c r="P790" s="1" t="str">
        <f t="shared" si="137"/>
        <v/>
      </c>
      <c r="Q790" s="1">
        <v>0</v>
      </c>
      <c r="R790" s="1">
        <f>IF($N790="",0,INDEX(VIRMAN!$F$7:$F$406,$T790))</f>
        <v>0</v>
      </c>
      <c r="S790" s="1">
        <f t="shared" si="133"/>
        <v>10000000000</v>
      </c>
      <c r="T790" s="1">
        <f>IFERROR(MATCH($C$36&amp;"|57",VIRMAN!$L$7:$L$406,0),0)</f>
        <v>0</v>
      </c>
      <c r="V790" s="1">
        <f t="shared" si="134"/>
        <v>10000000000</v>
      </c>
      <c r="W790" s="1">
        <f t="shared" si="135"/>
        <v>9</v>
      </c>
    </row>
    <row r="791" spans="2:23" ht="14.25" customHeight="1" x14ac:dyDescent="0.3">
      <c r="B791" s="65" t="str">
        <f t="shared" si="127"/>
        <v/>
      </c>
      <c r="C791" s="70" t="str">
        <f t="shared" si="128"/>
        <v/>
      </c>
      <c r="D791" s="74" t="str">
        <f t="shared" si="129"/>
        <v/>
      </c>
      <c r="F791" s="65" t="str">
        <f t="shared" si="130"/>
        <v/>
      </c>
      <c r="G791" s="68" t="str">
        <f t="shared" si="131"/>
        <v/>
      </c>
      <c r="H791" s="68" t="str">
        <f t="shared" si="132"/>
        <v/>
      </c>
      <c r="I791" s="68" t="str">
        <f t="shared" si="136"/>
        <v/>
      </c>
      <c r="M791" s="1">
        <v>754</v>
      </c>
      <c r="N791" s="1" t="str">
        <f>IF($T791=0,"",INDEX(VIRMAN!$C$7:$C$406,$T791))</f>
        <v/>
      </c>
      <c r="O791" s="1" t="str">
        <f>IF($N791="","",$C$36&amp;" → "&amp;INDEX(VIRMAN!$E$7:$E$406,$T791)&amp;IF(INDEX(VIRMAN!$G$7:$G$406,$T791)="",""," – "&amp;INDEX(VIRMAN!$G$7:$G$406,$T791)))</f>
        <v/>
      </c>
      <c r="P791" s="1" t="str">
        <f t="shared" si="137"/>
        <v/>
      </c>
      <c r="Q791" s="1">
        <v>0</v>
      </c>
      <c r="R791" s="1">
        <f>IF($N791="",0,INDEX(VIRMAN!$F$7:$F$406,$T791))</f>
        <v>0</v>
      </c>
      <c r="S791" s="1">
        <f t="shared" si="133"/>
        <v>10000000000</v>
      </c>
      <c r="T791" s="1">
        <f>IFERROR(MATCH($C$36&amp;"|58",VIRMAN!$L$7:$L$406,0),0)</f>
        <v>0</v>
      </c>
      <c r="V791" s="1">
        <f t="shared" si="134"/>
        <v>10000000000</v>
      </c>
      <c r="W791" s="1">
        <f t="shared" si="135"/>
        <v>9</v>
      </c>
    </row>
    <row r="792" spans="2:23" ht="14.25" customHeight="1" x14ac:dyDescent="0.3">
      <c r="B792" s="65" t="str">
        <f t="shared" si="127"/>
        <v/>
      </c>
      <c r="C792" s="70" t="str">
        <f t="shared" si="128"/>
        <v/>
      </c>
      <c r="D792" s="74" t="str">
        <f t="shared" si="129"/>
        <v/>
      </c>
      <c r="F792" s="65" t="str">
        <f t="shared" si="130"/>
        <v/>
      </c>
      <c r="G792" s="68" t="str">
        <f t="shared" si="131"/>
        <v/>
      </c>
      <c r="H792" s="68" t="str">
        <f t="shared" si="132"/>
        <v/>
      </c>
      <c r="I792" s="68" t="str">
        <f t="shared" si="136"/>
        <v/>
      </c>
      <c r="M792" s="1">
        <v>755</v>
      </c>
      <c r="N792" s="1" t="str">
        <f>IF($T792=0,"",INDEX(VIRMAN!$C$7:$C$406,$T792))</f>
        <v/>
      </c>
      <c r="O792" s="1" t="str">
        <f>IF($N792="","",$C$36&amp;" → "&amp;INDEX(VIRMAN!$E$7:$E$406,$T792)&amp;IF(INDEX(VIRMAN!$G$7:$G$406,$T792)="",""," – "&amp;INDEX(VIRMAN!$G$7:$G$406,$T792)))</f>
        <v/>
      </c>
      <c r="P792" s="1" t="str">
        <f t="shared" si="137"/>
        <v/>
      </c>
      <c r="Q792" s="1">
        <v>0</v>
      </c>
      <c r="R792" s="1">
        <f>IF($N792="",0,INDEX(VIRMAN!$F$7:$F$406,$T792))</f>
        <v>0</v>
      </c>
      <c r="S792" s="1">
        <f t="shared" si="133"/>
        <v>10000000000</v>
      </c>
      <c r="T792" s="1">
        <f>IFERROR(MATCH($C$36&amp;"|59",VIRMAN!$L$7:$L$406,0),0)</f>
        <v>0</v>
      </c>
      <c r="V792" s="1">
        <f t="shared" si="134"/>
        <v>10000000000</v>
      </c>
      <c r="W792" s="1">
        <f t="shared" si="135"/>
        <v>9</v>
      </c>
    </row>
    <row r="793" spans="2:23" ht="14.25" customHeight="1" x14ac:dyDescent="0.3">
      <c r="B793" s="65" t="str">
        <f t="shared" si="127"/>
        <v/>
      </c>
      <c r="C793" s="70" t="str">
        <f t="shared" si="128"/>
        <v/>
      </c>
      <c r="D793" s="74" t="str">
        <f t="shared" si="129"/>
        <v/>
      </c>
      <c r="F793" s="65" t="str">
        <f t="shared" si="130"/>
        <v/>
      </c>
      <c r="G793" s="68" t="str">
        <f t="shared" si="131"/>
        <v/>
      </c>
      <c r="H793" s="68" t="str">
        <f t="shared" si="132"/>
        <v/>
      </c>
      <c r="I793" s="68" t="str">
        <f t="shared" si="136"/>
        <v/>
      </c>
      <c r="M793" s="1">
        <v>756</v>
      </c>
      <c r="N793" s="1" t="str">
        <f>IF($T793=0,"",INDEX(VIRMAN!$C$7:$C$406,$T793))</f>
        <v/>
      </c>
      <c r="O793" s="1" t="str">
        <f>IF($N793="","",$C$36&amp;" → "&amp;INDEX(VIRMAN!$E$7:$E$406,$T793)&amp;IF(INDEX(VIRMAN!$G$7:$G$406,$T793)="",""," – "&amp;INDEX(VIRMAN!$G$7:$G$406,$T793)))</f>
        <v/>
      </c>
      <c r="P793" s="1" t="str">
        <f t="shared" si="137"/>
        <v/>
      </c>
      <c r="Q793" s="1">
        <v>0</v>
      </c>
      <c r="R793" s="1">
        <f>IF($N793="",0,INDEX(VIRMAN!$F$7:$F$406,$T793))</f>
        <v>0</v>
      </c>
      <c r="S793" s="1">
        <f t="shared" si="133"/>
        <v>10000000000</v>
      </c>
      <c r="T793" s="1">
        <f>IFERROR(MATCH($C$36&amp;"|60",VIRMAN!$L$7:$L$406,0),0)</f>
        <v>0</v>
      </c>
      <c r="V793" s="1">
        <f t="shared" si="134"/>
        <v>10000000000</v>
      </c>
      <c r="W793" s="1">
        <f t="shared" si="135"/>
        <v>9</v>
      </c>
    </row>
    <row r="794" spans="2:23" ht="14.25" customHeight="1" x14ac:dyDescent="0.3">
      <c r="B794" s="65" t="str">
        <f t="shared" si="127"/>
        <v/>
      </c>
      <c r="C794" s="70" t="str">
        <f t="shared" si="128"/>
        <v/>
      </c>
      <c r="D794" s="74" t="str">
        <f t="shared" si="129"/>
        <v/>
      </c>
      <c r="F794" s="65" t="str">
        <f t="shared" si="130"/>
        <v/>
      </c>
      <c r="G794" s="68" t="str">
        <f t="shared" si="131"/>
        <v/>
      </c>
      <c r="H794" s="68" t="str">
        <f t="shared" si="132"/>
        <v/>
      </c>
      <c r="I794" s="68" t="str">
        <f t="shared" si="136"/>
        <v/>
      </c>
      <c r="M794" s="1">
        <v>757</v>
      </c>
      <c r="N794" s="1" t="str">
        <f>IF($T794=0,"",INDEX(VIRMAN!$C$7:$C$406,$T794))</f>
        <v/>
      </c>
      <c r="O794" s="1" t="str">
        <f>IF($N794="","",$C$36&amp;" → "&amp;INDEX(VIRMAN!$E$7:$E$406,$T794)&amp;IF(INDEX(VIRMAN!$G$7:$G$406,$T794)="",""," – "&amp;INDEX(VIRMAN!$G$7:$G$406,$T794)))</f>
        <v/>
      </c>
      <c r="P794" s="1" t="str">
        <f t="shared" si="137"/>
        <v/>
      </c>
      <c r="Q794" s="1">
        <v>0</v>
      </c>
      <c r="R794" s="1">
        <f>IF($N794="",0,INDEX(VIRMAN!$F$7:$F$406,$T794))</f>
        <v>0</v>
      </c>
      <c r="S794" s="1">
        <f t="shared" si="133"/>
        <v>10000000000</v>
      </c>
      <c r="T794" s="1">
        <f>IFERROR(MATCH($C$36&amp;"|61",VIRMAN!$L$7:$L$406,0),0)</f>
        <v>0</v>
      </c>
      <c r="V794" s="1">
        <f t="shared" si="134"/>
        <v>10000000000</v>
      </c>
      <c r="W794" s="1">
        <f t="shared" si="135"/>
        <v>9</v>
      </c>
    </row>
    <row r="795" spans="2:23" ht="14.25" customHeight="1" x14ac:dyDescent="0.3">
      <c r="B795" s="65" t="str">
        <f t="shared" si="127"/>
        <v/>
      </c>
      <c r="C795" s="70" t="str">
        <f t="shared" si="128"/>
        <v/>
      </c>
      <c r="D795" s="74" t="str">
        <f t="shared" si="129"/>
        <v/>
      </c>
      <c r="F795" s="65" t="str">
        <f t="shared" si="130"/>
        <v/>
      </c>
      <c r="G795" s="68" t="str">
        <f t="shared" si="131"/>
        <v/>
      </c>
      <c r="H795" s="68" t="str">
        <f t="shared" si="132"/>
        <v/>
      </c>
      <c r="I795" s="68" t="str">
        <f t="shared" si="136"/>
        <v/>
      </c>
      <c r="M795" s="1">
        <v>758</v>
      </c>
      <c r="N795" s="1" t="str">
        <f>IF($T795=0,"",INDEX(VIRMAN!$C$7:$C$406,$T795))</f>
        <v/>
      </c>
      <c r="O795" s="1" t="str">
        <f>IF($N795="","",$C$36&amp;" → "&amp;INDEX(VIRMAN!$E$7:$E$406,$T795)&amp;IF(INDEX(VIRMAN!$G$7:$G$406,$T795)="",""," – "&amp;INDEX(VIRMAN!$G$7:$G$406,$T795)))</f>
        <v/>
      </c>
      <c r="P795" s="1" t="str">
        <f t="shared" si="137"/>
        <v/>
      </c>
      <c r="Q795" s="1">
        <v>0</v>
      </c>
      <c r="R795" s="1">
        <f>IF($N795="",0,INDEX(VIRMAN!$F$7:$F$406,$T795))</f>
        <v>0</v>
      </c>
      <c r="S795" s="1">
        <f t="shared" si="133"/>
        <v>10000000000</v>
      </c>
      <c r="T795" s="1">
        <f>IFERROR(MATCH($C$36&amp;"|62",VIRMAN!$L$7:$L$406,0),0)</f>
        <v>0</v>
      </c>
      <c r="V795" s="1">
        <f t="shared" si="134"/>
        <v>10000000000</v>
      </c>
      <c r="W795" s="1">
        <f t="shared" si="135"/>
        <v>9</v>
      </c>
    </row>
    <row r="796" spans="2:23" ht="14.25" customHeight="1" x14ac:dyDescent="0.3">
      <c r="B796" s="65" t="str">
        <f t="shared" si="127"/>
        <v/>
      </c>
      <c r="C796" s="70" t="str">
        <f t="shared" si="128"/>
        <v/>
      </c>
      <c r="D796" s="74" t="str">
        <f t="shared" si="129"/>
        <v/>
      </c>
      <c r="F796" s="65" t="str">
        <f t="shared" si="130"/>
        <v/>
      </c>
      <c r="G796" s="68" t="str">
        <f t="shared" si="131"/>
        <v/>
      </c>
      <c r="H796" s="68" t="str">
        <f t="shared" si="132"/>
        <v/>
      </c>
      <c r="I796" s="68" t="str">
        <f t="shared" si="136"/>
        <v/>
      </c>
      <c r="M796" s="1">
        <v>759</v>
      </c>
      <c r="N796" s="1" t="str">
        <f>IF($T796=0,"",INDEX(VIRMAN!$C$7:$C$406,$T796))</f>
        <v/>
      </c>
      <c r="O796" s="1" t="str">
        <f>IF($N796="","",$C$36&amp;" → "&amp;INDEX(VIRMAN!$E$7:$E$406,$T796)&amp;IF(INDEX(VIRMAN!$G$7:$G$406,$T796)="",""," – "&amp;INDEX(VIRMAN!$G$7:$G$406,$T796)))</f>
        <v/>
      </c>
      <c r="P796" s="1" t="str">
        <f t="shared" si="137"/>
        <v/>
      </c>
      <c r="Q796" s="1">
        <v>0</v>
      </c>
      <c r="R796" s="1">
        <f>IF($N796="",0,INDEX(VIRMAN!$F$7:$F$406,$T796))</f>
        <v>0</v>
      </c>
      <c r="S796" s="1">
        <f t="shared" si="133"/>
        <v>10000000000</v>
      </c>
      <c r="T796" s="1">
        <f>IFERROR(MATCH($C$36&amp;"|63",VIRMAN!$L$7:$L$406,0),0)</f>
        <v>0</v>
      </c>
      <c r="V796" s="1">
        <f t="shared" si="134"/>
        <v>10000000000</v>
      </c>
      <c r="W796" s="1">
        <f t="shared" si="135"/>
        <v>9</v>
      </c>
    </row>
    <row r="797" spans="2:23" ht="14.25" customHeight="1" x14ac:dyDescent="0.3">
      <c r="B797" s="65" t="str">
        <f t="shared" si="127"/>
        <v/>
      </c>
      <c r="C797" s="70" t="str">
        <f t="shared" si="128"/>
        <v/>
      </c>
      <c r="D797" s="74" t="str">
        <f t="shared" si="129"/>
        <v/>
      </c>
      <c r="F797" s="65" t="str">
        <f t="shared" si="130"/>
        <v/>
      </c>
      <c r="G797" s="68" t="str">
        <f t="shared" si="131"/>
        <v/>
      </c>
      <c r="H797" s="68" t="str">
        <f t="shared" si="132"/>
        <v/>
      </c>
      <c r="I797" s="68" t="str">
        <f t="shared" si="136"/>
        <v/>
      </c>
      <c r="M797" s="1">
        <v>760</v>
      </c>
      <c r="N797" s="1" t="str">
        <f>IF($T797=0,"",INDEX(VIRMAN!$C$7:$C$406,$T797))</f>
        <v/>
      </c>
      <c r="O797" s="1" t="str">
        <f>IF($N797="","",$C$36&amp;" → "&amp;INDEX(VIRMAN!$E$7:$E$406,$T797)&amp;IF(INDEX(VIRMAN!$G$7:$G$406,$T797)="",""," – "&amp;INDEX(VIRMAN!$G$7:$G$406,$T797)))</f>
        <v/>
      </c>
      <c r="P797" s="1" t="str">
        <f t="shared" si="137"/>
        <v/>
      </c>
      <c r="Q797" s="1">
        <v>0</v>
      </c>
      <c r="R797" s="1">
        <f>IF($N797="",0,INDEX(VIRMAN!$F$7:$F$406,$T797))</f>
        <v>0</v>
      </c>
      <c r="S797" s="1">
        <f t="shared" si="133"/>
        <v>10000000000</v>
      </c>
      <c r="T797" s="1">
        <f>IFERROR(MATCH($C$36&amp;"|64",VIRMAN!$L$7:$L$406,0),0)</f>
        <v>0</v>
      </c>
      <c r="V797" s="1">
        <f t="shared" si="134"/>
        <v>10000000000</v>
      </c>
      <c r="W797" s="1">
        <f t="shared" si="135"/>
        <v>9</v>
      </c>
    </row>
    <row r="798" spans="2:23" ht="14.25" customHeight="1" x14ac:dyDescent="0.3">
      <c r="B798" s="65" t="str">
        <f t="shared" si="127"/>
        <v/>
      </c>
      <c r="C798" s="70" t="str">
        <f t="shared" si="128"/>
        <v/>
      </c>
      <c r="D798" s="74" t="str">
        <f t="shared" si="129"/>
        <v/>
      </c>
      <c r="F798" s="65" t="str">
        <f t="shared" si="130"/>
        <v/>
      </c>
      <c r="G798" s="68" t="str">
        <f t="shared" si="131"/>
        <v/>
      </c>
      <c r="H798" s="68" t="str">
        <f t="shared" si="132"/>
        <v/>
      </c>
      <c r="I798" s="68" t="str">
        <f t="shared" si="136"/>
        <v/>
      </c>
      <c r="M798" s="1">
        <v>761</v>
      </c>
      <c r="N798" s="1" t="str">
        <f>IF($T798=0,"",INDEX(VIRMAN!$C$7:$C$406,$T798))</f>
        <v/>
      </c>
      <c r="O798" s="1" t="str">
        <f>IF($N798="","",$C$36&amp;" → "&amp;INDEX(VIRMAN!$E$7:$E$406,$T798)&amp;IF(INDEX(VIRMAN!$G$7:$G$406,$T798)="",""," – "&amp;INDEX(VIRMAN!$G$7:$G$406,$T798)))</f>
        <v/>
      </c>
      <c r="P798" s="1" t="str">
        <f t="shared" ref="P798:P829" si="138">IF($N798="","","OFİSE/KASAYA ÖDEDİ")</f>
        <v/>
      </c>
      <c r="Q798" s="1">
        <v>0</v>
      </c>
      <c r="R798" s="1">
        <f>IF($N798="",0,INDEX(VIRMAN!$F$7:$F$406,$T798))</f>
        <v>0</v>
      </c>
      <c r="S798" s="1">
        <f t="shared" si="133"/>
        <v>10000000000</v>
      </c>
      <c r="T798" s="1">
        <f>IFERROR(MATCH($C$36&amp;"|65",VIRMAN!$L$7:$L$406,0),0)</f>
        <v>0</v>
      </c>
      <c r="V798" s="1">
        <f t="shared" si="134"/>
        <v>10000000000</v>
      </c>
      <c r="W798" s="1">
        <f t="shared" si="135"/>
        <v>9</v>
      </c>
    </row>
    <row r="799" spans="2:23" ht="14.25" customHeight="1" x14ac:dyDescent="0.3">
      <c r="B799" s="65" t="str">
        <f t="shared" si="127"/>
        <v/>
      </c>
      <c r="C799" s="70" t="str">
        <f t="shared" si="128"/>
        <v/>
      </c>
      <c r="D799" s="74" t="str">
        <f t="shared" si="129"/>
        <v/>
      </c>
      <c r="F799" s="65" t="str">
        <f t="shared" si="130"/>
        <v/>
      </c>
      <c r="G799" s="68" t="str">
        <f t="shared" si="131"/>
        <v/>
      </c>
      <c r="H799" s="68" t="str">
        <f t="shared" si="132"/>
        <v/>
      </c>
      <c r="I799" s="68" t="str">
        <f t="shared" si="136"/>
        <v/>
      </c>
      <c r="M799" s="1">
        <v>762</v>
      </c>
      <c r="N799" s="1" t="str">
        <f>IF($T799=0,"",INDEX(VIRMAN!$C$7:$C$406,$T799))</f>
        <v/>
      </c>
      <c r="O799" s="1" t="str">
        <f>IF($N799="","",$C$36&amp;" → "&amp;INDEX(VIRMAN!$E$7:$E$406,$T799)&amp;IF(INDEX(VIRMAN!$G$7:$G$406,$T799)="",""," – "&amp;INDEX(VIRMAN!$G$7:$G$406,$T799)))</f>
        <v/>
      </c>
      <c r="P799" s="1" t="str">
        <f t="shared" si="138"/>
        <v/>
      </c>
      <c r="Q799" s="1">
        <v>0</v>
      </c>
      <c r="R799" s="1">
        <f>IF($N799="",0,INDEX(VIRMAN!$F$7:$F$406,$T799))</f>
        <v>0</v>
      </c>
      <c r="S799" s="1">
        <f t="shared" si="133"/>
        <v>10000000000</v>
      </c>
      <c r="T799" s="1">
        <f>IFERROR(MATCH($C$36&amp;"|66",VIRMAN!$L$7:$L$406,0),0)</f>
        <v>0</v>
      </c>
      <c r="V799" s="1">
        <f t="shared" si="134"/>
        <v>10000000000</v>
      </c>
      <c r="W799" s="1">
        <f t="shared" si="135"/>
        <v>9</v>
      </c>
    </row>
    <row r="800" spans="2:23" ht="14.25" customHeight="1" x14ac:dyDescent="0.3">
      <c r="B800" s="65" t="str">
        <f t="shared" si="127"/>
        <v/>
      </c>
      <c r="C800" s="70" t="str">
        <f t="shared" si="128"/>
        <v/>
      </c>
      <c r="D800" s="74" t="str">
        <f t="shared" si="129"/>
        <v/>
      </c>
      <c r="F800" s="65" t="str">
        <f t="shared" si="130"/>
        <v/>
      </c>
      <c r="G800" s="68" t="str">
        <f t="shared" si="131"/>
        <v/>
      </c>
      <c r="H800" s="68" t="str">
        <f t="shared" si="132"/>
        <v/>
      </c>
      <c r="I800" s="68" t="str">
        <f t="shared" si="136"/>
        <v/>
      </c>
      <c r="M800" s="1">
        <v>763</v>
      </c>
      <c r="N800" s="1" t="str">
        <f>IF($T800=0,"",INDEX(VIRMAN!$C$7:$C$406,$T800))</f>
        <v/>
      </c>
      <c r="O800" s="1" t="str">
        <f>IF($N800="","",$C$36&amp;" → "&amp;INDEX(VIRMAN!$E$7:$E$406,$T800)&amp;IF(INDEX(VIRMAN!$G$7:$G$406,$T800)="",""," – "&amp;INDEX(VIRMAN!$G$7:$G$406,$T800)))</f>
        <v/>
      </c>
      <c r="P800" s="1" t="str">
        <f t="shared" si="138"/>
        <v/>
      </c>
      <c r="Q800" s="1">
        <v>0</v>
      </c>
      <c r="R800" s="1">
        <f>IF($N800="",0,INDEX(VIRMAN!$F$7:$F$406,$T800))</f>
        <v>0</v>
      </c>
      <c r="S800" s="1">
        <f t="shared" si="133"/>
        <v>10000000000</v>
      </c>
      <c r="T800" s="1">
        <f>IFERROR(MATCH($C$36&amp;"|67",VIRMAN!$L$7:$L$406,0),0)</f>
        <v>0</v>
      </c>
      <c r="V800" s="1">
        <f t="shared" si="134"/>
        <v>10000000000</v>
      </c>
      <c r="W800" s="1">
        <f t="shared" si="135"/>
        <v>9</v>
      </c>
    </row>
    <row r="801" spans="2:23" ht="14.25" customHeight="1" x14ac:dyDescent="0.3">
      <c r="B801" s="65" t="str">
        <f t="shared" si="127"/>
        <v/>
      </c>
      <c r="C801" s="70" t="str">
        <f t="shared" si="128"/>
        <v/>
      </c>
      <c r="D801" s="74" t="str">
        <f t="shared" si="129"/>
        <v/>
      </c>
      <c r="F801" s="65" t="str">
        <f t="shared" si="130"/>
        <v/>
      </c>
      <c r="G801" s="68" t="str">
        <f t="shared" si="131"/>
        <v/>
      </c>
      <c r="H801" s="68" t="str">
        <f t="shared" si="132"/>
        <v/>
      </c>
      <c r="I801" s="68" t="str">
        <f t="shared" si="136"/>
        <v/>
      </c>
      <c r="M801" s="1">
        <v>764</v>
      </c>
      <c r="N801" s="1" t="str">
        <f>IF($T801=0,"",INDEX(VIRMAN!$C$7:$C$406,$T801))</f>
        <v/>
      </c>
      <c r="O801" s="1" t="str">
        <f>IF($N801="","",$C$36&amp;" → "&amp;INDEX(VIRMAN!$E$7:$E$406,$T801)&amp;IF(INDEX(VIRMAN!$G$7:$G$406,$T801)="",""," – "&amp;INDEX(VIRMAN!$G$7:$G$406,$T801)))</f>
        <v/>
      </c>
      <c r="P801" s="1" t="str">
        <f t="shared" si="138"/>
        <v/>
      </c>
      <c r="Q801" s="1">
        <v>0</v>
      </c>
      <c r="R801" s="1">
        <f>IF($N801="",0,INDEX(VIRMAN!$F$7:$F$406,$T801))</f>
        <v>0</v>
      </c>
      <c r="S801" s="1">
        <f t="shared" si="133"/>
        <v>10000000000</v>
      </c>
      <c r="T801" s="1">
        <f>IFERROR(MATCH($C$36&amp;"|68",VIRMAN!$L$7:$L$406,0),0)</f>
        <v>0</v>
      </c>
      <c r="V801" s="1">
        <f t="shared" si="134"/>
        <v>10000000000</v>
      </c>
      <c r="W801" s="1">
        <f t="shared" si="135"/>
        <v>9</v>
      </c>
    </row>
    <row r="802" spans="2:23" ht="14.25" customHeight="1" x14ac:dyDescent="0.3">
      <c r="B802" s="65" t="str">
        <f t="shared" si="127"/>
        <v/>
      </c>
      <c r="C802" s="70" t="str">
        <f t="shared" si="128"/>
        <v/>
      </c>
      <c r="D802" s="74" t="str">
        <f t="shared" si="129"/>
        <v/>
      </c>
      <c r="F802" s="65" t="str">
        <f t="shared" si="130"/>
        <v/>
      </c>
      <c r="G802" s="68" t="str">
        <f t="shared" si="131"/>
        <v/>
      </c>
      <c r="H802" s="68" t="str">
        <f t="shared" si="132"/>
        <v/>
      </c>
      <c r="I802" s="68" t="str">
        <f t="shared" si="136"/>
        <v/>
      </c>
      <c r="M802" s="1">
        <v>765</v>
      </c>
      <c r="N802" s="1" t="str">
        <f>IF($T802=0,"",INDEX(VIRMAN!$C$7:$C$406,$T802))</f>
        <v/>
      </c>
      <c r="O802" s="1" t="str">
        <f>IF($N802="","",$C$36&amp;" → "&amp;INDEX(VIRMAN!$E$7:$E$406,$T802)&amp;IF(INDEX(VIRMAN!$G$7:$G$406,$T802)="",""," – "&amp;INDEX(VIRMAN!$G$7:$G$406,$T802)))</f>
        <v/>
      </c>
      <c r="P802" s="1" t="str">
        <f t="shared" si="138"/>
        <v/>
      </c>
      <c r="Q802" s="1">
        <v>0</v>
      </c>
      <c r="R802" s="1">
        <f>IF($N802="",0,INDEX(VIRMAN!$F$7:$F$406,$T802))</f>
        <v>0</v>
      </c>
      <c r="S802" s="1">
        <f t="shared" si="133"/>
        <v>10000000000</v>
      </c>
      <c r="T802" s="1">
        <f>IFERROR(MATCH($C$36&amp;"|69",VIRMAN!$L$7:$L$406,0),0)</f>
        <v>0</v>
      </c>
      <c r="V802" s="1">
        <f t="shared" si="134"/>
        <v>10000000000</v>
      </c>
      <c r="W802" s="1">
        <f t="shared" si="135"/>
        <v>9</v>
      </c>
    </row>
    <row r="803" spans="2:23" ht="14.25" customHeight="1" x14ac:dyDescent="0.3">
      <c r="B803" s="65" t="str">
        <f t="shared" si="127"/>
        <v/>
      </c>
      <c r="C803" s="70" t="str">
        <f t="shared" si="128"/>
        <v/>
      </c>
      <c r="D803" s="74" t="str">
        <f t="shared" si="129"/>
        <v/>
      </c>
      <c r="F803" s="65" t="str">
        <f t="shared" si="130"/>
        <v/>
      </c>
      <c r="G803" s="68" t="str">
        <f t="shared" si="131"/>
        <v/>
      </c>
      <c r="H803" s="68" t="str">
        <f t="shared" si="132"/>
        <v/>
      </c>
      <c r="I803" s="68" t="str">
        <f t="shared" si="136"/>
        <v/>
      </c>
      <c r="M803" s="1">
        <v>766</v>
      </c>
      <c r="N803" s="1" t="str">
        <f>IF($T803=0,"",INDEX(VIRMAN!$C$7:$C$406,$T803))</f>
        <v/>
      </c>
      <c r="O803" s="1" t="str">
        <f>IF($N803="","",$C$36&amp;" → "&amp;INDEX(VIRMAN!$E$7:$E$406,$T803)&amp;IF(INDEX(VIRMAN!$G$7:$G$406,$T803)="",""," – "&amp;INDEX(VIRMAN!$G$7:$G$406,$T803)))</f>
        <v/>
      </c>
      <c r="P803" s="1" t="str">
        <f t="shared" si="138"/>
        <v/>
      </c>
      <c r="Q803" s="1">
        <v>0</v>
      </c>
      <c r="R803" s="1">
        <f>IF($N803="",0,INDEX(VIRMAN!$F$7:$F$406,$T803))</f>
        <v>0</v>
      </c>
      <c r="S803" s="1">
        <f t="shared" si="133"/>
        <v>10000000000</v>
      </c>
      <c r="T803" s="1">
        <f>IFERROR(MATCH($C$36&amp;"|70",VIRMAN!$L$7:$L$406,0),0)</f>
        <v>0</v>
      </c>
      <c r="V803" s="1">
        <f t="shared" si="134"/>
        <v>10000000000</v>
      </c>
      <c r="W803" s="1">
        <f t="shared" si="135"/>
        <v>9</v>
      </c>
    </row>
    <row r="804" spans="2:23" ht="14.25" customHeight="1" x14ac:dyDescent="0.3">
      <c r="B804" s="65" t="str">
        <f t="shared" si="127"/>
        <v/>
      </c>
      <c r="C804" s="70" t="str">
        <f t="shared" si="128"/>
        <v/>
      </c>
      <c r="D804" s="74" t="str">
        <f t="shared" si="129"/>
        <v/>
      </c>
      <c r="F804" s="65" t="str">
        <f t="shared" si="130"/>
        <v/>
      </c>
      <c r="G804" s="68" t="str">
        <f t="shared" si="131"/>
        <v/>
      </c>
      <c r="H804" s="68" t="str">
        <f t="shared" si="132"/>
        <v/>
      </c>
      <c r="I804" s="68" t="str">
        <f t="shared" si="136"/>
        <v/>
      </c>
      <c r="M804" s="1">
        <v>767</v>
      </c>
      <c r="N804" s="1" t="str">
        <f>IF($T804=0,"",INDEX(VIRMAN!$C$7:$C$406,$T804))</f>
        <v/>
      </c>
      <c r="O804" s="1" t="str">
        <f>IF($N804="","",$C$36&amp;" → "&amp;INDEX(VIRMAN!$E$7:$E$406,$T804)&amp;IF(INDEX(VIRMAN!$G$7:$G$406,$T804)="",""," – "&amp;INDEX(VIRMAN!$G$7:$G$406,$T804)))</f>
        <v/>
      </c>
      <c r="P804" s="1" t="str">
        <f t="shared" si="138"/>
        <v/>
      </c>
      <c r="Q804" s="1">
        <v>0</v>
      </c>
      <c r="R804" s="1">
        <f>IF($N804="",0,INDEX(VIRMAN!$F$7:$F$406,$T804))</f>
        <v>0</v>
      </c>
      <c r="S804" s="1">
        <f t="shared" si="133"/>
        <v>10000000000</v>
      </c>
      <c r="T804" s="1">
        <f>IFERROR(MATCH($C$36&amp;"|71",VIRMAN!$L$7:$L$406,0),0)</f>
        <v>0</v>
      </c>
      <c r="V804" s="1">
        <f t="shared" si="134"/>
        <v>10000000000</v>
      </c>
      <c r="W804" s="1">
        <f t="shared" si="135"/>
        <v>9</v>
      </c>
    </row>
    <row r="805" spans="2:23" ht="14.25" customHeight="1" x14ac:dyDescent="0.3">
      <c r="B805" s="65" t="str">
        <f t="shared" si="127"/>
        <v/>
      </c>
      <c r="C805" s="70" t="str">
        <f t="shared" si="128"/>
        <v/>
      </c>
      <c r="D805" s="74" t="str">
        <f t="shared" si="129"/>
        <v/>
      </c>
      <c r="F805" s="65" t="str">
        <f t="shared" si="130"/>
        <v/>
      </c>
      <c r="G805" s="68" t="str">
        <f t="shared" si="131"/>
        <v/>
      </c>
      <c r="H805" s="68" t="str">
        <f t="shared" si="132"/>
        <v/>
      </c>
      <c r="I805" s="68" t="str">
        <f t="shared" si="136"/>
        <v/>
      </c>
      <c r="M805" s="1">
        <v>768</v>
      </c>
      <c r="N805" s="1" t="str">
        <f>IF($T805=0,"",INDEX(VIRMAN!$C$7:$C$406,$T805))</f>
        <v/>
      </c>
      <c r="O805" s="1" t="str">
        <f>IF($N805="","",$C$36&amp;" → "&amp;INDEX(VIRMAN!$E$7:$E$406,$T805)&amp;IF(INDEX(VIRMAN!$G$7:$G$406,$T805)="",""," – "&amp;INDEX(VIRMAN!$G$7:$G$406,$T805)))</f>
        <v/>
      </c>
      <c r="P805" s="1" t="str">
        <f t="shared" si="138"/>
        <v/>
      </c>
      <c r="Q805" s="1">
        <v>0</v>
      </c>
      <c r="R805" s="1">
        <f>IF($N805="",0,INDEX(VIRMAN!$F$7:$F$406,$T805))</f>
        <v>0</v>
      </c>
      <c r="S805" s="1">
        <f t="shared" si="133"/>
        <v>10000000000</v>
      </c>
      <c r="T805" s="1">
        <f>IFERROR(MATCH($C$36&amp;"|72",VIRMAN!$L$7:$L$406,0),0)</f>
        <v>0</v>
      </c>
      <c r="V805" s="1">
        <f t="shared" si="134"/>
        <v>10000000000</v>
      </c>
      <c r="W805" s="1">
        <f t="shared" si="135"/>
        <v>9</v>
      </c>
    </row>
    <row r="806" spans="2:23" ht="14.25" customHeight="1" x14ac:dyDescent="0.3">
      <c r="B806" s="65" t="str">
        <f t="shared" ref="B806:B869" si="139">IF($C806="","",ROW()-37)</f>
        <v/>
      </c>
      <c r="C806" s="70" t="str">
        <f t="shared" ref="C806:C869" si="140">IF($W806="","",IF(INDEX($N$38:$N$953,$W806)="","",INDEX($N$38:$N$953,$W806)))</f>
        <v/>
      </c>
      <c r="D806" s="74" t="str">
        <f t="shared" ref="D806:D869" si="141">IF($C806="","",INDEX($O$38:$O$953,$W806))</f>
        <v/>
      </c>
      <c r="F806" s="65" t="str">
        <f t="shared" ref="F806:F869" si="142">IF($C806="","",INDEX($P$38:$P$953,$W806))</f>
        <v/>
      </c>
      <c r="G806" s="68" t="str">
        <f t="shared" ref="G806:G869" si="143">IF($C806="","",INDEX($Q$38:$Q$953,$W806))</f>
        <v/>
      </c>
      <c r="H806" s="68" t="str">
        <f t="shared" ref="H806:H869" si="144">IF($C806="","",INDEX($R$38:$R$953,$W806))</f>
        <v/>
      </c>
      <c r="I806" s="68" t="str">
        <f t="shared" si="136"/>
        <v/>
      </c>
      <c r="M806" s="1">
        <v>769</v>
      </c>
      <c r="N806" s="1" t="str">
        <f>IF($T806=0,"",INDEX(VIRMAN!$C$7:$C$406,$T806))</f>
        <v/>
      </c>
      <c r="O806" s="1" t="str">
        <f>IF($N806="","",$C$36&amp;" → "&amp;INDEX(VIRMAN!$E$7:$E$406,$T806)&amp;IF(INDEX(VIRMAN!$G$7:$G$406,$T806)="",""," – "&amp;INDEX(VIRMAN!$G$7:$G$406,$T806)))</f>
        <v/>
      </c>
      <c r="P806" s="1" t="str">
        <f t="shared" si="138"/>
        <v/>
      </c>
      <c r="Q806" s="1">
        <v>0</v>
      </c>
      <c r="R806" s="1">
        <f>IF($N806="",0,INDEX(VIRMAN!$F$7:$F$406,$T806))</f>
        <v>0</v>
      </c>
      <c r="S806" s="1">
        <f t="shared" ref="S806:S869" si="145">IF($N806="",10000000000,$N806*100000+$M806)</f>
        <v>10000000000</v>
      </c>
      <c r="T806" s="1">
        <f>IFERROR(MATCH($C$36&amp;"|73",VIRMAN!$L$7:$L$406,0),0)</f>
        <v>0</v>
      </c>
      <c r="V806" s="1">
        <f t="shared" ref="V806:V869" si="146">IFERROR(SMALL($S$38:$S$953,ROW()-37),"")</f>
        <v>10000000000</v>
      </c>
      <c r="W806" s="1">
        <f t="shared" ref="W806:W869" si="147">IFERROR(MATCH($V806,$S$38:$S$953,0),"")</f>
        <v>9</v>
      </c>
    </row>
    <row r="807" spans="2:23" ht="14.25" customHeight="1" x14ac:dyDescent="0.3">
      <c r="B807" s="65" t="str">
        <f t="shared" si="139"/>
        <v/>
      </c>
      <c r="C807" s="70" t="str">
        <f t="shared" si="140"/>
        <v/>
      </c>
      <c r="D807" s="74" t="str">
        <f t="shared" si="141"/>
        <v/>
      </c>
      <c r="F807" s="65" t="str">
        <f t="shared" si="142"/>
        <v/>
      </c>
      <c r="G807" s="68" t="str">
        <f t="shared" si="143"/>
        <v/>
      </c>
      <c r="H807" s="68" t="str">
        <f t="shared" si="144"/>
        <v/>
      </c>
      <c r="I807" s="68" t="str">
        <f t="shared" ref="I807:I870" si="148">IF($C807="","",N($I806)+$G807-$H807)</f>
        <v/>
      </c>
      <c r="M807" s="1">
        <v>770</v>
      </c>
      <c r="N807" s="1" t="str">
        <f>IF($T807=0,"",INDEX(VIRMAN!$C$7:$C$406,$T807))</f>
        <v/>
      </c>
      <c r="O807" s="1" t="str">
        <f>IF($N807="","",$C$36&amp;" → "&amp;INDEX(VIRMAN!$E$7:$E$406,$T807)&amp;IF(INDEX(VIRMAN!$G$7:$G$406,$T807)="",""," – "&amp;INDEX(VIRMAN!$G$7:$G$406,$T807)))</f>
        <v/>
      </c>
      <c r="P807" s="1" t="str">
        <f t="shared" si="138"/>
        <v/>
      </c>
      <c r="Q807" s="1">
        <v>0</v>
      </c>
      <c r="R807" s="1">
        <f>IF($N807="",0,INDEX(VIRMAN!$F$7:$F$406,$T807))</f>
        <v>0</v>
      </c>
      <c r="S807" s="1">
        <f t="shared" si="145"/>
        <v>10000000000</v>
      </c>
      <c r="T807" s="1">
        <f>IFERROR(MATCH($C$36&amp;"|74",VIRMAN!$L$7:$L$406,0),0)</f>
        <v>0</v>
      </c>
      <c r="V807" s="1">
        <f t="shared" si="146"/>
        <v>10000000000</v>
      </c>
      <c r="W807" s="1">
        <f t="shared" si="147"/>
        <v>9</v>
      </c>
    </row>
    <row r="808" spans="2:23" ht="14.25" customHeight="1" x14ac:dyDescent="0.3">
      <c r="B808" s="65" t="str">
        <f t="shared" si="139"/>
        <v/>
      </c>
      <c r="C808" s="70" t="str">
        <f t="shared" si="140"/>
        <v/>
      </c>
      <c r="D808" s="74" t="str">
        <f t="shared" si="141"/>
        <v/>
      </c>
      <c r="F808" s="65" t="str">
        <f t="shared" si="142"/>
        <v/>
      </c>
      <c r="G808" s="68" t="str">
        <f t="shared" si="143"/>
        <v/>
      </c>
      <c r="H808" s="68" t="str">
        <f t="shared" si="144"/>
        <v/>
      </c>
      <c r="I808" s="68" t="str">
        <f t="shared" si="148"/>
        <v/>
      </c>
      <c r="M808" s="1">
        <v>771</v>
      </c>
      <c r="N808" s="1" t="str">
        <f>IF($T808=0,"",INDEX(VIRMAN!$C$7:$C$406,$T808))</f>
        <v/>
      </c>
      <c r="O808" s="1" t="str">
        <f>IF($N808="","",$C$36&amp;" → "&amp;INDEX(VIRMAN!$E$7:$E$406,$T808)&amp;IF(INDEX(VIRMAN!$G$7:$G$406,$T808)="",""," – "&amp;INDEX(VIRMAN!$G$7:$G$406,$T808)))</f>
        <v/>
      </c>
      <c r="P808" s="1" t="str">
        <f t="shared" si="138"/>
        <v/>
      </c>
      <c r="Q808" s="1">
        <v>0</v>
      </c>
      <c r="R808" s="1">
        <f>IF($N808="",0,INDEX(VIRMAN!$F$7:$F$406,$T808))</f>
        <v>0</v>
      </c>
      <c r="S808" s="1">
        <f t="shared" si="145"/>
        <v>10000000000</v>
      </c>
      <c r="T808" s="1">
        <f>IFERROR(MATCH($C$36&amp;"|75",VIRMAN!$L$7:$L$406,0),0)</f>
        <v>0</v>
      </c>
      <c r="V808" s="1">
        <f t="shared" si="146"/>
        <v>10000000000</v>
      </c>
      <c r="W808" s="1">
        <f t="shared" si="147"/>
        <v>9</v>
      </c>
    </row>
    <row r="809" spans="2:23" ht="14.25" customHeight="1" x14ac:dyDescent="0.3">
      <c r="B809" s="65" t="str">
        <f t="shared" si="139"/>
        <v/>
      </c>
      <c r="C809" s="70" t="str">
        <f t="shared" si="140"/>
        <v/>
      </c>
      <c r="D809" s="74" t="str">
        <f t="shared" si="141"/>
        <v/>
      </c>
      <c r="F809" s="65" t="str">
        <f t="shared" si="142"/>
        <v/>
      </c>
      <c r="G809" s="68" t="str">
        <f t="shared" si="143"/>
        <v/>
      </c>
      <c r="H809" s="68" t="str">
        <f t="shared" si="144"/>
        <v/>
      </c>
      <c r="I809" s="68" t="str">
        <f t="shared" si="148"/>
        <v/>
      </c>
      <c r="M809" s="1">
        <v>772</v>
      </c>
      <c r="N809" s="1" t="str">
        <f>IF($T809=0,"",INDEX(VIRMAN!$C$7:$C$406,$T809))</f>
        <v/>
      </c>
      <c r="O809" s="1" t="str">
        <f>IF($N809="","",$C$36&amp;" → "&amp;INDEX(VIRMAN!$E$7:$E$406,$T809)&amp;IF(INDEX(VIRMAN!$G$7:$G$406,$T809)="",""," – "&amp;INDEX(VIRMAN!$G$7:$G$406,$T809)))</f>
        <v/>
      </c>
      <c r="P809" s="1" t="str">
        <f t="shared" si="138"/>
        <v/>
      </c>
      <c r="Q809" s="1">
        <v>0</v>
      </c>
      <c r="R809" s="1">
        <f>IF($N809="",0,INDEX(VIRMAN!$F$7:$F$406,$T809))</f>
        <v>0</v>
      </c>
      <c r="S809" s="1">
        <f t="shared" si="145"/>
        <v>10000000000</v>
      </c>
      <c r="T809" s="1">
        <f>IFERROR(MATCH($C$36&amp;"|76",VIRMAN!$L$7:$L$406,0),0)</f>
        <v>0</v>
      </c>
      <c r="V809" s="1">
        <f t="shared" si="146"/>
        <v>10000000000</v>
      </c>
      <c r="W809" s="1">
        <f t="shared" si="147"/>
        <v>9</v>
      </c>
    </row>
    <row r="810" spans="2:23" ht="14.25" customHeight="1" x14ac:dyDescent="0.3">
      <c r="B810" s="65" t="str">
        <f t="shared" si="139"/>
        <v/>
      </c>
      <c r="C810" s="70" t="str">
        <f t="shared" si="140"/>
        <v/>
      </c>
      <c r="D810" s="74" t="str">
        <f t="shared" si="141"/>
        <v/>
      </c>
      <c r="F810" s="65" t="str">
        <f t="shared" si="142"/>
        <v/>
      </c>
      <c r="G810" s="68" t="str">
        <f t="shared" si="143"/>
        <v/>
      </c>
      <c r="H810" s="68" t="str">
        <f t="shared" si="144"/>
        <v/>
      </c>
      <c r="I810" s="68" t="str">
        <f t="shared" si="148"/>
        <v/>
      </c>
      <c r="M810" s="1">
        <v>773</v>
      </c>
      <c r="N810" s="1" t="str">
        <f>IF($T810=0,"",INDEX(VIRMAN!$C$7:$C$406,$T810))</f>
        <v/>
      </c>
      <c r="O810" s="1" t="str">
        <f>IF($N810="","",$C$36&amp;" → "&amp;INDEX(VIRMAN!$E$7:$E$406,$T810)&amp;IF(INDEX(VIRMAN!$G$7:$G$406,$T810)="",""," – "&amp;INDEX(VIRMAN!$G$7:$G$406,$T810)))</f>
        <v/>
      </c>
      <c r="P810" s="1" t="str">
        <f t="shared" si="138"/>
        <v/>
      </c>
      <c r="Q810" s="1">
        <v>0</v>
      </c>
      <c r="R810" s="1">
        <f>IF($N810="",0,INDEX(VIRMAN!$F$7:$F$406,$T810))</f>
        <v>0</v>
      </c>
      <c r="S810" s="1">
        <f t="shared" si="145"/>
        <v>10000000000</v>
      </c>
      <c r="T810" s="1">
        <f>IFERROR(MATCH($C$36&amp;"|77",VIRMAN!$L$7:$L$406,0),0)</f>
        <v>0</v>
      </c>
      <c r="V810" s="1">
        <f t="shared" si="146"/>
        <v>10000000000</v>
      </c>
      <c r="W810" s="1">
        <f t="shared" si="147"/>
        <v>9</v>
      </c>
    </row>
    <row r="811" spans="2:23" ht="14.25" customHeight="1" x14ac:dyDescent="0.3">
      <c r="B811" s="65" t="str">
        <f t="shared" si="139"/>
        <v/>
      </c>
      <c r="C811" s="70" t="str">
        <f t="shared" si="140"/>
        <v/>
      </c>
      <c r="D811" s="74" t="str">
        <f t="shared" si="141"/>
        <v/>
      </c>
      <c r="F811" s="65" t="str">
        <f t="shared" si="142"/>
        <v/>
      </c>
      <c r="G811" s="68" t="str">
        <f t="shared" si="143"/>
        <v/>
      </c>
      <c r="H811" s="68" t="str">
        <f t="shared" si="144"/>
        <v/>
      </c>
      <c r="I811" s="68" t="str">
        <f t="shared" si="148"/>
        <v/>
      </c>
      <c r="M811" s="1">
        <v>774</v>
      </c>
      <c r="N811" s="1" t="str">
        <f>IF($T811=0,"",INDEX(VIRMAN!$C$7:$C$406,$T811))</f>
        <v/>
      </c>
      <c r="O811" s="1" t="str">
        <f>IF($N811="","",$C$36&amp;" → "&amp;INDEX(VIRMAN!$E$7:$E$406,$T811)&amp;IF(INDEX(VIRMAN!$G$7:$G$406,$T811)="",""," – "&amp;INDEX(VIRMAN!$G$7:$G$406,$T811)))</f>
        <v/>
      </c>
      <c r="P811" s="1" t="str">
        <f t="shared" si="138"/>
        <v/>
      </c>
      <c r="Q811" s="1">
        <v>0</v>
      </c>
      <c r="R811" s="1">
        <f>IF($N811="",0,INDEX(VIRMAN!$F$7:$F$406,$T811))</f>
        <v>0</v>
      </c>
      <c r="S811" s="1">
        <f t="shared" si="145"/>
        <v>10000000000</v>
      </c>
      <c r="T811" s="1">
        <f>IFERROR(MATCH($C$36&amp;"|78",VIRMAN!$L$7:$L$406,0),0)</f>
        <v>0</v>
      </c>
      <c r="V811" s="1">
        <f t="shared" si="146"/>
        <v>10000000000</v>
      </c>
      <c r="W811" s="1">
        <f t="shared" si="147"/>
        <v>9</v>
      </c>
    </row>
    <row r="812" spans="2:23" ht="14.25" customHeight="1" x14ac:dyDescent="0.3">
      <c r="B812" s="65" t="str">
        <f t="shared" si="139"/>
        <v/>
      </c>
      <c r="C812" s="70" t="str">
        <f t="shared" si="140"/>
        <v/>
      </c>
      <c r="D812" s="74" t="str">
        <f t="shared" si="141"/>
        <v/>
      </c>
      <c r="F812" s="65" t="str">
        <f t="shared" si="142"/>
        <v/>
      </c>
      <c r="G812" s="68" t="str">
        <f t="shared" si="143"/>
        <v/>
      </c>
      <c r="H812" s="68" t="str">
        <f t="shared" si="144"/>
        <v/>
      </c>
      <c r="I812" s="68" t="str">
        <f t="shared" si="148"/>
        <v/>
      </c>
      <c r="M812" s="1">
        <v>775</v>
      </c>
      <c r="N812" s="1" t="str">
        <f>IF($T812=0,"",INDEX(VIRMAN!$C$7:$C$406,$T812))</f>
        <v/>
      </c>
      <c r="O812" s="1" t="str">
        <f>IF($N812="","",$C$36&amp;" → "&amp;INDEX(VIRMAN!$E$7:$E$406,$T812)&amp;IF(INDEX(VIRMAN!$G$7:$G$406,$T812)="",""," – "&amp;INDEX(VIRMAN!$G$7:$G$406,$T812)))</f>
        <v/>
      </c>
      <c r="P812" s="1" t="str">
        <f t="shared" si="138"/>
        <v/>
      </c>
      <c r="Q812" s="1">
        <v>0</v>
      </c>
      <c r="R812" s="1">
        <f>IF($N812="",0,INDEX(VIRMAN!$F$7:$F$406,$T812))</f>
        <v>0</v>
      </c>
      <c r="S812" s="1">
        <f t="shared" si="145"/>
        <v>10000000000</v>
      </c>
      <c r="T812" s="1">
        <f>IFERROR(MATCH($C$36&amp;"|79",VIRMAN!$L$7:$L$406,0),0)</f>
        <v>0</v>
      </c>
      <c r="V812" s="1">
        <f t="shared" si="146"/>
        <v>10000000000</v>
      </c>
      <c r="W812" s="1">
        <f t="shared" si="147"/>
        <v>9</v>
      </c>
    </row>
    <row r="813" spans="2:23" ht="14.25" customHeight="1" x14ac:dyDescent="0.3">
      <c r="B813" s="65" t="str">
        <f t="shared" si="139"/>
        <v/>
      </c>
      <c r="C813" s="70" t="str">
        <f t="shared" si="140"/>
        <v/>
      </c>
      <c r="D813" s="74" t="str">
        <f t="shared" si="141"/>
        <v/>
      </c>
      <c r="F813" s="65" t="str">
        <f t="shared" si="142"/>
        <v/>
      </c>
      <c r="G813" s="68" t="str">
        <f t="shared" si="143"/>
        <v/>
      </c>
      <c r="H813" s="68" t="str">
        <f t="shared" si="144"/>
        <v/>
      </c>
      <c r="I813" s="68" t="str">
        <f t="shared" si="148"/>
        <v/>
      </c>
      <c r="M813" s="1">
        <v>776</v>
      </c>
      <c r="N813" s="1" t="str">
        <f>IF($T813=0,"",INDEX(VIRMAN!$C$7:$C$406,$T813))</f>
        <v/>
      </c>
      <c r="O813" s="1" t="str">
        <f>IF($N813="","",$C$36&amp;" → "&amp;INDEX(VIRMAN!$E$7:$E$406,$T813)&amp;IF(INDEX(VIRMAN!$G$7:$G$406,$T813)="",""," – "&amp;INDEX(VIRMAN!$G$7:$G$406,$T813)))</f>
        <v/>
      </c>
      <c r="P813" s="1" t="str">
        <f t="shared" si="138"/>
        <v/>
      </c>
      <c r="Q813" s="1">
        <v>0</v>
      </c>
      <c r="R813" s="1">
        <f>IF($N813="",0,INDEX(VIRMAN!$F$7:$F$406,$T813))</f>
        <v>0</v>
      </c>
      <c r="S813" s="1">
        <f t="shared" si="145"/>
        <v>10000000000</v>
      </c>
      <c r="T813" s="1">
        <f>IFERROR(MATCH($C$36&amp;"|80",VIRMAN!$L$7:$L$406,0),0)</f>
        <v>0</v>
      </c>
      <c r="V813" s="1">
        <f t="shared" si="146"/>
        <v>10000000000</v>
      </c>
      <c r="W813" s="1">
        <f t="shared" si="147"/>
        <v>9</v>
      </c>
    </row>
    <row r="814" spans="2:23" ht="14.25" customHeight="1" x14ac:dyDescent="0.3">
      <c r="B814" s="65" t="str">
        <f t="shared" si="139"/>
        <v/>
      </c>
      <c r="C814" s="70" t="str">
        <f t="shared" si="140"/>
        <v/>
      </c>
      <c r="D814" s="74" t="str">
        <f t="shared" si="141"/>
        <v/>
      </c>
      <c r="F814" s="65" t="str">
        <f t="shared" si="142"/>
        <v/>
      </c>
      <c r="G814" s="68" t="str">
        <f t="shared" si="143"/>
        <v/>
      </c>
      <c r="H814" s="68" t="str">
        <f t="shared" si="144"/>
        <v/>
      </c>
      <c r="I814" s="68" t="str">
        <f t="shared" si="148"/>
        <v/>
      </c>
      <c r="M814" s="1">
        <v>777</v>
      </c>
      <c r="N814" s="1" t="str">
        <f>IF($T814=0,"",INDEX(VIRMAN!$C$7:$C$406,$T814))</f>
        <v/>
      </c>
      <c r="O814" s="1" t="str">
        <f>IF($N814="","",$C$36&amp;" → "&amp;INDEX(VIRMAN!$E$7:$E$406,$T814)&amp;IF(INDEX(VIRMAN!$G$7:$G$406,$T814)="",""," – "&amp;INDEX(VIRMAN!$G$7:$G$406,$T814)))</f>
        <v/>
      </c>
      <c r="P814" s="1" t="str">
        <f t="shared" si="138"/>
        <v/>
      </c>
      <c r="Q814" s="1">
        <v>0</v>
      </c>
      <c r="R814" s="1">
        <f>IF($N814="",0,INDEX(VIRMAN!$F$7:$F$406,$T814))</f>
        <v>0</v>
      </c>
      <c r="S814" s="1">
        <f t="shared" si="145"/>
        <v>10000000000</v>
      </c>
      <c r="T814" s="1">
        <f>IFERROR(MATCH($C$36&amp;"|81",VIRMAN!$L$7:$L$406,0),0)</f>
        <v>0</v>
      </c>
      <c r="V814" s="1">
        <f t="shared" si="146"/>
        <v>10000000000</v>
      </c>
      <c r="W814" s="1">
        <f t="shared" si="147"/>
        <v>9</v>
      </c>
    </row>
    <row r="815" spans="2:23" ht="14.25" customHeight="1" x14ac:dyDescent="0.3">
      <c r="B815" s="65" t="str">
        <f t="shared" si="139"/>
        <v/>
      </c>
      <c r="C815" s="70" t="str">
        <f t="shared" si="140"/>
        <v/>
      </c>
      <c r="D815" s="74" t="str">
        <f t="shared" si="141"/>
        <v/>
      </c>
      <c r="F815" s="65" t="str">
        <f t="shared" si="142"/>
        <v/>
      </c>
      <c r="G815" s="68" t="str">
        <f t="shared" si="143"/>
        <v/>
      </c>
      <c r="H815" s="68" t="str">
        <f t="shared" si="144"/>
        <v/>
      </c>
      <c r="I815" s="68" t="str">
        <f t="shared" si="148"/>
        <v/>
      </c>
      <c r="M815" s="1">
        <v>778</v>
      </c>
      <c r="N815" s="1" t="str">
        <f>IF($T815=0,"",INDEX(VIRMAN!$C$7:$C$406,$T815))</f>
        <v/>
      </c>
      <c r="O815" s="1" t="str">
        <f>IF($N815="","",$C$36&amp;" → "&amp;INDEX(VIRMAN!$E$7:$E$406,$T815)&amp;IF(INDEX(VIRMAN!$G$7:$G$406,$T815)="",""," – "&amp;INDEX(VIRMAN!$G$7:$G$406,$T815)))</f>
        <v/>
      </c>
      <c r="P815" s="1" t="str">
        <f t="shared" si="138"/>
        <v/>
      </c>
      <c r="Q815" s="1">
        <v>0</v>
      </c>
      <c r="R815" s="1">
        <f>IF($N815="",0,INDEX(VIRMAN!$F$7:$F$406,$T815))</f>
        <v>0</v>
      </c>
      <c r="S815" s="1">
        <f t="shared" si="145"/>
        <v>10000000000</v>
      </c>
      <c r="T815" s="1">
        <f>IFERROR(MATCH($C$36&amp;"|82",VIRMAN!$L$7:$L$406,0),0)</f>
        <v>0</v>
      </c>
      <c r="V815" s="1">
        <f t="shared" si="146"/>
        <v>10000000000</v>
      </c>
      <c r="W815" s="1">
        <f t="shared" si="147"/>
        <v>9</v>
      </c>
    </row>
    <row r="816" spans="2:23" ht="14.25" customHeight="1" x14ac:dyDescent="0.3">
      <c r="B816" s="65" t="str">
        <f t="shared" si="139"/>
        <v/>
      </c>
      <c r="C816" s="70" t="str">
        <f t="shared" si="140"/>
        <v/>
      </c>
      <c r="D816" s="74" t="str">
        <f t="shared" si="141"/>
        <v/>
      </c>
      <c r="F816" s="65" t="str">
        <f t="shared" si="142"/>
        <v/>
      </c>
      <c r="G816" s="68" t="str">
        <f t="shared" si="143"/>
        <v/>
      </c>
      <c r="H816" s="68" t="str">
        <f t="shared" si="144"/>
        <v/>
      </c>
      <c r="I816" s="68" t="str">
        <f t="shared" si="148"/>
        <v/>
      </c>
      <c r="M816" s="1">
        <v>779</v>
      </c>
      <c r="N816" s="1" t="str">
        <f>IF($T816=0,"",INDEX(VIRMAN!$C$7:$C$406,$T816))</f>
        <v/>
      </c>
      <c r="O816" s="1" t="str">
        <f>IF($N816="","",$C$36&amp;" → "&amp;INDEX(VIRMAN!$E$7:$E$406,$T816)&amp;IF(INDEX(VIRMAN!$G$7:$G$406,$T816)="",""," – "&amp;INDEX(VIRMAN!$G$7:$G$406,$T816)))</f>
        <v/>
      </c>
      <c r="P816" s="1" t="str">
        <f t="shared" si="138"/>
        <v/>
      </c>
      <c r="Q816" s="1">
        <v>0</v>
      </c>
      <c r="R816" s="1">
        <f>IF($N816="",0,INDEX(VIRMAN!$F$7:$F$406,$T816))</f>
        <v>0</v>
      </c>
      <c r="S816" s="1">
        <f t="shared" si="145"/>
        <v>10000000000</v>
      </c>
      <c r="T816" s="1">
        <f>IFERROR(MATCH($C$36&amp;"|83",VIRMAN!$L$7:$L$406,0),0)</f>
        <v>0</v>
      </c>
      <c r="V816" s="1">
        <f t="shared" si="146"/>
        <v>10000000000</v>
      </c>
      <c r="W816" s="1">
        <f t="shared" si="147"/>
        <v>9</v>
      </c>
    </row>
    <row r="817" spans="2:23" ht="14.25" customHeight="1" x14ac:dyDescent="0.3">
      <c r="B817" s="65" t="str">
        <f t="shared" si="139"/>
        <v/>
      </c>
      <c r="C817" s="70" t="str">
        <f t="shared" si="140"/>
        <v/>
      </c>
      <c r="D817" s="74" t="str">
        <f t="shared" si="141"/>
        <v/>
      </c>
      <c r="F817" s="65" t="str">
        <f t="shared" si="142"/>
        <v/>
      </c>
      <c r="G817" s="68" t="str">
        <f t="shared" si="143"/>
        <v/>
      </c>
      <c r="H817" s="68" t="str">
        <f t="shared" si="144"/>
        <v/>
      </c>
      <c r="I817" s="68" t="str">
        <f t="shared" si="148"/>
        <v/>
      </c>
      <c r="M817" s="1">
        <v>780</v>
      </c>
      <c r="N817" s="1" t="str">
        <f>IF($T817=0,"",INDEX(VIRMAN!$C$7:$C$406,$T817))</f>
        <v/>
      </c>
      <c r="O817" s="1" t="str">
        <f>IF($N817="","",$C$36&amp;" → "&amp;INDEX(VIRMAN!$E$7:$E$406,$T817)&amp;IF(INDEX(VIRMAN!$G$7:$G$406,$T817)="",""," – "&amp;INDEX(VIRMAN!$G$7:$G$406,$T817)))</f>
        <v/>
      </c>
      <c r="P817" s="1" t="str">
        <f t="shared" si="138"/>
        <v/>
      </c>
      <c r="Q817" s="1">
        <v>0</v>
      </c>
      <c r="R817" s="1">
        <f>IF($N817="",0,INDEX(VIRMAN!$F$7:$F$406,$T817))</f>
        <v>0</v>
      </c>
      <c r="S817" s="1">
        <f t="shared" si="145"/>
        <v>10000000000</v>
      </c>
      <c r="T817" s="1">
        <f>IFERROR(MATCH($C$36&amp;"|84",VIRMAN!$L$7:$L$406,0),0)</f>
        <v>0</v>
      </c>
      <c r="V817" s="1">
        <f t="shared" si="146"/>
        <v>10000000000</v>
      </c>
      <c r="W817" s="1">
        <f t="shared" si="147"/>
        <v>9</v>
      </c>
    </row>
    <row r="818" spans="2:23" ht="14.25" customHeight="1" x14ac:dyDescent="0.3">
      <c r="B818" s="65" t="str">
        <f t="shared" si="139"/>
        <v/>
      </c>
      <c r="C818" s="70" t="str">
        <f t="shared" si="140"/>
        <v/>
      </c>
      <c r="D818" s="74" t="str">
        <f t="shared" si="141"/>
        <v/>
      </c>
      <c r="F818" s="65" t="str">
        <f t="shared" si="142"/>
        <v/>
      </c>
      <c r="G818" s="68" t="str">
        <f t="shared" si="143"/>
        <v/>
      </c>
      <c r="H818" s="68" t="str">
        <f t="shared" si="144"/>
        <v/>
      </c>
      <c r="I818" s="68" t="str">
        <f t="shared" si="148"/>
        <v/>
      </c>
      <c r="M818" s="1">
        <v>781</v>
      </c>
      <c r="N818" s="1" t="str">
        <f>IF($T818=0,"",INDEX(VIRMAN!$C$7:$C$406,$T818))</f>
        <v/>
      </c>
      <c r="O818" s="1" t="str">
        <f>IF($N818="","",$C$36&amp;" → "&amp;INDEX(VIRMAN!$E$7:$E$406,$T818)&amp;IF(INDEX(VIRMAN!$G$7:$G$406,$T818)="",""," – "&amp;INDEX(VIRMAN!$G$7:$G$406,$T818)))</f>
        <v/>
      </c>
      <c r="P818" s="1" t="str">
        <f t="shared" si="138"/>
        <v/>
      </c>
      <c r="Q818" s="1">
        <v>0</v>
      </c>
      <c r="R818" s="1">
        <f>IF($N818="",0,INDEX(VIRMAN!$F$7:$F$406,$T818))</f>
        <v>0</v>
      </c>
      <c r="S818" s="1">
        <f t="shared" si="145"/>
        <v>10000000000</v>
      </c>
      <c r="T818" s="1">
        <f>IFERROR(MATCH($C$36&amp;"|85",VIRMAN!$L$7:$L$406,0),0)</f>
        <v>0</v>
      </c>
      <c r="V818" s="1">
        <f t="shared" si="146"/>
        <v>10000000000</v>
      </c>
      <c r="W818" s="1">
        <f t="shared" si="147"/>
        <v>9</v>
      </c>
    </row>
    <row r="819" spans="2:23" ht="14.25" customHeight="1" x14ac:dyDescent="0.3">
      <c r="B819" s="65" t="str">
        <f t="shared" si="139"/>
        <v/>
      </c>
      <c r="C819" s="70" t="str">
        <f t="shared" si="140"/>
        <v/>
      </c>
      <c r="D819" s="74" t="str">
        <f t="shared" si="141"/>
        <v/>
      </c>
      <c r="F819" s="65" t="str">
        <f t="shared" si="142"/>
        <v/>
      </c>
      <c r="G819" s="68" t="str">
        <f t="shared" si="143"/>
        <v/>
      </c>
      <c r="H819" s="68" t="str">
        <f t="shared" si="144"/>
        <v/>
      </c>
      <c r="I819" s="68" t="str">
        <f t="shared" si="148"/>
        <v/>
      </c>
      <c r="M819" s="1">
        <v>782</v>
      </c>
      <c r="N819" s="1" t="str">
        <f>IF($T819=0,"",INDEX(VIRMAN!$C$7:$C$406,$T819))</f>
        <v/>
      </c>
      <c r="O819" s="1" t="str">
        <f>IF($N819="","",$C$36&amp;" → "&amp;INDEX(VIRMAN!$E$7:$E$406,$T819)&amp;IF(INDEX(VIRMAN!$G$7:$G$406,$T819)="",""," – "&amp;INDEX(VIRMAN!$G$7:$G$406,$T819)))</f>
        <v/>
      </c>
      <c r="P819" s="1" t="str">
        <f t="shared" si="138"/>
        <v/>
      </c>
      <c r="Q819" s="1">
        <v>0</v>
      </c>
      <c r="R819" s="1">
        <f>IF($N819="",0,INDEX(VIRMAN!$F$7:$F$406,$T819))</f>
        <v>0</v>
      </c>
      <c r="S819" s="1">
        <f t="shared" si="145"/>
        <v>10000000000</v>
      </c>
      <c r="T819" s="1">
        <f>IFERROR(MATCH($C$36&amp;"|86",VIRMAN!$L$7:$L$406,0),0)</f>
        <v>0</v>
      </c>
      <c r="V819" s="1">
        <f t="shared" si="146"/>
        <v>10000000000</v>
      </c>
      <c r="W819" s="1">
        <f t="shared" si="147"/>
        <v>9</v>
      </c>
    </row>
    <row r="820" spans="2:23" ht="14.25" customHeight="1" x14ac:dyDescent="0.3">
      <c r="B820" s="65" t="str">
        <f t="shared" si="139"/>
        <v/>
      </c>
      <c r="C820" s="70" t="str">
        <f t="shared" si="140"/>
        <v/>
      </c>
      <c r="D820" s="74" t="str">
        <f t="shared" si="141"/>
        <v/>
      </c>
      <c r="F820" s="65" t="str">
        <f t="shared" si="142"/>
        <v/>
      </c>
      <c r="G820" s="68" t="str">
        <f t="shared" si="143"/>
        <v/>
      </c>
      <c r="H820" s="68" t="str">
        <f t="shared" si="144"/>
        <v/>
      </c>
      <c r="I820" s="68" t="str">
        <f t="shared" si="148"/>
        <v/>
      </c>
      <c r="M820" s="1">
        <v>783</v>
      </c>
      <c r="N820" s="1" t="str">
        <f>IF($T820=0,"",INDEX(VIRMAN!$C$7:$C$406,$T820))</f>
        <v/>
      </c>
      <c r="O820" s="1" t="str">
        <f>IF($N820="","",$C$36&amp;" → "&amp;INDEX(VIRMAN!$E$7:$E$406,$T820)&amp;IF(INDEX(VIRMAN!$G$7:$G$406,$T820)="",""," – "&amp;INDEX(VIRMAN!$G$7:$G$406,$T820)))</f>
        <v/>
      </c>
      <c r="P820" s="1" t="str">
        <f t="shared" si="138"/>
        <v/>
      </c>
      <c r="Q820" s="1">
        <v>0</v>
      </c>
      <c r="R820" s="1">
        <f>IF($N820="",0,INDEX(VIRMAN!$F$7:$F$406,$T820))</f>
        <v>0</v>
      </c>
      <c r="S820" s="1">
        <f t="shared" si="145"/>
        <v>10000000000</v>
      </c>
      <c r="T820" s="1">
        <f>IFERROR(MATCH($C$36&amp;"|87",VIRMAN!$L$7:$L$406,0),0)</f>
        <v>0</v>
      </c>
      <c r="V820" s="1">
        <f t="shared" si="146"/>
        <v>10000000000</v>
      </c>
      <c r="W820" s="1">
        <f t="shared" si="147"/>
        <v>9</v>
      </c>
    </row>
    <row r="821" spans="2:23" ht="14.25" customHeight="1" x14ac:dyDescent="0.3">
      <c r="B821" s="65" t="str">
        <f t="shared" si="139"/>
        <v/>
      </c>
      <c r="C821" s="70" t="str">
        <f t="shared" si="140"/>
        <v/>
      </c>
      <c r="D821" s="74" t="str">
        <f t="shared" si="141"/>
        <v/>
      </c>
      <c r="F821" s="65" t="str">
        <f t="shared" si="142"/>
        <v/>
      </c>
      <c r="G821" s="68" t="str">
        <f t="shared" si="143"/>
        <v/>
      </c>
      <c r="H821" s="68" t="str">
        <f t="shared" si="144"/>
        <v/>
      </c>
      <c r="I821" s="68" t="str">
        <f t="shared" si="148"/>
        <v/>
      </c>
      <c r="M821" s="1">
        <v>784</v>
      </c>
      <c r="N821" s="1" t="str">
        <f>IF($T821=0,"",INDEX(VIRMAN!$C$7:$C$406,$T821))</f>
        <v/>
      </c>
      <c r="O821" s="1" t="str">
        <f>IF($N821="","",$C$36&amp;" → "&amp;INDEX(VIRMAN!$E$7:$E$406,$T821)&amp;IF(INDEX(VIRMAN!$G$7:$G$406,$T821)="",""," – "&amp;INDEX(VIRMAN!$G$7:$G$406,$T821)))</f>
        <v/>
      </c>
      <c r="P821" s="1" t="str">
        <f t="shared" si="138"/>
        <v/>
      </c>
      <c r="Q821" s="1">
        <v>0</v>
      </c>
      <c r="R821" s="1">
        <f>IF($N821="",0,INDEX(VIRMAN!$F$7:$F$406,$T821))</f>
        <v>0</v>
      </c>
      <c r="S821" s="1">
        <f t="shared" si="145"/>
        <v>10000000000</v>
      </c>
      <c r="T821" s="1">
        <f>IFERROR(MATCH($C$36&amp;"|88",VIRMAN!$L$7:$L$406,0),0)</f>
        <v>0</v>
      </c>
      <c r="V821" s="1">
        <f t="shared" si="146"/>
        <v>10000000000</v>
      </c>
      <c r="W821" s="1">
        <f t="shared" si="147"/>
        <v>9</v>
      </c>
    </row>
    <row r="822" spans="2:23" ht="14.25" customHeight="1" x14ac:dyDescent="0.3">
      <c r="B822" s="65" t="str">
        <f t="shared" si="139"/>
        <v/>
      </c>
      <c r="C822" s="70" t="str">
        <f t="shared" si="140"/>
        <v/>
      </c>
      <c r="D822" s="74" t="str">
        <f t="shared" si="141"/>
        <v/>
      </c>
      <c r="F822" s="65" t="str">
        <f t="shared" si="142"/>
        <v/>
      </c>
      <c r="G822" s="68" t="str">
        <f t="shared" si="143"/>
        <v/>
      </c>
      <c r="H822" s="68" t="str">
        <f t="shared" si="144"/>
        <v/>
      </c>
      <c r="I822" s="68" t="str">
        <f t="shared" si="148"/>
        <v/>
      </c>
      <c r="M822" s="1">
        <v>785</v>
      </c>
      <c r="N822" s="1" t="str">
        <f>IF($T822=0,"",INDEX(VIRMAN!$C$7:$C$406,$T822))</f>
        <v/>
      </c>
      <c r="O822" s="1" t="str">
        <f>IF($N822="","",$C$36&amp;" → "&amp;INDEX(VIRMAN!$E$7:$E$406,$T822)&amp;IF(INDEX(VIRMAN!$G$7:$G$406,$T822)="",""," – "&amp;INDEX(VIRMAN!$G$7:$G$406,$T822)))</f>
        <v/>
      </c>
      <c r="P822" s="1" t="str">
        <f t="shared" si="138"/>
        <v/>
      </c>
      <c r="Q822" s="1">
        <v>0</v>
      </c>
      <c r="R822" s="1">
        <f>IF($N822="",0,INDEX(VIRMAN!$F$7:$F$406,$T822))</f>
        <v>0</v>
      </c>
      <c r="S822" s="1">
        <f t="shared" si="145"/>
        <v>10000000000</v>
      </c>
      <c r="T822" s="1">
        <f>IFERROR(MATCH($C$36&amp;"|89",VIRMAN!$L$7:$L$406,0),0)</f>
        <v>0</v>
      </c>
      <c r="V822" s="1">
        <f t="shared" si="146"/>
        <v>10000000000</v>
      </c>
      <c r="W822" s="1">
        <f t="shared" si="147"/>
        <v>9</v>
      </c>
    </row>
    <row r="823" spans="2:23" ht="14.25" customHeight="1" x14ac:dyDescent="0.3">
      <c r="B823" s="65" t="str">
        <f t="shared" si="139"/>
        <v/>
      </c>
      <c r="C823" s="70" t="str">
        <f t="shared" si="140"/>
        <v/>
      </c>
      <c r="D823" s="74" t="str">
        <f t="shared" si="141"/>
        <v/>
      </c>
      <c r="F823" s="65" t="str">
        <f t="shared" si="142"/>
        <v/>
      </c>
      <c r="G823" s="68" t="str">
        <f t="shared" si="143"/>
        <v/>
      </c>
      <c r="H823" s="68" t="str">
        <f t="shared" si="144"/>
        <v/>
      </c>
      <c r="I823" s="68" t="str">
        <f t="shared" si="148"/>
        <v/>
      </c>
      <c r="M823" s="1">
        <v>786</v>
      </c>
      <c r="N823" s="1" t="str">
        <f>IF($T823=0,"",INDEX(VIRMAN!$C$7:$C$406,$T823))</f>
        <v/>
      </c>
      <c r="O823" s="1" t="str">
        <f>IF($N823="","",$C$36&amp;" → "&amp;INDEX(VIRMAN!$E$7:$E$406,$T823)&amp;IF(INDEX(VIRMAN!$G$7:$G$406,$T823)="",""," – "&amp;INDEX(VIRMAN!$G$7:$G$406,$T823)))</f>
        <v/>
      </c>
      <c r="P823" s="1" t="str">
        <f t="shared" si="138"/>
        <v/>
      </c>
      <c r="Q823" s="1">
        <v>0</v>
      </c>
      <c r="R823" s="1">
        <f>IF($N823="",0,INDEX(VIRMAN!$F$7:$F$406,$T823))</f>
        <v>0</v>
      </c>
      <c r="S823" s="1">
        <f t="shared" si="145"/>
        <v>10000000000</v>
      </c>
      <c r="T823" s="1">
        <f>IFERROR(MATCH($C$36&amp;"|90",VIRMAN!$L$7:$L$406,0),0)</f>
        <v>0</v>
      </c>
      <c r="V823" s="1">
        <f t="shared" si="146"/>
        <v>10000000000</v>
      </c>
      <c r="W823" s="1">
        <f t="shared" si="147"/>
        <v>9</v>
      </c>
    </row>
    <row r="824" spans="2:23" ht="14.25" customHeight="1" x14ac:dyDescent="0.3">
      <c r="B824" s="65" t="str">
        <f t="shared" si="139"/>
        <v/>
      </c>
      <c r="C824" s="70" t="str">
        <f t="shared" si="140"/>
        <v/>
      </c>
      <c r="D824" s="74" t="str">
        <f t="shared" si="141"/>
        <v/>
      </c>
      <c r="F824" s="65" t="str">
        <f t="shared" si="142"/>
        <v/>
      </c>
      <c r="G824" s="68" t="str">
        <f t="shared" si="143"/>
        <v/>
      </c>
      <c r="H824" s="68" t="str">
        <f t="shared" si="144"/>
        <v/>
      </c>
      <c r="I824" s="68" t="str">
        <f t="shared" si="148"/>
        <v/>
      </c>
      <c r="M824" s="1">
        <v>787</v>
      </c>
      <c r="N824" s="1" t="str">
        <f>IF($T824=0,"",INDEX(VIRMAN!$C$7:$C$406,$T824))</f>
        <v/>
      </c>
      <c r="O824" s="1" t="str">
        <f>IF($N824="","",$C$36&amp;" → "&amp;INDEX(VIRMAN!$E$7:$E$406,$T824)&amp;IF(INDEX(VIRMAN!$G$7:$G$406,$T824)="",""," – "&amp;INDEX(VIRMAN!$G$7:$G$406,$T824)))</f>
        <v/>
      </c>
      <c r="P824" s="1" t="str">
        <f t="shared" si="138"/>
        <v/>
      </c>
      <c r="Q824" s="1">
        <v>0</v>
      </c>
      <c r="R824" s="1">
        <f>IF($N824="",0,INDEX(VIRMAN!$F$7:$F$406,$T824))</f>
        <v>0</v>
      </c>
      <c r="S824" s="1">
        <f t="shared" si="145"/>
        <v>10000000000</v>
      </c>
      <c r="T824" s="1">
        <f>IFERROR(MATCH($C$36&amp;"|91",VIRMAN!$L$7:$L$406,0),0)</f>
        <v>0</v>
      </c>
      <c r="V824" s="1">
        <f t="shared" si="146"/>
        <v>10000000000</v>
      </c>
      <c r="W824" s="1">
        <f t="shared" si="147"/>
        <v>9</v>
      </c>
    </row>
    <row r="825" spans="2:23" ht="14.25" customHeight="1" x14ac:dyDescent="0.3">
      <c r="B825" s="65" t="str">
        <f t="shared" si="139"/>
        <v/>
      </c>
      <c r="C825" s="70" t="str">
        <f t="shared" si="140"/>
        <v/>
      </c>
      <c r="D825" s="74" t="str">
        <f t="shared" si="141"/>
        <v/>
      </c>
      <c r="F825" s="65" t="str">
        <f t="shared" si="142"/>
        <v/>
      </c>
      <c r="G825" s="68" t="str">
        <f t="shared" si="143"/>
        <v/>
      </c>
      <c r="H825" s="68" t="str">
        <f t="shared" si="144"/>
        <v/>
      </c>
      <c r="I825" s="68" t="str">
        <f t="shared" si="148"/>
        <v/>
      </c>
      <c r="M825" s="1">
        <v>788</v>
      </c>
      <c r="N825" s="1" t="str">
        <f>IF($T825=0,"",INDEX(VIRMAN!$C$7:$C$406,$T825))</f>
        <v/>
      </c>
      <c r="O825" s="1" t="str">
        <f>IF($N825="","",$C$36&amp;" → "&amp;INDEX(VIRMAN!$E$7:$E$406,$T825)&amp;IF(INDEX(VIRMAN!$G$7:$G$406,$T825)="",""," – "&amp;INDEX(VIRMAN!$G$7:$G$406,$T825)))</f>
        <v/>
      </c>
      <c r="P825" s="1" t="str">
        <f t="shared" si="138"/>
        <v/>
      </c>
      <c r="Q825" s="1">
        <v>0</v>
      </c>
      <c r="R825" s="1">
        <f>IF($N825="",0,INDEX(VIRMAN!$F$7:$F$406,$T825))</f>
        <v>0</v>
      </c>
      <c r="S825" s="1">
        <f t="shared" si="145"/>
        <v>10000000000</v>
      </c>
      <c r="T825" s="1">
        <f>IFERROR(MATCH($C$36&amp;"|92",VIRMAN!$L$7:$L$406,0),0)</f>
        <v>0</v>
      </c>
      <c r="V825" s="1">
        <f t="shared" si="146"/>
        <v>10000000000</v>
      </c>
      <c r="W825" s="1">
        <f t="shared" si="147"/>
        <v>9</v>
      </c>
    </row>
    <row r="826" spans="2:23" ht="14.25" customHeight="1" x14ac:dyDescent="0.3">
      <c r="B826" s="65" t="str">
        <f t="shared" si="139"/>
        <v/>
      </c>
      <c r="C826" s="70" t="str">
        <f t="shared" si="140"/>
        <v/>
      </c>
      <c r="D826" s="74" t="str">
        <f t="shared" si="141"/>
        <v/>
      </c>
      <c r="F826" s="65" t="str">
        <f t="shared" si="142"/>
        <v/>
      </c>
      <c r="G826" s="68" t="str">
        <f t="shared" si="143"/>
        <v/>
      </c>
      <c r="H826" s="68" t="str">
        <f t="shared" si="144"/>
        <v/>
      </c>
      <c r="I826" s="68" t="str">
        <f t="shared" si="148"/>
        <v/>
      </c>
      <c r="M826" s="1">
        <v>789</v>
      </c>
      <c r="N826" s="1" t="str">
        <f>IF($T826=0,"",INDEX(VIRMAN!$C$7:$C$406,$T826))</f>
        <v/>
      </c>
      <c r="O826" s="1" t="str">
        <f>IF($N826="","",$C$36&amp;" → "&amp;INDEX(VIRMAN!$E$7:$E$406,$T826)&amp;IF(INDEX(VIRMAN!$G$7:$G$406,$T826)="",""," – "&amp;INDEX(VIRMAN!$G$7:$G$406,$T826)))</f>
        <v/>
      </c>
      <c r="P826" s="1" t="str">
        <f t="shared" si="138"/>
        <v/>
      </c>
      <c r="Q826" s="1">
        <v>0</v>
      </c>
      <c r="R826" s="1">
        <f>IF($N826="",0,INDEX(VIRMAN!$F$7:$F$406,$T826))</f>
        <v>0</v>
      </c>
      <c r="S826" s="1">
        <f t="shared" si="145"/>
        <v>10000000000</v>
      </c>
      <c r="T826" s="1">
        <f>IFERROR(MATCH($C$36&amp;"|93",VIRMAN!$L$7:$L$406,0),0)</f>
        <v>0</v>
      </c>
      <c r="V826" s="1">
        <f t="shared" si="146"/>
        <v>10000000000</v>
      </c>
      <c r="W826" s="1">
        <f t="shared" si="147"/>
        <v>9</v>
      </c>
    </row>
    <row r="827" spans="2:23" ht="14.25" customHeight="1" x14ac:dyDescent="0.3">
      <c r="B827" s="65" t="str">
        <f t="shared" si="139"/>
        <v/>
      </c>
      <c r="C827" s="70" t="str">
        <f t="shared" si="140"/>
        <v/>
      </c>
      <c r="D827" s="74" t="str">
        <f t="shared" si="141"/>
        <v/>
      </c>
      <c r="F827" s="65" t="str">
        <f t="shared" si="142"/>
        <v/>
      </c>
      <c r="G827" s="68" t="str">
        <f t="shared" si="143"/>
        <v/>
      </c>
      <c r="H827" s="68" t="str">
        <f t="shared" si="144"/>
        <v/>
      </c>
      <c r="I827" s="68" t="str">
        <f t="shared" si="148"/>
        <v/>
      </c>
      <c r="M827" s="1">
        <v>790</v>
      </c>
      <c r="N827" s="1" t="str">
        <f>IF($T827=0,"",INDEX(VIRMAN!$C$7:$C$406,$T827))</f>
        <v/>
      </c>
      <c r="O827" s="1" t="str">
        <f>IF($N827="","",$C$36&amp;" → "&amp;INDEX(VIRMAN!$E$7:$E$406,$T827)&amp;IF(INDEX(VIRMAN!$G$7:$G$406,$T827)="",""," – "&amp;INDEX(VIRMAN!$G$7:$G$406,$T827)))</f>
        <v/>
      </c>
      <c r="P827" s="1" t="str">
        <f t="shared" si="138"/>
        <v/>
      </c>
      <c r="Q827" s="1">
        <v>0</v>
      </c>
      <c r="R827" s="1">
        <f>IF($N827="",0,INDEX(VIRMAN!$F$7:$F$406,$T827))</f>
        <v>0</v>
      </c>
      <c r="S827" s="1">
        <f t="shared" si="145"/>
        <v>10000000000</v>
      </c>
      <c r="T827" s="1">
        <f>IFERROR(MATCH($C$36&amp;"|94",VIRMAN!$L$7:$L$406,0),0)</f>
        <v>0</v>
      </c>
      <c r="V827" s="1">
        <f t="shared" si="146"/>
        <v>10000000000</v>
      </c>
      <c r="W827" s="1">
        <f t="shared" si="147"/>
        <v>9</v>
      </c>
    </row>
    <row r="828" spans="2:23" ht="14.25" customHeight="1" x14ac:dyDescent="0.3">
      <c r="B828" s="65" t="str">
        <f t="shared" si="139"/>
        <v/>
      </c>
      <c r="C828" s="70" t="str">
        <f t="shared" si="140"/>
        <v/>
      </c>
      <c r="D828" s="74" t="str">
        <f t="shared" si="141"/>
        <v/>
      </c>
      <c r="F828" s="65" t="str">
        <f t="shared" si="142"/>
        <v/>
      </c>
      <c r="G828" s="68" t="str">
        <f t="shared" si="143"/>
        <v/>
      </c>
      <c r="H828" s="68" t="str">
        <f t="shared" si="144"/>
        <v/>
      </c>
      <c r="I828" s="68" t="str">
        <f t="shared" si="148"/>
        <v/>
      </c>
      <c r="M828" s="1">
        <v>791</v>
      </c>
      <c r="N828" s="1" t="str">
        <f>IF($T828=0,"",INDEX(VIRMAN!$C$7:$C$406,$T828))</f>
        <v/>
      </c>
      <c r="O828" s="1" t="str">
        <f>IF($N828="","",$C$36&amp;" → "&amp;INDEX(VIRMAN!$E$7:$E$406,$T828)&amp;IF(INDEX(VIRMAN!$G$7:$G$406,$T828)="",""," – "&amp;INDEX(VIRMAN!$G$7:$G$406,$T828)))</f>
        <v/>
      </c>
      <c r="P828" s="1" t="str">
        <f t="shared" si="138"/>
        <v/>
      </c>
      <c r="Q828" s="1">
        <v>0</v>
      </c>
      <c r="R828" s="1">
        <f>IF($N828="",0,INDEX(VIRMAN!$F$7:$F$406,$T828))</f>
        <v>0</v>
      </c>
      <c r="S828" s="1">
        <f t="shared" si="145"/>
        <v>10000000000</v>
      </c>
      <c r="T828" s="1">
        <f>IFERROR(MATCH($C$36&amp;"|95",VIRMAN!$L$7:$L$406,0),0)</f>
        <v>0</v>
      </c>
      <c r="V828" s="1">
        <f t="shared" si="146"/>
        <v>10000000000</v>
      </c>
      <c r="W828" s="1">
        <f t="shared" si="147"/>
        <v>9</v>
      </c>
    </row>
    <row r="829" spans="2:23" ht="14.25" customHeight="1" x14ac:dyDescent="0.3">
      <c r="B829" s="65" t="str">
        <f t="shared" si="139"/>
        <v/>
      </c>
      <c r="C829" s="70" t="str">
        <f t="shared" si="140"/>
        <v/>
      </c>
      <c r="D829" s="74" t="str">
        <f t="shared" si="141"/>
        <v/>
      </c>
      <c r="F829" s="65" t="str">
        <f t="shared" si="142"/>
        <v/>
      </c>
      <c r="G829" s="68" t="str">
        <f t="shared" si="143"/>
        <v/>
      </c>
      <c r="H829" s="68" t="str">
        <f t="shared" si="144"/>
        <v/>
      </c>
      <c r="I829" s="68" t="str">
        <f t="shared" si="148"/>
        <v/>
      </c>
      <c r="M829" s="1">
        <v>792</v>
      </c>
      <c r="N829" s="1" t="str">
        <f>IF($T829=0,"",INDEX(VIRMAN!$C$7:$C$406,$T829))</f>
        <v/>
      </c>
      <c r="O829" s="1" t="str">
        <f>IF($N829="","",$C$36&amp;" → "&amp;INDEX(VIRMAN!$E$7:$E$406,$T829)&amp;IF(INDEX(VIRMAN!$G$7:$G$406,$T829)="",""," – "&amp;INDEX(VIRMAN!$G$7:$G$406,$T829)))</f>
        <v/>
      </c>
      <c r="P829" s="1" t="str">
        <f t="shared" si="138"/>
        <v/>
      </c>
      <c r="Q829" s="1">
        <v>0</v>
      </c>
      <c r="R829" s="1">
        <f>IF($N829="",0,INDEX(VIRMAN!$F$7:$F$406,$T829))</f>
        <v>0</v>
      </c>
      <c r="S829" s="1">
        <f t="shared" si="145"/>
        <v>10000000000</v>
      </c>
      <c r="T829" s="1">
        <f>IFERROR(MATCH($C$36&amp;"|96",VIRMAN!$L$7:$L$406,0),0)</f>
        <v>0</v>
      </c>
      <c r="V829" s="1">
        <f t="shared" si="146"/>
        <v>10000000000</v>
      </c>
      <c r="W829" s="1">
        <f t="shared" si="147"/>
        <v>9</v>
      </c>
    </row>
    <row r="830" spans="2:23" ht="14.25" customHeight="1" x14ac:dyDescent="0.3">
      <c r="B830" s="65" t="str">
        <f t="shared" si="139"/>
        <v/>
      </c>
      <c r="C830" s="70" t="str">
        <f t="shared" si="140"/>
        <v/>
      </c>
      <c r="D830" s="74" t="str">
        <f t="shared" si="141"/>
        <v/>
      </c>
      <c r="F830" s="65" t="str">
        <f t="shared" si="142"/>
        <v/>
      </c>
      <c r="G830" s="68" t="str">
        <f t="shared" si="143"/>
        <v/>
      </c>
      <c r="H830" s="68" t="str">
        <f t="shared" si="144"/>
        <v/>
      </c>
      <c r="I830" s="68" t="str">
        <f t="shared" si="148"/>
        <v/>
      </c>
      <c r="M830" s="1">
        <v>793</v>
      </c>
      <c r="N830" s="1" t="str">
        <f>IF($T830=0,"",INDEX(VIRMAN!$C$7:$C$406,$T830))</f>
        <v/>
      </c>
      <c r="O830" s="1" t="str">
        <f>IF($N830="","",$C$36&amp;" → "&amp;INDEX(VIRMAN!$E$7:$E$406,$T830)&amp;IF(INDEX(VIRMAN!$G$7:$G$406,$T830)="",""," – "&amp;INDEX(VIRMAN!$G$7:$G$406,$T830)))</f>
        <v/>
      </c>
      <c r="P830" s="1" t="str">
        <f t="shared" ref="P830:P861" si="149">IF($N830="","","OFİSE/KASAYA ÖDEDİ")</f>
        <v/>
      </c>
      <c r="Q830" s="1">
        <v>0</v>
      </c>
      <c r="R830" s="1">
        <f>IF($N830="",0,INDEX(VIRMAN!$F$7:$F$406,$T830))</f>
        <v>0</v>
      </c>
      <c r="S830" s="1">
        <f t="shared" si="145"/>
        <v>10000000000</v>
      </c>
      <c r="T830" s="1">
        <f>IFERROR(MATCH($C$36&amp;"|97",VIRMAN!$L$7:$L$406,0),0)</f>
        <v>0</v>
      </c>
      <c r="V830" s="1">
        <f t="shared" si="146"/>
        <v>10000000000</v>
      </c>
      <c r="W830" s="1">
        <f t="shared" si="147"/>
        <v>9</v>
      </c>
    </row>
    <row r="831" spans="2:23" ht="14.25" customHeight="1" x14ac:dyDescent="0.3">
      <c r="B831" s="65" t="str">
        <f t="shared" si="139"/>
        <v/>
      </c>
      <c r="C831" s="70" t="str">
        <f t="shared" si="140"/>
        <v/>
      </c>
      <c r="D831" s="74" t="str">
        <f t="shared" si="141"/>
        <v/>
      </c>
      <c r="F831" s="65" t="str">
        <f t="shared" si="142"/>
        <v/>
      </c>
      <c r="G831" s="68" t="str">
        <f t="shared" si="143"/>
        <v/>
      </c>
      <c r="H831" s="68" t="str">
        <f t="shared" si="144"/>
        <v/>
      </c>
      <c r="I831" s="68" t="str">
        <f t="shared" si="148"/>
        <v/>
      </c>
      <c r="M831" s="1">
        <v>794</v>
      </c>
      <c r="N831" s="1" t="str">
        <f>IF($T831=0,"",INDEX(VIRMAN!$C$7:$C$406,$T831))</f>
        <v/>
      </c>
      <c r="O831" s="1" t="str">
        <f>IF($N831="","",$C$36&amp;" → "&amp;INDEX(VIRMAN!$E$7:$E$406,$T831)&amp;IF(INDEX(VIRMAN!$G$7:$G$406,$T831)="",""," – "&amp;INDEX(VIRMAN!$G$7:$G$406,$T831)))</f>
        <v/>
      </c>
      <c r="P831" s="1" t="str">
        <f t="shared" si="149"/>
        <v/>
      </c>
      <c r="Q831" s="1">
        <v>0</v>
      </c>
      <c r="R831" s="1">
        <f>IF($N831="",0,INDEX(VIRMAN!$F$7:$F$406,$T831))</f>
        <v>0</v>
      </c>
      <c r="S831" s="1">
        <f t="shared" si="145"/>
        <v>10000000000</v>
      </c>
      <c r="T831" s="1">
        <f>IFERROR(MATCH($C$36&amp;"|98",VIRMAN!$L$7:$L$406,0),0)</f>
        <v>0</v>
      </c>
      <c r="V831" s="1">
        <f t="shared" si="146"/>
        <v>10000000000</v>
      </c>
      <c r="W831" s="1">
        <f t="shared" si="147"/>
        <v>9</v>
      </c>
    </row>
    <row r="832" spans="2:23" ht="14.25" customHeight="1" x14ac:dyDescent="0.3">
      <c r="B832" s="65" t="str">
        <f t="shared" si="139"/>
        <v/>
      </c>
      <c r="C832" s="70" t="str">
        <f t="shared" si="140"/>
        <v/>
      </c>
      <c r="D832" s="74" t="str">
        <f t="shared" si="141"/>
        <v/>
      </c>
      <c r="F832" s="65" t="str">
        <f t="shared" si="142"/>
        <v/>
      </c>
      <c r="G832" s="68" t="str">
        <f t="shared" si="143"/>
        <v/>
      </c>
      <c r="H832" s="68" t="str">
        <f t="shared" si="144"/>
        <v/>
      </c>
      <c r="I832" s="68" t="str">
        <f t="shared" si="148"/>
        <v/>
      </c>
      <c r="M832" s="1">
        <v>795</v>
      </c>
      <c r="N832" s="1" t="str">
        <f>IF($T832=0,"",INDEX(VIRMAN!$C$7:$C$406,$T832))</f>
        <v/>
      </c>
      <c r="O832" s="1" t="str">
        <f>IF($N832="","",$C$36&amp;" → "&amp;INDEX(VIRMAN!$E$7:$E$406,$T832)&amp;IF(INDEX(VIRMAN!$G$7:$G$406,$T832)="",""," – "&amp;INDEX(VIRMAN!$G$7:$G$406,$T832)))</f>
        <v/>
      </c>
      <c r="P832" s="1" t="str">
        <f t="shared" si="149"/>
        <v/>
      </c>
      <c r="Q832" s="1">
        <v>0</v>
      </c>
      <c r="R832" s="1">
        <f>IF($N832="",0,INDEX(VIRMAN!$F$7:$F$406,$T832))</f>
        <v>0</v>
      </c>
      <c r="S832" s="1">
        <f t="shared" si="145"/>
        <v>10000000000</v>
      </c>
      <c r="T832" s="1">
        <f>IFERROR(MATCH($C$36&amp;"|99",VIRMAN!$L$7:$L$406,0),0)</f>
        <v>0</v>
      </c>
      <c r="V832" s="1">
        <f t="shared" si="146"/>
        <v>10000000000</v>
      </c>
      <c r="W832" s="1">
        <f t="shared" si="147"/>
        <v>9</v>
      </c>
    </row>
    <row r="833" spans="2:23" ht="14.25" customHeight="1" x14ac:dyDescent="0.3">
      <c r="B833" s="65" t="str">
        <f t="shared" si="139"/>
        <v/>
      </c>
      <c r="C833" s="70" t="str">
        <f t="shared" si="140"/>
        <v/>
      </c>
      <c r="D833" s="74" t="str">
        <f t="shared" si="141"/>
        <v/>
      </c>
      <c r="F833" s="65" t="str">
        <f t="shared" si="142"/>
        <v/>
      </c>
      <c r="G833" s="68" t="str">
        <f t="shared" si="143"/>
        <v/>
      </c>
      <c r="H833" s="68" t="str">
        <f t="shared" si="144"/>
        <v/>
      </c>
      <c r="I833" s="68" t="str">
        <f t="shared" si="148"/>
        <v/>
      </c>
      <c r="M833" s="1">
        <v>796</v>
      </c>
      <c r="N833" s="1" t="str">
        <f>IF($T833=0,"",INDEX(VIRMAN!$C$7:$C$406,$T833))</f>
        <v/>
      </c>
      <c r="O833" s="1" t="str">
        <f>IF($N833="","",$C$36&amp;" → "&amp;INDEX(VIRMAN!$E$7:$E$406,$T833)&amp;IF(INDEX(VIRMAN!$G$7:$G$406,$T833)="",""," – "&amp;INDEX(VIRMAN!$G$7:$G$406,$T833)))</f>
        <v/>
      </c>
      <c r="P833" s="1" t="str">
        <f t="shared" si="149"/>
        <v/>
      </c>
      <c r="Q833" s="1">
        <v>0</v>
      </c>
      <c r="R833" s="1">
        <f>IF($N833="",0,INDEX(VIRMAN!$F$7:$F$406,$T833))</f>
        <v>0</v>
      </c>
      <c r="S833" s="1">
        <f t="shared" si="145"/>
        <v>10000000000</v>
      </c>
      <c r="T833" s="1">
        <f>IFERROR(MATCH($C$36&amp;"|100",VIRMAN!$L$7:$L$406,0),0)</f>
        <v>0</v>
      </c>
      <c r="V833" s="1">
        <f t="shared" si="146"/>
        <v>10000000000</v>
      </c>
      <c r="W833" s="1">
        <f t="shared" si="147"/>
        <v>9</v>
      </c>
    </row>
    <row r="834" spans="2:23" ht="14.25" customHeight="1" x14ac:dyDescent="0.3">
      <c r="B834" s="65" t="str">
        <f t="shared" si="139"/>
        <v/>
      </c>
      <c r="C834" s="70" t="str">
        <f t="shared" si="140"/>
        <v/>
      </c>
      <c r="D834" s="74" t="str">
        <f t="shared" si="141"/>
        <v/>
      </c>
      <c r="F834" s="65" t="str">
        <f t="shared" si="142"/>
        <v/>
      </c>
      <c r="G834" s="68" t="str">
        <f t="shared" si="143"/>
        <v/>
      </c>
      <c r="H834" s="68" t="str">
        <f t="shared" si="144"/>
        <v/>
      </c>
      <c r="I834" s="68" t="str">
        <f t="shared" si="148"/>
        <v/>
      </c>
      <c r="M834" s="1">
        <v>797</v>
      </c>
      <c r="N834" s="1" t="str">
        <f>IF($T834=0,"",INDEX(VIRMAN!$C$7:$C$406,$T834))</f>
        <v/>
      </c>
      <c r="O834" s="1" t="str">
        <f>IF($N834="","",$C$36&amp;" → "&amp;INDEX(VIRMAN!$E$7:$E$406,$T834)&amp;IF(INDEX(VIRMAN!$G$7:$G$406,$T834)="",""," – "&amp;INDEX(VIRMAN!$G$7:$G$406,$T834)))</f>
        <v/>
      </c>
      <c r="P834" s="1" t="str">
        <f t="shared" si="149"/>
        <v/>
      </c>
      <c r="Q834" s="1">
        <v>0</v>
      </c>
      <c r="R834" s="1">
        <f>IF($N834="",0,INDEX(VIRMAN!$F$7:$F$406,$T834))</f>
        <v>0</v>
      </c>
      <c r="S834" s="1">
        <f t="shared" si="145"/>
        <v>10000000000</v>
      </c>
      <c r="T834" s="1">
        <f>IFERROR(MATCH($C$36&amp;"|101",VIRMAN!$L$7:$L$406,0),0)</f>
        <v>0</v>
      </c>
      <c r="V834" s="1">
        <f t="shared" si="146"/>
        <v>10000000000</v>
      </c>
      <c r="W834" s="1">
        <f t="shared" si="147"/>
        <v>9</v>
      </c>
    </row>
    <row r="835" spans="2:23" ht="14.25" customHeight="1" x14ac:dyDescent="0.3">
      <c r="B835" s="65" t="str">
        <f t="shared" si="139"/>
        <v/>
      </c>
      <c r="C835" s="70" t="str">
        <f t="shared" si="140"/>
        <v/>
      </c>
      <c r="D835" s="74" t="str">
        <f t="shared" si="141"/>
        <v/>
      </c>
      <c r="F835" s="65" t="str">
        <f t="shared" si="142"/>
        <v/>
      </c>
      <c r="G835" s="68" t="str">
        <f t="shared" si="143"/>
        <v/>
      </c>
      <c r="H835" s="68" t="str">
        <f t="shared" si="144"/>
        <v/>
      </c>
      <c r="I835" s="68" t="str">
        <f t="shared" si="148"/>
        <v/>
      </c>
      <c r="M835" s="1">
        <v>798</v>
      </c>
      <c r="N835" s="1" t="str">
        <f>IF($T835=0,"",INDEX(VIRMAN!$C$7:$C$406,$T835))</f>
        <v/>
      </c>
      <c r="O835" s="1" t="str">
        <f>IF($N835="","",$C$36&amp;" → "&amp;INDEX(VIRMAN!$E$7:$E$406,$T835)&amp;IF(INDEX(VIRMAN!$G$7:$G$406,$T835)="",""," – "&amp;INDEX(VIRMAN!$G$7:$G$406,$T835)))</f>
        <v/>
      </c>
      <c r="P835" s="1" t="str">
        <f t="shared" si="149"/>
        <v/>
      </c>
      <c r="Q835" s="1">
        <v>0</v>
      </c>
      <c r="R835" s="1">
        <f>IF($N835="",0,INDEX(VIRMAN!$F$7:$F$406,$T835))</f>
        <v>0</v>
      </c>
      <c r="S835" s="1">
        <f t="shared" si="145"/>
        <v>10000000000</v>
      </c>
      <c r="T835" s="1">
        <f>IFERROR(MATCH($C$36&amp;"|102",VIRMAN!$L$7:$L$406,0),0)</f>
        <v>0</v>
      </c>
      <c r="V835" s="1">
        <f t="shared" si="146"/>
        <v>10000000000</v>
      </c>
      <c r="W835" s="1">
        <f t="shared" si="147"/>
        <v>9</v>
      </c>
    </row>
    <row r="836" spans="2:23" ht="14.25" customHeight="1" x14ac:dyDescent="0.3">
      <c r="B836" s="65" t="str">
        <f t="shared" si="139"/>
        <v/>
      </c>
      <c r="C836" s="70" t="str">
        <f t="shared" si="140"/>
        <v/>
      </c>
      <c r="D836" s="74" t="str">
        <f t="shared" si="141"/>
        <v/>
      </c>
      <c r="F836" s="65" t="str">
        <f t="shared" si="142"/>
        <v/>
      </c>
      <c r="G836" s="68" t="str">
        <f t="shared" si="143"/>
        <v/>
      </c>
      <c r="H836" s="68" t="str">
        <f t="shared" si="144"/>
        <v/>
      </c>
      <c r="I836" s="68" t="str">
        <f t="shared" si="148"/>
        <v/>
      </c>
      <c r="M836" s="1">
        <v>799</v>
      </c>
      <c r="N836" s="1" t="str">
        <f>IF($T836=0,"",INDEX(VIRMAN!$C$7:$C$406,$T836))</f>
        <v/>
      </c>
      <c r="O836" s="1" t="str">
        <f>IF($N836="","",$C$36&amp;" → "&amp;INDEX(VIRMAN!$E$7:$E$406,$T836)&amp;IF(INDEX(VIRMAN!$G$7:$G$406,$T836)="",""," – "&amp;INDEX(VIRMAN!$G$7:$G$406,$T836)))</f>
        <v/>
      </c>
      <c r="P836" s="1" t="str">
        <f t="shared" si="149"/>
        <v/>
      </c>
      <c r="Q836" s="1">
        <v>0</v>
      </c>
      <c r="R836" s="1">
        <f>IF($N836="",0,INDEX(VIRMAN!$F$7:$F$406,$T836))</f>
        <v>0</v>
      </c>
      <c r="S836" s="1">
        <f t="shared" si="145"/>
        <v>10000000000</v>
      </c>
      <c r="T836" s="1">
        <f>IFERROR(MATCH($C$36&amp;"|103",VIRMAN!$L$7:$L$406,0),0)</f>
        <v>0</v>
      </c>
      <c r="V836" s="1">
        <f t="shared" si="146"/>
        <v>10000000000</v>
      </c>
      <c r="W836" s="1">
        <f t="shared" si="147"/>
        <v>9</v>
      </c>
    </row>
    <row r="837" spans="2:23" ht="14.25" customHeight="1" x14ac:dyDescent="0.3">
      <c r="B837" s="65" t="str">
        <f t="shared" si="139"/>
        <v/>
      </c>
      <c r="C837" s="70" t="str">
        <f t="shared" si="140"/>
        <v/>
      </c>
      <c r="D837" s="74" t="str">
        <f t="shared" si="141"/>
        <v/>
      </c>
      <c r="F837" s="65" t="str">
        <f t="shared" si="142"/>
        <v/>
      </c>
      <c r="G837" s="68" t="str">
        <f t="shared" si="143"/>
        <v/>
      </c>
      <c r="H837" s="68" t="str">
        <f t="shared" si="144"/>
        <v/>
      </c>
      <c r="I837" s="68" t="str">
        <f t="shared" si="148"/>
        <v/>
      </c>
      <c r="M837" s="1">
        <v>800</v>
      </c>
      <c r="N837" s="1" t="str">
        <f>IF($T837=0,"",INDEX(VIRMAN!$C$7:$C$406,$T837))</f>
        <v/>
      </c>
      <c r="O837" s="1" t="str">
        <f>IF($N837="","",$C$36&amp;" → "&amp;INDEX(VIRMAN!$E$7:$E$406,$T837)&amp;IF(INDEX(VIRMAN!$G$7:$G$406,$T837)="",""," – "&amp;INDEX(VIRMAN!$G$7:$G$406,$T837)))</f>
        <v/>
      </c>
      <c r="P837" s="1" t="str">
        <f t="shared" si="149"/>
        <v/>
      </c>
      <c r="Q837" s="1">
        <v>0</v>
      </c>
      <c r="R837" s="1">
        <f>IF($N837="",0,INDEX(VIRMAN!$F$7:$F$406,$T837))</f>
        <v>0</v>
      </c>
      <c r="S837" s="1">
        <f t="shared" si="145"/>
        <v>10000000000</v>
      </c>
      <c r="T837" s="1">
        <f>IFERROR(MATCH($C$36&amp;"|104",VIRMAN!$L$7:$L$406,0),0)</f>
        <v>0</v>
      </c>
      <c r="V837" s="1">
        <f t="shared" si="146"/>
        <v>10000000000</v>
      </c>
      <c r="W837" s="1">
        <f t="shared" si="147"/>
        <v>9</v>
      </c>
    </row>
    <row r="838" spans="2:23" ht="14.25" customHeight="1" x14ac:dyDescent="0.3">
      <c r="B838" s="65" t="str">
        <f t="shared" si="139"/>
        <v/>
      </c>
      <c r="C838" s="70" t="str">
        <f t="shared" si="140"/>
        <v/>
      </c>
      <c r="D838" s="74" t="str">
        <f t="shared" si="141"/>
        <v/>
      </c>
      <c r="F838" s="65" t="str">
        <f t="shared" si="142"/>
        <v/>
      </c>
      <c r="G838" s="68" t="str">
        <f t="shared" si="143"/>
        <v/>
      </c>
      <c r="H838" s="68" t="str">
        <f t="shared" si="144"/>
        <v/>
      </c>
      <c r="I838" s="68" t="str">
        <f t="shared" si="148"/>
        <v/>
      </c>
      <c r="M838" s="1">
        <v>801</v>
      </c>
      <c r="N838" s="1" t="str">
        <f>IF($T838=0,"",INDEX(VIRMAN!$C$7:$C$406,$T838))</f>
        <v/>
      </c>
      <c r="O838" s="1" t="str">
        <f>IF($N838="","",$C$36&amp;" → "&amp;INDEX(VIRMAN!$E$7:$E$406,$T838)&amp;IF(INDEX(VIRMAN!$G$7:$G$406,$T838)="",""," – "&amp;INDEX(VIRMAN!$G$7:$G$406,$T838)))</f>
        <v/>
      </c>
      <c r="P838" s="1" t="str">
        <f t="shared" si="149"/>
        <v/>
      </c>
      <c r="Q838" s="1">
        <v>0</v>
      </c>
      <c r="R838" s="1">
        <f>IF($N838="",0,INDEX(VIRMAN!$F$7:$F$406,$T838))</f>
        <v>0</v>
      </c>
      <c r="S838" s="1">
        <f t="shared" si="145"/>
        <v>10000000000</v>
      </c>
      <c r="T838" s="1">
        <f>IFERROR(MATCH($C$36&amp;"|105",VIRMAN!$L$7:$L$406,0),0)</f>
        <v>0</v>
      </c>
      <c r="V838" s="1">
        <f t="shared" si="146"/>
        <v>10000000000</v>
      </c>
      <c r="W838" s="1">
        <f t="shared" si="147"/>
        <v>9</v>
      </c>
    </row>
    <row r="839" spans="2:23" ht="14.25" customHeight="1" x14ac:dyDescent="0.3">
      <c r="B839" s="65" t="str">
        <f t="shared" si="139"/>
        <v/>
      </c>
      <c r="C839" s="70" t="str">
        <f t="shared" si="140"/>
        <v/>
      </c>
      <c r="D839" s="74" t="str">
        <f t="shared" si="141"/>
        <v/>
      </c>
      <c r="F839" s="65" t="str">
        <f t="shared" si="142"/>
        <v/>
      </c>
      <c r="G839" s="68" t="str">
        <f t="shared" si="143"/>
        <v/>
      </c>
      <c r="H839" s="68" t="str">
        <f t="shared" si="144"/>
        <v/>
      </c>
      <c r="I839" s="68" t="str">
        <f t="shared" si="148"/>
        <v/>
      </c>
      <c r="M839" s="1">
        <v>802</v>
      </c>
      <c r="N839" s="1" t="str">
        <f>IF($T839=0,"",INDEX(VIRMAN!$C$7:$C$406,$T839))</f>
        <v/>
      </c>
      <c r="O839" s="1" t="str">
        <f>IF($N839="","",$C$36&amp;" → "&amp;INDEX(VIRMAN!$E$7:$E$406,$T839)&amp;IF(INDEX(VIRMAN!$G$7:$G$406,$T839)="",""," – "&amp;INDEX(VIRMAN!$G$7:$G$406,$T839)))</f>
        <v/>
      </c>
      <c r="P839" s="1" t="str">
        <f t="shared" si="149"/>
        <v/>
      </c>
      <c r="Q839" s="1">
        <v>0</v>
      </c>
      <c r="R839" s="1">
        <f>IF($N839="",0,INDEX(VIRMAN!$F$7:$F$406,$T839))</f>
        <v>0</v>
      </c>
      <c r="S839" s="1">
        <f t="shared" si="145"/>
        <v>10000000000</v>
      </c>
      <c r="T839" s="1">
        <f>IFERROR(MATCH($C$36&amp;"|106",VIRMAN!$L$7:$L$406,0),0)</f>
        <v>0</v>
      </c>
      <c r="V839" s="1">
        <f t="shared" si="146"/>
        <v>10000000000</v>
      </c>
      <c r="W839" s="1">
        <f t="shared" si="147"/>
        <v>9</v>
      </c>
    </row>
    <row r="840" spans="2:23" ht="14.25" customHeight="1" x14ac:dyDescent="0.3">
      <c r="B840" s="65" t="str">
        <f t="shared" si="139"/>
        <v/>
      </c>
      <c r="C840" s="70" t="str">
        <f t="shared" si="140"/>
        <v/>
      </c>
      <c r="D840" s="74" t="str">
        <f t="shared" si="141"/>
        <v/>
      </c>
      <c r="F840" s="65" t="str">
        <f t="shared" si="142"/>
        <v/>
      </c>
      <c r="G840" s="68" t="str">
        <f t="shared" si="143"/>
        <v/>
      </c>
      <c r="H840" s="68" t="str">
        <f t="shared" si="144"/>
        <v/>
      </c>
      <c r="I840" s="68" t="str">
        <f t="shared" si="148"/>
        <v/>
      </c>
      <c r="M840" s="1">
        <v>803</v>
      </c>
      <c r="N840" s="1" t="str">
        <f>IF($T840=0,"",INDEX(VIRMAN!$C$7:$C$406,$T840))</f>
        <v/>
      </c>
      <c r="O840" s="1" t="str">
        <f>IF($N840="","",$C$36&amp;" → "&amp;INDEX(VIRMAN!$E$7:$E$406,$T840)&amp;IF(INDEX(VIRMAN!$G$7:$G$406,$T840)="",""," – "&amp;INDEX(VIRMAN!$G$7:$G$406,$T840)))</f>
        <v/>
      </c>
      <c r="P840" s="1" t="str">
        <f t="shared" si="149"/>
        <v/>
      </c>
      <c r="Q840" s="1">
        <v>0</v>
      </c>
      <c r="R840" s="1">
        <f>IF($N840="",0,INDEX(VIRMAN!$F$7:$F$406,$T840))</f>
        <v>0</v>
      </c>
      <c r="S840" s="1">
        <f t="shared" si="145"/>
        <v>10000000000</v>
      </c>
      <c r="T840" s="1">
        <f>IFERROR(MATCH($C$36&amp;"|107",VIRMAN!$L$7:$L$406,0),0)</f>
        <v>0</v>
      </c>
      <c r="V840" s="1">
        <f t="shared" si="146"/>
        <v>10000000000</v>
      </c>
      <c r="W840" s="1">
        <f t="shared" si="147"/>
        <v>9</v>
      </c>
    </row>
    <row r="841" spans="2:23" ht="14.25" customHeight="1" x14ac:dyDescent="0.3">
      <c r="B841" s="65" t="str">
        <f t="shared" si="139"/>
        <v/>
      </c>
      <c r="C841" s="70" t="str">
        <f t="shared" si="140"/>
        <v/>
      </c>
      <c r="D841" s="74" t="str">
        <f t="shared" si="141"/>
        <v/>
      </c>
      <c r="F841" s="65" t="str">
        <f t="shared" si="142"/>
        <v/>
      </c>
      <c r="G841" s="68" t="str">
        <f t="shared" si="143"/>
        <v/>
      </c>
      <c r="H841" s="68" t="str">
        <f t="shared" si="144"/>
        <v/>
      </c>
      <c r="I841" s="68" t="str">
        <f t="shared" si="148"/>
        <v/>
      </c>
      <c r="M841" s="1">
        <v>804</v>
      </c>
      <c r="N841" s="1" t="str">
        <f>IF($T841=0,"",INDEX(VIRMAN!$C$7:$C$406,$T841))</f>
        <v/>
      </c>
      <c r="O841" s="1" t="str">
        <f>IF($N841="","",$C$36&amp;" → "&amp;INDEX(VIRMAN!$E$7:$E$406,$T841)&amp;IF(INDEX(VIRMAN!$G$7:$G$406,$T841)="",""," – "&amp;INDEX(VIRMAN!$G$7:$G$406,$T841)))</f>
        <v/>
      </c>
      <c r="P841" s="1" t="str">
        <f t="shared" si="149"/>
        <v/>
      </c>
      <c r="Q841" s="1">
        <v>0</v>
      </c>
      <c r="R841" s="1">
        <f>IF($N841="",0,INDEX(VIRMAN!$F$7:$F$406,$T841))</f>
        <v>0</v>
      </c>
      <c r="S841" s="1">
        <f t="shared" si="145"/>
        <v>10000000000</v>
      </c>
      <c r="T841" s="1">
        <f>IFERROR(MATCH($C$36&amp;"|108",VIRMAN!$L$7:$L$406,0),0)</f>
        <v>0</v>
      </c>
      <c r="V841" s="1">
        <f t="shared" si="146"/>
        <v>10000000000</v>
      </c>
      <c r="W841" s="1">
        <f t="shared" si="147"/>
        <v>9</v>
      </c>
    </row>
    <row r="842" spans="2:23" ht="14.25" customHeight="1" x14ac:dyDescent="0.3">
      <c r="B842" s="65" t="str">
        <f t="shared" si="139"/>
        <v/>
      </c>
      <c r="C842" s="70" t="str">
        <f t="shared" si="140"/>
        <v/>
      </c>
      <c r="D842" s="74" t="str">
        <f t="shared" si="141"/>
        <v/>
      </c>
      <c r="F842" s="65" t="str">
        <f t="shared" si="142"/>
        <v/>
      </c>
      <c r="G842" s="68" t="str">
        <f t="shared" si="143"/>
        <v/>
      </c>
      <c r="H842" s="68" t="str">
        <f t="shared" si="144"/>
        <v/>
      </c>
      <c r="I842" s="68" t="str">
        <f t="shared" si="148"/>
        <v/>
      </c>
      <c r="M842" s="1">
        <v>805</v>
      </c>
      <c r="N842" s="1" t="str">
        <f>IF($T842=0,"",INDEX(VIRMAN!$C$7:$C$406,$T842))</f>
        <v/>
      </c>
      <c r="O842" s="1" t="str">
        <f>IF($N842="","",$C$36&amp;" → "&amp;INDEX(VIRMAN!$E$7:$E$406,$T842)&amp;IF(INDEX(VIRMAN!$G$7:$G$406,$T842)="",""," – "&amp;INDEX(VIRMAN!$G$7:$G$406,$T842)))</f>
        <v/>
      </c>
      <c r="P842" s="1" t="str">
        <f t="shared" si="149"/>
        <v/>
      </c>
      <c r="Q842" s="1">
        <v>0</v>
      </c>
      <c r="R842" s="1">
        <f>IF($N842="",0,INDEX(VIRMAN!$F$7:$F$406,$T842))</f>
        <v>0</v>
      </c>
      <c r="S842" s="1">
        <f t="shared" si="145"/>
        <v>10000000000</v>
      </c>
      <c r="T842" s="1">
        <f>IFERROR(MATCH($C$36&amp;"|109",VIRMAN!$L$7:$L$406,0),0)</f>
        <v>0</v>
      </c>
      <c r="V842" s="1">
        <f t="shared" si="146"/>
        <v>10000000000</v>
      </c>
      <c r="W842" s="1">
        <f t="shared" si="147"/>
        <v>9</v>
      </c>
    </row>
    <row r="843" spans="2:23" ht="14.25" customHeight="1" x14ac:dyDescent="0.3">
      <c r="B843" s="65" t="str">
        <f t="shared" si="139"/>
        <v/>
      </c>
      <c r="C843" s="70" t="str">
        <f t="shared" si="140"/>
        <v/>
      </c>
      <c r="D843" s="74" t="str">
        <f t="shared" si="141"/>
        <v/>
      </c>
      <c r="F843" s="65" t="str">
        <f t="shared" si="142"/>
        <v/>
      </c>
      <c r="G843" s="68" t="str">
        <f t="shared" si="143"/>
        <v/>
      </c>
      <c r="H843" s="68" t="str">
        <f t="shared" si="144"/>
        <v/>
      </c>
      <c r="I843" s="68" t="str">
        <f t="shared" si="148"/>
        <v/>
      </c>
      <c r="M843" s="1">
        <v>806</v>
      </c>
      <c r="N843" s="1" t="str">
        <f>IF($T843=0,"",INDEX(VIRMAN!$C$7:$C$406,$T843))</f>
        <v/>
      </c>
      <c r="O843" s="1" t="str">
        <f>IF($N843="","",$C$36&amp;" → "&amp;INDEX(VIRMAN!$E$7:$E$406,$T843)&amp;IF(INDEX(VIRMAN!$G$7:$G$406,$T843)="",""," – "&amp;INDEX(VIRMAN!$G$7:$G$406,$T843)))</f>
        <v/>
      </c>
      <c r="P843" s="1" t="str">
        <f t="shared" si="149"/>
        <v/>
      </c>
      <c r="Q843" s="1">
        <v>0</v>
      </c>
      <c r="R843" s="1">
        <f>IF($N843="",0,INDEX(VIRMAN!$F$7:$F$406,$T843))</f>
        <v>0</v>
      </c>
      <c r="S843" s="1">
        <f t="shared" si="145"/>
        <v>10000000000</v>
      </c>
      <c r="T843" s="1">
        <f>IFERROR(MATCH($C$36&amp;"|110",VIRMAN!$L$7:$L$406,0),0)</f>
        <v>0</v>
      </c>
      <c r="V843" s="1">
        <f t="shared" si="146"/>
        <v>10000000000</v>
      </c>
      <c r="W843" s="1">
        <f t="shared" si="147"/>
        <v>9</v>
      </c>
    </row>
    <row r="844" spans="2:23" ht="14.25" customHeight="1" x14ac:dyDescent="0.3">
      <c r="B844" s="65" t="str">
        <f t="shared" si="139"/>
        <v/>
      </c>
      <c r="C844" s="70" t="str">
        <f t="shared" si="140"/>
        <v/>
      </c>
      <c r="D844" s="74" t="str">
        <f t="shared" si="141"/>
        <v/>
      </c>
      <c r="F844" s="65" t="str">
        <f t="shared" si="142"/>
        <v/>
      </c>
      <c r="G844" s="68" t="str">
        <f t="shared" si="143"/>
        <v/>
      </c>
      <c r="H844" s="68" t="str">
        <f t="shared" si="144"/>
        <v/>
      </c>
      <c r="I844" s="68" t="str">
        <f t="shared" si="148"/>
        <v/>
      </c>
      <c r="M844" s="1">
        <v>807</v>
      </c>
      <c r="N844" s="1" t="str">
        <f>IF($T844=0,"",INDEX(VIRMAN!$C$7:$C$406,$T844))</f>
        <v/>
      </c>
      <c r="O844" s="1" t="str">
        <f>IF($N844="","",$C$36&amp;" → "&amp;INDEX(VIRMAN!$E$7:$E$406,$T844)&amp;IF(INDEX(VIRMAN!$G$7:$G$406,$T844)="",""," – "&amp;INDEX(VIRMAN!$G$7:$G$406,$T844)))</f>
        <v/>
      </c>
      <c r="P844" s="1" t="str">
        <f t="shared" si="149"/>
        <v/>
      </c>
      <c r="Q844" s="1">
        <v>0</v>
      </c>
      <c r="R844" s="1">
        <f>IF($N844="",0,INDEX(VIRMAN!$F$7:$F$406,$T844))</f>
        <v>0</v>
      </c>
      <c r="S844" s="1">
        <f t="shared" si="145"/>
        <v>10000000000</v>
      </c>
      <c r="T844" s="1">
        <f>IFERROR(MATCH($C$36&amp;"|111",VIRMAN!$L$7:$L$406,0),0)</f>
        <v>0</v>
      </c>
      <c r="V844" s="1">
        <f t="shared" si="146"/>
        <v>10000000000</v>
      </c>
      <c r="W844" s="1">
        <f t="shared" si="147"/>
        <v>9</v>
      </c>
    </row>
    <row r="845" spans="2:23" ht="14.25" customHeight="1" x14ac:dyDescent="0.3">
      <c r="B845" s="65" t="str">
        <f t="shared" si="139"/>
        <v/>
      </c>
      <c r="C845" s="70" t="str">
        <f t="shared" si="140"/>
        <v/>
      </c>
      <c r="D845" s="74" t="str">
        <f t="shared" si="141"/>
        <v/>
      </c>
      <c r="F845" s="65" t="str">
        <f t="shared" si="142"/>
        <v/>
      </c>
      <c r="G845" s="68" t="str">
        <f t="shared" si="143"/>
        <v/>
      </c>
      <c r="H845" s="68" t="str">
        <f t="shared" si="144"/>
        <v/>
      </c>
      <c r="I845" s="68" t="str">
        <f t="shared" si="148"/>
        <v/>
      </c>
      <c r="M845" s="1">
        <v>808</v>
      </c>
      <c r="N845" s="1" t="str">
        <f>IF($T845=0,"",INDEX(VIRMAN!$C$7:$C$406,$T845))</f>
        <v/>
      </c>
      <c r="O845" s="1" t="str">
        <f>IF($N845="","",$C$36&amp;" → "&amp;INDEX(VIRMAN!$E$7:$E$406,$T845)&amp;IF(INDEX(VIRMAN!$G$7:$G$406,$T845)="",""," – "&amp;INDEX(VIRMAN!$G$7:$G$406,$T845)))</f>
        <v/>
      </c>
      <c r="P845" s="1" t="str">
        <f t="shared" si="149"/>
        <v/>
      </c>
      <c r="Q845" s="1">
        <v>0</v>
      </c>
      <c r="R845" s="1">
        <f>IF($N845="",0,INDEX(VIRMAN!$F$7:$F$406,$T845))</f>
        <v>0</v>
      </c>
      <c r="S845" s="1">
        <f t="shared" si="145"/>
        <v>10000000000</v>
      </c>
      <c r="T845" s="1">
        <f>IFERROR(MATCH($C$36&amp;"|112",VIRMAN!$L$7:$L$406,0),0)</f>
        <v>0</v>
      </c>
      <c r="V845" s="1">
        <f t="shared" si="146"/>
        <v>10000000000</v>
      </c>
      <c r="W845" s="1">
        <f t="shared" si="147"/>
        <v>9</v>
      </c>
    </row>
    <row r="846" spans="2:23" ht="14.25" customHeight="1" x14ac:dyDescent="0.3">
      <c r="B846" s="65" t="str">
        <f t="shared" si="139"/>
        <v/>
      </c>
      <c r="C846" s="70" t="str">
        <f t="shared" si="140"/>
        <v/>
      </c>
      <c r="D846" s="74" t="str">
        <f t="shared" si="141"/>
        <v/>
      </c>
      <c r="F846" s="65" t="str">
        <f t="shared" si="142"/>
        <v/>
      </c>
      <c r="G846" s="68" t="str">
        <f t="shared" si="143"/>
        <v/>
      </c>
      <c r="H846" s="68" t="str">
        <f t="shared" si="144"/>
        <v/>
      </c>
      <c r="I846" s="68" t="str">
        <f t="shared" si="148"/>
        <v/>
      </c>
      <c r="M846" s="1">
        <v>809</v>
      </c>
      <c r="N846" s="1" t="str">
        <f>IF($T846=0,"",INDEX(VIRMAN!$C$7:$C$406,$T846))</f>
        <v/>
      </c>
      <c r="O846" s="1" t="str">
        <f>IF($N846="","",$C$36&amp;" → "&amp;INDEX(VIRMAN!$E$7:$E$406,$T846)&amp;IF(INDEX(VIRMAN!$G$7:$G$406,$T846)="",""," – "&amp;INDEX(VIRMAN!$G$7:$G$406,$T846)))</f>
        <v/>
      </c>
      <c r="P846" s="1" t="str">
        <f t="shared" si="149"/>
        <v/>
      </c>
      <c r="Q846" s="1">
        <v>0</v>
      </c>
      <c r="R846" s="1">
        <f>IF($N846="",0,INDEX(VIRMAN!$F$7:$F$406,$T846))</f>
        <v>0</v>
      </c>
      <c r="S846" s="1">
        <f t="shared" si="145"/>
        <v>10000000000</v>
      </c>
      <c r="T846" s="1">
        <f>IFERROR(MATCH($C$36&amp;"|113",VIRMAN!$L$7:$L$406,0),0)</f>
        <v>0</v>
      </c>
      <c r="V846" s="1">
        <f t="shared" si="146"/>
        <v>10000000000</v>
      </c>
      <c r="W846" s="1">
        <f t="shared" si="147"/>
        <v>9</v>
      </c>
    </row>
    <row r="847" spans="2:23" ht="14.25" customHeight="1" x14ac:dyDescent="0.3">
      <c r="B847" s="65" t="str">
        <f t="shared" si="139"/>
        <v/>
      </c>
      <c r="C847" s="70" t="str">
        <f t="shared" si="140"/>
        <v/>
      </c>
      <c r="D847" s="74" t="str">
        <f t="shared" si="141"/>
        <v/>
      </c>
      <c r="F847" s="65" t="str">
        <f t="shared" si="142"/>
        <v/>
      </c>
      <c r="G847" s="68" t="str">
        <f t="shared" si="143"/>
        <v/>
      </c>
      <c r="H847" s="68" t="str">
        <f t="shared" si="144"/>
        <v/>
      </c>
      <c r="I847" s="68" t="str">
        <f t="shared" si="148"/>
        <v/>
      </c>
      <c r="M847" s="1">
        <v>810</v>
      </c>
      <c r="N847" s="1" t="str">
        <f>IF($T847=0,"",INDEX(VIRMAN!$C$7:$C$406,$T847))</f>
        <v/>
      </c>
      <c r="O847" s="1" t="str">
        <f>IF($N847="","",$C$36&amp;" → "&amp;INDEX(VIRMAN!$E$7:$E$406,$T847)&amp;IF(INDEX(VIRMAN!$G$7:$G$406,$T847)="",""," – "&amp;INDEX(VIRMAN!$G$7:$G$406,$T847)))</f>
        <v/>
      </c>
      <c r="P847" s="1" t="str">
        <f t="shared" si="149"/>
        <v/>
      </c>
      <c r="Q847" s="1">
        <v>0</v>
      </c>
      <c r="R847" s="1">
        <f>IF($N847="",0,INDEX(VIRMAN!$F$7:$F$406,$T847))</f>
        <v>0</v>
      </c>
      <c r="S847" s="1">
        <f t="shared" si="145"/>
        <v>10000000000</v>
      </c>
      <c r="T847" s="1">
        <f>IFERROR(MATCH($C$36&amp;"|114",VIRMAN!$L$7:$L$406,0),0)</f>
        <v>0</v>
      </c>
      <c r="V847" s="1">
        <f t="shared" si="146"/>
        <v>10000000000</v>
      </c>
      <c r="W847" s="1">
        <f t="shared" si="147"/>
        <v>9</v>
      </c>
    </row>
    <row r="848" spans="2:23" ht="14.25" customHeight="1" x14ac:dyDescent="0.3">
      <c r="B848" s="65" t="str">
        <f t="shared" si="139"/>
        <v/>
      </c>
      <c r="C848" s="70" t="str">
        <f t="shared" si="140"/>
        <v/>
      </c>
      <c r="D848" s="74" t="str">
        <f t="shared" si="141"/>
        <v/>
      </c>
      <c r="F848" s="65" t="str">
        <f t="shared" si="142"/>
        <v/>
      </c>
      <c r="G848" s="68" t="str">
        <f t="shared" si="143"/>
        <v/>
      </c>
      <c r="H848" s="68" t="str">
        <f t="shared" si="144"/>
        <v/>
      </c>
      <c r="I848" s="68" t="str">
        <f t="shared" si="148"/>
        <v/>
      </c>
      <c r="M848" s="1">
        <v>811</v>
      </c>
      <c r="N848" s="1" t="str">
        <f>IF($T848=0,"",INDEX(VIRMAN!$C$7:$C$406,$T848))</f>
        <v/>
      </c>
      <c r="O848" s="1" t="str">
        <f>IF($N848="","",$C$36&amp;" → "&amp;INDEX(VIRMAN!$E$7:$E$406,$T848)&amp;IF(INDEX(VIRMAN!$G$7:$G$406,$T848)="",""," – "&amp;INDEX(VIRMAN!$G$7:$G$406,$T848)))</f>
        <v/>
      </c>
      <c r="P848" s="1" t="str">
        <f t="shared" si="149"/>
        <v/>
      </c>
      <c r="Q848" s="1">
        <v>0</v>
      </c>
      <c r="R848" s="1">
        <f>IF($N848="",0,INDEX(VIRMAN!$F$7:$F$406,$T848))</f>
        <v>0</v>
      </c>
      <c r="S848" s="1">
        <f t="shared" si="145"/>
        <v>10000000000</v>
      </c>
      <c r="T848" s="1">
        <f>IFERROR(MATCH($C$36&amp;"|115",VIRMAN!$L$7:$L$406,0),0)</f>
        <v>0</v>
      </c>
      <c r="V848" s="1">
        <f t="shared" si="146"/>
        <v>10000000000</v>
      </c>
      <c r="W848" s="1">
        <f t="shared" si="147"/>
        <v>9</v>
      </c>
    </row>
    <row r="849" spans="2:23" ht="14.25" customHeight="1" x14ac:dyDescent="0.3">
      <c r="B849" s="65" t="str">
        <f t="shared" si="139"/>
        <v/>
      </c>
      <c r="C849" s="70" t="str">
        <f t="shared" si="140"/>
        <v/>
      </c>
      <c r="D849" s="74" t="str">
        <f t="shared" si="141"/>
        <v/>
      </c>
      <c r="F849" s="65" t="str">
        <f t="shared" si="142"/>
        <v/>
      </c>
      <c r="G849" s="68" t="str">
        <f t="shared" si="143"/>
        <v/>
      </c>
      <c r="H849" s="68" t="str">
        <f t="shared" si="144"/>
        <v/>
      </c>
      <c r="I849" s="68" t="str">
        <f t="shared" si="148"/>
        <v/>
      </c>
      <c r="M849" s="1">
        <v>812</v>
      </c>
      <c r="N849" s="1" t="str">
        <f>IF($T849=0,"",INDEX(VIRMAN!$C$7:$C$406,$T849))</f>
        <v/>
      </c>
      <c r="O849" s="1" t="str">
        <f>IF($N849="","",$C$36&amp;" → "&amp;INDEX(VIRMAN!$E$7:$E$406,$T849)&amp;IF(INDEX(VIRMAN!$G$7:$G$406,$T849)="",""," – "&amp;INDEX(VIRMAN!$G$7:$G$406,$T849)))</f>
        <v/>
      </c>
      <c r="P849" s="1" t="str">
        <f t="shared" si="149"/>
        <v/>
      </c>
      <c r="Q849" s="1">
        <v>0</v>
      </c>
      <c r="R849" s="1">
        <f>IF($N849="",0,INDEX(VIRMAN!$F$7:$F$406,$T849))</f>
        <v>0</v>
      </c>
      <c r="S849" s="1">
        <f t="shared" si="145"/>
        <v>10000000000</v>
      </c>
      <c r="T849" s="1">
        <f>IFERROR(MATCH($C$36&amp;"|116",VIRMAN!$L$7:$L$406,0),0)</f>
        <v>0</v>
      </c>
      <c r="V849" s="1">
        <f t="shared" si="146"/>
        <v>10000000000</v>
      </c>
      <c r="W849" s="1">
        <f t="shared" si="147"/>
        <v>9</v>
      </c>
    </row>
    <row r="850" spans="2:23" ht="14.25" customHeight="1" x14ac:dyDescent="0.3">
      <c r="B850" s="65" t="str">
        <f t="shared" si="139"/>
        <v/>
      </c>
      <c r="C850" s="70" t="str">
        <f t="shared" si="140"/>
        <v/>
      </c>
      <c r="D850" s="74" t="str">
        <f t="shared" si="141"/>
        <v/>
      </c>
      <c r="F850" s="65" t="str">
        <f t="shared" si="142"/>
        <v/>
      </c>
      <c r="G850" s="68" t="str">
        <f t="shared" si="143"/>
        <v/>
      </c>
      <c r="H850" s="68" t="str">
        <f t="shared" si="144"/>
        <v/>
      </c>
      <c r="I850" s="68" t="str">
        <f t="shared" si="148"/>
        <v/>
      </c>
      <c r="M850" s="1">
        <v>813</v>
      </c>
      <c r="N850" s="1" t="str">
        <f>IF($T850=0,"",INDEX(VIRMAN!$C$7:$C$406,$T850))</f>
        <v/>
      </c>
      <c r="O850" s="1" t="str">
        <f>IF($N850="","",$C$36&amp;" → "&amp;INDEX(VIRMAN!$E$7:$E$406,$T850)&amp;IF(INDEX(VIRMAN!$G$7:$G$406,$T850)="",""," – "&amp;INDEX(VIRMAN!$G$7:$G$406,$T850)))</f>
        <v/>
      </c>
      <c r="P850" s="1" t="str">
        <f t="shared" si="149"/>
        <v/>
      </c>
      <c r="Q850" s="1">
        <v>0</v>
      </c>
      <c r="R850" s="1">
        <f>IF($N850="",0,INDEX(VIRMAN!$F$7:$F$406,$T850))</f>
        <v>0</v>
      </c>
      <c r="S850" s="1">
        <f t="shared" si="145"/>
        <v>10000000000</v>
      </c>
      <c r="T850" s="1">
        <f>IFERROR(MATCH($C$36&amp;"|117",VIRMAN!$L$7:$L$406,0),0)</f>
        <v>0</v>
      </c>
      <c r="V850" s="1">
        <f t="shared" si="146"/>
        <v>10000000000</v>
      </c>
      <c r="W850" s="1">
        <f t="shared" si="147"/>
        <v>9</v>
      </c>
    </row>
    <row r="851" spans="2:23" ht="14.25" customHeight="1" x14ac:dyDescent="0.3">
      <c r="B851" s="65" t="str">
        <f t="shared" si="139"/>
        <v/>
      </c>
      <c r="C851" s="70" t="str">
        <f t="shared" si="140"/>
        <v/>
      </c>
      <c r="D851" s="74" t="str">
        <f t="shared" si="141"/>
        <v/>
      </c>
      <c r="F851" s="65" t="str">
        <f t="shared" si="142"/>
        <v/>
      </c>
      <c r="G851" s="68" t="str">
        <f t="shared" si="143"/>
        <v/>
      </c>
      <c r="H851" s="68" t="str">
        <f t="shared" si="144"/>
        <v/>
      </c>
      <c r="I851" s="68" t="str">
        <f t="shared" si="148"/>
        <v/>
      </c>
      <c r="M851" s="1">
        <v>814</v>
      </c>
      <c r="N851" s="1" t="str">
        <f>IF($T851=0,"",INDEX(VIRMAN!$C$7:$C$406,$T851))</f>
        <v/>
      </c>
      <c r="O851" s="1" t="str">
        <f>IF($N851="","",$C$36&amp;" → "&amp;INDEX(VIRMAN!$E$7:$E$406,$T851)&amp;IF(INDEX(VIRMAN!$G$7:$G$406,$T851)="",""," – "&amp;INDEX(VIRMAN!$G$7:$G$406,$T851)))</f>
        <v/>
      </c>
      <c r="P851" s="1" t="str">
        <f t="shared" si="149"/>
        <v/>
      </c>
      <c r="Q851" s="1">
        <v>0</v>
      </c>
      <c r="R851" s="1">
        <f>IF($N851="",0,INDEX(VIRMAN!$F$7:$F$406,$T851))</f>
        <v>0</v>
      </c>
      <c r="S851" s="1">
        <f t="shared" si="145"/>
        <v>10000000000</v>
      </c>
      <c r="T851" s="1">
        <f>IFERROR(MATCH($C$36&amp;"|118",VIRMAN!$L$7:$L$406,0),0)</f>
        <v>0</v>
      </c>
      <c r="V851" s="1">
        <f t="shared" si="146"/>
        <v>10000000000</v>
      </c>
      <c r="W851" s="1">
        <f t="shared" si="147"/>
        <v>9</v>
      </c>
    </row>
    <row r="852" spans="2:23" ht="14.25" customHeight="1" x14ac:dyDescent="0.3">
      <c r="B852" s="65" t="str">
        <f t="shared" si="139"/>
        <v/>
      </c>
      <c r="C852" s="70" t="str">
        <f t="shared" si="140"/>
        <v/>
      </c>
      <c r="D852" s="74" t="str">
        <f t="shared" si="141"/>
        <v/>
      </c>
      <c r="F852" s="65" t="str">
        <f t="shared" si="142"/>
        <v/>
      </c>
      <c r="G852" s="68" t="str">
        <f t="shared" si="143"/>
        <v/>
      </c>
      <c r="H852" s="68" t="str">
        <f t="shared" si="144"/>
        <v/>
      </c>
      <c r="I852" s="68" t="str">
        <f t="shared" si="148"/>
        <v/>
      </c>
      <c r="M852" s="1">
        <v>815</v>
      </c>
      <c r="N852" s="1" t="str">
        <f>IF($T852=0,"",INDEX(VIRMAN!$C$7:$C$406,$T852))</f>
        <v/>
      </c>
      <c r="O852" s="1" t="str">
        <f>IF($N852="","",$C$36&amp;" → "&amp;INDEX(VIRMAN!$E$7:$E$406,$T852)&amp;IF(INDEX(VIRMAN!$G$7:$G$406,$T852)="",""," – "&amp;INDEX(VIRMAN!$G$7:$G$406,$T852)))</f>
        <v/>
      </c>
      <c r="P852" s="1" t="str">
        <f t="shared" si="149"/>
        <v/>
      </c>
      <c r="Q852" s="1">
        <v>0</v>
      </c>
      <c r="R852" s="1">
        <f>IF($N852="",0,INDEX(VIRMAN!$F$7:$F$406,$T852))</f>
        <v>0</v>
      </c>
      <c r="S852" s="1">
        <f t="shared" si="145"/>
        <v>10000000000</v>
      </c>
      <c r="T852" s="1">
        <f>IFERROR(MATCH($C$36&amp;"|119",VIRMAN!$L$7:$L$406,0),0)</f>
        <v>0</v>
      </c>
      <c r="V852" s="1">
        <f t="shared" si="146"/>
        <v>10000000000</v>
      </c>
      <c r="W852" s="1">
        <f t="shared" si="147"/>
        <v>9</v>
      </c>
    </row>
    <row r="853" spans="2:23" ht="14.25" customHeight="1" x14ac:dyDescent="0.3">
      <c r="B853" s="65" t="str">
        <f t="shared" si="139"/>
        <v/>
      </c>
      <c r="C853" s="70" t="str">
        <f t="shared" si="140"/>
        <v/>
      </c>
      <c r="D853" s="74" t="str">
        <f t="shared" si="141"/>
        <v/>
      </c>
      <c r="F853" s="65" t="str">
        <f t="shared" si="142"/>
        <v/>
      </c>
      <c r="G853" s="68" t="str">
        <f t="shared" si="143"/>
        <v/>
      </c>
      <c r="H853" s="68" t="str">
        <f t="shared" si="144"/>
        <v/>
      </c>
      <c r="I853" s="68" t="str">
        <f t="shared" si="148"/>
        <v/>
      </c>
      <c r="M853" s="1">
        <v>816</v>
      </c>
      <c r="N853" s="1" t="str">
        <f>IF($T853=0,"",INDEX(VIRMAN!$C$7:$C$406,$T853))</f>
        <v/>
      </c>
      <c r="O853" s="1" t="str">
        <f>IF($N853="","",$C$36&amp;" → "&amp;INDEX(VIRMAN!$E$7:$E$406,$T853)&amp;IF(INDEX(VIRMAN!$G$7:$G$406,$T853)="",""," – "&amp;INDEX(VIRMAN!$G$7:$G$406,$T853)))</f>
        <v/>
      </c>
      <c r="P853" s="1" t="str">
        <f t="shared" si="149"/>
        <v/>
      </c>
      <c r="Q853" s="1">
        <v>0</v>
      </c>
      <c r="R853" s="1">
        <f>IF($N853="",0,INDEX(VIRMAN!$F$7:$F$406,$T853))</f>
        <v>0</v>
      </c>
      <c r="S853" s="1">
        <f t="shared" si="145"/>
        <v>10000000000</v>
      </c>
      <c r="T853" s="1">
        <f>IFERROR(MATCH($C$36&amp;"|120",VIRMAN!$L$7:$L$406,0),0)</f>
        <v>0</v>
      </c>
      <c r="V853" s="1">
        <f t="shared" si="146"/>
        <v>10000000000</v>
      </c>
      <c r="W853" s="1">
        <f t="shared" si="147"/>
        <v>9</v>
      </c>
    </row>
    <row r="854" spans="2:23" ht="14.25" customHeight="1" x14ac:dyDescent="0.3">
      <c r="B854" s="65" t="str">
        <f t="shared" si="139"/>
        <v/>
      </c>
      <c r="C854" s="70" t="str">
        <f t="shared" si="140"/>
        <v/>
      </c>
      <c r="D854" s="74" t="str">
        <f t="shared" si="141"/>
        <v/>
      </c>
      <c r="F854" s="65" t="str">
        <f t="shared" si="142"/>
        <v/>
      </c>
      <c r="G854" s="68" t="str">
        <f t="shared" si="143"/>
        <v/>
      </c>
      <c r="H854" s="68" t="str">
        <f t="shared" si="144"/>
        <v/>
      </c>
      <c r="I854" s="68" t="str">
        <f t="shared" si="148"/>
        <v/>
      </c>
      <c r="M854" s="1">
        <v>817</v>
      </c>
      <c r="N854" s="1" t="str">
        <f>IF($T854=0,"",INDEX(VIRMAN!$C$7:$C$406,$T854))</f>
        <v/>
      </c>
      <c r="O854" s="1" t="str">
        <f>IF($N854="","",$C$36&amp;" → "&amp;INDEX(VIRMAN!$E$7:$E$406,$T854)&amp;IF(INDEX(VIRMAN!$G$7:$G$406,$T854)="",""," – "&amp;INDEX(VIRMAN!$G$7:$G$406,$T854)))</f>
        <v/>
      </c>
      <c r="P854" s="1" t="str">
        <f t="shared" si="149"/>
        <v/>
      </c>
      <c r="Q854" s="1">
        <v>0</v>
      </c>
      <c r="R854" s="1">
        <f>IF($N854="",0,INDEX(VIRMAN!$F$7:$F$406,$T854))</f>
        <v>0</v>
      </c>
      <c r="S854" s="1">
        <f t="shared" si="145"/>
        <v>10000000000</v>
      </c>
      <c r="T854" s="1">
        <f>IFERROR(MATCH($C$36&amp;"|121",VIRMAN!$L$7:$L$406,0),0)</f>
        <v>0</v>
      </c>
      <c r="V854" s="1">
        <f t="shared" si="146"/>
        <v>10000000000</v>
      </c>
      <c r="W854" s="1">
        <f t="shared" si="147"/>
        <v>9</v>
      </c>
    </row>
    <row r="855" spans="2:23" ht="14.25" customHeight="1" x14ac:dyDescent="0.3">
      <c r="B855" s="65" t="str">
        <f t="shared" si="139"/>
        <v/>
      </c>
      <c r="C855" s="70" t="str">
        <f t="shared" si="140"/>
        <v/>
      </c>
      <c r="D855" s="74" t="str">
        <f t="shared" si="141"/>
        <v/>
      </c>
      <c r="F855" s="65" t="str">
        <f t="shared" si="142"/>
        <v/>
      </c>
      <c r="G855" s="68" t="str">
        <f t="shared" si="143"/>
        <v/>
      </c>
      <c r="H855" s="68" t="str">
        <f t="shared" si="144"/>
        <v/>
      </c>
      <c r="I855" s="68" t="str">
        <f t="shared" si="148"/>
        <v/>
      </c>
      <c r="M855" s="1">
        <v>818</v>
      </c>
      <c r="N855" s="1" t="str">
        <f>IF($T855=0,"",INDEX(VIRMAN!$C$7:$C$406,$T855))</f>
        <v/>
      </c>
      <c r="O855" s="1" t="str">
        <f>IF($N855="","",$C$36&amp;" → "&amp;INDEX(VIRMAN!$E$7:$E$406,$T855)&amp;IF(INDEX(VIRMAN!$G$7:$G$406,$T855)="",""," – "&amp;INDEX(VIRMAN!$G$7:$G$406,$T855)))</f>
        <v/>
      </c>
      <c r="P855" s="1" t="str">
        <f t="shared" si="149"/>
        <v/>
      </c>
      <c r="Q855" s="1">
        <v>0</v>
      </c>
      <c r="R855" s="1">
        <f>IF($N855="",0,INDEX(VIRMAN!$F$7:$F$406,$T855))</f>
        <v>0</v>
      </c>
      <c r="S855" s="1">
        <f t="shared" si="145"/>
        <v>10000000000</v>
      </c>
      <c r="T855" s="1">
        <f>IFERROR(MATCH($C$36&amp;"|122",VIRMAN!$L$7:$L$406,0),0)</f>
        <v>0</v>
      </c>
      <c r="V855" s="1">
        <f t="shared" si="146"/>
        <v>10000000000</v>
      </c>
      <c r="W855" s="1">
        <f t="shared" si="147"/>
        <v>9</v>
      </c>
    </row>
    <row r="856" spans="2:23" ht="14.25" customHeight="1" x14ac:dyDescent="0.3">
      <c r="B856" s="65" t="str">
        <f t="shared" si="139"/>
        <v/>
      </c>
      <c r="C856" s="70" t="str">
        <f t="shared" si="140"/>
        <v/>
      </c>
      <c r="D856" s="74" t="str">
        <f t="shared" si="141"/>
        <v/>
      </c>
      <c r="F856" s="65" t="str">
        <f t="shared" si="142"/>
        <v/>
      </c>
      <c r="G856" s="68" t="str">
        <f t="shared" si="143"/>
        <v/>
      </c>
      <c r="H856" s="68" t="str">
        <f t="shared" si="144"/>
        <v/>
      </c>
      <c r="I856" s="68" t="str">
        <f t="shared" si="148"/>
        <v/>
      </c>
      <c r="M856" s="1">
        <v>819</v>
      </c>
      <c r="N856" s="1" t="str">
        <f>IF($T856=0,"",INDEX(VIRMAN!$C$7:$C$406,$T856))</f>
        <v/>
      </c>
      <c r="O856" s="1" t="str">
        <f>IF($N856="","",$C$36&amp;" → "&amp;INDEX(VIRMAN!$E$7:$E$406,$T856)&amp;IF(INDEX(VIRMAN!$G$7:$G$406,$T856)="",""," – "&amp;INDEX(VIRMAN!$G$7:$G$406,$T856)))</f>
        <v/>
      </c>
      <c r="P856" s="1" t="str">
        <f t="shared" si="149"/>
        <v/>
      </c>
      <c r="Q856" s="1">
        <v>0</v>
      </c>
      <c r="R856" s="1">
        <f>IF($N856="",0,INDEX(VIRMAN!$F$7:$F$406,$T856))</f>
        <v>0</v>
      </c>
      <c r="S856" s="1">
        <f t="shared" si="145"/>
        <v>10000000000</v>
      </c>
      <c r="T856" s="1">
        <f>IFERROR(MATCH($C$36&amp;"|123",VIRMAN!$L$7:$L$406,0),0)</f>
        <v>0</v>
      </c>
      <c r="V856" s="1">
        <f t="shared" si="146"/>
        <v>10000000000</v>
      </c>
      <c r="W856" s="1">
        <f t="shared" si="147"/>
        <v>9</v>
      </c>
    </row>
    <row r="857" spans="2:23" ht="14.25" customHeight="1" x14ac:dyDescent="0.3">
      <c r="B857" s="65" t="str">
        <f t="shared" si="139"/>
        <v/>
      </c>
      <c r="C857" s="70" t="str">
        <f t="shared" si="140"/>
        <v/>
      </c>
      <c r="D857" s="74" t="str">
        <f t="shared" si="141"/>
        <v/>
      </c>
      <c r="F857" s="65" t="str">
        <f t="shared" si="142"/>
        <v/>
      </c>
      <c r="G857" s="68" t="str">
        <f t="shared" si="143"/>
        <v/>
      </c>
      <c r="H857" s="68" t="str">
        <f t="shared" si="144"/>
        <v/>
      </c>
      <c r="I857" s="68" t="str">
        <f t="shared" si="148"/>
        <v/>
      </c>
      <c r="M857" s="1">
        <v>820</v>
      </c>
      <c r="N857" s="1" t="str">
        <f>IF($T857=0,"",INDEX(VIRMAN!$C$7:$C$406,$T857))</f>
        <v/>
      </c>
      <c r="O857" s="1" t="str">
        <f>IF($N857="","",$C$36&amp;" → "&amp;INDEX(VIRMAN!$E$7:$E$406,$T857)&amp;IF(INDEX(VIRMAN!$G$7:$G$406,$T857)="",""," – "&amp;INDEX(VIRMAN!$G$7:$G$406,$T857)))</f>
        <v/>
      </c>
      <c r="P857" s="1" t="str">
        <f t="shared" si="149"/>
        <v/>
      </c>
      <c r="Q857" s="1">
        <v>0</v>
      </c>
      <c r="R857" s="1">
        <f>IF($N857="",0,INDEX(VIRMAN!$F$7:$F$406,$T857))</f>
        <v>0</v>
      </c>
      <c r="S857" s="1">
        <f t="shared" si="145"/>
        <v>10000000000</v>
      </c>
      <c r="T857" s="1">
        <f>IFERROR(MATCH($C$36&amp;"|124",VIRMAN!$L$7:$L$406,0),0)</f>
        <v>0</v>
      </c>
      <c r="V857" s="1">
        <f t="shared" si="146"/>
        <v>10000000000</v>
      </c>
      <c r="W857" s="1">
        <f t="shared" si="147"/>
        <v>9</v>
      </c>
    </row>
    <row r="858" spans="2:23" ht="14.25" customHeight="1" x14ac:dyDescent="0.3">
      <c r="B858" s="65" t="str">
        <f t="shared" si="139"/>
        <v/>
      </c>
      <c r="C858" s="70" t="str">
        <f t="shared" si="140"/>
        <v/>
      </c>
      <c r="D858" s="74" t="str">
        <f t="shared" si="141"/>
        <v/>
      </c>
      <c r="F858" s="65" t="str">
        <f t="shared" si="142"/>
        <v/>
      </c>
      <c r="G858" s="68" t="str">
        <f t="shared" si="143"/>
        <v/>
      </c>
      <c r="H858" s="68" t="str">
        <f t="shared" si="144"/>
        <v/>
      </c>
      <c r="I858" s="68" t="str">
        <f t="shared" si="148"/>
        <v/>
      </c>
      <c r="M858" s="1">
        <v>821</v>
      </c>
      <c r="N858" s="1" t="str">
        <f>IF($T858=0,"",INDEX(VIRMAN!$C$7:$C$406,$T858))</f>
        <v/>
      </c>
      <c r="O858" s="1" t="str">
        <f>IF($N858="","",$C$36&amp;" → "&amp;INDEX(VIRMAN!$E$7:$E$406,$T858)&amp;IF(INDEX(VIRMAN!$G$7:$G$406,$T858)="",""," – "&amp;INDEX(VIRMAN!$G$7:$G$406,$T858)))</f>
        <v/>
      </c>
      <c r="P858" s="1" t="str">
        <f t="shared" si="149"/>
        <v/>
      </c>
      <c r="Q858" s="1">
        <v>0</v>
      </c>
      <c r="R858" s="1">
        <f>IF($N858="",0,INDEX(VIRMAN!$F$7:$F$406,$T858))</f>
        <v>0</v>
      </c>
      <c r="S858" s="1">
        <f t="shared" si="145"/>
        <v>10000000000</v>
      </c>
      <c r="T858" s="1">
        <f>IFERROR(MATCH($C$36&amp;"|125",VIRMAN!$L$7:$L$406,0),0)</f>
        <v>0</v>
      </c>
      <c r="V858" s="1">
        <f t="shared" si="146"/>
        <v>10000000000</v>
      </c>
      <c r="W858" s="1">
        <f t="shared" si="147"/>
        <v>9</v>
      </c>
    </row>
    <row r="859" spans="2:23" ht="14.25" customHeight="1" x14ac:dyDescent="0.3">
      <c r="B859" s="65" t="str">
        <f t="shared" si="139"/>
        <v/>
      </c>
      <c r="C859" s="70" t="str">
        <f t="shared" si="140"/>
        <v/>
      </c>
      <c r="D859" s="74" t="str">
        <f t="shared" si="141"/>
        <v/>
      </c>
      <c r="F859" s="65" t="str">
        <f t="shared" si="142"/>
        <v/>
      </c>
      <c r="G859" s="68" t="str">
        <f t="shared" si="143"/>
        <v/>
      </c>
      <c r="H859" s="68" t="str">
        <f t="shared" si="144"/>
        <v/>
      </c>
      <c r="I859" s="68" t="str">
        <f t="shared" si="148"/>
        <v/>
      </c>
      <c r="M859" s="1">
        <v>822</v>
      </c>
      <c r="N859" s="1" t="str">
        <f>IF($T859=0,"",INDEX(VIRMAN!$C$7:$C$406,$T859))</f>
        <v/>
      </c>
      <c r="O859" s="1" t="str">
        <f>IF($N859="","",$C$36&amp;" → "&amp;INDEX(VIRMAN!$E$7:$E$406,$T859)&amp;IF(INDEX(VIRMAN!$G$7:$G$406,$T859)="",""," – "&amp;INDEX(VIRMAN!$G$7:$G$406,$T859)))</f>
        <v/>
      </c>
      <c r="P859" s="1" t="str">
        <f t="shared" si="149"/>
        <v/>
      </c>
      <c r="Q859" s="1">
        <v>0</v>
      </c>
      <c r="R859" s="1">
        <f>IF($N859="",0,INDEX(VIRMAN!$F$7:$F$406,$T859))</f>
        <v>0</v>
      </c>
      <c r="S859" s="1">
        <f t="shared" si="145"/>
        <v>10000000000</v>
      </c>
      <c r="T859" s="1">
        <f>IFERROR(MATCH($C$36&amp;"|126",VIRMAN!$L$7:$L$406,0),0)</f>
        <v>0</v>
      </c>
      <c r="V859" s="1">
        <f t="shared" si="146"/>
        <v>10000000000</v>
      </c>
      <c r="W859" s="1">
        <f t="shared" si="147"/>
        <v>9</v>
      </c>
    </row>
    <row r="860" spans="2:23" ht="14.25" customHeight="1" x14ac:dyDescent="0.3">
      <c r="B860" s="65" t="str">
        <f t="shared" si="139"/>
        <v/>
      </c>
      <c r="C860" s="70" t="str">
        <f t="shared" si="140"/>
        <v/>
      </c>
      <c r="D860" s="74" t="str">
        <f t="shared" si="141"/>
        <v/>
      </c>
      <c r="F860" s="65" t="str">
        <f t="shared" si="142"/>
        <v/>
      </c>
      <c r="G860" s="68" t="str">
        <f t="shared" si="143"/>
        <v/>
      </c>
      <c r="H860" s="68" t="str">
        <f t="shared" si="144"/>
        <v/>
      </c>
      <c r="I860" s="68" t="str">
        <f t="shared" si="148"/>
        <v/>
      </c>
      <c r="M860" s="1">
        <v>823</v>
      </c>
      <c r="N860" s="1" t="str">
        <f>IF($T860=0,"",INDEX(VIRMAN!$C$7:$C$406,$T860))</f>
        <v/>
      </c>
      <c r="O860" s="1" t="str">
        <f>IF($N860="","",$C$36&amp;" → "&amp;INDEX(VIRMAN!$E$7:$E$406,$T860)&amp;IF(INDEX(VIRMAN!$G$7:$G$406,$T860)="",""," – "&amp;INDEX(VIRMAN!$G$7:$G$406,$T860)))</f>
        <v/>
      </c>
      <c r="P860" s="1" t="str">
        <f t="shared" si="149"/>
        <v/>
      </c>
      <c r="Q860" s="1">
        <v>0</v>
      </c>
      <c r="R860" s="1">
        <f>IF($N860="",0,INDEX(VIRMAN!$F$7:$F$406,$T860))</f>
        <v>0</v>
      </c>
      <c r="S860" s="1">
        <f t="shared" si="145"/>
        <v>10000000000</v>
      </c>
      <c r="T860" s="1">
        <f>IFERROR(MATCH($C$36&amp;"|127",VIRMAN!$L$7:$L$406,0),0)</f>
        <v>0</v>
      </c>
      <c r="V860" s="1">
        <f t="shared" si="146"/>
        <v>10000000000</v>
      </c>
      <c r="W860" s="1">
        <f t="shared" si="147"/>
        <v>9</v>
      </c>
    </row>
    <row r="861" spans="2:23" ht="14.25" customHeight="1" x14ac:dyDescent="0.3">
      <c r="B861" s="65" t="str">
        <f t="shared" si="139"/>
        <v/>
      </c>
      <c r="C861" s="70" t="str">
        <f t="shared" si="140"/>
        <v/>
      </c>
      <c r="D861" s="74" t="str">
        <f t="shared" si="141"/>
        <v/>
      </c>
      <c r="F861" s="65" t="str">
        <f t="shared" si="142"/>
        <v/>
      </c>
      <c r="G861" s="68" t="str">
        <f t="shared" si="143"/>
        <v/>
      </c>
      <c r="H861" s="68" t="str">
        <f t="shared" si="144"/>
        <v/>
      </c>
      <c r="I861" s="68" t="str">
        <f t="shared" si="148"/>
        <v/>
      </c>
      <c r="M861" s="1">
        <v>824</v>
      </c>
      <c r="N861" s="1" t="str">
        <f>IF($T861=0,"",INDEX(VIRMAN!$C$7:$C$406,$T861))</f>
        <v/>
      </c>
      <c r="O861" s="1" t="str">
        <f>IF($N861="","",$C$36&amp;" → "&amp;INDEX(VIRMAN!$E$7:$E$406,$T861)&amp;IF(INDEX(VIRMAN!$G$7:$G$406,$T861)="",""," – "&amp;INDEX(VIRMAN!$G$7:$G$406,$T861)))</f>
        <v/>
      </c>
      <c r="P861" s="1" t="str">
        <f t="shared" si="149"/>
        <v/>
      </c>
      <c r="Q861" s="1">
        <v>0</v>
      </c>
      <c r="R861" s="1">
        <f>IF($N861="",0,INDEX(VIRMAN!$F$7:$F$406,$T861))</f>
        <v>0</v>
      </c>
      <c r="S861" s="1">
        <f t="shared" si="145"/>
        <v>10000000000</v>
      </c>
      <c r="T861" s="1">
        <f>IFERROR(MATCH($C$36&amp;"|128",VIRMAN!$L$7:$L$406,0),0)</f>
        <v>0</v>
      </c>
      <c r="V861" s="1">
        <f t="shared" si="146"/>
        <v>10000000000</v>
      </c>
      <c r="W861" s="1">
        <f t="shared" si="147"/>
        <v>9</v>
      </c>
    </row>
    <row r="862" spans="2:23" ht="14.25" customHeight="1" x14ac:dyDescent="0.3">
      <c r="B862" s="65" t="str">
        <f t="shared" si="139"/>
        <v/>
      </c>
      <c r="C862" s="70" t="str">
        <f t="shared" si="140"/>
        <v/>
      </c>
      <c r="D862" s="74" t="str">
        <f t="shared" si="141"/>
        <v/>
      </c>
      <c r="F862" s="65" t="str">
        <f t="shared" si="142"/>
        <v/>
      </c>
      <c r="G862" s="68" t="str">
        <f t="shared" si="143"/>
        <v/>
      </c>
      <c r="H862" s="68" t="str">
        <f t="shared" si="144"/>
        <v/>
      </c>
      <c r="I862" s="68" t="str">
        <f t="shared" si="148"/>
        <v/>
      </c>
      <c r="M862" s="1">
        <v>825</v>
      </c>
      <c r="N862" s="1" t="str">
        <f>IF($T862=0,"",INDEX(VIRMAN!$C$7:$C$406,$T862))</f>
        <v/>
      </c>
      <c r="O862" s="1" t="str">
        <f>IF($N862="","",$C$36&amp;" → "&amp;INDEX(VIRMAN!$E$7:$E$406,$T862)&amp;IF(INDEX(VIRMAN!$G$7:$G$406,$T862)="",""," – "&amp;INDEX(VIRMAN!$G$7:$G$406,$T862)))</f>
        <v/>
      </c>
      <c r="P862" s="1" t="str">
        <f t="shared" ref="P862:P893" si="150">IF($N862="","","OFİSE/KASAYA ÖDEDİ")</f>
        <v/>
      </c>
      <c r="Q862" s="1">
        <v>0</v>
      </c>
      <c r="R862" s="1">
        <f>IF($N862="",0,INDEX(VIRMAN!$F$7:$F$406,$T862))</f>
        <v>0</v>
      </c>
      <c r="S862" s="1">
        <f t="shared" si="145"/>
        <v>10000000000</v>
      </c>
      <c r="T862" s="1">
        <f>IFERROR(MATCH($C$36&amp;"|129",VIRMAN!$L$7:$L$406,0),0)</f>
        <v>0</v>
      </c>
      <c r="V862" s="1">
        <f t="shared" si="146"/>
        <v>10000000000</v>
      </c>
      <c r="W862" s="1">
        <f t="shared" si="147"/>
        <v>9</v>
      </c>
    </row>
    <row r="863" spans="2:23" ht="14.25" customHeight="1" x14ac:dyDescent="0.3">
      <c r="B863" s="65" t="str">
        <f t="shared" si="139"/>
        <v/>
      </c>
      <c r="C863" s="70" t="str">
        <f t="shared" si="140"/>
        <v/>
      </c>
      <c r="D863" s="74" t="str">
        <f t="shared" si="141"/>
        <v/>
      </c>
      <c r="F863" s="65" t="str">
        <f t="shared" si="142"/>
        <v/>
      </c>
      <c r="G863" s="68" t="str">
        <f t="shared" si="143"/>
        <v/>
      </c>
      <c r="H863" s="68" t="str">
        <f t="shared" si="144"/>
        <v/>
      </c>
      <c r="I863" s="68" t="str">
        <f t="shared" si="148"/>
        <v/>
      </c>
      <c r="M863" s="1">
        <v>826</v>
      </c>
      <c r="N863" s="1" t="str">
        <f>IF($T863=0,"",INDEX(VIRMAN!$C$7:$C$406,$T863))</f>
        <v/>
      </c>
      <c r="O863" s="1" t="str">
        <f>IF($N863="","",$C$36&amp;" → "&amp;INDEX(VIRMAN!$E$7:$E$406,$T863)&amp;IF(INDEX(VIRMAN!$G$7:$G$406,$T863)="",""," – "&amp;INDEX(VIRMAN!$G$7:$G$406,$T863)))</f>
        <v/>
      </c>
      <c r="P863" s="1" t="str">
        <f t="shared" si="150"/>
        <v/>
      </c>
      <c r="Q863" s="1">
        <v>0</v>
      </c>
      <c r="R863" s="1">
        <f>IF($N863="",0,INDEX(VIRMAN!$F$7:$F$406,$T863))</f>
        <v>0</v>
      </c>
      <c r="S863" s="1">
        <f t="shared" si="145"/>
        <v>10000000000</v>
      </c>
      <c r="T863" s="1">
        <f>IFERROR(MATCH($C$36&amp;"|130",VIRMAN!$L$7:$L$406,0),0)</f>
        <v>0</v>
      </c>
      <c r="V863" s="1">
        <f t="shared" si="146"/>
        <v>10000000000</v>
      </c>
      <c r="W863" s="1">
        <f t="shared" si="147"/>
        <v>9</v>
      </c>
    </row>
    <row r="864" spans="2:23" ht="14.25" customHeight="1" x14ac:dyDescent="0.3">
      <c r="B864" s="65" t="str">
        <f t="shared" si="139"/>
        <v/>
      </c>
      <c r="C864" s="70" t="str">
        <f t="shared" si="140"/>
        <v/>
      </c>
      <c r="D864" s="74" t="str">
        <f t="shared" si="141"/>
        <v/>
      </c>
      <c r="F864" s="65" t="str">
        <f t="shared" si="142"/>
        <v/>
      </c>
      <c r="G864" s="68" t="str">
        <f t="shared" si="143"/>
        <v/>
      </c>
      <c r="H864" s="68" t="str">
        <f t="shared" si="144"/>
        <v/>
      </c>
      <c r="I864" s="68" t="str">
        <f t="shared" si="148"/>
        <v/>
      </c>
      <c r="M864" s="1">
        <v>827</v>
      </c>
      <c r="N864" s="1" t="str">
        <f>IF($T864=0,"",INDEX(VIRMAN!$C$7:$C$406,$T864))</f>
        <v/>
      </c>
      <c r="O864" s="1" t="str">
        <f>IF($N864="","",$C$36&amp;" → "&amp;INDEX(VIRMAN!$E$7:$E$406,$T864)&amp;IF(INDEX(VIRMAN!$G$7:$G$406,$T864)="",""," – "&amp;INDEX(VIRMAN!$G$7:$G$406,$T864)))</f>
        <v/>
      </c>
      <c r="P864" s="1" t="str">
        <f t="shared" si="150"/>
        <v/>
      </c>
      <c r="Q864" s="1">
        <v>0</v>
      </c>
      <c r="R864" s="1">
        <f>IF($N864="",0,INDEX(VIRMAN!$F$7:$F$406,$T864))</f>
        <v>0</v>
      </c>
      <c r="S864" s="1">
        <f t="shared" si="145"/>
        <v>10000000000</v>
      </c>
      <c r="T864" s="1">
        <f>IFERROR(MATCH($C$36&amp;"|131",VIRMAN!$L$7:$L$406,0),0)</f>
        <v>0</v>
      </c>
      <c r="V864" s="1">
        <f t="shared" si="146"/>
        <v>10000000000</v>
      </c>
      <c r="W864" s="1">
        <f t="shared" si="147"/>
        <v>9</v>
      </c>
    </row>
    <row r="865" spans="2:23" ht="14.25" customHeight="1" x14ac:dyDescent="0.3">
      <c r="B865" s="65" t="str">
        <f t="shared" si="139"/>
        <v/>
      </c>
      <c r="C865" s="70" t="str">
        <f t="shared" si="140"/>
        <v/>
      </c>
      <c r="D865" s="74" t="str">
        <f t="shared" si="141"/>
        <v/>
      </c>
      <c r="F865" s="65" t="str">
        <f t="shared" si="142"/>
        <v/>
      </c>
      <c r="G865" s="68" t="str">
        <f t="shared" si="143"/>
        <v/>
      </c>
      <c r="H865" s="68" t="str">
        <f t="shared" si="144"/>
        <v/>
      </c>
      <c r="I865" s="68" t="str">
        <f t="shared" si="148"/>
        <v/>
      </c>
      <c r="M865" s="1">
        <v>828</v>
      </c>
      <c r="N865" s="1" t="str">
        <f>IF($T865=0,"",INDEX(VIRMAN!$C$7:$C$406,$T865))</f>
        <v/>
      </c>
      <c r="O865" s="1" t="str">
        <f>IF($N865="","",$C$36&amp;" → "&amp;INDEX(VIRMAN!$E$7:$E$406,$T865)&amp;IF(INDEX(VIRMAN!$G$7:$G$406,$T865)="",""," – "&amp;INDEX(VIRMAN!$G$7:$G$406,$T865)))</f>
        <v/>
      </c>
      <c r="P865" s="1" t="str">
        <f t="shared" si="150"/>
        <v/>
      </c>
      <c r="Q865" s="1">
        <v>0</v>
      </c>
      <c r="R865" s="1">
        <f>IF($N865="",0,INDEX(VIRMAN!$F$7:$F$406,$T865))</f>
        <v>0</v>
      </c>
      <c r="S865" s="1">
        <f t="shared" si="145"/>
        <v>10000000000</v>
      </c>
      <c r="T865" s="1">
        <f>IFERROR(MATCH($C$36&amp;"|132",VIRMAN!$L$7:$L$406,0),0)</f>
        <v>0</v>
      </c>
      <c r="V865" s="1">
        <f t="shared" si="146"/>
        <v>10000000000</v>
      </c>
      <c r="W865" s="1">
        <f t="shared" si="147"/>
        <v>9</v>
      </c>
    </row>
    <row r="866" spans="2:23" ht="14.25" customHeight="1" x14ac:dyDescent="0.3">
      <c r="B866" s="65" t="str">
        <f t="shared" si="139"/>
        <v/>
      </c>
      <c r="C866" s="70" t="str">
        <f t="shared" si="140"/>
        <v/>
      </c>
      <c r="D866" s="74" t="str">
        <f t="shared" si="141"/>
        <v/>
      </c>
      <c r="F866" s="65" t="str">
        <f t="shared" si="142"/>
        <v/>
      </c>
      <c r="G866" s="68" t="str">
        <f t="shared" si="143"/>
        <v/>
      </c>
      <c r="H866" s="68" t="str">
        <f t="shared" si="144"/>
        <v/>
      </c>
      <c r="I866" s="68" t="str">
        <f t="shared" si="148"/>
        <v/>
      </c>
      <c r="M866" s="1">
        <v>829</v>
      </c>
      <c r="N866" s="1" t="str">
        <f>IF($T866=0,"",INDEX(VIRMAN!$C$7:$C$406,$T866))</f>
        <v/>
      </c>
      <c r="O866" s="1" t="str">
        <f>IF($N866="","",$C$36&amp;" → "&amp;INDEX(VIRMAN!$E$7:$E$406,$T866)&amp;IF(INDEX(VIRMAN!$G$7:$G$406,$T866)="",""," – "&amp;INDEX(VIRMAN!$G$7:$G$406,$T866)))</f>
        <v/>
      </c>
      <c r="P866" s="1" t="str">
        <f t="shared" si="150"/>
        <v/>
      </c>
      <c r="Q866" s="1">
        <v>0</v>
      </c>
      <c r="R866" s="1">
        <f>IF($N866="",0,INDEX(VIRMAN!$F$7:$F$406,$T866))</f>
        <v>0</v>
      </c>
      <c r="S866" s="1">
        <f t="shared" si="145"/>
        <v>10000000000</v>
      </c>
      <c r="T866" s="1">
        <f>IFERROR(MATCH($C$36&amp;"|133",VIRMAN!$L$7:$L$406,0),0)</f>
        <v>0</v>
      </c>
      <c r="V866" s="1">
        <f t="shared" si="146"/>
        <v>10000000000</v>
      </c>
      <c r="W866" s="1">
        <f t="shared" si="147"/>
        <v>9</v>
      </c>
    </row>
    <row r="867" spans="2:23" ht="14.25" customHeight="1" x14ac:dyDescent="0.3">
      <c r="B867" s="65" t="str">
        <f t="shared" si="139"/>
        <v/>
      </c>
      <c r="C867" s="70" t="str">
        <f t="shared" si="140"/>
        <v/>
      </c>
      <c r="D867" s="74" t="str">
        <f t="shared" si="141"/>
        <v/>
      </c>
      <c r="F867" s="65" t="str">
        <f t="shared" si="142"/>
        <v/>
      </c>
      <c r="G867" s="68" t="str">
        <f t="shared" si="143"/>
        <v/>
      </c>
      <c r="H867" s="68" t="str">
        <f t="shared" si="144"/>
        <v/>
      </c>
      <c r="I867" s="68" t="str">
        <f t="shared" si="148"/>
        <v/>
      </c>
      <c r="M867" s="1">
        <v>830</v>
      </c>
      <c r="N867" s="1" t="str">
        <f>IF($T867=0,"",INDEX(VIRMAN!$C$7:$C$406,$T867))</f>
        <v/>
      </c>
      <c r="O867" s="1" t="str">
        <f>IF($N867="","",$C$36&amp;" → "&amp;INDEX(VIRMAN!$E$7:$E$406,$T867)&amp;IF(INDEX(VIRMAN!$G$7:$G$406,$T867)="",""," – "&amp;INDEX(VIRMAN!$G$7:$G$406,$T867)))</f>
        <v/>
      </c>
      <c r="P867" s="1" t="str">
        <f t="shared" si="150"/>
        <v/>
      </c>
      <c r="Q867" s="1">
        <v>0</v>
      </c>
      <c r="R867" s="1">
        <f>IF($N867="",0,INDEX(VIRMAN!$F$7:$F$406,$T867))</f>
        <v>0</v>
      </c>
      <c r="S867" s="1">
        <f t="shared" si="145"/>
        <v>10000000000</v>
      </c>
      <c r="T867" s="1">
        <f>IFERROR(MATCH($C$36&amp;"|134",VIRMAN!$L$7:$L$406,0),0)</f>
        <v>0</v>
      </c>
      <c r="V867" s="1">
        <f t="shared" si="146"/>
        <v>10000000000</v>
      </c>
      <c r="W867" s="1">
        <f t="shared" si="147"/>
        <v>9</v>
      </c>
    </row>
    <row r="868" spans="2:23" ht="14.25" customHeight="1" x14ac:dyDescent="0.3">
      <c r="B868" s="65" t="str">
        <f t="shared" si="139"/>
        <v/>
      </c>
      <c r="C868" s="70" t="str">
        <f t="shared" si="140"/>
        <v/>
      </c>
      <c r="D868" s="74" t="str">
        <f t="shared" si="141"/>
        <v/>
      </c>
      <c r="F868" s="65" t="str">
        <f t="shared" si="142"/>
        <v/>
      </c>
      <c r="G868" s="68" t="str">
        <f t="shared" si="143"/>
        <v/>
      </c>
      <c r="H868" s="68" t="str">
        <f t="shared" si="144"/>
        <v/>
      </c>
      <c r="I868" s="68" t="str">
        <f t="shared" si="148"/>
        <v/>
      </c>
      <c r="M868" s="1">
        <v>831</v>
      </c>
      <c r="N868" s="1" t="str">
        <f>IF($T868=0,"",INDEX(VIRMAN!$C$7:$C$406,$T868))</f>
        <v/>
      </c>
      <c r="O868" s="1" t="str">
        <f>IF($N868="","",$C$36&amp;" → "&amp;INDEX(VIRMAN!$E$7:$E$406,$T868)&amp;IF(INDEX(VIRMAN!$G$7:$G$406,$T868)="",""," – "&amp;INDEX(VIRMAN!$G$7:$G$406,$T868)))</f>
        <v/>
      </c>
      <c r="P868" s="1" t="str">
        <f t="shared" si="150"/>
        <v/>
      </c>
      <c r="Q868" s="1">
        <v>0</v>
      </c>
      <c r="R868" s="1">
        <f>IF($N868="",0,INDEX(VIRMAN!$F$7:$F$406,$T868))</f>
        <v>0</v>
      </c>
      <c r="S868" s="1">
        <f t="shared" si="145"/>
        <v>10000000000</v>
      </c>
      <c r="T868" s="1">
        <f>IFERROR(MATCH($C$36&amp;"|135",VIRMAN!$L$7:$L$406,0),0)</f>
        <v>0</v>
      </c>
      <c r="V868" s="1">
        <f t="shared" si="146"/>
        <v>10000000000</v>
      </c>
      <c r="W868" s="1">
        <f t="shared" si="147"/>
        <v>9</v>
      </c>
    </row>
    <row r="869" spans="2:23" ht="14.25" customHeight="1" x14ac:dyDescent="0.3">
      <c r="B869" s="65" t="str">
        <f t="shared" si="139"/>
        <v/>
      </c>
      <c r="C869" s="70" t="str">
        <f t="shared" si="140"/>
        <v/>
      </c>
      <c r="D869" s="74" t="str">
        <f t="shared" si="141"/>
        <v/>
      </c>
      <c r="F869" s="65" t="str">
        <f t="shared" si="142"/>
        <v/>
      </c>
      <c r="G869" s="68" t="str">
        <f t="shared" si="143"/>
        <v/>
      </c>
      <c r="H869" s="68" t="str">
        <f t="shared" si="144"/>
        <v/>
      </c>
      <c r="I869" s="68" t="str">
        <f t="shared" si="148"/>
        <v/>
      </c>
      <c r="M869" s="1">
        <v>832</v>
      </c>
      <c r="N869" s="1" t="str">
        <f>IF($T869=0,"",INDEX(VIRMAN!$C$7:$C$406,$T869))</f>
        <v/>
      </c>
      <c r="O869" s="1" t="str">
        <f>IF($N869="","",$C$36&amp;" → "&amp;INDEX(VIRMAN!$E$7:$E$406,$T869)&amp;IF(INDEX(VIRMAN!$G$7:$G$406,$T869)="",""," – "&amp;INDEX(VIRMAN!$G$7:$G$406,$T869)))</f>
        <v/>
      </c>
      <c r="P869" s="1" t="str">
        <f t="shared" si="150"/>
        <v/>
      </c>
      <c r="Q869" s="1">
        <v>0</v>
      </c>
      <c r="R869" s="1">
        <f>IF($N869="",0,INDEX(VIRMAN!$F$7:$F$406,$T869))</f>
        <v>0</v>
      </c>
      <c r="S869" s="1">
        <f t="shared" si="145"/>
        <v>10000000000</v>
      </c>
      <c r="T869" s="1">
        <f>IFERROR(MATCH($C$36&amp;"|136",VIRMAN!$L$7:$L$406,0),0)</f>
        <v>0</v>
      </c>
      <c r="V869" s="1">
        <f t="shared" si="146"/>
        <v>10000000000</v>
      </c>
      <c r="W869" s="1">
        <f t="shared" si="147"/>
        <v>9</v>
      </c>
    </row>
    <row r="870" spans="2:23" ht="14.25" customHeight="1" x14ac:dyDescent="0.3">
      <c r="B870" s="65" t="str">
        <f t="shared" ref="B870:B933" si="151">IF($C870="","",ROW()-37)</f>
        <v/>
      </c>
      <c r="C870" s="70" t="str">
        <f t="shared" ref="C870:C933" si="152">IF($W870="","",IF(INDEX($N$38:$N$953,$W870)="","",INDEX($N$38:$N$953,$W870)))</f>
        <v/>
      </c>
      <c r="D870" s="74" t="str">
        <f t="shared" ref="D870:D933" si="153">IF($C870="","",INDEX($O$38:$O$953,$W870))</f>
        <v/>
      </c>
      <c r="F870" s="65" t="str">
        <f t="shared" ref="F870:F933" si="154">IF($C870="","",INDEX($P$38:$P$953,$W870))</f>
        <v/>
      </c>
      <c r="G870" s="68" t="str">
        <f t="shared" ref="G870:G933" si="155">IF($C870="","",INDEX($Q$38:$Q$953,$W870))</f>
        <v/>
      </c>
      <c r="H870" s="68" t="str">
        <f t="shared" ref="H870:H933" si="156">IF($C870="","",INDEX($R$38:$R$953,$W870))</f>
        <v/>
      </c>
      <c r="I870" s="68" t="str">
        <f t="shared" si="148"/>
        <v/>
      </c>
      <c r="M870" s="1">
        <v>833</v>
      </c>
      <c r="N870" s="1" t="str">
        <f>IF($T870=0,"",INDEX(VIRMAN!$C$7:$C$406,$T870))</f>
        <v/>
      </c>
      <c r="O870" s="1" t="str">
        <f>IF($N870="","",$C$36&amp;" → "&amp;INDEX(VIRMAN!$E$7:$E$406,$T870)&amp;IF(INDEX(VIRMAN!$G$7:$G$406,$T870)="",""," – "&amp;INDEX(VIRMAN!$G$7:$G$406,$T870)))</f>
        <v/>
      </c>
      <c r="P870" s="1" t="str">
        <f t="shared" si="150"/>
        <v/>
      </c>
      <c r="Q870" s="1">
        <v>0</v>
      </c>
      <c r="R870" s="1">
        <f>IF($N870="",0,INDEX(VIRMAN!$F$7:$F$406,$T870))</f>
        <v>0</v>
      </c>
      <c r="S870" s="1">
        <f t="shared" ref="S870:S893" si="157">IF($N870="",10000000000,$N870*100000+$M870)</f>
        <v>10000000000</v>
      </c>
      <c r="T870" s="1">
        <f>IFERROR(MATCH($C$36&amp;"|137",VIRMAN!$L$7:$L$406,0),0)</f>
        <v>0</v>
      </c>
      <c r="V870" s="1">
        <f t="shared" ref="V870:V933" si="158">IFERROR(SMALL($S$38:$S$953,ROW()-37),"")</f>
        <v>10000000000</v>
      </c>
      <c r="W870" s="1">
        <f t="shared" ref="W870:W933" si="159">IFERROR(MATCH($V870,$S$38:$S$953,0),"")</f>
        <v>9</v>
      </c>
    </row>
    <row r="871" spans="2:23" ht="14.25" customHeight="1" x14ac:dyDescent="0.3">
      <c r="B871" s="65" t="str">
        <f t="shared" si="151"/>
        <v/>
      </c>
      <c r="C871" s="70" t="str">
        <f t="shared" si="152"/>
        <v/>
      </c>
      <c r="D871" s="74" t="str">
        <f t="shared" si="153"/>
        <v/>
      </c>
      <c r="F871" s="65" t="str">
        <f t="shared" si="154"/>
        <v/>
      </c>
      <c r="G871" s="68" t="str">
        <f t="shared" si="155"/>
        <v/>
      </c>
      <c r="H871" s="68" t="str">
        <f t="shared" si="156"/>
        <v/>
      </c>
      <c r="I871" s="68" t="str">
        <f t="shared" ref="I871:I934" si="160">IF($C871="","",N($I870)+$G871-$H871)</f>
        <v/>
      </c>
      <c r="M871" s="1">
        <v>834</v>
      </c>
      <c r="N871" s="1" t="str">
        <f>IF($T871=0,"",INDEX(VIRMAN!$C$7:$C$406,$T871))</f>
        <v/>
      </c>
      <c r="O871" s="1" t="str">
        <f>IF($N871="","",$C$36&amp;" → "&amp;INDEX(VIRMAN!$E$7:$E$406,$T871)&amp;IF(INDEX(VIRMAN!$G$7:$G$406,$T871)="",""," – "&amp;INDEX(VIRMAN!$G$7:$G$406,$T871)))</f>
        <v/>
      </c>
      <c r="P871" s="1" t="str">
        <f t="shared" si="150"/>
        <v/>
      </c>
      <c r="Q871" s="1">
        <v>0</v>
      </c>
      <c r="R871" s="1">
        <f>IF($N871="",0,INDEX(VIRMAN!$F$7:$F$406,$T871))</f>
        <v>0</v>
      </c>
      <c r="S871" s="1">
        <f t="shared" si="157"/>
        <v>10000000000</v>
      </c>
      <c r="T871" s="1">
        <f>IFERROR(MATCH($C$36&amp;"|138",VIRMAN!$L$7:$L$406,0),0)</f>
        <v>0</v>
      </c>
      <c r="V871" s="1">
        <f t="shared" si="158"/>
        <v>10000000000</v>
      </c>
      <c r="W871" s="1">
        <f t="shared" si="159"/>
        <v>9</v>
      </c>
    </row>
    <row r="872" spans="2:23" ht="14.25" customHeight="1" x14ac:dyDescent="0.3">
      <c r="B872" s="65" t="str">
        <f t="shared" si="151"/>
        <v/>
      </c>
      <c r="C872" s="70" t="str">
        <f t="shared" si="152"/>
        <v/>
      </c>
      <c r="D872" s="74" t="str">
        <f t="shared" si="153"/>
        <v/>
      </c>
      <c r="F872" s="65" t="str">
        <f t="shared" si="154"/>
        <v/>
      </c>
      <c r="G872" s="68" t="str">
        <f t="shared" si="155"/>
        <v/>
      </c>
      <c r="H872" s="68" t="str">
        <f t="shared" si="156"/>
        <v/>
      </c>
      <c r="I872" s="68" t="str">
        <f t="shared" si="160"/>
        <v/>
      </c>
      <c r="M872" s="1">
        <v>835</v>
      </c>
      <c r="N872" s="1" t="str">
        <f>IF($T872=0,"",INDEX(VIRMAN!$C$7:$C$406,$T872))</f>
        <v/>
      </c>
      <c r="O872" s="1" t="str">
        <f>IF($N872="","",$C$36&amp;" → "&amp;INDEX(VIRMAN!$E$7:$E$406,$T872)&amp;IF(INDEX(VIRMAN!$G$7:$G$406,$T872)="",""," – "&amp;INDEX(VIRMAN!$G$7:$G$406,$T872)))</f>
        <v/>
      </c>
      <c r="P872" s="1" t="str">
        <f t="shared" si="150"/>
        <v/>
      </c>
      <c r="Q872" s="1">
        <v>0</v>
      </c>
      <c r="R872" s="1">
        <f>IF($N872="",0,INDEX(VIRMAN!$F$7:$F$406,$T872))</f>
        <v>0</v>
      </c>
      <c r="S872" s="1">
        <f t="shared" si="157"/>
        <v>10000000000</v>
      </c>
      <c r="T872" s="1">
        <f>IFERROR(MATCH($C$36&amp;"|139",VIRMAN!$L$7:$L$406,0),0)</f>
        <v>0</v>
      </c>
      <c r="V872" s="1">
        <f t="shared" si="158"/>
        <v>10000000000</v>
      </c>
      <c r="W872" s="1">
        <f t="shared" si="159"/>
        <v>9</v>
      </c>
    </row>
    <row r="873" spans="2:23" ht="14.25" customHeight="1" x14ac:dyDescent="0.3">
      <c r="B873" s="65" t="str">
        <f t="shared" si="151"/>
        <v/>
      </c>
      <c r="C873" s="70" t="str">
        <f t="shared" si="152"/>
        <v/>
      </c>
      <c r="D873" s="74" t="str">
        <f t="shared" si="153"/>
        <v/>
      </c>
      <c r="F873" s="65" t="str">
        <f t="shared" si="154"/>
        <v/>
      </c>
      <c r="G873" s="68" t="str">
        <f t="shared" si="155"/>
        <v/>
      </c>
      <c r="H873" s="68" t="str">
        <f t="shared" si="156"/>
        <v/>
      </c>
      <c r="I873" s="68" t="str">
        <f t="shared" si="160"/>
        <v/>
      </c>
      <c r="M873" s="1">
        <v>836</v>
      </c>
      <c r="N873" s="1" t="str">
        <f>IF($T873=0,"",INDEX(VIRMAN!$C$7:$C$406,$T873))</f>
        <v/>
      </c>
      <c r="O873" s="1" t="str">
        <f>IF($N873="","",$C$36&amp;" → "&amp;INDEX(VIRMAN!$E$7:$E$406,$T873)&amp;IF(INDEX(VIRMAN!$G$7:$G$406,$T873)="",""," – "&amp;INDEX(VIRMAN!$G$7:$G$406,$T873)))</f>
        <v/>
      </c>
      <c r="P873" s="1" t="str">
        <f t="shared" si="150"/>
        <v/>
      </c>
      <c r="Q873" s="1">
        <v>0</v>
      </c>
      <c r="R873" s="1">
        <f>IF($N873="",0,INDEX(VIRMAN!$F$7:$F$406,$T873))</f>
        <v>0</v>
      </c>
      <c r="S873" s="1">
        <f t="shared" si="157"/>
        <v>10000000000</v>
      </c>
      <c r="T873" s="1">
        <f>IFERROR(MATCH($C$36&amp;"|140",VIRMAN!$L$7:$L$406,0),0)</f>
        <v>0</v>
      </c>
      <c r="V873" s="1">
        <f t="shared" si="158"/>
        <v>10000000000</v>
      </c>
      <c r="W873" s="1">
        <f t="shared" si="159"/>
        <v>9</v>
      </c>
    </row>
    <row r="874" spans="2:23" ht="14.25" customHeight="1" x14ac:dyDescent="0.3">
      <c r="B874" s="65" t="str">
        <f t="shared" si="151"/>
        <v/>
      </c>
      <c r="C874" s="70" t="str">
        <f t="shared" si="152"/>
        <v/>
      </c>
      <c r="D874" s="74" t="str">
        <f t="shared" si="153"/>
        <v/>
      </c>
      <c r="F874" s="65" t="str">
        <f t="shared" si="154"/>
        <v/>
      </c>
      <c r="G874" s="68" t="str">
        <f t="shared" si="155"/>
        <v/>
      </c>
      <c r="H874" s="68" t="str">
        <f t="shared" si="156"/>
        <v/>
      </c>
      <c r="I874" s="68" t="str">
        <f t="shared" si="160"/>
        <v/>
      </c>
      <c r="M874" s="1">
        <v>837</v>
      </c>
      <c r="N874" s="1" t="str">
        <f>IF($T874=0,"",INDEX(VIRMAN!$C$7:$C$406,$T874))</f>
        <v/>
      </c>
      <c r="O874" s="1" t="str">
        <f>IF($N874="","",$C$36&amp;" → "&amp;INDEX(VIRMAN!$E$7:$E$406,$T874)&amp;IF(INDEX(VIRMAN!$G$7:$G$406,$T874)="",""," – "&amp;INDEX(VIRMAN!$G$7:$G$406,$T874)))</f>
        <v/>
      </c>
      <c r="P874" s="1" t="str">
        <f t="shared" si="150"/>
        <v/>
      </c>
      <c r="Q874" s="1">
        <v>0</v>
      </c>
      <c r="R874" s="1">
        <f>IF($N874="",0,INDEX(VIRMAN!$F$7:$F$406,$T874))</f>
        <v>0</v>
      </c>
      <c r="S874" s="1">
        <f t="shared" si="157"/>
        <v>10000000000</v>
      </c>
      <c r="T874" s="1">
        <f>IFERROR(MATCH($C$36&amp;"|141",VIRMAN!$L$7:$L$406,0),0)</f>
        <v>0</v>
      </c>
      <c r="V874" s="1">
        <f t="shared" si="158"/>
        <v>10000000000</v>
      </c>
      <c r="W874" s="1">
        <f t="shared" si="159"/>
        <v>9</v>
      </c>
    </row>
    <row r="875" spans="2:23" ht="14.25" customHeight="1" x14ac:dyDescent="0.3">
      <c r="B875" s="65" t="str">
        <f t="shared" si="151"/>
        <v/>
      </c>
      <c r="C875" s="70" t="str">
        <f t="shared" si="152"/>
        <v/>
      </c>
      <c r="D875" s="74" t="str">
        <f t="shared" si="153"/>
        <v/>
      </c>
      <c r="F875" s="65" t="str">
        <f t="shared" si="154"/>
        <v/>
      </c>
      <c r="G875" s="68" t="str">
        <f t="shared" si="155"/>
        <v/>
      </c>
      <c r="H875" s="68" t="str">
        <f t="shared" si="156"/>
        <v/>
      </c>
      <c r="I875" s="68" t="str">
        <f t="shared" si="160"/>
        <v/>
      </c>
      <c r="M875" s="1">
        <v>838</v>
      </c>
      <c r="N875" s="1" t="str">
        <f>IF($T875=0,"",INDEX(VIRMAN!$C$7:$C$406,$T875))</f>
        <v/>
      </c>
      <c r="O875" s="1" t="str">
        <f>IF($N875="","",$C$36&amp;" → "&amp;INDEX(VIRMAN!$E$7:$E$406,$T875)&amp;IF(INDEX(VIRMAN!$G$7:$G$406,$T875)="",""," – "&amp;INDEX(VIRMAN!$G$7:$G$406,$T875)))</f>
        <v/>
      </c>
      <c r="P875" s="1" t="str">
        <f t="shared" si="150"/>
        <v/>
      </c>
      <c r="Q875" s="1">
        <v>0</v>
      </c>
      <c r="R875" s="1">
        <f>IF($N875="",0,INDEX(VIRMAN!$F$7:$F$406,$T875))</f>
        <v>0</v>
      </c>
      <c r="S875" s="1">
        <f t="shared" si="157"/>
        <v>10000000000</v>
      </c>
      <c r="T875" s="1">
        <f>IFERROR(MATCH($C$36&amp;"|142",VIRMAN!$L$7:$L$406,0),0)</f>
        <v>0</v>
      </c>
      <c r="V875" s="1">
        <f t="shared" si="158"/>
        <v>10000000000</v>
      </c>
      <c r="W875" s="1">
        <f t="shared" si="159"/>
        <v>9</v>
      </c>
    </row>
    <row r="876" spans="2:23" ht="14.25" customHeight="1" x14ac:dyDescent="0.3">
      <c r="B876" s="65" t="str">
        <f t="shared" si="151"/>
        <v/>
      </c>
      <c r="C876" s="70" t="str">
        <f t="shared" si="152"/>
        <v/>
      </c>
      <c r="D876" s="74" t="str">
        <f t="shared" si="153"/>
        <v/>
      </c>
      <c r="F876" s="65" t="str">
        <f t="shared" si="154"/>
        <v/>
      </c>
      <c r="G876" s="68" t="str">
        <f t="shared" si="155"/>
        <v/>
      </c>
      <c r="H876" s="68" t="str">
        <f t="shared" si="156"/>
        <v/>
      </c>
      <c r="I876" s="68" t="str">
        <f t="shared" si="160"/>
        <v/>
      </c>
      <c r="M876" s="1">
        <v>839</v>
      </c>
      <c r="N876" s="1" t="str">
        <f>IF($T876=0,"",INDEX(VIRMAN!$C$7:$C$406,$T876))</f>
        <v/>
      </c>
      <c r="O876" s="1" t="str">
        <f>IF($N876="","",$C$36&amp;" → "&amp;INDEX(VIRMAN!$E$7:$E$406,$T876)&amp;IF(INDEX(VIRMAN!$G$7:$G$406,$T876)="",""," – "&amp;INDEX(VIRMAN!$G$7:$G$406,$T876)))</f>
        <v/>
      </c>
      <c r="P876" s="1" t="str">
        <f t="shared" si="150"/>
        <v/>
      </c>
      <c r="Q876" s="1">
        <v>0</v>
      </c>
      <c r="R876" s="1">
        <f>IF($N876="",0,INDEX(VIRMAN!$F$7:$F$406,$T876))</f>
        <v>0</v>
      </c>
      <c r="S876" s="1">
        <f t="shared" si="157"/>
        <v>10000000000</v>
      </c>
      <c r="T876" s="1">
        <f>IFERROR(MATCH($C$36&amp;"|143",VIRMAN!$L$7:$L$406,0),0)</f>
        <v>0</v>
      </c>
      <c r="V876" s="1">
        <f t="shared" si="158"/>
        <v>10000000000</v>
      </c>
      <c r="W876" s="1">
        <f t="shared" si="159"/>
        <v>9</v>
      </c>
    </row>
    <row r="877" spans="2:23" ht="14.25" customHeight="1" x14ac:dyDescent="0.3">
      <c r="B877" s="65" t="str">
        <f t="shared" si="151"/>
        <v/>
      </c>
      <c r="C877" s="70" t="str">
        <f t="shared" si="152"/>
        <v/>
      </c>
      <c r="D877" s="74" t="str">
        <f t="shared" si="153"/>
        <v/>
      </c>
      <c r="F877" s="65" t="str">
        <f t="shared" si="154"/>
        <v/>
      </c>
      <c r="G877" s="68" t="str">
        <f t="shared" si="155"/>
        <v/>
      </c>
      <c r="H877" s="68" t="str">
        <f t="shared" si="156"/>
        <v/>
      </c>
      <c r="I877" s="68" t="str">
        <f t="shared" si="160"/>
        <v/>
      </c>
      <c r="M877" s="1">
        <v>840</v>
      </c>
      <c r="N877" s="1" t="str">
        <f>IF($T877=0,"",INDEX(VIRMAN!$C$7:$C$406,$T877))</f>
        <v/>
      </c>
      <c r="O877" s="1" t="str">
        <f>IF($N877="","",$C$36&amp;" → "&amp;INDEX(VIRMAN!$E$7:$E$406,$T877)&amp;IF(INDEX(VIRMAN!$G$7:$G$406,$T877)="",""," – "&amp;INDEX(VIRMAN!$G$7:$G$406,$T877)))</f>
        <v/>
      </c>
      <c r="P877" s="1" t="str">
        <f t="shared" si="150"/>
        <v/>
      </c>
      <c r="Q877" s="1">
        <v>0</v>
      </c>
      <c r="R877" s="1">
        <f>IF($N877="",0,INDEX(VIRMAN!$F$7:$F$406,$T877))</f>
        <v>0</v>
      </c>
      <c r="S877" s="1">
        <f t="shared" si="157"/>
        <v>10000000000</v>
      </c>
      <c r="T877" s="1">
        <f>IFERROR(MATCH($C$36&amp;"|144",VIRMAN!$L$7:$L$406,0),0)</f>
        <v>0</v>
      </c>
      <c r="V877" s="1">
        <f t="shared" si="158"/>
        <v>10000000000</v>
      </c>
      <c r="W877" s="1">
        <f t="shared" si="159"/>
        <v>9</v>
      </c>
    </row>
    <row r="878" spans="2:23" ht="14.25" customHeight="1" x14ac:dyDescent="0.3">
      <c r="B878" s="65" t="str">
        <f t="shared" si="151"/>
        <v/>
      </c>
      <c r="C878" s="70" t="str">
        <f t="shared" si="152"/>
        <v/>
      </c>
      <c r="D878" s="74" t="str">
        <f t="shared" si="153"/>
        <v/>
      </c>
      <c r="F878" s="65" t="str">
        <f t="shared" si="154"/>
        <v/>
      </c>
      <c r="G878" s="68" t="str">
        <f t="shared" si="155"/>
        <v/>
      </c>
      <c r="H878" s="68" t="str">
        <f t="shared" si="156"/>
        <v/>
      </c>
      <c r="I878" s="68" t="str">
        <f t="shared" si="160"/>
        <v/>
      </c>
      <c r="M878" s="1">
        <v>841</v>
      </c>
      <c r="N878" s="1" t="str">
        <f>IF($T878=0,"",INDEX(VIRMAN!$C$7:$C$406,$T878))</f>
        <v/>
      </c>
      <c r="O878" s="1" t="str">
        <f>IF($N878="","",$C$36&amp;" → "&amp;INDEX(VIRMAN!$E$7:$E$406,$T878)&amp;IF(INDEX(VIRMAN!$G$7:$G$406,$T878)="",""," – "&amp;INDEX(VIRMAN!$G$7:$G$406,$T878)))</f>
        <v/>
      </c>
      <c r="P878" s="1" t="str">
        <f t="shared" si="150"/>
        <v/>
      </c>
      <c r="Q878" s="1">
        <v>0</v>
      </c>
      <c r="R878" s="1">
        <f>IF($N878="",0,INDEX(VIRMAN!$F$7:$F$406,$T878))</f>
        <v>0</v>
      </c>
      <c r="S878" s="1">
        <f t="shared" si="157"/>
        <v>10000000000</v>
      </c>
      <c r="T878" s="1">
        <f>IFERROR(MATCH($C$36&amp;"|145",VIRMAN!$L$7:$L$406,0),0)</f>
        <v>0</v>
      </c>
      <c r="V878" s="1">
        <f t="shared" si="158"/>
        <v>10000000000</v>
      </c>
      <c r="W878" s="1">
        <f t="shared" si="159"/>
        <v>9</v>
      </c>
    </row>
    <row r="879" spans="2:23" ht="14.25" customHeight="1" x14ac:dyDescent="0.3">
      <c r="B879" s="65" t="str">
        <f t="shared" si="151"/>
        <v/>
      </c>
      <c r="C879" s="70" t="str">
        <f t="shared" si="152"/>
        <v/>
      </c>
      <c r="D879" s="74" t="str">
        <f t="shared" si="153"/>
        <v/>
      </c>
      <c r="F879" s="65" t="str">
        <f t="shared" si="154"/>
        <v/>
      </c>
      <c r="G879" s="68" t="str">
        <f t="shared" si="155"/>
        <v/>
      </c>
      <c r="H879" s="68" t="str">
        <f t="shared" si="156"/>
        <v/>
      </c>
      <c r="I879" s="68" t="str">
        <f t="shared" si="160"/>
        <v/>
      </c>
      <c r="M879" s="1">
        <v>842</v>
      </c>
      <c r="N879" s="1" t="str">
        <f>IF($T879=0,"",INDEX(VIRMAN!$C$7:$C$406,$T879))</f>
        <v/>
      </c>
      <c r="O879" s="1" t="str">
        <f>IF($N879="","",$C$36&amp;" → "&amp;INDEX(VIRMAN!$E$7:$E$406,$T879)&amp;IF(INDEX(VIRMAN!$G$7:$G$406,$T879)="",""," – "&amp;INDEX(VIRMAN!$G$7:$G$406,$T879)))</f>
        <v/>
      </c>
      <c r="P879" s="1" t="str">
        <f t="shared" si="150"/>
        <v/>
      </c>
      <c r="Q879" s="1">
        <v>0</v>
      </c>
      <c r="R879" s="1">
        <f>IF($N879="",0,INDEX(VIRMAN!$F$7:$F$406,$T879))</f>
        <v>0</v>
      </c>
      <c r="S879" s="1">
        <f t="shared" si="157"/>
        <v>10000000000</v>
      </c>
      <c r="T879" s="1">
        <f>IFERROR(MATCH($C$36&amp;"|146",VIRMAN!$L$7:$L$406,0),0)</f>
        <v>0</v>
      </c>
      <c r="V879" s="1">
        <f t="shared" si="158"/>
        <v>10000000000</v>
      </c>
      <c r="W879" s="1">
        <f t="shared" si="159"/>
        <v>9</v>
      </c>
    </row>
    <row r="880" spans="2:23" ht="14.25" customHeight="1" x14ac:dyDescent="0.3">
      <c r="B880" s="65" t="str">
        <f t="shared" si="151"/>
        <v/>
      </c>
      <c r="C880" s="70" t="str">
        <f t="shared" si="152"/>
        <v/>
      </c>
      <c r="D880" s="74" t="str">
        <f t="shared" si="153"/>
        <v/>
      </c>
      <c r="F880" s="65" t="str">
        <f t="shared" si="154"/>
        <v/>
      </c>
      <c r="G880" s="68" t="str">
        <f t="shared" si="155"/>
        <v/>
      </c>
      <c r="H880" s="68" t="str">
        <f t="shared" si="156"/>
        <v/>
      </c>
      <c r="I880" s="68" t="str">
        <f t="shared" si="160"/>
        <v/>
      </c>
      <c r="M880" s="1">
        <v>843</v>
      </c>
      <c r="N880" s="1" t="str">
        <f>IF($T880=0,"",INDEX(VIRMAN!$C$7:$C$406,$T880))</f>
        <v/>
      </c>
      <c r="O880" s="1" t="str">
        <f>IF($N880="","",$C$36&amp;" → "&amp;INDEX(VIRMAN!$E$7:$E$406,$T880)&amp;IF(INDEX(VIRMAN!$G$7:$G$406,$T880)="",""," – "&amp;INDEX(VIRMAN!$G$7:$G$406,$T880)))</f>
        <v/>
      </c>
      <c r="P880" s="1" t="str">
        <f t="shared" si="150"/>
        <v/>
      </c>
      <c r="Q880" s="1">
        <v>0</v>
      </c>
      <c r="R880" s="1">
        <f>IF($N880="",0,INDEX(VIRMAN!$F$7:$F$406,$T880))</f>
        <v>0</v>
      </c>
      <c r="S880" s="1">
        <f t="shared" si="157"/>
        <v>10000000000</v>
      </c>
      <c r="T880" s="1">
        <f>IFERROR(MATCH($C$36&amp;"|147",VIRMAN!$L$7:$L$406,0),0)</f>
        <v>0</v>
      </c>
      <c r="V880" s="1">
        <f t="shared" si="158"/>
        <v>10000000000</v>
      </c>
      <c r="W880" s="1">
        <f t="shared" si="159"/>
        <v>9</v>
      </c>
    </row>
    <row r="881" spans="2:23" ht="14.25" customHeight="1" x14ac:dyDescent="0.3">
      <c r="B881" s="65" t="str">
        <f t="shared" si="151"/>
        <v/>
      </c>
      <c r="C881" s="70" t="str">
        <f t="shared" si="152"/>
        <v/>
      </c>
      <c r="D881" s="74" t="str">
        <f t="shared" si="153"/>
        <v/>
      </c>
      <c r="F881" s="65" t="str">
        <f t="shared" si="154"/>
        <v/>
      </c>
      <c r="G881" s="68" t="str">
        <f t="shared" si="155"/>
        <v/>
      </c>
      <c r="H881" s="68" t="str">
        <f t="shared" si="156"/>
        <v/>
      </c>
      <c r="I881" s="68" t="str">
        <f t="shared" si="160"/>
        <v/>
      </c>
      <c r="M881" s="1">
        <v>844</v>
      </c>
      <c r="N881" s="1" t="str">
        <f>IF($T881=0,"",INDEX(VIRMAN!$C$7:$C$406,$T881))</f>
        <v/>
      </c>
      <c r="O881" s="1" t="str">
        <f>IF($N881="","",$C$36&amp;" → "&amp;INDEX(VIRMAN!$E$7:$E$406,$T881)&amp;IF(INDEX(VIRMAN!$G$7:$G$406,$T881)="",""," – "&amp;INDEX(VIRMAN!$G$7:$G$406,$T881)))</f>
        <v/>
      </c>
      <c r="P881" s="1" t="str">
        <f t="shared" si="150"/>
        <v/>
      </c>
      <c r="Q881" s="1">
        <v>0</v>
      </c>
      <c r="R881" s="1">
        <f>IF($N881="",0,INDEX(VIRMAN!$F$7:$F$406,$T881))</f>
        <v>0</v>
      </c>
      <c r="S881" s="1">
        <f t="shared" si="157"/>
        <v>10000000000</v>
      </c>
      <c r="T881" s="1">
        <f>IFERROR(MATCH($C$36&amp;"|148",VIRMAN!$L$7:$L$406,0),0)</f>
        <v>0</v>
      </c>
      <c r="V881" s="1">
        <f t="shared" si="158"/>
        <v>10000000000</v>
      </c>
      <c r="W881" s="1">
        <f t="shared" si="159"/>
        <v>9</v>
      </c>
    </row>
    <row r="882" spans="2:23" ht="14.25" customHeight="1" x14ac:dyDescent="0.3">
      <c r="B882" s="65" t="str">
        <f t="shared" si="151"/>
        <v/>
      </c>
      <c r="C882" s="70" t="str">
        <f t="shared" si="152"/>
        <v/>
      </c>
      <c r="D882" s="74" t="str">
        <f t="shared" si="153"/>
        <v/>
      </c>
      <c r="F882" s="65" t="str">
        <f t="shared" si="154"/>
        <v/>
      </c>
      <c r="G882" s="68" t="str">
        <f t="shared" si="155"/>
        <v/>
      </c>
      <c r="H882" s="68" t="str">
        <f t="shared" si="156"/>
        <v/>
      </c>
      <c r="I882" s="68" t="str">
        <f t="shared" si="160"/>
        <v/>
      </c>
      <c r="M882" s="1">
        <v>845</v>
      </c>
      <c r="N882" s="1" t="str">
        <f>IF($T882=0,"",INDEX(VIRMAN!$C$7:$C$406,$T882))</f>
        <v/>
      </c>
      <c r="O882" s="1" t="str">
        <f>IF($N882="","",$C$36&amp;" → "&amp;INDEX(VIRMAN!$E$7:$E$406,$T882)&amp;IF(INDEX(VIRMAN!$G$7:$G$406,$T882)="",""," – "&amp;INDEX(VIRMAN!$G$7:$G$406,$T882)))</f>
        <v/>
      </c>
      <c r="P882" s="1" t="str">
        <f t="shared" si="150"/>
        <v/>
      </c>
      <c r="Q882" s="1">
        <v>0</v>
      </c>
      <c r="R882" s="1">
        <f>IF($N882="",0,INDEX(VIRMAN!$F$7:$F$406,$T882))</f>
        <v>0</v>
      </c>
      <c r="S882" s="1">
        <f t="shared" si="157"/>
        <v>10000000000</v>
      </c>
      <c r="T882" s="1">
        <f>IFERROR(MATCH($C$36&amp;"|149",VIRMAN!$L$7:$L$406,0),0)</f>
        <v>0</v>
      </c>
      <c r="V882" s="1">
        <f t="shared" si="158"/>
        <v>10000000000</v>
      </c>
      <c r="W882" s="1">
        <f t="shared" si="159"/>
        <v>9</v>
      </c>
    </row>
    <row r="883" spans="2:23" ht="14.25" customHeight="1" x14ac:dyDescent="0.3">
      <c r="B883" s="65" t="str">
        <f t="shared" si="151"/>
        <v/>
      </c>
      <c r="C883" s="70" t="str">
        <f t="shared" si="152"/>
        <v/>
      </c>
      <c r="D883" s="74" t="str">
        <f t="shared" si="153"/>
        <v/>
      </c>
      <c r="F883" s="65" t="str">
        <f t="shared" si="154"/>
        <v/>
      </c>
      <c r="G883" s="68" t="str">
        <f t="shared" si="155"/>
        <v/>
      </c>
      <c r="H883" s="68" t="str">
        <f t="shared" si="156"/>
        <v/>
      </c>
      <c r="I883" s="68" t="str">
        <f t="shared" si="160"/>
        <v/>
      </c>
      <c r="M883" s="1">
        <v>846</v>
      </c>
      <c r="N883" s="1" t="str">
        <f>IF($T883=0,"",INDEX(VIRMAN!$C$7:$C$406,$T883))</f>
        <v/>
      </c>
      <c r="O883" s="1" t="str">
        <f>IF($N883="","",$C$36&amp;" → "&amp;INDEX(VIRMAN!$E$7:$E$406,$T883)&amp;IF(INDEX(VIRMAN!$G$7:$G$406,$T883)="",""," – "&amp;INDEX(VIRMAN!$G$7:$G$406,$T883)))</f>
        <v/>
      </c>
      <c r="P883" s="1" t="str">
        <f t="shared" si="150"/>
        <v/>
      </c>
      <c r="Q883" s="1">
        <v>0</v>
      </c>
      <c r="R883" s="1">
        <f>IF($N883="",0,INDEX(VIRMAN!$F$7:$F$406,$T883))</f>
        <v>0</v>
      </c>
      <c r="S883" s="1">
        <f t="shared" si="157"/>
        <v>10000000000</v>
      </c>
      <c r="T883" s="1">
        <f>IFERROR(MATCH($C$36&amp;"|150",VIRMAN!$L$7:$L$406,0),0)</f>
        <v>0</v>
      </c>
      <c r="V883" s="1">
        <f t="shared" si="158"/>
        <v>10000000000</v>
      </c>
      <c r="W883" s="1">
        <f t="shared" si="159"/>
        <v>9</v>
      </c>
    </row>
    <row r="884" spans="2:23" ht="14.25" customHeight="1" x14ac:dyDescent="0.3">
      <c r="B884" s="65" t="str">
        <f t="shared" si="151"/>
        <v/>
      </c>
      <c r="C884" s="70" t="str">
        <f t="shared" si="152"/>
        <v/>
      </c>
      <c r="D884" s="74" t="str">
        <f t="shared" si="153"/>
        <v/>
      </c>
      <c r="F884" s="65" t="str">
        <f t="shared" si="154"/>
        <v/>
      </c>
      <c r="G884" s="68" t="str">
        <f t="shared" si="155"/>
        <v/>
      </c>
      <c r="H884" s="68" t="str">
        <f t="shared" si="156"/>
        <v/>
      </c>
      <c r="I884" s="68" t="str">
        <f t="shared" si="160"/>
        <v/>
      </c>
      <c r="M884" s="1">
        <v>847</v>
      </c>
      <c r="N884" s="1" t="str">
        <f>IF($T884=0,"",INDEX(VIRMAN!$C$7:$C$406,$T884))</f>
        <v/>
      </c>
      <c r="O884" s="1" t="str">
        <f>IF($N884="","",$C$36&amp;" → "&amp;INDEX(VIRMAN!$E$7:$E$406,$T884)&amp;IF(INDEX(VIRMAN!$G$7:$G$406,$T884)="",""," – "&amp;INDEX(VIRMAN!$G$7:$G$406,$T884)))</f>
        <v/>
      </c>
      <c r="P884" s="1" t="str">
        <f t="shared" si="150"/>
        <v/>
      </c>
      <c r="Q884" s="1">
        <v>0</v>
      </c>
      <c r="R884" s="1">
        <f>IF($N884="",0,INDEX(VIRMAN!$F$7:$F$406,$T884))</f>
        <v>0</v>
      </c>
      <c r="S884" s="1">
        <f t="shared" si="157"/>
        <v>10000000000</v>
      </c>
      <c r="T884" s="1">
        <f>IFERROR(MATCH($C$36&amp;"|151",VIRMAN!$L$7:$L$406,0),0)</f>
        <v>0</v>
      </c>
      <c r="V884" s="1">
        <f t="shared" si="158"/>
        <v>10000000000</v>
      </c>
      <c r="W884" s="1">
        <f t="shared" si="159"/>
        <v>9</v>
      </c>
    </row>
    <row r="885" spans="2:23" ht="14.25" customHeight="1" x14ac:dyDescent="0.3">
      <c r="B885" s="65" t="str">
        <f t="shared" si="151"/>
        <v/>
      </c>
      <c r="C885" s="70" t="str">
        <f t="shared" si="152"/>
        <v/>
      </c>
      <c r="D885" s="74" t="str">
        <f t="shared" si="153"/>
        <v/>
      </c>
      <c r="F885" s="65" t="str">
        <f t="shared" si="154"/>
        <v/>
      </c>
      <c r="G885" s="68" t="str">
        <f t="shared" si="155"/>
        <v/>
      </c>
      <c r="H885" s="68" t="str">
        <f t="shared" si="156"/>
        <v/>
      </c>
      <c r="I885" s="68" t="str">
        <f t="shared" si="160"/>
        <v/>
      </c>
      <c r="M885" s="1">
        <v>848</v>
      </c>
      <c r="N885" s="1" t="str">
        <f>IF($T885=0,"",INDEX(VIRMAN!$C$7:$C$406,$T885))</f>
        <v/>
      </c>
      <c r="O885" s="1" t="str">
        <f>IF($N885="","",$C$36&amp;" → "&amp;INDEX(VIRMAN!$E$7:$E$406,$T885)&amp;IF(INDEX(VIRMAN!$G$7:$G$406,$T885)="",""," – "&amp;INDEX(VIRMAN!$G$7:$G$406,$T885)))</f>
        <v/>
      </c>
      <c r="P885" s="1" t="str">
        <f t="shared" si="150"/>
        <v/>
      </c>
      <c r="Q885" s="1">
        <v>0</v>
      </c>
      <c r="R885" s="1">
        <f>IF($N885="",0,INDEX(VIRMAN!$F$7:$F$406,$T885))</f>
        <v>0</v>
      </c>
      <c r="S885" s="1">
        <f t="shared" si="157"/>
        <v>10000000000</v>
      </c>
      <c r="T885" s="1">
        <f>IFERROR(MATCH($C$36&amp;"|152",VIRMAN!$L$7:$L$406,0),0)</f>
        <v>0</v>
      </c>
      <c r="V885" s="1">
        <f t="shared" si="158"/>
        <v>10000000000</v>
      </c>
      <c r="W885" s="1">
        <f t="shared" si="159"/>
        <v>9</v>
      </c>
    </row>
    <row r="886" spans="2:23" ht="14.25" customHeight="1" x14ac:dyDescent="0.3">
      <c r="B886" s="65" t="str">
        <f t="shared" si="151"/>
        <v/>
      </c>
      <c r="C886" s="70" t="str">
        <f t="shared" si="152"/>
        <v/>
      </c>
      <c r="D886" s="74" t="str">
        <f t="shared" si="153"/>
        <v/>
      </c>
      <c r="F886" s="65" t="str">
        <f t="shared" si="154"/>
        <v/>
      </c>
      <c r="G886" s="68" t="str">
        <f t="shared" si="155"/>
        <v/>
      </c>
      <c r="H886" s="68" t="str">
        <f t="shared" si="156"/>
        <v/>
      </c>
      <c r="I886" s="68" t="str">
        <f t="shared" si="160"/>
        <v/>
      </c>
      <c r="M886" s="1">
        <v>849</v>
      </c>
      <c r="N886" s="1" t="str">
        <f>IF($T886=0,"",INDEX(VIRMAN!$C$7:$C$406,$T886))</f>
        <v/>
      </c>
      <c r="O886" s="1" t="str">
        <f>IF($N886="","",$C$36&amp;" → "&amp;INDEX(VIRMAN!$E$7:$E$406,$T886)&amp;IF(INDEX(VIRMAN!$G$7:$G$406,$T886)="",""," – "&amp;INDEX(VIRMAN!$G$7:$G$406,$T886)))</f>
        <v/>
      </c>
      <c r="P886" s="1" t="str">
        <f t="shared" si="150"/>
        <v/>
      </c>
      <c r="Q886" s="1">
        <v>0</v>
      </c>
      <c r="R886" s="1">
        <f>IF($N886="",0,INDEX(VIRMAN!$F$7:$F$406,$T886))</f>
        <v>0</v>
      </c>
      <c r="S886" s="1">
        <f t="shared" si="157"/>
        <v>10000000000</v>
      </c>
      <c r="T886" s="1">
        <f>IFERROR(MATCH($C$36&amp;"|153",VIRMAN!$L$7:$L$406,0),0)</f>
        <v>0</v>
      </c>
      <c r="V886" s="1">
        <f t="shared" si="158"/>
        <v>10000000000</v>
      </c>
      <c r="W886" s="1">
        <f t="shared" si="159"/>
        <v>9</v>
      </c>
    </row>
    <row r="887" spans="2:23" ht="14.25" customHeight="1" x14ac:dyDescent="0.3">
      <c r="B887" s="65" t="str">
        <f t="shared" si="151"/>
        <v/>
      </c>
      <c r="C887" s="70" t="str">
        <f t="shared" si="152"/>
        <v/>
      </c>
      <c r="D887" s="74" t="str">
        <f t="shared" si="153"/>
        <v/>
      </c>
      <c r="F887" s="65" t="str">
        <f t="shared" si="154"/>
        <v/>
      </c>
      <c r="G887" s="68" t="str">
        <f t="shared" si="155"/>
        <v/>
      </c>
      <c r="H887" s="68" t="str">
        <f t="shared" si="156"/>
        <v/>
      </c>
      <c r="I887" s="68" t="str">
        <f t="shared" si="160"/>
        <v/>
      </c>
      <c r="M887" s="1">
        <v>850</v>
      </c>
      <c r="N887" s="1" t="str">
        <f>IF($T887=0,"",INDEX(VIRMAN!$C$7:$C$406,$T887))</f>
        <v/>
      </c>
      <c r="O887" s="1" t="str">
        <f>IF($N887="","",$C$36&amp;" → "&amp;INDEX(VIRMAN!$E$7:$E$406,$T887)&amp;IF(INDEX(VIRMAN!$G$7:$G$406,$T887)="",""," – "&amp;INDEX(VIRMAN!$G$7:$G$406,$T887)))</f>
        <v/>
      </c>
      <c r="P887" s="1" t="str">
        <f t="shared" si="150"/>
        <v/>
      </c>
      <c r="Q887" s="1">
        <v>0</v>
      </c>
      <c r="R887" s="1">
        <f>IF($N887="",0,INDEX(VIRMAN!$F$7:$F$406,$T887))</f>
        <v>0</v>
      </c>
      <c r="S887" s="1">
        <f t="shared" si="157"/>
        <v>10000000000</v>
      </c>
      <c r="T887" s="1">
        <f>IFERROR(MATCH($C$36&amp;"|154",VIRMAN!$L$7:$L$406,0),0)</f>
        <v>0</v>
      </c>
      <c r="V887" s="1">
        <f t="shared" si="158"/>
        <v>10000000000</v>
      </c>
      <c r="W887" s="1">
        <f t="shared" si="159"/>
        <v>9</v>
      </c>
    </row>
    <row r="888" spans="2:23" ht="14.25" customHeight="1" x14ac:dyDescent="0.3">
      <c r="B888" s="65" t="str">
        <f t="shared" si="151"/>
        <v/>
      </c>
      <c r="C888" s="70" t="str">
        <f t="shared" si="152"/>
        <v/>
      </c>
      <c r="D888" s="74" t="str">
        <f t="shared" si="153"/>
        <v/>
      </c>
      <c r="F888" s="65" t="str">
        <f t="shared" si="154"/>
        <v/>
      </c>
      <c r="G888" s="68" t="str">
        <f t="shared" si="155"/>
        <v/>
      </c>
      <c r="H888" s="68" t="str">
        <f t="shared" si="156"/>
        <v/>
      </c>
      <c r="I888" s="68" t="str">
        <f t="shared" si="160"/>
        <v/>
      </c>
      <c r="M888" s="1">
        <v>851</v>
      </c>
      <c r="N888" s="1" t="str">
        <f>IF($T888=0,"",INDEX(VIRMAN!$C$7:$C$406,$T888))</f>
        <v/>
      </c>
      <c r="O888" s="1" t="str">
        <f>IF($N888="","",$C$36&amp;" → "&amp;INDEX(VIRMAN!$E$7:$E$406,$T888)&amp;IF(INDEX(VIRMAN!$G$7:$G$406,$T888)="",""," – "&amp;INDEX(VIRMAN!$G$7:$G$406,$T888)))</f>
        <v/>
      </c>
      <c r="P888" s="1" t="str">
        <f t="shared" si="150"/>
        <v/>
      </c>
      <c r="Q888" s="1">
        <v>0</v>
      </c>
      <c r="R888" s="1">
        <f>IF($N888="",0,INDEX(VIRMAN!$F$7:$F$406,$T888))</f>
        <v>0</v>
      </c>
      <c r="S888" s="1">
        <f t="shared" si="157"/>
        <v>10000000000</v>
      </c>
      <c r="T888" s="1">
        <f>IFERROR(MATCH($C$36&amp;"|155",VIRMAN!$L$7:$L$406,0),0)</f>
        <v>0</v>
      </c>
      <c r="V888" s="1">
        <f t="shared" si="158"/>
        <v>10000000000</v>
      </c>
      <c r="W888" s="1">
        <f t="shared" si="159"/>
        <v>9</v>
      </c>
    </row>
    <row r="889" spans="2:23" ht="14.25" customHeight="1" x14ac:dyDescent="0.3">
      <c r="B889" s="65" t="str">
        <f t="shared" si="151"/>
        <v/>
      </c>
      <c r="C889" s="70" t="str">
        <f t="shared" si="152"/>
        <v/>
      </c>
      <c r="D889" s="74" t="str">
        <f t="shared" si="153"/>
        <v/>
      </c>
      <c r="F889" s="65" t="str">
        <f t="shared" si="154"/>
        <v/>
      </c>
      <c r="G889" s="68" t="str">
        <f t="shared" si="155"/>
        <v/>
      </c>
      <c r="H889" s="68" t="str">
        <f t="shared" si="156"/>
        <v/>
      </c>
      <c r="I889" s="68" t="str">
        <f t="shared" si="160"/>
        <v/>
      </c>
      <c r="M889" s="1">
        <v>852</v>
      </c>
      <c r="N889" s="1" t="str">
        <f>IF($T889=0,"",INDEX(VIRMAN!$C$7:$C$406,$T889))</f>
        <v/>
      </c>
      <c r="O889" s="1" t="str">
        <f>IF($N889="","",$C$36&amp;" → "&amp;INDEX(VIRMAN!$E$7:$E$406,$T889)&amp;IF(INDEX(VIRMAN!$G$7:$G$406,$T889)="",""," – "&amp;INDEX(VIRMAN!$G$7:$G$406,$T889)))</f>
        <v/>
      </c>
      <c r="P889" s="1" t="str">
        <f t="shared" si="150"/>
        <v/>
      </c>
      <c r="Q889" s="1">
        <v>0</v>
      </c>
      <c r="R889" s="1">
        <f>IF($N889="",0,INDEX(VIRMAN!$F$7:$F$406,$T889))</f>
        <v>0</v>
      </c>
      <c r="S889" s="1">
        <f t="shared" si="157"/>
        <v>10000000000</v>
      </c>
      <c r="T889" s="1">
        <f>IFERROR(MATCH($C$36&amp;"|156",VIRMAN!$L$7:$L$406,0),0)</f>
        <v>0</v>
      </c>
      <c r="V889" s="1">
        <f t="shared" si="158"/>
        <v>10000000000</v>
      </c>
      <c r="W889" s="1">
        <f t="shared" si="159"/>
        <v>9</v>
      </c>
    </row>
    <row r="890" spans="2:23" ht="14.25" customHeight="1" x14ac:dyDescent="0.3">
      <c r="B890" s="65" t="str">
        <f t="shared" si="151"/>
        <v/>
      </c>
      <c r="C890" s="70" t="str">
        <f t="shared" si="152"/>
        <v/>
      </c>
      <c r="D890" s="74" t="str">
        <f t="shared" si="153"/>
        <v/>
      </c>
      <c r="F890" s="65" t="str">
        <f t="shared" si="154"/>
        <v/>
      </c>
      <c r="G890" s="68" t="str">
        <f t="shared" si="155"/>
        <v/>
      </c>
      <c r="H890" s="68" t="str">
        <f t="shared" si="156"/>
        <v/>
      </c>
      <c r="I890" s="68" t="str">
        <f t="shared" si="160"/>
        <v/>
      </c>
      <c r="M890" s="1">
        <v>853</v>
      </c>
      <c r="N890" s="1" t="str">
        <f>IF($T890=0,"",INDEX(VIRMAN!$C$7:$C$406,$T890))</f>
        <v/>
      </c>
      <c r="O890" s="1" t="str">
        <f>IF($N890="","",$C$36&amp;" → "&amp;INDEX(VIRMAN!$E$7:$E$406,$T890)&amp;IF(INDEX(VIRMAN!$G$7:$G$406,$T890)="",""," – "&amp;INDEX(VIRMAN!$G$7:$G$406,$T890)))</f>
        <v/>
      </c>
      <c r="P890" s="1" t="str">
        <f t="shared" si="150"/>
        <v/>
      </c>
      <c r="Q890" s="1">
        <v>0</v>
      </c>
      <c r="R890" s="1">
        <f>IF($N890="",0,INDEX(VIRMAN!$F$7:$F$406,$T890))</f>
        <v>0</v>
      </c>
      <c r="S890" s="1">
        <f t="shared" si="157"/>
        <v>10000000000</v>
      </c>
      <c r="T890" s="1">
        <f>IFERROR(MATCH($C$36&amp;"|157",VIRMAN!$L$7:$L$406,0),0)</f>
        <v>0</v>
      </c>
      <c r="V890" s="1">
        <f t="shared" si="158"/>
        <v>10000000000</v>
      </c>
      <c r="W890" s="1">
        <f t="shared" si="159"/>
        <v>9</v>
      </c>
    </row>
    <row r="891" spans="2:23" ht="14.25" customHeight="1" x14ac:dyDescent="0.3">
      <c r="B891" s="65" t="str">
        <f t="shared" si="151"/>
        <v/>
      </c>
      <c r="C891" s="70" t="str">
        <f t="shared" si="152"/>
        <v/>
      </c>
      <c r="D891" s="74" t="str">
        <f t="shared" si="153"/>
        <v/>
      </c>
      <c r="F891" s="65" t="str">
        <f t="shared" si="154"/>
        <v/>
      </c>
      <c r="G891" s="68" t="str">
        <f t="shared" si="155"/>
        <v/>
      </c>
      <c r="H891" s="68" t="str">
        <f t="shared" si="156"/>
        <v/>
      </c>
      <c r="I891" s="68" t="str">
        <f t="shared" si="160"/>
        <v/>
      </c>
      <c r="M891" s="1">
        <v>854</v>
      </c>
      <c r="N891" s="1" t="str">
        <f>IF($T891=0,"",INDEX(VIRMAN!$C$7:$C$406,$T891))</f>
        <v/>
      </c>
      <c r="O891" s="1" t="str">
        <f>IF($N891="","",$C$36&amp;" → "&amp;INDEX(VIRMAN!$E$7:$E$406,$T891)&amp;IF(INDEX(VIRMAN!$G$7:$G$406,$T891)="",""," – "&amp;INDEX(VIRMAN!$G$7:$G$406,$T891)))</f>
        <v/>
      </c>
      <c r="P891" s="1" t="str">
        <f t="shared" si="150"/>
        <v/>
      </c>
      <c r="Q891" s="1">
        <v>0</v>
      </c>
      <c r="R891" s="1">
        <f>IF($N891="",0,INDEX(VIRMAN!$F$7:$F$406,$T891))</f>
        <v>0</v>
      </c>
      <c r="S891" s="1">
        <f t="shared" si="157"/>
        <v>10000000000</v>
      </c>
      <c r="T891" s="1">
        <f>IFERROR(MATCH($C$36&amp;"|158",VIRMAN!$L$7:$L$406,0),0)</f>
        <v>0</v>
      </c>
      <c r="V891" s="1">
        <f t="shared" si="158"/>
        <v>10000000000</v>
      </c>
      <c r="W891" s="1">
        <f t="shared" si="159"/>
        <v>9</v>
      </c>
    </row>
    <row r="892" spans="2:23" ht="14.25" customHeight="1" x14ac:dyDescent="0.3">
      <c r="B892" s="65" t="str">
        <f t="shared" si="151"/>
        <v/>
      </c>
      <c r="C892" s="70" t="str">
        <f t="shared" si="152"/>
        <v/>
      </c>
      <c r="D892" s="74" t="str">
        <f t="shared" si="153"/>
        <v/>
      </c>
      <c r="F892" s="65" t="str">
        <f t="shared" si="154"/>
        <v/>
      </c>
      <c r="G892" s="68" t="str">
        <f t="shared" si="155"/>
        <v/>
      </c>
      <c r="H892" s="68" t="str">
        <f t="shared" si="156"/>
        <v/>
      </c>
      <c r="I892" s="68" t="str">
        <f t="shared" si="160"/>
        <v/>
      </c>
      <c r="M892" s="1">
        <v>855</v>
      </c>
      <c r="N892" s="1" t="str">
        <f>IF($T892=0,"",INDEX(VIRMAN!$C$7:$C$406,$T892))</f>
        <v/>
      </c>
      <c r="O892" s="1" t="str">
        <f>IF($N892="","",$C$36&amp;" → "&amp;INDEX(VIRMAN!$E$7:$E$406,$T892)&amp;IF(INDEX(VIRMAN!$G$7:$G$406,$T892)="",""," – "&amp;INDEX(VIRMAN!$G$7:$G$406,$T892)))</f>
        <v/>
      </c>
      <c r="P892" s="1" t="str">
        <f t="shared" si="150"/>
        <v/>
      </c>
      <c r="Q892" s="1">
        <v>0</v>
      </c>
      <c r="R892" s="1">
        <f>IF($N892="",0,INDEX(VIRMAN!$F$7:$F$406,$T892))</f>
        <v>0</v>
      </c>
      <c r="S892" s="1">
        <f t="shared" si="157"/>
        <v>10000000000</v>
      </c>
      <c r="T892" s="1">
        <f>IFERROR(MATCH($C$36&amp;"|159",VIRMAN!$L$7:$L$406,0),0)</f>
        <v>0</v>
      </c>
      <c r="V892" s="1">
        <f t="shared" si="158"/>
        <v>10000000000</v>
      </c>
      <c r="W892" s="1">
        <f t="shared" si="159"/>
        <v>9</v>
      </c>
    </row>
    <row r="893" spans="2:23" ht="14.25" customHeight="1" x14ac:dyDescent="0.3">
      <c r="B893" s="65" t="str">
        <f t="shared" si="151"/>
        <v/>
      </c>
      <c r="C893" s="70" t="str">
        <f t="shared" si="152"/>
        <v/>
      </c>
      <c r="D893" s="74" t="str">
        <f t="shared" si="153"/>
        <v/>
      </c>
      <c r="F893" s="65" t="str">
        <f t="shared" si="154"/>
        <v/>
      </c>
      <c r="G893" s="68" t="str">
        <f t="shared" si="155"/>
        <v/>
      </c>
      <c r="H893" s="68" t="str">
        <f t="shared" si="156"/>
        <v/>
      </c>
      <c r="I893" s="68" t="str">
        <f t="shared" si="160"/>
        <v/>
      </c>
      <c r="M893" s="1">
        <v>856</v>
      </c>
      <c r="N893" s="1" t="str">
        <f>IF($T893=0,"",INDEX(VIRMAN!$C$7:$C$406,$T893))</f>
        <v/>
      </c>
      <c r="O893" s="1" t="str">
        <f>IF($N893="","",$C$36&amp;" → "&amp;INDEX(VIRMAN!$E$7:$E$406,$T893)&amp;IF(INDEX(VIRMAN!$G$7:$G$406,$T893)="",""," – "&amp;INDEX(VIRMAN!$G$7:$G$406,$T893)))</f>
        <v/>
      </c>
      <c r="P893" s="1" t="str">
        <f t="shared" si="150"/>
        <v/>
      </c>
      <c r="Q893" s="1">
        <v>0</v>
      </c>
      <c r="R893" s="1">
        <f>IF($N893="",0,INDEX(VIRMAN!$F$7:$F$406,$T893))</f>
        <v>0</v>
      </c>
      <c r="S893" s="1">
        <f t="shared" si="157"/>
        <v>10000000000</v>
      </c>
      <c r="T893" s="1">
        <f>IFERROR(MATCH($C$36&amp;"|160",VIRMAN!$L$7:$L$406,0),0)</f>
        <v>0</v>
      </c>
      <c r="V893" s="1">
        <f t="shared" si="158"/>
        <v>10000000000</v>
      </c>
      <c r="W893" s="1">
        <f t="shared" si="159"/>
        <v>9</v>
      </c>
    </row>
    <row r="894" spans="2:23" ht="14.25" customHeight="1" x14ac:dyDescent="0.3">
      <c r="B894" s="65" t="str">
        <f t="shared" si="151"/>
        <v/>
      </c>
      <c r="C894" s="70" t="str">
        <f t="shared" si="152"/>
        <v/>
      </c>
      <c r="D894" s="74" t="str">
        <f t="shared" si="153"/>
        <v/>
      </c>
      <c r="F894" s="65" t="str">
        <f t="shared" si="154"/>
        <v/>
      </c>
      <c r="G894" s="68" t="str">
        <f t="shared" si="155"/>
        <v/>
      </c>
      <c r="H894" s="68" t="str">
        <f t="shared" si="156"/>
        <v/>
      </c>
      <c r="I894" s="68" t="str">
        <f t="shared" si="160"/>
        <v/>
      </c>
      <c r="M894" s="1">
        <v>857</v>
      </c>
      <c r="N894" s="1" t="str">
        <f>IF($T894=0,"",INDEX(GELIR_GIDER!$C$7:$C$3001,$T894))</f>
        <v/>
      </c>
      <c r="O894" s="1" t="str">
        <f>IF($N894="","",$C$36&amp;" – NAKİT YOK GELİR TAHAKKUKU – "&amp;INDEX(GELIR_GIDER!$F$7:$F$3001,$T894))</f>
        <v/>
      </c>
      <c r="P894" s="1" t="str">
        <f>IF($N894="","","NAKİT YOK TAHAKKUK")</f>
        <v/>
      </c>
      <c r="Q894" s="1">
        <f>IF($N894="",0,INDEX(GELIR_GIDER!$G$7:$G$3001,$T894))</f>
        <v>0</v>
      </c>
      <c r="R894" s="1">
        <f>0</f>
        <v>0</v>
      </c>
      <c r="S894" s="1">
        <f>IF($N894="",1E+10,$N894*100000+$M894)</f>
        <v>0</v>
      </c>
      <c r="T894" s="1" t="str">
        <f>IFERROR(MATCH($C$36&amp;"|1",GELIR_GIDER!$AF$7:$AF$3001,0),0)</f>
        <v/>
      </c>
      <c r="V894" s="1" t="str">
        <f t="shared" si="158"/>
        <v/>
      </c>
      <c r="W894" s="1" t="str">
        <f t="shared" si="159"/>
        <v/>
      </c>
    </row>
    <row r="895" spans="2:23" ht="14.25" customHeight="1" x14ac:dyDescent="0.3">
      <c r="B895" s="65" t="str">
        <f t="shared" si="151"/>
        <v/>
      </c>
      <c r="C895" s="70" t="str">
        <f t="shared" si="152"/>
        <v/>
      </c>
      <c r="D895" s="74" t="str">
        <f t="shared" si="153"/>
        <v/>
      </c>
      <c r="F895" s="65" t="str">
        <f t="shared" si="154"/>
        <v/>
      </c>
      <c r="G895" s="68" t="str">
        <f t="shared" si="155"/>
        <v/>
      </c>
      <c r="H895" s="68" t="str">
        <f t="shared" si="156"/>
        <v/>
      </c>
      <c r="I895" s="68" t="str">
        <f t="shared" si="160"/>
        <v/>
      </c>
      <c r="M895" s="1">
        <v>858</v>
      </c>
      <c r="N895" s="1" t="str">
        <f>IF($T895=0,"",INDEX(GELIR_GIDER!$C$7:$C$3001,$T895))</f>
        <v/>
      </c>
      <c r="O895" s="1" t="str">
        <f>IF($N895="","",$C$36&amp;" – NAKİT YOK GELİR TAHAKKUKU – "&amp;INDEX(GELIR_GIDER!$F$7:$F$3001,$T895))</f>
        <v/>
      </c>
      <c r="P895" s="1" t="str">
        <f>IF($N895="","","NAKİT YOK TAHAKKUK")</f>
        <v/>
      </c>
      <c r="Q895" s="1">
        <f>IF($N895="",0,INDEX(GELIR_GIDER!$G$7:$G$3001,$T895))</f>
        <v>0</v>
      </c>
      <c r="R895" s="1">
        <f>0</f>
        <v>0</v>
      </c>
      <c r="S895" s="1">
        <f>IF($N895="",1E+10,$N895*100000+$M895)</f>
        <v>0</v>
      </c>
      <c r="T895" s="1" t="str">
        <f>IFERROR(MATCH($C$36&amp;"|2",GELIR_GIDER!$AF$7:$AF$3001,0),0)</f>
        <v/>
      </c>
      <c r="V895" s="1" t="str">
        <f t="shared" si="158"/>
        <v/>
      </c>
      <c r="W895" s="1" t="str">
        <f t="shared" si="159"/>
        <v/>
      </c>
    </row>
    <row r="896" spans="2:23" ht="14.25" customHeight="1" x14ac:dyDescent="0.3">
      <c r="B896" s="65" t="str">
        <f t="shared" si="151"/>
        <v/>
      </c>
      <c r="C896" s="70" t="str">
        <f t="shared" si="152"/>
        <v/>
      </c>
      <c r="D896" s="74" t="str">
        <f t="shared" si="153"/>
        <v/>
      </c>
      <c r="F896" s="65" t="str">
        <f t="shared" si="154"/>
        <v/>
      </c>
      <c r="G896" s="68" t="str">
        <f t="shared" si="155"/>
        <v/>
      </c>
      <c r="H896" s="68" t="str">
        <f t="shared" si="156"/>
        <v/>
      </c>
      <c r="I896" s="68" t="str">
        <f t="shared" si="160"/>
        <v/>
      </c>
      <c r="M896" s="1">
        <v>859</v>
      </c>
      <c r="N896" s="1" t="str">
        <f>IF($T896=0,"",INDEX(GELIR_GIDER!$C$7:$C$3001,$T896))</f>
        <v/>
      </c>
      <c r="O896" s="1" t="str">
        <f>IF($N896="","",$C$36&amp;" – NAKİT YOK GELİR TAHAKKUKU – "&amp;INDEX(GELIR_GIDER!$F$7:$F$3001,$T896))</f>
        <v/>
      </c>
      <c r="P896" s="1" t="str">
        <f>IF($N896="","","NAKİT YOK TAHAKKUK")</f>
        <v/>
      </c>
      <c r="Q896" s="1">
        <f>IF($N896="",0,INDEX(GELIR_GIDER!$G$7:$G$3001,$T896))</f>
        <v>0</v>
      </c>
      <c r="R896" s="1">
        <f>0</f>
        <v>0</v>
      </c>
      <c r="S896" s="1">
        <f>IF($N896="",1E+10,$N896*100000+$M896)</f>
        <v>0</v>
      </c>
      <c r="T896" s="1" t="str">
        <f>IFERROR(MATCH($C$36&amp;"|3",GELIR_GIDER!$AF$7:$AF$3001,0),0)</f>
        <v/>
      </c>
      <c r="V896" s="1" t="str">
        <f t="shared" si="158"/>
        <v/>
      </c>
      <c r="W896" s="1" t="str">
        <f t="shared" si="159"/>
        <v/>
      </c>
    </row>
    <row r="897" spans="2:23" ht="14.25" customHeight="1" x14ac:dyDescent="0.3">
      <c r="B897" s="65" t="str">
        <f t="shared" si="151"/>
        <v/>
      </c>
      <c r="C897" s="70" t="str">
        <f t="shared" si="152"/>
        <v/>
      </c>
      <c r="D897" s="74" t="str">
        <f t="shared" si="153"/>
        <v/>
      </c>
      <c r="F897" s="65" t="str">
        <f t="shared" si="154"/>
        <v/>
      </c>
      <c r="G897" s="68" t="str">
        <f t="shared" si="155"/>
        <v/>
      </c>
      <c r="H897" s="68" t="str">
        <f t="shared" si="156"/>
        <v/>
      </c>
      <c r="I897" s="68" t="str">
        <f t="shared" si="160"/>
        <v/>
      </c>
      <c r="M897" s="1">
        <v>860</v>
      </c>
      <c r="N897" s="1" t="str">
        <f>IF($T897=0,"",INDEX(GELIR_GIDER!$C$7:$C$3001,$T897))</f>
        <v/>
      </c>
      <c r="O897" s="1" t="str">
        <f>IF($N897="","",$C$36&amp;" – NAKİT YOK GELİR TAHAKKUKU – "&amp;INDEX(GELIR_GIDER!$F$7:$F$3001,$T897))</f>
        <v/>
      </c>
      <c r="P897" s="1" t="str">
        <f>IF($N897="","","NAKİT YOK TAHAKKUK")</f>
        <v/>
      </c>
      <c r="Q897" s="1">
        <f>IF($N897="",0,INDEX(GELIR_GIDER!$G$7:$G$3001,$T897))</f>
        <v>0</v>
      </c>
      <c r="R897" s="1">
        <f>0</f>
        <v>0</v>
      </c>
      <c r="S897" s="1">
        <f>IF($N897="",1E+10,$N897*100000+$M897)</f>
        <v>0</v>
      </c>
      <c r="T897" s="1" t="str">
        <f>IFERROR(MATCH($C$36&amp;"|4",GELIR_GIDER!$AF$7:$AF$3001,0),0)</f>
        <v/>
      </c>
      <c r="V897" s="1" t="str">
        <f t="shared" si="158"/>
        <v/>
      </c>
      <c r="W897" s="1" t="str">
        <f t="shared" si="159"/>
        <v/>
      </c>
    </row>
    <row r="898" spans="2:23" ht="14.25" customHeight="1" x14ac:dyDescent="0.3">
      <c r="B898" s="65" t="str">
        <f t="shared" si="151"/>
        <v/>
      </c>
      <c r="C898" s="70" t="str">
        <f t="shared" si="152"/>
        <v/>
      </c>
      <c r="D898" s="74" t="str">
        <f t="shared" si="153"/>
        <v/>
      </c>
      <c r="F898" s="65" t="str">
        <f t="shared" si="154"/>
        <v/>
      </c>
      <c r="G898" s="68" t="str">
        <f t="shared" si="155"/>
        <v/>
      </c>
      <c r="H898" s="68" t="str">
        <f t="shared" si="156"/>
        <v/>
      </c>
      <c r="I898" s="68" t="str">
        <f t="shared" si="160"/>
        <v/>
      </c>
      <c r="M898" s="1">
        <v>861</v>
      </c>
      <c r="N898" s="1" t="str">
        <f>IF($T898=0,"",INDEX(GELIR_GIDER!$C$7:$C$3001,$T898))</f>
        <v/>
      </c>
      <c r="O898" s="1" t="str">
        <f>IF($N898="","",$C$36&amp;" – NAKİT YOK GELİR TAHAKKUKU – "&amp;INDEX(GELIR_GIDER!$F$7:$F$3001,$T898))</f>
        <v/>
      </c>
      <c r="P898" s="1" t="str">
        <f>IF($N898="","","NAKİT YOK TAHAKKUK")</f>
        <v/>
      </c>
      <c r="Q898" s="1">
        <f>IF($N898="",0,INDEX(GELIR_GIDER!$G$7:$G$3001,$T898))</f>
        <v>0</v>
      </c>
      <c r="R898" s="1">
        <f>0</f>
        <v>0</v>
      </c>
      <c r="S898" s="1">
        <f>IF($N898="",1E+10,$N898*100000+$M898)</f>
        <v>0</v>
      </c>
      <c r="T898" s="1" t="str">
        <f>IFERROR(MATCH($C$36&amp;"|5",GELIR_GIDER!$AF$7:$AF$3001,0),0)</f>
        <v/>
      </c>
      <c r="V898" s="1" t="str">
        <f t="shared" si="158"/>
        <v/>
      </c>
      <c r="W898" s="1" t="str">
        <f t="shared" si="159"/>
        <v/>
      </c>
    </row>
    <row r="899" spans="2:23" ht="14.25" customHeight="1" x14ac:dyDescent="0.3">
      <c r="B899" s="65" t="str">
        <f t="shared" si="151"/>
        <v/>
      </c>
      <c r="C899" s="70" t="str">
        <f t="shared" si="152"/>
        <v/>
      </c>
      <c r="D899" s="74" t="str">
        <f t="shared" si="153"/>
        <v/>
      </c>
      <c r="F899" s="65" t="str">
        <f t="shared" si="154"/>
        <v/>
      </c>
      <c r="G899" s="68" t="str">
        <f t="shared" si="155"/>
        <v/>
      </c>
      <c r="H899" s="68" t="str">
        <f t="shared" si="156"/>
        <v/>
      </c>
      <c r="I899" s="68" t="str">
        <f t="shared" si="160"/>
        <v/>
      </c>
      <c r="M899" s="1">
        <v>862</v>
      </c>
      <c r="N899" s="1" t="str">
        <f>IF($T899=0,"",INDEX(GELIR_GIDER!$C$7:$C$3001,$T899))</f>
        <v/>
      </c>
      <c r="O899" s="1" t="str">
        <f>IF($N899="","",$C$36&amp;" – NAKİT YOK GELİR TAHAKKUKU – "&amp;INDEX(GELIR_GIDER!$F$7:$F$3001,$T899))</f>
        <v/>
      </c>
      <c r="P899" s="1" t="str">
        <f>IF($N899="","","NAKİT YOK TAHAKKUK")</f>
        <v/>
      </c>
      <c r="Q899" s="1">
        <f>IF($N899="",0,INDEX(GELIR_GIDER!$G$7:$G$3001,$T899))</f>
        <v>0</v>
      </c>
      <c r="R899" s="1">
        <f>0</f>
        <v>0</v>
      </c>
      <c r="S899" s="1">
        <f>IF($N899="",1E+10,$N899*100000+$M899)</f>
        <v>0</v>
      </c>
      <c r="T899" s="1" t="str">
        <f>IFERROR(MATCH($C$36&amp;"|6",GELIR_GIDER!$AF$7:$AF$3001,0),0)</f>
        <v/>
      </c>
      <c r="V899" s="1" t="str">
        <f t="shared" si="158"/>
        <v/>
      </c>
      <c r="W899" s="1" t="str">
        <f t="shared" si="159"/>
        <v/>
      </c>
    </row>
    <row r="900" spans="2:23" ht="14.25" customHeight="1" x14ac:dyDescent="0.3">
      <c r="B900" s="65" t="str">
        <f t="shared" si="151"/>
        <v/>
      </c>
      <c r="C900" s="70" t="str">
        <f t="shared" si="152"/>
        <v/>
      </c>
      <c r="D900" s="74" t="str">
        <f t="shared" si="153"/>
        <v/>
      </c>
      <c r="F900" s="65" t="str">
        <f t="shared" si="154"/>
        <v/>
      </c>
      <c r="G900" s="68" t="str">
        <f t="shared" si="155"/>
        <v/>
      </c>
      <c r="H900" s="68" t="str">
        <f t="shared" si="156"/>
        <v/>
      </c>
      <c r="I900" s="68" t="str">
        <f t="shared" si="160"/>
        <v/>
      </c>
      <c r="M900" s="1">
        <v>863</v>
      </c>
      <c r="N900" s="1" t="str">
        <f>IF($T900=0,"",INDEX(GELIR_GIDER!$C$7:$C$3001,$T900))</f>
        <v/>
      </c>
      <c r="O900" s="1" t="str">
        <f>IF($N900="","",$C$36&amp;" – NAKİT YOK GELİR TAHAKKUKU – "&amp;INDEX(GELIR_GIDER!$F$7:$F$3001,$T900))</f>
        <v/>
      </c>
      <c r="P900" s="1" t="str">
        <f>IF($N900="","","NAKİT YOK TAHAKKUK")</f>
        <v/>
      </c>
      <c r="Q900" s="1">
        <f>IF($N900="",0,INDEX(GELIR_GIDER!$G$7:$G$3001,$T900))</f>
        <v>0</v>
      </c>
      <c r="R900" s="1">
        <f>0</f>
        <v>0</v>
      </c>
      <c r="S900" s="1">
        <f>IF($N900="",1E+10,$N900*100000+$M900)</f>
        <v>0</v>
      </c>
      <c r="T900" s="1" t="str">
        <f>IFERROR(MATCH($C$36&amp;"|7",GELIR_GIDER!$AF$7:$AF$3001,0),0)</f>
        <v/>
      </c>
      <c r="V900" s="1" t="str">
        <f t="shared" si="158"/>
        <v/>
      </c>
      <c r="W900" s="1" t="str">
        <f t="shared" si="159"/>
        <v/>
      </c>
    </row>
    <row r="901" spans="2:23" ht="14.25" customHeight="1" x14ac:dyDescent="0.3">
      <c r="B901" s="65" t="str">
        <f t="shared" si="151"/>
        <v/>
      </c>
      <c r="C901" s="70" t="str">
        <f t="shared" si="152"/>
        <v/>
      </c>
      <c r="D901" s="74" t="str">
        <f t="shared" si="153"/>
        <v/>
      </c>
      <c r="F901" s="65" t="str">
        <f t="shared" si="154"/>
        <v/>
      </c>
      <c r="G901" s="68" t="str">
        <f t="shared" si="155"/>
        <v/>
      </c>
      <c r="H901" s="68" t="str">
        <f t="shared" si="156"/>
        <v/>
      </c>
      <c r="I901" s="68" t="str">
        <f t="shared" si="160"/>
        <v/>
      </c>
      <c r="M901" s="1">
        <v>864</v>
      </c>
      <c r="N901" s="1" t="str">
        <f>IF($T901=0,"",INDEX(GELIR_GIDER!$C$7:$C$3001,$T901))</f>
        <v/>
      </c>
      <c r="O901" s="1" t="str">
        <f>IF($N901="","",$C$36&amp;" – NAKİT YOK GELİR TAHAKKUKU – "&amp;INDEX(GELIR_GIDER!$F$7:$F$3001,$T901))</f>
        <v/>
      </c>
      <c r="P901" s="1" t="str">
        <f>IF($N901="","","NAKİT YOK TAHAKKUK")</f>
        <v/>
      </c>
      <c r="Q901" s="1">
        <f>IF($N901="",0,INDEX(GELIR_GIDER!$G$7:$G$3001,$T901))</f>
        <v>0</v>
      </c>
      <c r="R901" s="1">
        <f>0</f>
        <v>0</v>
      </c>
      <c r="S901" s="1">
        <f>IF($N901="",1E+10,$N901*100000+$M901)</f>
        <v>0</v>
      </c>
      <c r="T901" s="1" t="str">
        <f>IFERROR(MATCH($C$36&amp;"|8",GELIR_GIDER!$AF$7:$AF$3001,0),0)</f>
        <v/>
      </c>
      <c r="V901" s="1" t="str">
        <f t="shared" si="158"/>
        <v/>
      </c>
      <c r="W901" s="1" t="str">
        <f t="shared" si="159"/>
        <v/>
      </c>
    </row>
    <row r="902" spans="2:23" ht="14.25" customHeight="1" x14ac:dyDescent="0.3">
      <c r="B902" s="65" t="str">
        <f t="shared" si="151"/>
        <v/>
      </c>
      <c r="C902" s="70" t="str">
        <f t="shared" si="152"/>
        <v/>
      </c>
      <c r="D902" s="74" t="str">
        <f t="shared" si="153"/>
        <v/>
      </c>
      <c r="F902" s="65" t="str">
        <f t="shared" si="154"/>
        <v/>
      </c>
      <c r="G902" s="68" t="str">
        <f t="shared" si="155"/>
        <v/>
      </c>
      <c r="H902" s="68" t="str">
        <f t="shared" si="156"/>
        <v/>
      </c>
      <c r="I902" s="68" t="str">
        <f t="shared" si="160"/>
        <v/>
      </c>
      <c r="M902" s="1">
        <v>865</v>
      </c>
      <c r="N902" s="1" t="str">
        <f>IF($T902=0,"",INDEX(GELIR_GIDER!$C$7:$C$3001,$T902))</f>
        <v/>
      </c>
      <c r="O902" s="1" t="str">
        <f>IF($N902="","",$C$36&amp;" – NAKİT YOK GELİR TAHAKKUKU – "&amp;INDEX(GELIR_GIDER!$F$7:$F$3001,$T902))</f>
        <v/>
      </c>
      <c r="P902" s="1" t="str">
        <f>IF($N902="","","NAKİT YOK TAHAKKUK")</f>
        <v/>
      </c>
      <c r="Q902" s="1">
        <f>IF($N902="",0,INDEX(GELIR_GIDER!$G$7:$G$3001,$T902))</f>
        <v>0</v>
      </c>
      <c r="R902" s="1">
        <f>0</f>
        <v>0</v>
      </c>
      <c r="S902" s="1">
        <f>IF($N902="",1E+10,$N902*100000+$M902)</f>
        <v>0</v>
      </c>
      <c r="T902" s="1" t="str">
        <f>IFERROR(MATCH($C$36&amp;"|9",GELIR_GIDER!$AF$7:$AF$3001,0),0)</f>
        <v/>
      </c>
      <c r="V902" s="1" t="str">
        <f t="shared" si="158"/>
        <v/>
      </c>
      <c r="W902" s="1" t="str">
        <f t="shared" si="159"/>
        <v/>
      </c>
    </row>
    <row r="903" spans="2:23" ht="14.25" customHeight="1" x14ac:dyDescent="0.3">
      <c r="B903" s="65" t="str">
        <f t="shared" si="151"/>
        <v/>
      </c>
      <c r="C903" s="70" t="str">
        <f t="shared" si="152"/>
        <v/>
      </c>
      <c r="D903" s="74" t="str">
        <f t="shared" si="153"/>
        <v/>
      </c>
      <c r="F903" s="65" t="str">
        <f t="shared" si="154"/>
        <v/>
      </c>
      <c r="G903" s="68" t="str">
        <f t="shared" si="155"/>
        <v/>
      </c>
      <c r="H903" s="68" t="str">
        <f t="shared" si="156"/>
        <v/>
      </c>
      <c r="I903" s="68" t="str">
        <f t="shared" si="160"/>
        <v/>
      </c>
      <c r="M903" s="1">
        <v>866</v>
      </c>
      <c r="N903" s="1" t="str">
        <f>IF($T903=0,"",INDEX(GELIR_GIDER!$C$7:$C$3001,$T903))</f>
        <v/>
      </c>
      <c r="O903" s="1" t="str">
        <f>IF($N903="","",$C$36&amp;" – NAKİT YOK GELİR TAHAKKUKU – "&amp;INDEX(GELIR_GIDER!$F$7:$F$3001,$T903))</f>
        <v/>
      </c>
      <c r="P903" s="1" t="str">
        <f>IF($N903="","","NAKİT YOK TAHAKKUK")</f>
        <v/>
      </c>
      <c r="Q903" s="1">
        <f>IF($N903="",0,INDEX(GELIR_GIDER!$G$7:$G$3001,$T903))</f>
        <v>0</v>
      </c>
      <c r="R903" s="1">
        <f>0</f>
        <v>0</v>
      </c>
      <c r="S903" s="1">
        <f>IF($N903="",1E+10,$N903*100000+$M903)</f>
        <v>0</v>
      </c>
      <c r="T903" s="1" t="str">
        <f>IFERROR(MATCH($C$36&amp;"|10",GELIR_GIDER!$AF$7:$AF$3001,0),0)</f>
        <v/>
      </c>
      <c r="V903" s="1" t="str">
        <f t="shared" si="158"/>
        <v/>
      </c>
      <c r="W903" s="1" t="str">
        <f t="shared" si="159"/>
        <v/>
      </c>
    </row>
    <row r="904" spans="2:23" ht="14.25" customHeight="1" x14ac:dyDescent="0.3">
      <c r="B904" s="65" t="str">
        <f t="shared" si="151"/>
        <v/>
      </c>
      <c r="C904" s="70" t="str">
        <f t="shared" si="152"/>
        <v/>
      </c>
      <c r="D904" s="74" t="str">
        <f t="shared" si="153"/>
        <v/>
      </c>
      <c r="F904" s="65" t="str">
        <f t="shared" si="154"/>
        <v/>
      </c>
      <c r="G904" s="68" t="str">
        <f t="shared" si="155"/>
        <v/>
      </c>
      <c r="H904" s="68" t="str">
        <f t="shared" si="156"/>
        <v/>
      </c>
      <c r="I904" s="68" t="str">
        <f t="shared" si="160"/>
        <v/>
      </c>
      <c r="M904" s="1">
        <v>867</v>
      </c>
      <c r="N904" s="1" t="str">
        <f>IF($T904=0,"",INDEX(GELIR_GIDER!$C$7:$C$3001,$T904))</f>
        <v/>
      </c>
      <c r="O904" s="1" t="str">
        <f>IF($N904="","",$C$36&amp;" – NAKİT YOK GELİR TAHAKKUKU – "&amp;INDEX(GELIR_GIDER!$F$7:$F$3001,$T904))</f>
        <v/>
      </c>
      <c r="P904" s="1" t="str">
        <f>IF($N904="","","NAKİT YOK TAHAKKUK")</f>
        <v/>
      </c>
      <c r="Q904" s="1">
        <f>IF($N904="",0,INDEX(GELIR_GIDER!$G$7:$G$3001,$T904))</f>
        <v>0</v>
      </c>
      <c r="R904" s="1">
        <f>0</f>
        <v>0</v>
      </c>
      <c r="S904" s="1">
        <f>IF($N904="",1E+10,$N904*100000+$M904)</f>
        <v>0</v>
      </c>
      <c r="T904" s="1" t="str">
        <f>IFERROR(MATCH($C$36&amp;"|11",GELIR_GIDER!$AF$7:$AF$3001,0),0)</f>
        <v/>
      </c>
      <c r="V904" s="1" t="str">
        <f t="shared" si="158"/>
        <v/>
      </c>
      <c r="W904" s="1" t="str">
        <f t="shared" si="159"/>
        <v/>
      </c>
    </row>
    <row r="905" spans="2:23" ht="14.25" customHeight="1" x14ac:dyDescent="0.3">
      <c r="B905" s="65" t="str">
        <f t="shared" si="151"/>
        <v/>
      </c>
      <c r="C905" s="70" t="str">
        <f t="shared" si="152"/>
        <v/>
      </c>
      <c r="D905" s="74" t="str">
        <f t="shared" si="153"/>
        <v/>
      </c>
      <c r="F905" s="65" t="str">
        <f t="shared" si="154"/>
        <v/>
      </c>
      <c r="G905" s="68" t="str">
        <f t="shared" si="155"/>
        <v/>
      </c>
      <c r="H905" s="68" t="str">
        <f t="shared" si="156"/>
        <v/>
      </c>
      <c r="I905" s="68" t="str">
        <f t="shared" si="160"/>
        <v/>
      </c>
      <c r="M905" s="1">
        <v>868</v>
      </c>
      <c r="N905" s="1" t="str">
        <f>IF($T905=0,"",INDEX(GELIR_GIDER!$C$7:$C$3001,$T905))</f>
        <v/>
      </c>
      <c r="O905" s="1" t="str">
        <f>IF($N905="","",$C$36&amp;" – NAKİT YOK GELİR TAHAKKUKU – "&amp;INDEX(GELIR_GIDER!$F$7:$F$3001,$T905))</f>
        <v/>
      </c>
      <c r="P905" s="1" t="str">
        <f>IF($N905="","","NAKİT YOK TAHAKKUK")</f>
        <v/>
      </c>
      <c r="Q905" s="1">
        <f>IF($N905="",0,INDEX(GELIR_GIDER!$G$7:$G$3001,$T905))</f>
        <v>0</v>
      </c>
      <c r="R905" s="1">
        <f>0</f>
        <v>0</v>
      </c>
      <c r="S905" s="1">
        <f>IF($N905="",1E+10,$N905*100000+$M905)</f>
        <v>0</v>
      </c>
      <c r="T905" s="1" t="str">
        <f>IFERROR(MATCH($C$36&amp;"|12",GELIR_GIDER!$AF$7:$AF$3001,0),0)</f>
        <v/>
      </c>
      <c r="V905" s="1" t="str">
        <f t="shared" si="158"/>
        <v/>
      </c>
      <c r="W905" s="1" t="str">
        <f t="shared" si="159"/>
        <v/>
      </c>
    </row>
    <row r="906" spans="2:23" ht="14.25" customHeight="1" x14ac:dyDescent="0.3">
      <c r="B906" s="65" t="str">
        <f t="shared" si="151"/>
        <v/>
      </c>
      <c r="C906" s="70" t="str">
        <f t="shared" si="152"/>
        <v/>
      </c>
      <c r="D906" s="74" t="str">
        <f t="shared" si="153"/>
        <v/>
      </c>
      <c r="F906" s="65" t="str">
        <f t="shared" si="154"/>
        <v/>
      </c>
      <c r="G906" s="68" t="str">
        <f t="shared" si="155"/>
        <v/>
      </c>
      <c r="H906" s="68" t="str">
        <f t="shared" si="156"/>
        <v/>
      </c>
      <c r="I906" s="68" t="str">
        <f t="shared" si="160"/>
        <v/>
      </c>
      <c r="M906" s="1">
        <v>869</v>
      </c>
      <c r="N906" s="1" t="str">
        <f>IF($T906=0,"",INDEX(GELIR_GIDER!$C$7:$C$3001,$T906))</f>
        <v/>
      </c>
      <c r="O906" s="1" t="str">
        <f>IF($N906="","",$C$36&amp;" – NAKİT YOK GELİR TAHAKKUKU – "&amp;INDEX(GELIR_GIDER!$F$7:$F$3001,$T906))</f>
        <v/>
      </c>
      <c r="P906" s="1" t="str">
        <f>IF($N906="","","NAKİT YOK TAHAKKUK")</f>
        <v/>
      </c>
      <c r="Q906" s="1">
        <f>IF($N906="",0,INDEX(GELIR_GIDER!$G$7:$G$3001,$T906))</f>
        <v>0</v>
      </c>
      <c r="R906" s="1">
        <f>0</f>
        <v>0</v>
      </c>
      <c r="S906" s="1">
        <f>IF($N906="",1E+10,$N906*100000+$M906)</f>
        <v>0</v>
      </c>
      <c r="T906" s="1" t="str">
        <f>IFERROR(MATCH($C$36&amp;"|13",GELIR_GIDER!$AF$7:$AF$3001,0),0)</f>
        <v/>
      </c>
      <c r="V906" s="1" t="str">
        <f t="shared" si="158"/>
        <v/>
      </c>
      <c r="W906" s="1" t="str">
        <f t="shared" si="159"/>
        <v/>
      </c>
    </row>
    <row r="907" spans="2:23" ht="14.25" customHeight="1" x14ac:dyDescent="0.3">
      <c r="B907" s="65" t="str">
        <f t="shared" si="151"/>
        <v/>
      </c>
      <c r="C907" s="70" t="str">
        <f t="shared" si="152"/>
        <v/>
      </c>
      <c r="D907" s="74" t="str">
        <f t="shared" si="153"/>
        <v/>
      </c>
      <c r="F907" s="65" t="str">
        <f t="shared" si="154"/>
        <v/>
      </c>
      <c r="G907" s="68" t="str">
        <f t="shared" si="155"/>
        <v/>
      </c>
      <c r="H907" s="68" t="str">
        <f t="shared" si="156"/>
        <v/>
      </c>
      <c r="I907" s="68" t="str">
        <f t="shared" si="160"/>
        <v/>
      </c>
      <c r="M907" s="1">
        <v>870</v>
      </c>
      <c r="N907" s="1" t="str">
        <f>IF($T907=0,"",INDEX(GELIR_GIDER!$C$7:$C$3001,$T907))</f>
        <v/>
      </c>
      <c r="O907" s="1" t="str">
        <f>IF($N907="","",$C$36&amp;" – NAKİT YOK GELİR TAHAKKUKU – "&amp;INDEX(GELIR_GIDER!$F$7:$F$3001,$T907))</f>
        <v/>
      </c>
      <c r="P907" s="1" t="str">
        <f>IF($N907="","","NAKİT YOK TAHAKKUK")</f>
        <v/>
      </c>
      <c r="Q907" s="1">
        <f>IF($N907="",0,INDEX(GELIR_GIDER!$G$7:$G$3001,$T907))</f>
        <v>0</v>
      </c>
      <c r="R907" s="1">
        <f>0</f>
        <v>0</v>
      </c>
      <c r="S907" s="1">
        <f>IF($N907="",1E+10,$N907*100000+$M907)</f>
        <v>0</v>
      </c>
      <c r="T907" s="1" t="str">
        <f>IFERROR(MATCH($C$36&amp;"|14",GELIR_GIDER!$AF$7:$AF$3001,0),0)</f>
        <v/>
      </c>
      <c r="V907" s="1" t="str">
        <f t="shared" si="158"/>
        <v/>
      </c>
      <c r="W907" s="1" t="str">
        <f t="shared" si="159"/>
        <v/>
      </c>
    </row>
    <row r="908" spans="2:23" ht="14.25" customHeight="1" x14ac:dyDescent="0.3">
      <c r="B908" s="65" t="str">
        <f t="shared" si="151"/>
        <v/>
      </c>
      <c r="C908" s="70" t="str">
        <f t="shared" si="152"/>
        <v/>
      </c>
      <c r="D908" s="74" t="str">
        <f t="shared" si="153"/>
        <v/>
      </c>
      <c r="F908" s="65" t="str">
        <f t="shared" si="154"/>
        <v/>
      </c>
      <c r="G908" s="68" t="str">
        <f t="shared" si="155"/>
        <v/>
      </c>
      <c r="H908" s="68" t="str">
        <f t="shared" si="156"/>
        <v/>
      </c>
      <c r="I908" s="68" t="str">
        <f t="shared" si="160"/>
        <v/>
      </c>
      <c r="M908" s="1">
        <v>871</v>
      </c>
      <c r="N908" s="1" t="str">
        <f>IF($T908=0,"",INDEX(GELIR_GIDER!$C$7:$C$3001,$T908))</f>
        <v/>
      </c>
      <c r="O908" s="1" t="str">
        <f>IF($N908="","",$C$36&amp;" – NAKİT YOK GELİR TAHAKKUKU – "&amp;INDEX(GELIR_GIDER!$F$7:$F$3001,$T908))</f>
        <v/>
      </c>
      <c r="P908" s="1" t="str">
        <f>IF($N908="","","NAKİT YOK TAHAKKUK")</f>
        <v/>
      </c>
      <c r="Q908" s="1">
        <f>IF($N908="",0,INDEX(GELIR_GIDER!$G$7:$G$3001,$T908))</f>
        <v>0</v>
      </c>
      <c r="R908" s="1">
        <f>0</f>
        <v>0</v>
      </c>
      <c r="S908" s="1">
        <f>IF($N908="",1E+10,$N908*100000+$M908)</f>
        <v>0</v>
      </c>
      <c r="T908" s="1" t="str">
        <f>IFERROR(MATCH($C$36&amp;"|15",GELIR_GIDER!$AF$7:$AF$3001,0),0)</f>
        <v/>
      </c>
      <c r="V908" s="1" t="str">
        <f t="shared" si="158"/>
        <v/>
      </c>
      <c r="W908" s="1" t="str">
        <f t="shared" si="159"/>
        <v/>
      </c>
    </row>
    <row r="909" spans="2:23" ht="14.25" customHeight="1" x14ac:dyDescent="0.3">
      <c r="B909" s="65" t="str">
        <f t="shared" si="151"/>
        <v/>
      </c>
      <c r="C909" s="70" t="str">
        <f t="shared" si="152"/>
        <v/>
      </c>
      <c r="D909" s="74" t="str">
        <f t="shared" si="153"/>
        <v/>
      </c>
      <c r="F909" s="65" t="str">
        <f t="shared" si="154"/>
        <v/>
      </c>
      <c r="G909" s="68" t="str">
        <f t="shared" si="155"/>
        <v/>
      </c>
      <c r="H909" s="68" t="str">
        <f t="shared" si="156"/>
        <v/>
      </c>
      <c r="I909" s="68" t="str">
        <f t="shared" si="160"/>
        <v/>
      </c>
      <c r="M909" s="1">
        <v>872</v>
      </c>
      <c r="N909" s="1" t="str">
        <f>IF($T909=0,"",INDEX(GELIR_GIDER!$C$7:$C$3001,$T909))</f>
        <v/>
      </c>
      <c r="O909" s="1" t="str">
        <f>IF($N909="","",$C$36&amp;" – NAKİT YOK GELİR TAHAKKUKU – "&amp;INDEX(GELIR_GIDER!$F$7:$F$3001,$T909))</f>
        <v/>
      </c>
      <c r="P909" s="1" t="str">
        <f>IF($N909="","","NAKİT YOK TAHAKKUK")</f>
        <v/>
      </c>
      <c r="Q909" s="1">
        <f>IF($N909="",0,INDEX(GELIR_GIDER!$G$7:$G$3001,$T909))</f>
        <v>0</v>
      </c>
      <c r="R909" s="1">
        <f>0</f>
        <v>0</v>
      </c>
      <c r="S909" s="1">
        <f>IF($N909="",1E+10,$N909*100000+$M909)</f>
        <v>0</v>
      </c>
      <c r="T909" s="1" t="str">
        <f>IFERROR(MATCH($C$36&amp;"|16",GELIR_GIDER!$AF$7:$AF$3001,0),0)</f>
        <v/>
      </c>
      <c r="V909" s="1" t="str">
        <f t="shared" si="158"/>
        <v/>
      </c>
      <c r="W909" s="1" t="str">
        <f t="shared" si="159"/>
        <v/>
      </c>
    </row>
    <row r="910" spans="2:23" ht="14.25" customHeight="1" x14ac:dyDescent="0.3">
      <c r="B910" s="65" t="str">
        <f t="shared" si="151"/>
        <v/>
      </c>
      <c r="C910" s="70" t="str">
        <f t="shared" si="152"/>
        <v/>
      </c>
      <c r="D910" s="74" t="str">
        <f t="shared" si="153"/>
        <v/>
      </c>
      <c r="F910" s="65" t="str">
        <f t="shared" si="154"/>
        <v/>
      </c>
      <c r="G910" s="68" t="str">
        <f t="shared" si="155"/>
        <v/>
      </c>
      <c r="H910" s="68" t="str">
        <f t="shared" si="156"/>
        <v/>
      </c>
      <c r="I910" s="68" t="str">
        <f t="shared" si="160"/>
        <v/>
      </c>
      <c r="M910" s="1">
        <v>873</v>
      </c>
      <c r="N910" s="1" t="str">
        <f>IF($T910=0,"",INDEX(GELIR_GIDER!$C$7:$C$3001,$T910))</f>
        <v/>
      </c>
      <c r="O910" s="1" t="str">
        <f>IF($N910="","",$C$36&amp;" – NAKİT YOK GELİR TAHAKKUKU – "&amp;INDEX(GELIR_GIDER!$F$7:$F$3001,$T910))</f>
        <v/>
      </c>
      <c r="P910" s="1" t="str">
        <f>IF($N910="","","NAKİT YOK TAHAKKUK")</f>
        <v/>
      </c>
      <c r="Q910" s="1">
        <f>IF($N910="",0,INDEX(GELIR_GIDER!$G$7:$G$3001,$T910))</f>
        <v>0</v>
      </c>
      <c r="R910" s="1">
        <f>0</f>
        <v>0</v>
      </c>
      <c r="S910" s="1">
        <f>IF($N910="",1E+10,$N910*100000+$M910)</f>
        <v>0</v>
      </c>
      <c r="T910" s="1" t="str">
        <f>IFERROR(MATCH($C$36&amp;"|17",GELIR_GIDER!$AF$7:$AF$3001,0),0)</f>
        <v/>
      </c>
      <c r="V910" s="1" t="str">
        <f t="shared" si="158"/>
        <v/>
      </c>
      <c r="W910" s="1" t="str">
        <f t="shared" si="159"/>
        <v/>
      </c>
    </row>
    <row r="911" spans="2:23" ht="14.25" customHeight="1" x14ac:dyDescent="0.3">
      <c r="B911" s="65" t="str">
        <f t="shared" si="151"/>
        <v/>
      </c>
      <c r="C911" s="70" t="str">
        <f t="shared" si="152"/>
        <v/>
      </c>
      <c r="D911" s="74" t="str">
        <f t="shared" si="153"/>
        <v/>
      </c>
      <c r="F911" s="65" t="str">
        <f t="shared" si="154"/>
        <v/>
      </c>
      <c r="G911" s="68" t="str">
        <f t="shared" si="155"/>
        <v/>
      </c>
      <c r="H911" s="68" t="str">
        <f t="shared" si="156"/>
        <v/>
      </c>
      <c r="I911" s="68" t="str">
        <f t="shared" si="160"/>
        <v/>
      </c>
      <c r="M911" s="1">
        <v>874</v>
      </c>
      <c r="N911" s="1" t="str">
        <f>IF($T911=0,"",INDEX(GELIR_GIDER!$C$7:$C$3001,$T911))</f>
        <v/>
      </c>
      <c r="O911" s="1" t="str">
        <f>IF($N911="","",$C$36&amp;" – NAKİT YOK GELİR TAHAKKUKU – "&amp;INDEX(GELIR_GIDER!$F$7:$F$3001,$T911))</f>
        <v/>
      </c>
      <c r="P911" s="1" t="str">
        <f>IF($N911="","","NAKİT YOK TAHAKKUK")</f>
        <v/>
      </c>
      <c r="Q911" s="1">
        <f>IF($N911="",0,INDEX(GELIR_GIDER!$G$7:$G$3001,$T911))</f>
        <v>0</v>
      </c>
      <c r="R911" s="1">
        <f>0</f>
        <v>0</v>
      </c>
      <c r="S911" s="1">
        <f>IF($N911="",1E+10,$N911*100000+$M911)</f>
        <v>0</v>
      </c>
      <c r="T911" s="1" t="str">
        <f>IFERROR(MATCH($C$36&amp;"|18",GELIR_GIDER!$AF$7:$AF$3001,0),0)</f>
        <v/>
      </c>
      <c r="V911" s="1" t="str">
        <f t="shared" si="158"/>
        <v/>
      </c>
      <c r="W911" s="1" t="str">
        <f t="shared" si="159"/>
        <v/>
      </c>
    </row>
    <row r="912" spans="2:23" ht="14.25" customHeight="1" x14ac:dyDescent="0.3">
      <c r="B912" s="65" t="str">
        <f t="shared" si="151"/>
        <v/>
      </c>
      <c r="C912" s="70" t="str">
        <f t="shared" si="152"/>
        <v/>
      </c>
      <c r="D912" s="74" t="str">
        <f t="shared" si="153"/>
        <v/>
      </c>
      <c r="F912" s="65" t="str">
        <f t="shared" si="154"/>
        <v/>
      </c>
      <c r="G912" s="68" t="str">
        <f t="shared" si="155"/>
        <v/>
      </c>
      <c r="H912" s="68" t="str">
        <f t="shared" si="156"/>
        <v/>
      </c>
      <c r="I912" s="68" t="str">
        <f t="shared" si="160"/>
        <v/>
      </c>
      <c r="M912" s="1">
        <v>875</v>
      </c>
      <c r="N912" s="1" t="str">
        <f>IF($T912=0,"",INDEX(GELIR_GIDER!$C$7:$C$3001,$T912))</f>
        <v/>
      </c>
      <c r="O912" s="1" t="str">
        <f>IF($N912="","",$C$36&amp;" – NAKİT YOK GELİR TAHAKKUKU – "&amp;INDEX(GELIR_GIDER!$F$7:$F$3001,$T912))</f>
        <v/>
      </c>
      <c r="P912" s="1" t="str">
        <f>IF($N912="","","NAKİT YOK TAHAKKUK")</f>
        <v/>
      </c>
      <c r="Q912" s="1">
        <f>IF($N912="",0,INDEX(GELIR_GIDER!$G$7:$G$3001,$T912))</f>
        <v>0</v>
      </c>
      <c r="R912" s="1">
        <f>0</f>
        <v>0</v>
      </c>
      <c r="S912" s="1">
        <f>IF($N912="",1E+10,$N912*100000+$M912)</f>
        <v>0</v>
      </c>
      <c r="T912" s="1" t="str">
        <f>IFERROR(MATCH($C$36&amp;"|19",GELIR_GIDER!$AF$7:$AF$3001,0),0)</f>
        <v/>
      </c>
      <c r="V912" s="1" t="str">
        <f t="shared" si="158"/>
        <v/>
      </c>
      <c r="W912" s="1" t="str">
        <f t="shared" si="159"/>
        <v/>
      </c>
    </row>
    <row r="913" spans="2:23" ht="14.25" customHeight="1" x14ac:dyDescent="0.3">
      <c r="B913" s="65" t="str">
        <f t="shared" si="151"/>
        <v/>
      </c>
      <c r="C913" s="70" t="str">
        <f t="shared" si="152"/>
        <v/>
      </c>
      <c r="D913" s="74" t="str">
        <f t="shared" si="153"/>
        <v/>
      </c>
      <c r="F913" s="65" t="str">
        <f t="shared" si="154"/>
        <v/>
      </c>
      <c r="G913" s="68" t="str">
        <f t="shared" si="155"/>
        <v/>
      </c>
      <c r="H913" s="68" t="str">
        <f t="shared" si="156"/>
        <v/>
      </c>
      <c r="I913" s="68" t="str">
        <f t="shared" si="160"/>
        <v/>
      </c>
      <c r="M913" s="1">
        <v>876</v>
      </c>
      <c r="N913" s="1" t="str">
        <f>IF($T913=0,"",INDEX(GELIR_GIDER!$C$7:$C$3001,$T913))</f>
        <v/>
      </c>
      <c r="O913" s="1" t="str">
        <f>IF($N913="","",$C$36&amp;" – NAKİT YOK GELİR TAHAKKUKU – "&amp;INDEX(GELIR_GIDER!$F$7:$F$3001,$T913))</f>
        <v/>
      </c>
      <c r="P913" s="1" t="str">
        <f>IF($N913="","","NAKİT YOK TAHAKKUK")</f>
        <v/>
      </c>
      <c r="Q913" s="1">
        <f>IF($N913="",0,INDEX(GELIR_GIDER!$G$7:$G$3001,$T913))</f>
        <v>0</v>
      </c>
      <c r="R913" s="1">
        <f>0</f>
        <v>0</v>
      </c>
      <c r="S913" s="1">
        <f>IF($N913="",1E+10,$N913*100000+$M913)</f>
        <v>0</v>
      </c>
      <c r="T913" s="1" t="str">
        <f>IFERROR(MATCH($C$36&amp;"|20",GELIR_GIDER!$AF$7:$AF$3001,0),0)</f>
        <v/>
      </c>
      <c r="V913" s="1" t="str">
        <f t="shared" si="158"/>
        <v/>
      </c>
      <c r="W913" s="1" t="str">
        <f t="shared" si="159"/>
        <v/>
      </c>
    </row>
    <row r="914" spans="2:23" ht="14.25" customHeight="1" x14ac:dyDescent="0.3">
      <c r="B914" s="65" t="str">
        <f t="shared" si="151"/>
        <v/>
      </c>
      <c r="C914" s="70" t="str">
        <f t="shared" si="152"/>
        <v/>
      </c>
      <c r="D914" s="74" t="str">
        <f t="shared" si="153"/>
        <v/>
      </c>
      <c r="F914" s="65" t="str">
        <f t="shared" si="154"/>
        <v/>
      </c>
      <c r="G914" s="68" t="str">
        <f t="shared" si="155"/>
        <v/>
      </c>
      <c r="H914" s="68" t="str">
        <f t="shared" si="156"/>
        <v/>
      </c>
      <c r="I914" s="68" t="str">
        <f t="shared" si="160"/>
        <v/>
      </c>
      <c r="M914" s="1">
        <v>877</v>
      </c>
      <c r="N914" s="1" t="str">
        <f>IF($T914=0,"",INDEX(GELIR_GIDER!$C$7:$C$3001,$T914))</f>
        <v/>
      </c>
      <c r="O914" s="1" t="str">
        <f>IF($N914="","",$C$36&amp;" – NAKİT YOK GELİR TAHAKKUKU – "&amp;INDEX(GELIR_GIDER!$F$7:$F$3001,$T914))</f>
        <v/>
      </c>
      <c r="P914" s="1" t="str">
        <f>IF($N914="","","NAKİT YOK TAHAKKUK")</f>
        <v/>
      </c>
      <c r="Q914" s="1">
        <f>IF($N914="",0,INDEX(GELIR_GIDER!$G$7:$G$3001,$T914))</f>
        <v>0</v>
      </c>
      <c r="R914" s="1">
        <f>0</f>
        <v>0</v>
      </c>
      <c r="S914" s="1">
        <f>IF($N914="",1E+10,$N914*100000+$M914)</f>
        <v>0</v>
      </c>
      <c r="T914" s="1" t="str">
        <f>IFERROR(MATCH($C$36&amp;"|21",GELIR_GIDER!$AF$7:$AF$3001,0),0)</f>
        <v/>
      </c>
      <c r="V914" s="1" t="str">
        <f t="shared" si="158"/>
        <v/>
      </c>
      <c r="W914" s="1" t="str">
        <f t="shared" si="159"/>
        <v/>
      </c>
    </row>
    <row r="915" spans="2:23" ht="14.25" customHeight="1" x14ac:dyDescent="0.3">
      <c r="B915" s="65" t="str">
        <f t="shared" si="151"/>
        <v/>
      </c>
      <c r="C915" s="70" t="str">
        <f t="shared" si="152"/>
        <v/>
      </c>
      <c r="D915" s="74" t="str">
        <f t="shared" si="153"/>
        <v/>
      </c>
      <c r="F915" s="65" t="str">
        <f t="shared" si="154"/>
        <v/>
      </c>
      <c r="G915" s="68" t="str">
        <f t="shared" si="155"/>
        <v/>
      </c>
      <c r="H915" s="68" t="str">
        <f t="shared" si="156"/>
        <v/>
      </c>
      <c r="I915" s="68" t="str">
        <f t="shared" si="160"/>
        <v/>
      </c>
      <c r="M915" s="1">
        <v>878</v>
      </c>
      <c r="N915" s="1" t="str">
        <f>IF($T915=0,"",INDEX(GELIR_GIDER!$C$7:$C$3001,$T915))</f>
        <v/>
      </c>
      <c r="O915" s="1" t="str">
        <f>IF($N915="","",$C$36&amp;" – NAKİT YOK GELİR TAHAKKUKU – "&amp;INDEX(GELIR_GIDER!$F$7:$F$3001,$T915))</f>
        <v/>
      </c>
      <c r="P915" s="1" t="str">
        <f>IF($N915="","","NAKİT YOK TAHAKKUK")</f>
        <v/>
      </c>
      <c r="Q915" s="1">
        <f>IF($N915="",0,INDEX(GELIR_GIDER!$G$7:$G$3001,$T915))</f>
        <v>0</v>
      </c>
      <c r="R915" s="1">
        <f>0</f>
        <v>0</v>
      </c>
      <c r="S915" s="1">
        <f>IF($N915="",1E+10,$N915*100000+$M915)</f>
        <v>0</v>
      </c>
      <c r="T915" s="1" t="str">
        <f>IFERROR(MATCH($C$36&amp;"|22",GELIR_GIDER!$AF$7:$AF$3001,0),0)</f>
        <v/>
      </c>
      <c r="V915" s="1" t="str">
        <f t="shared" si="158"/>
        <v/>
      </c>
      <c r="W915" s="1" t="str">
        <f t="shared" si="159"/>
        <v/>
      </c>
    </row>
    <row r="916" spans="2:23" ht="14.25" customHeight="1" x14ac:dyDescent="0.3">
      <c r="B916" s="65" t="str">
        <f t="shared" si="151"/>
        <v/>
      </c>
      <c r="C916" s="70" t="str">
        <f t="shared" si="152"/>
        <v/>
      </c>
      <c r="D916" s="74" t="str">
        <f t="shared" si="153"/>
        <v/>
      </c>
      <c r="F916" s="65" t="str">
        <f t="shared" si="154"/>
        <v/>
      </c>
      <c r="G916" s="68" t="str">
        <f t="shared" si="155"/>
        <v/>
      </c>
      <c r="H916" s="68" t="str">
        <f t="shared" si="156"/>
        <v/>
      </c>
      <c r="I916" s="68" t="str">
        <f t="shared" si="160"/>
        <v/>
      </c>
      <c r="M916" s="1">
        <v>879</v>
      </c>
      <c r="N916" s="1" t="str">
        <f>IF($T916=0,"",INDEX(GELIR_GIDER!$C$7:$C$3001,$T916))</f>
        <v/>
      </c>
      <c r="O916" s="1" t="str">
        <f>IF($N916="","",$C$36&amp;" – NAKİT YOK GELİR TAHAKKUKU – "&amp;INDEX(GELIR_GIDER!$F$7:$F$3001,$T916))</f>
        <v/>
      </c>
      <c r="P916" s="1" t="str">
        <f>IF($N916="","","NAKİT YOK TAHAKKUK")</f>
        <v/>
      </c>
      <c r="Q916" s="1">
        <f>IF($N916="",0,INDEX(GELIR_GIDER!$G$7:$G$3001,$T916))</f>
        <v>0</v>
      </c>
      <c r="R916" s="1">
        <f>0</f>
        <v>0</v>
      </c>
      <c r="S916" s="1">
        <f>IF($N916="",1E+10,$N916*100000+$M916)</f>
        <v>0</v>
      </c>
      <c r="T916" s="1" t="str">
        <f>IFERROR(MATCH($C$36&amp;"|23",GELIR_GIDER!$AF$7:$AF$3001,0),0)</f>
        <v/>
      </c>
      <c r="V916" s="1" t="str">
        <f t="shared" si="158"/>
        <v/>
      </c>
      <c r="W916" s="1" t="str">
        <f t="shared" si="159"/>
        <v/>
      </c>
    </row>
    <row r="917" spans="2:23" ht="14.25" customHeight="1" x14ac:dyDescent="0.3">
      <c r="B917" s="65" t="str">
        <f t="shared" si="151"/>
        <v/>
      </c>
      <c r="C917" s="70" t="str">
        <f t="shared" si="152"/>
        <v/>
      </c>
      <c r="D917" s="74" t="str">
        <f t="shared" si="153"/>
        <v/>
      </c>
      <c r="F917" s="65" t="str">
        <f t="shared" si="154"/>
        <v/>
      </c>
      <c r="G917" s="68" t="str">
        <f t="shared" si="155"/>
        <v/>
      </c>
      <c r="H917" s="68" t="str">
        <f t="shared" si="156"/>
        <v/>
      </c>
      <c r="I917" s="68" t="str">
        <f t="shared" si="160"/>
        <v/>
      </c>
      <c r="M917" s="1">
        <v>880</v>
      </c>
      <c r="N917" s="1" t="str">
        <f>IF($T917=0,"",INDEX(GELIR_GIDER!$C$7:$C$3001,$T917))</f>
        <v/>
      </c>
      <c r="O917" s="1" t="str">
        <f>IF($N917="","",$C$36&amp;" – NAKİT YOK GELİR TAHAKKUKU – "&amp;INDEX(GELIR_GIDER!$F$7:$F$3001,$T917))</f>
        <v/>
      </c>
      <c r="P917" s="1" t="str">
        <f>IF($N917="","","NAKİT YOK TAHAKKUK")</f>
        <v/>
      </c>
      <c r="Q917" s="1">
        <f>IF($N917="",0,INDEX(GELIR_GIDER!$G$7:$G$3001,$T917))</f>
        <v>0</v>
      </c>
      <c r="R917" s="1">
        <f>0</f>
        <v>0</v>
      </c>
      <c r="S917" s="1">
        <f>IF($N917="",1E+10,$N917*100000+$M917)</f>
        <v>0</v>
      </c>
      <c r="T917" s="1" t="str">
        <f>IFERROR(MATCH($C$36&amp;"|24",GELIR_GIDER!$AF$7:$AF$3001,0),0)</f>
        <v/>
      </c>
      <c r="V917" s="1" t="str">
        <f t="shared" si="158"/>
        <v/>
      </c>
      <c r="W917" s="1" t="str">
        <f t="shared" si="159"/>
        <v/>
      </c>
    </row>
    <row r="918" spans="2:23" ht="14.25" customHeight="1" x14ac:dyDescent="0.3">
      <c r="B918" s="65" t="str">
        <f t="shared" si="151"/>
        <v/>
      </c>
      <c r="C918" s="70" t="str">
        <f t="shared" si="152"/>
        <v/>
      </c>
      <c r="D918" s="74" t="str">
        <f t="shared" si="153"/>
        <v/>
      </c>
      <c r="F918" s="65" t="str">
        <f t="shared" si="154"/>
        <v/>
      </c>
      <c r="G918" s="68" t="str">
        <f t="shared" si="155"/>
        <v/>
      </c>
      <c r="H918" s="68" t="str">
        <f t="shared" si="156"/>
        <v/>
      </c>
      <c r="I918" s="68" t="str">
        <f t="shared" si="160"/>
        <v/>
      </c>
      <c r="M918" s="1">
        <v>881</v>
      </c>
      <c r="N918" s="1" t="str">
        <f>IF($T918=0,"",INDEX(GELIR_GIDER!$C$7:$C$3001,$T918))</f>
        <v/>
      </c>
      <c r="O918" s="1" t="str">
        <f>IF($N918="","",$C$36&amp;" – NAKİT YOK GELİR TAHAKKUKU – "&amp;INDEX(GELIR_GIDER!$F$7:$F$3001,$T918))</f>
        <v/>
      </c>
      <c r="P918" s="1" t="str">
        <f>IF($N918="","","NAKİT YOK TAHAKKUK")</f>
        <v/>
      </c>
      <c r="Q918" s="1">
        <f>IF($N918="",0,INDEX(GELIR_GIDER!$G$7:$G$3001,$T918))</f>
        <v>0</v>
      </c>
      <c r="R918" s="1">
        <f>0</f>
        <v>0</v>
      </c>
      <c r="S918" s="1">
        <f>IF($N918="",1E+10,$N918*100000+$M918)</f>
        <v>0</v>
      </c>
      <c r="T918" s="1" t="str">
        <f>IFERROR(MATCH($C$36&amp;"|25",GELIR_GIDER!$AF$7:$AF$3001,0),0)</f>
        <v/>
      </c>
      <c r="V918" s="1" t="str">
        <f t="shared" si="158"/>
        <v/>
      </c>
      <c r="W918" s="1" t="str">
        <f t="shared" si="159"/>
        <v/>
      </c>
    </row>
    <row r="919" spans="2:23" ht="14.25" customHeight="1" x14ac:dyDescent="0.3">
      <c r="B919" s="65" t="str">
        <f t="shared" si="151"/>
        <v/>
      </c>
      <c r="C919" s="70" t="str">
        <f t="shared" si="152"/>
        <v/>
      </c>
      <c r="D919" s="74" t="str">
        <f t="shared" si="153"/>
        <v/>
      </c>
      <c r="F919" s="65" t="str">
        <f t="shared" si="154"/>
        <v/>
      </c>
      <c r="G919" s="68" t="str">
        <f t="shared" si="155"/>
        <v/>
      </c>
      <c r="H919" s="68" t="str">
        <f t="shared" si="156"/>
        <v/>
      </c>
      <c r="I919" s="68" t="str">
        <f t="shared" si="160"/>
        <v/>
      </c>
      <c r="M919" s="1">
        <v>882</v>
      </c>
      <c r="N919" s="1" t="str">
        <f>IF($T919=0,"",INDEX(GELIR_GIDER!$C$7:$C$3001,$T919))</f>
        <v/>
      </c>
      <c r="O919" s="1" t="str">
        <f>IF($N919="","",$C$36&amp;" – NAKİT YOK GELİR TAHAKKUKU – "&amp;INDEX(GELIR_GIDER!$F$7:$F$3001,$T919))</f>
        <v/>
      </c>
      <c r="P919" s="1" t="str">
        <f>IF($N919="","","NAKİT YOK TAHAKKUK")</f>
        <v/>
      </c>
      <c r="Q919" s="1">
        <f>IF($N919="",0,INDEX(GELIR_GIDER!$G$7:$G$3001,$T919))</f>
        <v>0</v>
      </c>
      <c r="R919" s="1">
        <f>0</f>
        <v>0</v>
      </c>
      <c r="S919" s="1">
        <f>IF($N919="",1E+10,$N919*100000+$M919)</f>
        <v>0</v>
      </c>
      <c r="T919" s="1" t="str">
        <f>IFERROR(MATCH($C$36&amp;"|26",GELIR_GIDER!$AF$7:$AF$3001,0),0)</f>
        <v/>
      </c>
      <c r="V919" s="1" t="str">
        <f t="shared" si="158"/>
        <v/>
      </c>
      <c r="W919" s="1" t="str">
        <f t="shared" si="159"/>
        <v/>
      </c>
    </row>
    <row r="920" spans="2:23" ht="14.25" customHeight="1" x14ac:dyDescent="0.3">
      <c r="B920" s="65" t="str">
        <f t="shared" si="151"/>
        <v/>
      </c>
      <c r="C920" s="70" t="str">
        <f t="shared" si="152"/>
        <v/>
      </c>
      <c r="D920" s="74" t="str">
        <f t="shared" si="153"/>
        <v/>
      </c>
      <c r="F920" s="65" t="str">
        <f t="shared" si="154"/>
        <v/>
      </c>
      <c r="G920" s="68" t="str">
        <f t="shared" si="155"/>
        <v/>
      </c>
      <c r="H920" s="68" t="str">
        <f t="shared" si="156"/>
        <v/>
      </c>
      <c r="I920" s="68" t="str">
        <f t="shared" si="160"/>
        <v/>
      </c>
      <c r="M920" s="1">
        <v>883</v>
      </c>
      <c r="N920" s="1" t="str">
        <f>IF($T920=0,"",INDEX(GELIR_GIDER!$C$7:$C$3001,$T920))</f>
        <v/>
      </c>
      <c r="O920" s="1" t="str">
        <f>IF($N920="","",$C$36&amp;" – NAKİT YOK GELİR TAHAKKUKU – "&amp;INDEX(GELIR_GIDER!$F$7:$F$3001,$T920))</f>
        <v/>
      </c>
      <c r="P920" s="1" t="str">
        <f>IF($N920="","","NAKİT YOK TAHAKKUK")</f>
        <v/>
      </c>
      <c r="Q920" s="1">
        <f>IF($N920="",0,INDEX(GELIR_GIDER!$G$7:$G$3001,$T920))</f>
        <v>0</v>
      </c>
      <c r="R920" s="1">
        <f>0</f>
        <v>0</v>
      </c>
      <c r="S920" s="1">
        <f>IF($N920="",1E+10,$N920*100000+$M920)</f>
        <v>0</v>
      </c>
      <c r="T920" s="1" t="str">
        <f>IFERROR(MATCH($C$36&amp;"|27",GELIR_GIDER!$AF$7:$AF$3001,0),0)</f>
        <v/>
      </c>
      <c r="V920" s="1" t="str">
        <f t="shared" si="158"/>
        <v/>
      </c>
      <c r="W920" s="1" t="str">
        <f t="shared" si="159"/>
        <v/>
      </c>
    </row>
    <row r="921" spans="2:23" ht="14.25" customHeight="1" x14ac:dyDescent="0.3">
      <c r="B921" s="65" t="str">
        <f t="shared" si="151"/>
        <v/>
      </c>
      <c r="C921" s="70" t="str">
        <f t="shared" si="152"/>
        <v/>
      </c>
      <c r="D921" s="74" t="str">
        <f t="shared" si="153"/>
        <v/>
      </c>
      <c r="F921" s="65" t="str">
        <f t="shared" si="154"/>
        <v/>
      </c>
      <c r="G921" s="68" t="str">
        <f t="shared" si="155"/>
        <v/>
      </c>
      <c r="H921" s="68" t="str">
        <f t="shared" si="156"/>
        <v/>
      </c>
      <c r="I921" s="68" t="str">
        <f t="shared" si="160"/>
        <v/>
      </c>
      <c r="M921" s="1">
        <v>884</v>
      </c>
      <c r="N921" s="1" t="str">
        <f>IF($T921=0,"",INDEX(GELIR_GIDER!$C$7:$C$3001,$T921))</f>
        <v/>
      </c>
      <c r="O921" s="1" t="str">
        <f>IF($N921="","",$C$36&amp;" – NAKİT YOK GELİR TAHAKKUKU – "&amp;INDEX(GELIR_GIDER!$F$7:$F$3001,$T921))</f>
        <v/>
      </c>
      <c r="P921" s="1" t="str">
        <f>IF($N921="","","NAKİT YOK TAHAKKUK")</f>
        <v/>
      </c>
      <c r="Q921" s="1">
        <f>IF($N921="",0,INDEX(GELIR_GIDER!$G$7:$G$3001,$T921))</f>
        <v>0</v>
      </c>
      <c r="R921" s="1">
        <f>0</f>
        <v>0</v>
      </c>
      <c r="S921" s="1">
        <f>IF($N921="",1E+10,$N921*100000+$M921)</f>
        <v>0</v>
      </c>
      <c r="T921" s="1" t="str">
        <f>IFERROR(MATCH($C$36&amp;"|28",GELIR_GIDER!$AF$7:$AF$3001,0),0)</f>
        <v/>
      </c>
      <c r="V921" s="1" t="str">
        <f t="shared" si="158"/>
        <v/>
      </c>
      <c r="W921" s="1" t="str">
        <f t="shared" si="159"/>
        <v/>
      </c>
    </row>
    <row r="922" spans="2:23" ht="14.25" customHeight="1" x14ac:dyDescent="0.3">
      <c r="B922" s="65" t="str">
        <f t="shared" si="151"/>
        <v/>
      </c>
      <c r="C922" s="70" t="str">
        <f t="shared" si="152"/>
        <v/>
      </c>
      <c r="D922" s="74" t="str">
        <f t="shared" si="153"/>
        <v/>
      </c>
      <c r="F922" s="65" t="str">
        <f t="shared" si="154"/>
        <v/>
      </c>
      <c r="G922" s="68" t="str">
        <f t="shared" si="155"/>
        <v/>
      </c>
      <c r="H922" s="68" t="str">
        <f t="shared" si="156"/>
        <v/>
      </c>
      <c r="I922" s="68" t="str">
        <f t="shared" si="160"/>
        <v/>
      </c>
      <c r="M922" s="1">
        <v>885</v>
      </c>
      <c r="N922" s="1" t="str">
        <f>IF($T922=0,"",INDEX(GELIR_GIDER!$C$7:$C$3001,$T922))</f>
        <v/>
      </c>
      <c r="O922" s="1" t="str">
        <f>IF($N922="","",$C$36&amp;" – NAKİT YOK GELİR TAHAKKUKU – "&amp;INDEX(GELIR_GIDER!$F$7:$F$3001,$T922))</f>
        <v/>
      </c>
      <c r="P922" s="1" t="str">
        <f>IF($N922="","","NAKİT YOK TAHAKKUK")</f>
        <v/>
      </c>
      <c r="Q922" s="1">
        <f>IF($N922="",0,INDEX(GELIR_GIDER!$G$7:$G$3001,$T922))</f>
        <v>0</v>
      </c>
      <c r="R922" s="1">
        <f>0</f>
        <v>0</v>
      </c>
      <c r="S922" s="1">
        <f>IF($N922="",1E+10,$N922*100000+$M922)</f>
        <v>0</v>
      </c>
      <c r="T922" s="1" t="str">
        <f>IFERROR(MATCH($C$36&amp;"|29",GELIR_GIDER!$AF$7:$AF$3001,0),0)</f>
        <v/>
      </c>
      <c r="V922" s="1" t="str">
        <f t="shared" si="158"/>
        <v/>
      </c>
      <c r="W922" s="1" t="str">
        <f t="shared" si="159"/>
        <v/>
      </c>
    </row>
    <row r="923" spans="2:23" ht="14.25" customHeight="1" x14ac:dyDescent="0.3">
      <c r="B923" s="65" t="str">
        <f t="shared" si="151"/>
        <v/>
      </c>
      <c r="C923" s="70" t="str">
        <f t="shared" si="152"/>
        <v/>
      </c>
      <c r="D923" s="74" t="str">
        <f t="shared" si="153"/>
        <v/>
      </c>
      <c r="F923" s="65" t="str">
        <f t="shared" si="154"/>
        <v/>
      </c>
      <c r="G923" s="68" t="str">
        <f t="shared" si="155"/>
        <v/>
      </c>
      <c r="H923" s="68" t="str">
        <f t="shared" si="156"/>
        <v/>
      </c>
      <c r="I923" s="68" t="str">
        <f t="shared" si="160"/>
        <v/>
      </c>
      <c r="M923" s="1">
        <v>886</v>
      </c>
      <c r="N923" s="1" t="str">
        <f>IF($T923=0,"",INDEX(GELIR_GIDER!$C$7:$C$3001,$T923))</f>
        <v/>
      </c>
      <c r="O923" s="1" t="str">
        <f>IF($N923="","",$C$36&amp;" – NAKİT YOK GELİR TAHAKKUKU – "&amp;INDEX(GELIR_GIDER!$F$7:$F$3001,$T923))</f>
        <v/>
      </c>
      <c r="P923" s="1" t="str">
        <f>IF($N923="","","NAKİT YOK TAHAKKUK")</f>
        <v/>
      </c>
      <c r="Q923" s="1">
        <f>IF($N923="",0,INDEX(GELIR_GIDER!$G$7:$G$3001,$T923))</f>
        <v>0</v>
      </c>
      <c r="R923" s="1">
        <f>0</f>
        <v>0</v>
      </c>
      <c r="S923" s="1">
        <f>IF($N923="",1E+10,$N923*100000+$M923)</f>
        <v>0</v>
      </c>
      <c r="T923" s="1" t="str">
        <f>IFERROR(MATCH($C$36&amp;"|30",GELIR_GIDER!$AF$7:$AF$3001,0),0)</f>
        <v/>
      </c>
      <c r="V923" s="1" t="str">
        <f t="shared" si="158"/>
        <v/>
      </c>
      <c r="W923" s="1" t="str">
        <f t="shared" si="159"/>
        <v/>
      </c>
    </row>
    <row r="924" spans="2:23" ht="14.25" customHeight="1" x14ac:dyDescent="0.3">
      <c r="B924" s="65" t="str">
        <f t="shared" si="151"/>
        <v/>
      </c>
      <c r="C924" s="70" t="str">
        <f t="shared" si="152"/>
        <v/>
      </c>
      <c r="D924" s="74" t="str">
        <f t="shared" si="153"/>
        <v/>
      </c>
      <c r="F924" s="65" t="str">
        <f t="shared" si="154"/>
        <v/>
      </c>
      <c r="G924" s="68" t="str">
        <f t="shared" si="155"/>
        <v/>
      </c>
      <c r="H924" s="68" t="str">
        <f t="shared" si="156"/>
        <v/>
      </c>
      <c r="I924" s="68" t="str">
        <f t="shared" si="160"/>
        <v/>
      </c>
      <c r="M924" s="1">
        <v>887</v>
      </c>
      <c r="N924" s="1" t="str">
        <f>IF($T924=0,"",INDEX(GELIR_GIDER!$C$7:$C$3001,$T924))</f>
        <v/>
      </c>
      <c r="O924" s="1" t="str">
        <f>IF($N924="","",$C$36&amp;" – NAKİT YOK GELİR TAHAKKUKU – "&amp;INDEX(GELIR_GIDER!$F$7:$F$3001,$T924))</f>
        <v/>
      </c>
      <c r="P924" s="1" t="str">
        <f>IF($N924="","","NAKİT YOK TAHAKKUK")</f>
        <v/>
      </c>
      <c r="Q924" s="1">
        <f>IF($N924="",0,INDEX(GELIR_GIDER!$G$7:$G$3001,$T924))</f>
        <v>0</v>
      </c>
      <c r="R924" s="1">
        <f>0</f>
        <v>0</v>
      </c>
      <c r="S924" s="1">
        <f>IF($N924="",1E+10,$N924*100000+$M924)</f>
        <v>0</v>
      </c>
      <c r="T924" s="1" t="str">
        <f>IFERROR(MATCH($C$36&amp;"|31",GELIR_GIDER!$AF$7:$AF$3001,0),0)</f>
        <v/>
      </c>
      <c r="V924" s="1" t="str">
        <f t="shared" si="158"/>
        <v/>
      </c>
      <c r="W924" s="1" t="str">
        <f t="shared" si="159"/>
        <v/>
      </c>
    </row>
    <row r="925" spans="2:23" ht="14.25" customHeight="1" x14ac:dyDescent="0.3">
      <c r="B925" s="65" t="str">
        <f t="shared" si="151"/>
        <v/>
      </c>
      <c r="C925" s="70" t="str">
        <f t="shared" si="152"/>
        <v/>
      </c>
      <c r="D925" s="74" t="str">
        <f t="shared" si="153"/>
        <v/>
      </c>
      <c r="F925" s="65" t="str">
        <f t="shared" si="154"/>
        <v/>
      </c>
      <c r="G925" s="68" t="str">
        <f t="shared" si="155"/>
        <v/>
      </c>
      <c r="H925" s="68" t="str">
        <f t="shared" si="156"/>
        <v/>
      </c>
      <c r="I925" s="68" t="str">
        <f t="shared" si="160"/>
        <v/>
      </c>
      <c r="M925" s="1">
        <v>888</v>
      </c>
      <c r="N925" s="1" t="str">
        <f>IF($T925=0,"",INDEX(GELIR_GIDER!$C$7:$C$3001,$T925))</f>
        <v/>
      </c>
      <c r="O925" s="1" t="str">
        <f>IF($N925="","",$C$36&amp;" – NAKİT YOK GELİR TAHAKKUKU – "&amp;INDEX(GELIR_GIDER!$F$7:$F$3001,$T925))</f>
        <v/>
      </c>
      <c r="P925" s="1" t="str">
        <f>IF($N925="","","NAKİT YOK TAHAKKUK")</f>
        <v/>
      </c>
      <c r="Q925" s="1">
        <f>IF($N925="",0,INDEX(GELIR_GIDER!$G$7:$G$3001,$T925))</f>
        <v>0</v>
      </c>
      <c r="R925" s="1">
        <f>0</f>
        <v>0</v>
      </c>
      <c r="S925" s="1">
        <f>IF($N925="",1E+10,$N925*100000+$M925)</f>
        <v>0</v>
      </c>
      <c r="T925" s="1" t="str">
        <f>IFERROR(MATCH($C$36&amp;"|32",GELIR_GIDER!$AF$7:$AF$3001,0),0)</f>
        <v/>
      </c>
      <c r="V925" s="1" t="str">
        <f t="shared" si="158"/>
        <v/>
      </c>
      <c r="W925" s="1" t="str">
        <f t="shared" si="159"/>
        <v/>
      </c>
    </row>
    <row r="926" spans="2:23" ht="14.25" customHeight="1" x14ac:dyDescent="0.3">
      <c r="B926" s="65" t="str">
        <f t="shared" si="151"/>
        <v/>
      </c>
      <c r="C926" s="70" t="str">
        <f t="shared" si="152"/>
        <v/>
      </c>
      <c r="D926" s="74" t="str">
        <f t="shared" si="153"/>
        <v/>
      </c>
      <c r="F926" s="65" t="str">
        <f t="shared" si="154"/>
        <v/>
      </c>
      <c r="G926" s="68" t="str">
        <f t="shared" si="155"/>
        <v/>
      </c>
      <c r="H926" s="68" t="str">
        <f t="shared" si="156"/>
        <v/>
      </c>
      <c r="I926" s="68" t="str">
        <f t="shared" si="160"/>
        <v/>
      </c>
      <c r="M926" s="1">
        <v>889</v>
      </c>
      <c r="N926" s="1" t="str">
        <f>IF($T926=0,"",INDEX(GELIR_GIDER!$C$7:$C$3001,$T926))</f>
        <v/>
      </c>
      <c r="O926" s="1" t="str">
        <f>IF($N926="","",$C$36&amp;" – NAKİT YOK GELİR TAHAKKUKU – "&amp;INDEX(GELIR_GIDER!$F$7:$F$3001,$T926))</f>
        <v/>
      </c>
      <c r="P926" s="1" t="str">
        <f>IF($N926="","","NAKİT YOK TAHAKKUK")</f>
        <v/>
      </c>
      <c r="Q926" s="1">
        <f>IF($N926="",0,INDEX(GELIR_GIDER!$G$7:$G$3001,$T926))</f>
        <v>0</v>
      </c>
      <c r="R926" s="1">
        <f>0</f>
        <v>0</v>
      </c>
      <c r="S926" s="1">
        <f>IF($N926="",1E+10,$N926*100000+$M926)</f>
        <v>0</v>
      </c>
      <c r="T926" s="1" t="str">
        <f>IFERROR(MATCH($C$36&amp;"|33",GELIR_GIDER!$AF$7:$AF$3001,0),0)</f>
        <v/>
      </c>
      <c r="V926" s="1" t="str">
        <f t="shared" si="158"/>
        <v/>
      </c>
      <c r="W926" s="1" t="str">
        <f t="shared" si="159"/>
        <v/>
      </c>
    </row>
    <row r="927" spans="2:23" ht="14.25" customHeight="1" x14ac:dyDescent="0.3">
      <c r="B927" s="65" t="str">
        <f t="shared" si="151"/>
        <v/>
      </c>
      <c r="C927" s="70" t="str">
        <f t="shared" si="152"/>
        <v/>
      </c>
      <c r="D927" s="74" t="str">
        <f t="shared" si="153"/>
        <v/>
      </c>
      <c r="F927" s="65" t="str">
        <f t="shared" si="154"/>
        <v/>
      </c>
      <c r="G927" s="68" t="str">
        <f t="shared" si="155"/>
        <v/>
      </c>
      <c r="H927" s="68" t="str">
        <f t="shared" si="156"/>
        <v/>
      </c>
      <c r="I927" s="68" t="str">
        <f t="shared" si="160"/>
        <v/>
      </c>
      <c r="M927" s="1">
        <v>890</v>
      </c>
      <c r="N927" s="1" t="str">
        <f>IF($T927=0,"",INDEX(GELIR_GIDER!$C$7:$C$3001,$T927))</f>
        <v/>
      </c>
      <c r="O927" s="1" t="str">
        <f>IF($N927="","",$C$36&amp;" – NAKİT YOK GELİR TAHAKKUKU – "&amp;INDEX(GELIR_GIDER!$F$7:$F$3001,$T927))</f>
        <v/>
      </c>
      <c r="P927" s="1" t="str">
        <f>IF($N927="","","NAKİT YOK TAHAKKUK")</f>
        <v/>
      </c>
      <c r="Q927" s="1">
        <f>IF($N927="",0,INDEX(GELIR_GIDER!$G$7:$G$3001,$T927))</f>
        <v>0</v>
      </c>
      <c r="R927" s="1">
        <f>0</f>
        <v>0</v>
      </c>
      <c r="S927" s="1">
        <f>IF($N927="",1E+10,$N927*100000+$M927)</f>
        <v>0</v>
      </c>
      <c r="T927" s="1" t="str">
        <f>IFERROR(MATCH($C$36&amp;"|34",GELIR_GIDER!$AF$7:$AF$3001,0),0)</f>
        <v/>
      </c>
      <c r="V927" s="1" t="str">
        <f t="shared" si="158"/>
        <v/>
      </c>
      <c r="W927" s="1" t="str">
        <f t="shared" si="159"/>
        <v/>
      </c>
    </row>
    <row r="928" spans="2:23" ht="14.25" customHeight="1" x14ac:dyDescent="0.3">
      <c r="B928" s="65" t="str">
        <f t="shared" si="151"/>
        <v/>
      </c>
      <c r="C928" s="70" t="str">
        <f t="shared" si="152"/>
        <v/>
      </c>
      <c r="D928" s="74" t="str">
        <f t="shared" si="153"/>
        <v/>
      </c>
      <c r="F928" s="65" t="str">
        <f t="shared" si="154"/>
        <v/>
      </c>
      <c r="G928" s="68" t="str">
        <f t="shared" si="155"/>
        <v/>
      </c>
      <c r="H928" s="68" t="str">
        <f t="shared" si="156"/>
        <v/>
      </c>
      <c r="I928" s="68" t="str">
        <f t="shared" si="160"/>
        <v/>
      </c>
      <c r="M928" s="1">
        <v>891</v>
      </c>
      <c r="N928" s="1" t="str">
        <f>IF($T928=0,"",INDEX(GELIR_GIDER!$C$7:$C$3001,$T928))</f>
        <v/>
      </c>
      <c r="O928" s="1" t="str">
        <f>IF($N928="","",$C$36&amp;" – NAKİT YOK GELİR TAHAKKUKU – "&amp;INDEX(GELIR_GIDER!$F$7:$F$3001,$T928))</f>
        <v/>
      </c>
      <c r="P928" s="1" t="str">
        <f>IF($N928="","","NAKİT YOK TAHAKKUK")</f>
        <v/>
      </c>
      <c r="Q928" s="1">
        <f>IF($N928="",0,INDEX(GELIR_GIDER!$G$7:$G$3001,$T928))</f>
        <v>0</v>
      </c>
      <c r="R928" s="1">
        <f>0</f>
        <v>0</v>
      </c>
      <c r="S928" s="1">
        <f>IF($N928="",1E+10,$N928*100000+$M928)</f>
        <v>0</v>
      </c>
      <c r="T928" s="1" t="str">
        <f>IFERROR(MATCH($C$36&amp;"|35",GELIR_GIDER!$AF$7:$AF$3001,0),0)</f>
        <v/>
      </c>
      <c r="V928" s="1" t="str">
        <f t="shared" si="158"/>
        <v/>
      </c>
      <c r="W928" s="1" t="str">
        <f t="shared" si="159"/>
        <v/>
      </c>
    </row>
    <row r="929" spans="2:23" ht="14.25" customHeight="1" x14ac:dyDescent="0.3">
      <c r="B929" s="65" t="str">
        <f t="shared" si="151"/>
        <v/>
      </c>
      <c r="C929" s="70" t="str">
        <f t="shared" si="152"/>
        <v/>
      </c>
      <c r="D929" s="74" t="str">
        <f t="shared" si="153"/>
        <v/>
      </c>
      <c r="F929" s="65" t="str">
        <f t="shared" si="154"/>
        <v/>
      </c>
      <c r="G929" s="68" t="str">
        <f t="shared" si="155"/>
        <v/>
      </c>
      <c r="H929" s="68" t="str">
        <f t="shared" si="156"/>
        <v/>
      </c>
      <c r="I929" s="68" t="str">
        <f t="shared" si="160"/>
        <v/>
      </c>
      <c r="M929" s="1">
        <v>892</v>
      </c>
      <c r="N929" s="1" t="str">
        <f>IF($T929=0,"",INDEX(GELIR_GIDER!$C$7:$C$3001,$T929))</f>
        <v/>
      </c>
      <c r="O929" s="1" t="str">
        <f>IF($N929="","",$C$36&amp;" – NAKİT YOK GELİR TAHAKKUKU – "&amp;INDEX(GELIR_GIDER!$F$7:$F$3001,$T929))</f>
        <v/>
      </c>
      <c r="P929" s="1" t="str">
        <f>IF($N929="","","NAKİT YOK TAHAKKUK")</f>
        <v/>
      </c>
      <c r="Q929" s="1">
        <f>IF($N929="",0,INDEX(GELIR_GIDER!$G$7:$G$3001,$T929))</f>
        <v>0</v>
      </c>
      <c r="R929" s="1">
        <f>0</f>
        <v>0</v>
      </c>
      <c r="S929" s="1">
        <f>IF($N929="",1E+10,$N929*100000+$M929)</f>
        <v>0</v>
      </c>
      <c r="T929" s="1" t="str">
        <f>IFERROR(MATCH($C$36&amp;"|36",GELIR_GIDER!$AF$7:$AF$3001,0),0)</f>
        <v/>
      </c>
      <c r="V929" s="1" t="str">
        <f t="shared" si="158"/>
        <v/>
      </c>
      <c r="W929" s="1" t="str">
        <f t="shared" si="159"/>
        <v/>
      </c>
    </row>
    <row r="930" spans="2:23" ht="14.25" customHeight="1" x14ac:dyDescent="0.3">
      <c r="B930" s="65" t="str">
        <f t="shared" si="151"/>
        <v/>
      </c>
      <c r="C930" s="70" t="str">
        <f t="shared" si="152"/>
        <v/>
      </c>
      <c r="D930" s="74" t="str">
        <f t="shared" si="153"/>
        <v/>
      </c>
      <c r="F930" s="65" t="str">
        <f t="shared" si="154"/>
        <v/>
      </c>
      <c r="G930" s="68" t="str">
        <f t="shared" si="155"/>
        <v/>
      </c>
      <c r="H930" s="68" t="str">
        <f t="shared" si="156"/>
        <v/>
      </c>
      <c r="I930" s="68" t="str">
        <f t="shared" si="160"/>
        <v/>
      </c>
      <c r="M930" s="1">
        <v>893</v>
      </c>
      <c r="N930" s="1" t="str">
        <f>IF($T930=0,"",INDEX(GELIR_GIDER!$C$7:$C$3001,$T930))</f>
        <v/>
      </c>
      <c r="O930" s="1" t="str">
        <f>IF($N930="","",$C$36&amp;" – NAKİT YOK GELİR TAHAKKUKU – "&amp;INDEX(GELIR_GIDER!$F$7:$F$3001,$T930))</f>
        <v/>
      </c>
      <c r="P930" s="1" t="str">
        <f>IF($N930="","","NAKİT YOK TAHAKKUK")</f>
        <v/>
      </c>
      <c r="Q930" s="1">
        <f>IF($N930="",0,INDEX(GELIR_GIDER!$G$7:$G$3001,$T930))</f>
        <v>0</v>
      </c>
      <c r="R930" s="1">
        <f>0</f>
        <v>0</v>
      </c>
      <c r="S930" s="1">
        <f>IF($N930="",1E+10,$N930*100000+$M930)</f>
        <v>0</v>
      </c>
      <c r="T930" s="1" t="str">
        <f>IFERROR(MATCH($C$36&amp;"|37",GELIR_GIDER!$AF$7:$AF$3001,0),0)</f>
        <v/>
      </c>
      <c r="V930" s="1" t="str">
        <f t="shared" si="158"/>
        <v/>
      </c>
      <c r="W930" s="1" t="str">
        <f t="shared" si="159"/>
        <v/>
      </c>
    </row>
    <row r="931" spans="2:23" ht="14.25" customHeight="1" x14ac:dyDescent="0.3">
      <c r="B931" s="65" t="str">
        <f t="shared" si="151"/>
        <v/>
      </c>
      <c r="C931" s="70" t="str">
        <f t="shared" si="152"/>
        <v/>
      </c>
      <c r="D931" s="74" t="str">
        <f t="shared" si="153"/>
        <v/>
      </c>
      <c r="F931" s="65" t="str">
        <f t="shared" si="154"/>
        <v/>
      </c>
      <c r="G931" s="68" t="str">
        <f t="shared" si="155"/>
        <v/>
      </c>
      <c r="H931" s="68" t="str">
        <f t="shared" si="156"/>
        <v/>
      </c>
      <c r="I931" s="68" t="str">
        <f t="shared" si="160"/>
        <v/>
      </c>
      <c r="M931" s="1">
        <v>894</v>
      </c>
      <c r="N931" s="1" t="str">
        <f>IF($T931=0,"",INDEX(GELIR_GIDER!$C$7:$C$3001,$T931))</f>
        <v/>
      </c>
      <c r="O931" s="1" t="str">
        <f>IF($N931="","",$C$36&amp;" – NAKİT YOK GELİR TAHAKKUKU – "&amp;INDEX(GELIR_GIDER!$F$7:$F$3001,$T931))</f>
        <v/>
      </c>
      <c r="P931" s="1" t="str">
        <f>IF($N931="","","NAKİT YOK TAHAKKUK")</f>
        <v/>
      </c>
      <c r="Q931" s="1">
        <f>IF($N931="",0,INDEX(GELIR_GIDER!$G$7:$G$3001,$T931))</f>
        <v>0</v>
      </c>
      <c r="R931" s="1">
        <f>0</f>
        <v>0</v>
      </c>
      <c r="S931" s="1">
        <f>IF($N931="",1E+10,$N931*100000+$M931)</f>
        <v>0</v>
      </c>
      <c r="T931" s="1" t="str">
        <f>IFERROR(MATCH($C$36&amp;"|38",GELIR_GIDER!$AF$7:$AF$3001,0),0)</f>
        <v/>
      </c>
      <c r="V931" s="1" t="str">
        <f t="shared" si="158"/>
        <v/>
      </c>
      <c r="W931" s="1" t="str">
        <f t="shared" si="159"/>
        <v/>
      </c>
    </row>
    <row r="932" spans="2:23" ht="14.25" customHeight="1" x14ac:dyDescent="0.3">
      <c r="B932" s="65" t="str">
        <f t="shared" si="151"/>
        <v/>
      </c>
      <c r="C932" s="70" t="str">
        <f t="shared" si="152"/>
        <v/>
      </c>
      <c r="D932" s="74" t="str">
        <f t="shared" si="153"/>
        <v/>
      </c>
      <c r="F932" s="65" t="str">
        <f t="shared" si="154"/>
        <v/>
      </c>
      <c r="G932" s="68" t="str">
        <f t="shared" si="155"/>
        <v/>
      </c>
      <c r="H932" s="68" t="str">
        <f t="shared" si="156"/>
        <v/>
      </c>
      <c r="I932" s="68" t="str">
        <f t="shared" si="160"/>
        <v/>
      </c>
      <c r="M932" s="1">
        <v>895</v>
      </c>
      <c r="N932" s="1" t="str">
        <f>IF($T932=0,"",INDEX(GELIR_GIDER!$C$7:$C$3001,$T932))</f>
        <v/>
      </c>
      <c r="O932" s="1" t="str">
        <f>IF($N932="","",$C$36&amp;" – NAKİT YOK GELİR TAHAKKUKU – "&amp;INDEX(GELIR_GIDER!$F$7:$F$3001,$T932))</f>
        <v/>
      </c>
      <c r="P932" s="1" t="str">
        <f>IF($N932="","","NAKİT YOK TAHAKKUK")</f>
        <v/>
      </c>
      <c r="Q932" s="1">
        <f>IF($N932="",0,INDEX(GELIR_GIDER!$G$7:$G$3001,$T932))</f>
        <v>0</v>
      </c>
      <c r="R932" s="1">
        <f>0</f>
        <v>0</v>
      </c>
      <c r="S932" s="1">
        <f>IF($N932="",1E+10,$N932*100000+$M932)</f>
        <v>0</v>
      </c>
      <c r="T932" s="1" t="str">
        <f>IFERROR(MATCH($C$36&amp;"|39",GELIR_GIDER!$AF$7:$AF$3001,0),0)</f>
        <v/>
      </c>
      <c r="V932" s="1" t="str">
        <f t="shared" si="158"/>
        <v/>
      </c>
      <c r="W932" s="1" t="str">
        <f t="shared" si="159"/>
        <v/>
      </c>
    </row>
    <row r="933" spans="2:23" ht="14.25" customHeight="1" x14ac:dyDescent="0.3">
      <c r="B933" s="65" t="str">
        <f t="shared" si="151"/>
        <v/>
      </c>
      <c r="C933" s="70" t="str">
        <f t="shared" si="152"/>
        <v/>
      </c>
      <c r="D933" s="74" t="str">
        <f t="shared" si="153"/>
        <v/>
      </c>
      <c r="F933" s="65" t="str">
        <f t="shared" si="154"/>
        <v/>
      </c>
      <c r="G933" s="68" t="str">
        <f t="shared" si="155"/>
        <v/>
      </c>
      <c r="H933" s="68" t="str">
        <f t="shared" si="156"/>
        <v/>
      </c>
      <c r="I933" s="68" t="str">
        <f t="shared" si="160"/>
        <v/>
      </c>
      <c r="M933" s="1">
        <v>896</v>
      </c>
      <c r="N933" s="1" t="str">
        <f>IF($T933=0,"",INDEX(GELIR_GIDER!$C$7:$C$3001,$T933))</f>
        <v/>
      </c>
      <c r="O933" s="1" t="str">
        <f>IF($N933="","",$C$36&amp;" – NAKİT YOK GELİR TAHAKKUKU – "&amp;INDEX(GELIR_GIDER!$F$7:$F$3001,$T933))</f>
        <v/>
      </c>
      <c r="P933" s="1" t="str">
        <f>IF($N933="","","NAKİT YOK TAHAKKUK")</f>
        <v/>
      </c>
      <c r="Q933" s="1">
        <f>IF($N933="",0,INDEX(GELIR_GIDER!$G$7:$G$3001,$T933))</f>
        <v>0</v>
      </c>
      <c r="R933" s="1">
        <f>0</f>
        <v>0</v>
      </c>
      <c r="S933" s="1">
        <f>IF($N933="",1E+10,$N933*100000+$M933)</f>
        <v>0</v>
      </c>
      <c r="T933" s="1" t="str">
        <f>IFERROR(MATCH($C$36&amp;"|40",GELIR_GIDER!$AF$7:$AF$3001,0),0)</f>
        <v/>
      </c>
      <c r="V933" s="1" t="str">
        <f t="shared" si="158"/>
        <v/>
      </c>
      <c r="W933" s="1" t="str">
        <f t="shared" si="159"/>
        <v/>
      </c>
    </row>
    <row r="934" spans="2:23" ht="14.25" customHeight="1" x14ac:dyDescent="0.3">
      <c r="B934" s="65" t="str">
        <f t="shared" ref="B934:B953" si="161">IF($C934="","",ROW()-37)</f>
        <v/>
      </c>
      <c r="C934" s="70" t="str">
        <f t="shared" ref="C934:C953" si="162">IF($W934="","",IF(INDEX($N$38:$N$953,$W934)="","",INDEX($N$38:$N$953,$W934)))</f>
        <v/>
      </c>
      <c r="D934" s="74" t="str">
        <f t="shared" ref="D934:D953" si="163">IF($C934="","",INDEX($O$38:$O$953,$W934))</f>
        <v/>
      </c>
      <c r="F934" s="65" t="str">
        <f t="shared" ref="F934:F953" si="164">IF($C934="","",INDEX($P$38:$P$953,$W934))</f>
        <v/>
      </c>
      <c r="G934" s="68" t="str">
        <f t="shared" ref="G934:G953" si="165">IF($C934="","",INDEX($Q$38:$Q$953,$W934))</f>
        <v/>
      </c>
      <c r="H934" s="68" t="str">
        <f t="shared" ref="H934:H953" si="166">IF($C934="","",INDEX($R$38:$R$953,$W934))</f>
        <v/>
      </c>
      <c r="I934" s="68" t="str">
        <f t="shared" si="160"/>
        <v/>
      </c>
      <c r="M934" s="1">
        <v>897</v>
      </c>
      <c r="N934" s="1" t="str">
        <f>IF($T934=0,"",INDEX(GELIR_GIDER!$C$7:$C$3001,$T934))</f>
        <v/>
      </c>
      <c r="O934" s="1" t="str">
        <f>IF($N934="","",$C$36&amp;" – NAKİT YOK GELİR TAHAKKUKU – "&amp;INDEX(GELIR_GIDER!$F$7:$F$3001,$T934))</f>
        <v/>
      </c>
      <c r="P934" s="1" t="str">
        <f>IF($N934="","","NAKİT YOK TAHAKKUK")</f>
        <v/>
      </c>
      <c r="Q934" s="1">
        <f>IF($N934="",0,INDEX(GELIR_GIDER!$G$7:$G$3001,$T934))</f>
        <v>0</v>
      </c>
      <c r="R934" s="1">
        <f>0</f>
        <v>0</v>
      </c>
      <c r="S934" s="1">
        <f>IF($N934="",1E+10,$N934*100000+$M934)</f>
        <v>0</v>
      </c>
      <c r="T934" s="1" t="str">
        <f>IFERROR(MATCH($C$36&amp;"|41",GELIR_GIDER!$AF$7:$AF$3001,0),0)</f>
        <v/>
      </c>
      <c r="V934" s="1" t="str">
        <f t="shared" ref="V934:V953" si="167">IFERROR(SMALL($S$38:$S$953,ROW()-37),"")</f>
        <v/>
      </c>
      <c r="W934" s="1" t="str">
        <f t="shared" ref="W934:W953" si="168">IFERROR(MATCH($V934,$S$38:$S$953,0),"")</f>
        <v/>
      </c>
    </row>
    <row r="935" spans="2:23" ht="14.25" customHeight="1" x14ac:dyDescent="0.3">
      <c r="B935" s="65" t="str">
        <f t="shared" si="161"/>
        <v/>
      </c>
      <c r="C935" s="70" t="str">
        <f t="shared" si="162"/>
        <v/>
      </c>
      <c r="D935" s="74" t="str">
        <f t="shared" si="163"/>
        <v/>
      </c>
      <c r="F935" s="65" t="str">
        <f t="shared" si="164"/>
        <v/>
      </c>
      <c r="G935" s="68" t="str">
        <f t="shared" si="165"/>
        <v/>
      </c>
      <c r="H935" s="68" t="str">
        <f t="shared" si="166"/>
        <v/>
      </c>
      <c r="I935" s="68" t="str">
        <f t="shared" ref="I935:I953" si="169">IF($C935="","",N($I934)+$G935-$H935)</f>
        <v/>
      </c>
      <c r="M935" s="1">
        <v>898</v>
      </c>
      <c r="N935" s="1" t="str">
        <f>IF($T935=0,"",INDEX(GELIR_GIDER!$C$7:$C$3001,$T935))</f>
        <v/>
      </c>
      <c r="O935" s="1" t="str">
        <f>IF($N935="","",$C$36&amp;" – NAKİT YOK GELİR TAHAKKUKU – "&amp;INDEX(GELIR_GIDER!$F$7:$F$3001,$T935))</f>
        <v/>
      </c>
      <c r="P935" s="1" t="str">
        <f>IF($N935="","","NAKİT YOK TAHAKKUK")</f>
        <v/>
      </c>
      <c r="Q935" s="1">
        <f>IF($N935="",0,INDEX(GELIR_GIDER!$G$7:$G$3001,$T935))</f>
        <v>0</v>
      </c>
      <c r="R935" s="1">
        <f>0</f>
        <v>0</v>
      </c>
      <c r="S935" s="1">
        <f>IF($N935="",1E+10,$N935*100000+$M935)</f>
        <v>0</v>
      </c>
      <c r="T935" s="1" t="str">
        <f>IFERROR(MATCH($C$36&amp;"|42",GELIR_GIDER!$AF$7:$AF$3001,0),0)</f>
        <v/>
      </c>
      <c r="V935" s="1" t="str">
        <f t="shared" si="167"/>
        <v/>
      </c>
      <c r="W935" s="1" t="str">
        <f t="shared" si="168"/>
        <v/>
      </c>
    </row>
    <row r="936" spans="2:23" ht="14.25" customHeight="1" x14ac:dyDescent="0.3">
      <c r="B936" s="65" t="str">
        <f t="shared" si="161"/>
        <v/>
      </c>
      <c r="C936" s="70" t="str">
        <f t="shared" si="162"/>
        <v/>
      </c>
      <c r="D936" s="74" t="str">
        <f t="shared" si="163"/>
        <v/>
      </c>
      <c r="F936" s="65" t="str">
        <f t="shared" si="164"/>
        <v/>
      </c>
      <c r="G936" s="68" t="str">
        <f t="shared" si="165"/>
        <v/>
      </c>
      <c r="H936" s="68" t="str">
        <f t="shared" si="166"/>
        <v/>
      </c>
      <c r="I936" s="68" t="str">
        <f t="shared" si="169"/>
        <v/>
      </c>
      <c r="M936" s="1">
        <v>899</v>
      </c>
      <c r="N936" s="1" t="str">
        <f>IF($T936=0,"",INDEX(GELIR_GIDER!$C$7:$C$3001,$T936))</f>
        <v/>
      </c>
      <c r="O936" s="1" t="str">
        <f>IF($N936="","",$C$36&amp;" – NAKİT YOK GELİR TAHAKKUKU – "&amp;INDEX(GELIR_GIDER!$F$7:$F$3001,$T936))</f>
        <v/>
      </c>
      <c r="P936" s="1" t="str">
        <f>IF($N936="","","NAKİT YOK TAHAKKUK")</f>
        <v/>
      </c>
      <c r="Q936" s="1">
        <f>IF($N936="",0,INDEX(GELIR_GIDER!$G$7:$G$3001,$T936))</f>
        <v>0</v>
      </c>
      <c r="R936" s="1">
        <f>0</f>
        <v>0</v>
      </c>
      <c r="S936" s="1">
        <f>IF($N936="",1E+10,$N936*100000+$M936)</f>
        <v>0</v>
      </c>
      <c r="T936" s="1" t="str">
        <f>IFERROR(MATCH($C$36&amp;"|43",GELIR_GIDER!$AF$7:$AF$3001,0),0)</f>
        <v/>
      </c>
      <c r="V936" s="1" t="str">
        <f t="shared" si="167"/>
        <v/>
      </c>
      <c r="W936" s="1" t="str">
        <f t="shared" si="168"/>
        <v/>
      </c>
    </row>
    <row r="937" spans="2:23" ht="14.25" customHeight="1" x14ac:dyDescent="0.3">
      <c r="B937" s="65" t="str">
        <f t="shared" si="161"/>
        <v/>
      </c>
      <c r="C937" s="70" t="str">
        <f t="shared" si="162"/>
        <v/>
      </c>
      <c r="D937" s="74" t="str">
        <f t="shared" si="163"/>
        <v/>
      </c>
      <c r="F937" s="65" t="str">
        <f t="shared" si="164"/>
        <v/>
      </c>
      <c r="G937" s="68" t="str">
        <f t="shared" si="165"/>
        <v/>
      </c>
      <c r="H937" s="68" t="str">
        <f t="shared" si="166"/>
        <v/>
      </c>
      <c r="I937" s="68" t="str">
        <f t="shared" si="169"/>
        <v/>
      </c>
      <c r="M937" s="1">
        <v>900</v>
      </c>
      <c r="N937" s="1" t="str">
        <f>IF($T937=0,"",INDEX(GELIR_GIDER!$C$7:$C$3001,$T937))</f>
        <v/>
      </c>
      <c r="O937" s="1" t="str">
        <f>IF($N937="","",$C$36&amp;" – NAKİT YOK GELİR TAHAKKUKU – "&amp;INDEX(GELIR_GIDER!$F$7:$F$3001,$T937))</f>
        <v/>
      </c>
      <c r="P937" s="1" t="str">
        <f>IF($N937="","","NAKİT YOK TAHAKKUK")</f>
        <v/>
      </c>
      <c r="Q937" s="1">
        <f>IF($N937="",0,INDEX(GELIR_GIDER!$G$7:$G$3001,$T937))</f>
        <v>0</v>
      </c>
      <c r="R937" s="1">
        <f>0</f>
        <v>0</v>
      </c>
      <c r="S937" s="1">
        <f>IF($N937="",1E+10,$N937*100000+$M937)</f>
        <v>0</v>
      </c>
      <c r="T937" s="1" t="str">
        <f>IFERROR(MATCH($C$36&amp;"|44",GELIR_GIDER!$AF$7:$AF$3001,0),0)</f>
        <v/>
      </c>
      <c r="V937" s="1" t="str">
        <f t="shared" si="167"/>
        <v/>
      </c>
      <c r="W937" s="1" t="str">
        <f t="shared" si="168"/>
        <v/>
      </c>
    </row>
    <row r="938" spans="2:23" ht="14.25" customHeight="1" x14ac:dyDescent="0.3">
      <c r="B938" s="65" t="str">
        <f t="shared" si="161"/>
        <v/>
      </c>
      <c r="C938" s="70" t="str">
        <f t="shared" si="162"/>
        <v/>
      </c>
      <c r="D938" s="74" t="str">
        <f t="shared" si="163"/>
        <v/>
      </c>
      <c r="F938" s="65" t="str">
        <f t="shared" si="164"/>
        <v/>
      </c>
      <c r="G938" s="68" t="str">
        <f t="shared" si="165"/>
        <v/>
      </c>
      <c r="H938" s="68" t="str">
        <f t="shared" si="166"/>
        <v/>
      </c>
      <c r="I938" s="68" t="str">
        <f t="shared" si="169"/>
        <v/>
      </c>
      <c r="M938" s="1">
        <v>901</v>
      </c>
      <c r="N938" s="1" t="str">
        <f>IF($T938=0,"",INDEX(GELIR_GIDER!$C$7:$C$3001,$T938))</f>
        <v/>
      </c>
      <c r="O938" s="1" t="str">
        <f>IF($N938="","",$C$36&amp;" – NAKİT YOK GELİR TAHAKKUKU – "&amp;INDEX(GELIR_GIDER!$F$7:$F$3001,$T938))</f>
        <v/>
      </c>
      <c r="P938" s="1" t="str">
        <f>IF($N938="","","NAKİT YOK TAHAKKUK")</f>
        <v/>
      </c>
      <c r="Q938" s="1">
        <f>IF($N938="",0,INDEX(GELIR_GIDER!$G$7:$G$3001,$T938))</f>
        <v>0</v>
      </c>
      <c r="R938" s="1">
        <f>0</f>
        <v>0</v>
      </c>
      <c r="S938" s="1">
        <f>IF($N938="",1E+10,$N938*100000+$M938)</f>
        <v>0</v>
      </c>
      <c r="T938" s="1" t="str">
        <f>IFERROR(MATCH($C$36&amp;"|45",GELIR_GIDER!$AF$7:$AF$3001,0),0)</f>
        <v/>
      </c>
      <c r="V938" s="1" t="str">
        <f t="shared" si="167"/>
        <v/>
      </c>
      <c r="W938" s="1" t="str">
        <f t="shared" si="168"/>
        <v/>
      </c>
    </row>
    <row r="939" spans="2:23" ht="14.25" customHeight="1" x14ac:dyDescent="0.3">
      <c r="B939" s="65" t="str">
        <f t="shared" si="161"/>
        <v/>
      </c>
      <c r="C939" s="70" t="str">
        <f t="shared" si="162"/>
        <v/>
      </c>
      <c r="D939" s="74" t="str">
        <f t="shared" si="163"/>
        <v/>
      </c>
      <c r="F939" s="65" t="str">
        <f t="shared" si="164"/>
        <v/>
      </c>
      <c r="G939" s="68" t="str">
        <f t="shared" si="165"/>
        <v/>
      </c>
      <c r="H939" s="68" t="str">
        <f t="shared" si="166"/>
        <v/>
      </c>
      <c r="I939" s="68" t="str">
        <f t="shared" si="169"/>
        <v/>
      </c>
      <c r="M939" s="1">
        <v>902</v>
      </c>
      <c r="N939" s="1" t="str">
        <f>IF($T939=0,"",INDEX(GELIR_GIDER!$C$7:$C$3001,$T939))</f>
        <v/>
      </c>
      <c r="O939" s="1" t="str">
        <f>IF($N939="","",$C$36&amp;" – NAKİT YOK GELİR TAHAKKUKU – "&amp;INDEX(GELIR_GIDER!$F$7:$F$3001,$T939))</f>
        <v/>
      </c>
      <c r="P939" s="1" t="str">
        <f>IF($N939="","","NAKİT YOK TAHAKKUK")</f>
        <v/>
      </c>
      <c r="Q939" s="1">
        <f>IF($N939="",0,INDEX(GELIR_GIDER!$G$7:$G$3001,$T939))</f>
        <v>0</v>
      </c>
      <c r="R939" s="1">
        <f>0</f>
        <v>0</v>
      </c>
      <c r="S939" s="1">
        <f>IF($N939="",1E+10,$N939*100000+$M939)</f>
        <v>0</v>
      </c>
      <c r="T939" s="1" t="str">
        <f>IFERROR(MATCH($C$36&amp;"|46",GELIR_GIDER!$AF$7:$AF$3001,0),0)</f>
        <v/>
      </c>
      <c r="V939" s="1" t="str">
        <f t="shared" si="167"/>
        <v/>
      </c>
      <c r="W939" s="1" t="str">
        <f t="shared" si="168"/>
        <v/>
      </c>
    </row>
    <row r="940" spans="2:23" ht="14.25" customHeight="1" x14ac:dyDescent="0.3">
      <c r="B940" s="65" t="str">
        <f t="shared" si="161"/>
        <v/>
      </c>
      <c r="C940" s="70" t="str">
        <f t="shared" si="162"/>
        <v/>
      </c>
      <c r="D940" s="74" t="str">
        <f t="shared" si="163"/>
        <v/>
      </c>
      <c r="F940" s="65" t="str">
        <f t="shared" si="164"/>
        <v/>
      </c>
      <c r="G940" s="68" t="str">
        <f t="shared" si="165"/>
        <v/>
      </c>
      <c r="H940" s="68" t="str">
        <f t="shared" si="166"/>
        <v/>
      </c>
      <c r="I940" s="68" t="str">
        <f t="shared" si="169"/>
        <v/>
      </c>
      <c r="M940" s="1">
        <v>903</v>
      </c>
      <c r="N940" s="1" t="str">
        <f>IF($T940=0,"",INDEX(GELIR_GIDER!$C$7:$C$3001,$T940))</f>
        <v/>
      </c>
      <c r="O940" s="1" t="str">
        <f>IF($N940="","",$C$36&amp;" – NAKİT YOK GELİR TAHAKKUKU – "&amp;INDEX(GELIR_GIDER!$F$7:$F$3001,$T940))</f>
        <v/>
      </c>
      <c r="P940" s="1" t="str">
        <f>IF($N940="","","NAKİT YOK TAHAKKUK")</f>
        <v/>
      </c>
      <c r="Q940" s="1">
        <f>IF($N940="",0,INDEX(GELIR_GIDER!$G$7:$G$3001,$T940))</f>
        <v>0</v>
      </c>
      <c r="R940" s="1">
        <f>0</f>
        <v>0</v>
      </c>
      <c r="S940" s="1">
        <f>IF($N940="",1E+10,$N940*100000+$M940)</f>
        <v>0</v>
      </c>
      <c r="T940" s="1" t="str">
        <f>IFERROR(MATCH($C$36&amp;"|47",GELIR_GIDER!$AF$7:$AF$3001,0),0)</f>
        <v/>
      </c>
      <c r="V940" s="1" t="str">
        <f t="shared" si="167"/>
        <v/>
      </c>
      <c r="W940" s="1" t="str">
        <f t="shared" si="168"/>
        <v/>
      </c>
    </row>
    <row r="941" spans="2:23" ht="14.25" customHeight="1" x14ac:dyDescent="0.3">
      <c r="B941" s="65" t="str">
        <f t="shared" si="161"/>
        <v/>
      </c>
      <c r="C941" s="70" t="str">
        <f t="shared" si="162"/>
        <v/>
      </c>
      <c r="D941" s="74" t="str">
        <f t="shared" si="163"/>
        <v/>
      </c>
      <c r="F941" s="65" t="str">
        <f t="shared" si="164"/>
        <v/>
      </c>
      <c r="G941" s="68" t="str">
        <f t="shared" si="165"/>
        <v/>
      </c>
      <c r="H941" s="68" t="str">
        <f t="shared" si="166"/>
        <v/>
      </c>
      <c r="I941" s="68" t="str">
        <f t="shared" si="169"/>
        <v/>
      </c>
      <c r="M941" s="1">
        <v>904</v>
      </c>
      <c r="N941" s="1" t="str">
        <f>IF($T941=0,"",INDEX(GELIR_GIDER!$C$7:$C$3001,$T941))</f>
        <v/>
      </c>
      <c r="O941" s="1" t="str">
        <f>IF($N941="","",$C$36&amp;" – NAKİT YOK GELİR TAHAKKUKU – "&amp;INDEX(GELIR_GIDER!$F$7:$F$3001,$T941))</f>
        <v/>
      </c>
      <c r="P941" s="1" t="str">
        <f>IF($N941="","","NAKİT YOK TAHAKKUK")</f>
        <v/>
      </c>
      <c r="Q941" s="1">
        <f>IF($N941="",0,INDEX(GELIR_GIDER!$G$7:$G$3001,$T941))</f>
        <v>0</v>
      </c>
      <c r="R941" s="1">
        <f>0</f>
        <v>0</v>
      </c>
      <c r="S941" s="1">
        <f>IF($N941="",1E+10,$N941*100000+$M941)</f>
        <v>0</v>
      </c>
      <c r="T941" s="1" t="str">
        <f>IFERROR(MATCH($C$36&amp;"|48",GELIR_GIDER!$AF$7:$AF$3001,0),0)</f>
        <v/>
      </c>
      <c r="V941" s="1" t="str">
        <f t="shared" si="167"/>
        <v/>
      </c>
      <c r="W941" s="1" t="str">
        <f t="shared" si="168"/>
        <v/>
      </c>
    </row>
    <row r="942" spans="2:23" ht="14.25" customHeight="1" x14ac:dyDescent="0.3">
      <c r="B942" s="65" t="str">
        <f t="shared" si="161"/>
        <v/>
      </c>
      <c r="C942" s="70" t="str">
        <f t="shared" si="162"/>
        <v/>
      </c>
      <c r="D942" s="74" t="str">
        <f t="shared" si="163"/>
        <v/>
      </c>
      <c r="F942" s="65" t="str">
        <f t="shared" si="164"/>
        <v/>
      </c>
      <c r="G942" s="68" t="str">
        <f t="shared" si="165"/>
        <v/>
      </c>
      <c r="H942" s="68" t="str">
        <f t="shared" si="166"/>
        <v/>
      </c>
      <c r="I942" s="68" t="str">
        <f t="shared" si="169"/>
        <v/>
      </c>
      <c r="M942" s="1">
        <v>905</v>
      </c>
      <c r="N942" s="1" t="str">
        <f>IF($T942=0,"",INDEX(GELIR_GIDER!$C$7:$C$3001,$T942))</f>
        <v/>
      </c>
      <c r="O942" s="1" t="str">
        <f>IF($N942="","",$C$36&amp;" – NAKİT YOK GELİR TAHAKKUKU – "&amp;INDEX(GELIR_GIDER!$F$7:$F$3001,$T942))</f>
        <v/>
      </c>
      <c r="P942" s="1" t="str">
        <f>IF($N942="","","NAKİT YOK TAHAKKUK")</f>
        <v/>
      </c>
      <c r="Q942" s="1">
        <f>IF($N942="",0,INDEX(GELIR_GIDER!$G$7:$G$3001,$T942))</f>
        <v>0</v>
      </c>
      <c r="R942" s="1">
        <f>0</f>
        <v>0</v>
      </c>
      <c r="S942" s="1">
        <f>IF($N942="",1E+10,$N942*100000+$M942)</f>
        <v>0</v>
      </c>
      <c r="T942" s="1" t="str">
        <f>IFERROR(MATCH($C$36&amp;"|49",GELIR_GIDER!$AF$7:$AF$3001,0),0)</f>
        <v/>
      </c>
      <c r="V942" s="1" t="str">
        <f t="shared" si="167"/>
        <v/>
      </c>
      <c r="W942" s="1" t="str">
        <f t="shared" si="168"/>
        <v/>
      </c>
    </row>
    <row r="943" spans="2:23" ht="14.25" customHeight="1" x14ac:dyDescent="0.3">
      <c r="B943" s="65" t="str">
        <f t="shared" si="161"/>
        <v/>
      </c>
      <c r="C943" s="70" t="str">
        <f t="shared" si="162"/>
        <v/>
      </c>
      <c r="D943" s="74" t="str">
        <f t="shared" si="163"/>
        <v/>
      </c>
      <c r="F943" s="65" t="str">
        <f t="shared" si="164"/>
        <v/>
      </c>
      <c r="G943" s="68" t="str">
        <f t="shared" si="165"/>
        <v/>
      </c>
      <c r="H943" s="68" t="str">
        <f t="shared" si="166"/>
        <v/>
      </c>
      <c r="I943" s="68" t="str">
        <f t="shared" si="169"/>
        <v/>
      </c>
      <c r="M943" s="1">
        <v>906</v>
      </c>
      <c r="N943" s="1" t="str">
        <f>IF($T943=0,"",INDEX(GELIR_GIDER!$C$7:$C$3001,$T943))</f>
        <v/>
      </c>
      <c r="O943" s="1" t="str">
        <f>IF($N943="","",$C$36&amp;" – NAKİT YOK GELİR TAHAKKUKU – "&amp;INDEX(GELIR_GIDER!$F$7:$F$3001,$T943))</f>
        <v/>
      </c>
      <c r="P943" s="1" t="str">
        <f>IF($N943="","","NAKİT YOK TAHAKKUK")</f>
        <v/>
      </c>
      <c r="Q943" s="1">
        <f>IF($N943="",0,INDEX(GELIR_GIDER!$G$7:$G$3001,$T943))</f>
        <v>0</v>
      </c>
      <c r="R943" s="1">
        <f>0</f>
        <v>0</v>
      </c>
      <c r="S943" s="1">
        <f>IF($N943="",1E+10,$N943*100000+$M943)</f>
        <v>0</v>
      </c>
      <c r="T943" s="1" t="str">
        <f>IFERROR(MATCH($C$36&amp;"|50",GELIR_GIDER!$AF$7:$AF$3001,0),0)</f>
        <v/>
      </c>
      <c r="V943" s="1" t="str">
        <f t="shared" si="167"/>
        <v/>
      </c>
      <c r="W943" s="1" t="str">
        <f t="shared" si="168"/>
        <v/>
      </c>
    </row>
    <row r="944" spans="2:23" ht="14.25" customHeight="1" x14ac:dyDescent="0.3">
      <c r="B944" s="65" t="str">
        <f t="shared" si="161"/>
        <v/>
      </c>
      <c r="C944" s="70" t="str">
        <f t="shared" si="162"/>
        <v/>
      </c>
      <c r="D944" s="74" t="str">
        <f t="shared" si="163"/>
        <v/>
      </c>
      <c r="F944" s="65" t="str">
        <f t="shared" si="164"/>
        <v/>
      </c>
      <c r="G944" s="68" t="str">
        <f t="shared" si="165"/>
        <v/>
      </c>
      <c r="H944" s="68" t="str">
        <f t="shared" si="166"/>
        <v/>
      </c>
      <c r="I944" s="68" t="str">
        <f t="shared" si="169"/>
        <v/>
      </c>
      <c r="M944" s="1">
        <v>907</v>
      </c>
      <c r="N944" s="1" t="str">
        <f>IF($T944=0,"",INDEX(GELIR_GIDER!$C$7:$C$3001,$T944))</f>
        <v/>
      </c>
      <c r="O944" s="1" t="str">
        <f>IF($N944="","",$C$36&amp;" – NAKİT YOK GELİR TAHAKKUKU – "&amp;INDEX(GELIR_GIDER!$F$7:$F$3001,$T944))</f>
        <v/>
      </c>
      <c r="P944" s="1" t="str">
        <f>IF($N944="","","NAKİT YOK TAHAKKUK")</f>
        <v/>
      </c>
      <c r="Q944" s="1">
        <f>IF($N944="",0,INDEX(GELIR_GIDER!$G$7:$G$3001,$T944))</f>
        <v>0</v>
      </c>
      <c r="R944" s="1">
        <f>0</f>
        <v>0</v>
      </c>
      <c r="S944" s="1">
        <f>IF($N944="",1E+10,$N944*100000+$M944)</f>
        <v>0</v>
      </c>
      <c r="T944" s="1" t="str">
        <f>IFERROR(MATCH($C$36&amp;"|51",GELIR_GIDER!$AF$7:$AF$3001,0),0)</f>
        <v/>
      </c>
      <c r="V944" s="1" t="str">
        <f t="shared" si="167"/>
        <v/>
      </c>
      <c r="W944" s="1" t="str">
        <f t="shared" si="168"/>
        <v/>
      </c>
    </row>
    <row r="945" spans="2:23" ht="14.25" customHeight="1" x14ac:dyDescent="0.3">
      <c r="B945" s="65" t="str">
        <f t="shared" si="161"/>
        <v/>
      </c>
      <c r="C945" s="70" t="str">
        <f t="shared" si="162"/>
        <v/>
      </c>
      <c r="D945" s="74" t="str">
        <f t="shared" si="163"/>
        <v/>
      </c>
      <c r="F945" s="65" t="str">
        <f t="shared" si="164"/>
        <v/>
      </c>
      <c r="G945" s="68" t="str">
        <f t="shared" si="165"/>
        <v/>
      </c>
      <c r="H945" s="68" t="str">
        <f t="shared" si="166"/>
        <v/>
      </c>
      <c r="I945" s="68" t="str">
        <f t="shared" si="169"/>
        <v/>
      </c>
      <c r="M945" s="1">
        <v>908</v>
      </c>
      <c r="N945" s="1" t="str">
        <f>IF($T945=0,"",INDEX(GELIR_GIDER!$C$7:$C$3001,$T945))</f>
        <v/>
      </c>
      <c r="O945" s="1" t="str">
        <f>IF($N945="","",$C$36&amp;" – NAKİT YOK GELİR TAHAKKUKU – "&amp;INDEX(GELIR_GIDER!$F$7:$F$3001,$T945))</f>
        <v/>
      </c>
      <c r="P945" s="1" t="str">
        <f>IF($N945="","","NAKİT YOK TAHAKKUK")</f>
        <v/>
      </c>
      <c r="Q945" s="1">
        <f>IF($N945="",0,INDEX(GELIR_GIDER!$G$7:$G$3001,$T945))</f>
        <v>0</v>
      </c>
      <c r="R945" s="1">
        <f>0</f>
        <v>0</v>
      </c>
      <c r="S945" s="1">
        <f>IF($N945="",1E+10,$N945*100000+$M945)</f>
        <v>0</v>
      </c>
      <c r="T945" s="1" t="str">
        <f>IFERROR(MATCH($C$36&amp;"|52",GELIR_GIDER!$AF$7:$AF$3001,0),0)</f>
        <v/>
      </c>
      <c r="V945" s="1" t="str">
        <f t="shared" si="167"/>
        <v/>
      </c>
      <c r="W945" s="1" t="str">
        <f t="shared" si="168"/>
        <v/>
      </c>
    </row>
    <row r="946" spans="2:23" ht="14.25" customHeight="1" x14ac:dyDescent="0.3">
      <c r="B946" s="65" t="str">
        <f t="shared" si="161"/>
        <v/>
      </c>
      <c r="C946" s="70" t="str">
        <f t="shared" si="162"/>
        <v/>
      </c>
      <c r="D946" s="74" t="str">
        <f t="shared" si="163"/>
        <v/>
      </c>
      <c r="F946" s="65" t="str">
        <f t="shared" si="164"/>
        <v/>
      </c>
      <c r="G946" s="68" t="str">
        <f t="shared" si="165"/>
        <v/>
      </c>
      <c r="H946" s="68" t="str">
        <f t="shared" si="166"/>
        <v/>
      </c>
      <c r="I946" s="68" t="str">
        <f t="shared" si="169"/>
        <v/>
      </c>
      <c r="M946" s="1">
        <v>909</v>
      </c>
      <c r="N946" s="1" t="str">
        <f>IF($T946=0,"",INDEX(GELIR_GIDER!$C$7:$C$3001,$T946))</f>
        <v/>
      </c>
      <c r="O946" s="1" t="str">
        <f>IF($N946="","",$C$36&amp;" – NAKİT YOK GELİR TAHAKKUKU – "&amp;INDEX(GELIR_GIDER!$F$7:$F$3001,$T946))</f>
        <v/>
      </c>
      <c r="P946" s="1" t="str">
        <f>IF($N946="","","NAKİT YOK TAHAKKUK")</f>
        <v/>
      </c>
      <c r="Q946" s="1">
        <f>IF($N946="",0,INDEX(GELIR_GIDER!$G$7:$G$3001,$T946))</f>
        <v>0</v>
      </c>
      <c r="R946" s="1">
        <f>0</f>
        <v>0</v>
      </c>
      <c r="S946" s="1">
        <f>IF($N946="",1E+10,$N946*100000+$M946)</f>
        <v>0</v>
      </c>
      <c r="T946" s="1" t="str">
        <f>IFERROR(MATCH($C$36&amp;"|53",GELIR_GIDER!$AF$7:$AF$3001,0),0)</f>
        <v/>
      </c>
      <c r="V946" s="1" t="str">
        <f t="shared" si="167"/>
        <v/>
      </c>
      <c r="W946" s="1" t="str">
        <f t="shared" si="168"/>
        <v/>
      </c>
    </row>
    <row r="947" spans="2:23" ht="14.25" customHeight="1" x14ac:dyDescent="0.3">
      <c r="B947" s="65" t="str">
        <f t="shared" si="161"/>
        <v/>
      </c>
      <c r="C947" s="70" t="str">
        <f t="shared" si="162"/>
        <v/>
      </c>
      <c r="D947" s="74" t="str">
        <f t="shared" si="163"/>
        <v/>
      </c>
      <c r="F947" s="65" t="str">
        <f t="shared" si="164"/>
        <v/>
      </c>
      <c r="G947" s="68" t="str">
        <f t="shared" si="165"/>
        <v/>
      </c>
      <c r="H947" s="68" t="str">
        <f t="shared" si="166"/>
        <v/>
      </c>
      <c r="I947" s="68" t="str">
        <f t="shared" si="169"/>
        <v/>
      </c>
      <c r="M947" s="1">
        <v>910</v>
      </c>
      <c r="N947" s="1" t="str">
        <f>IF($T947=0,"",INDEX(GELIR_GIDER!$C$7:$C$3001,$T947))</f>
        <v/>
      </c>
      <c r="O947" s="1" t="str">
        <f>IF($N947="","",$C$36&amp;" – NAKİT YOK GELİR TAHAKKUKU – "&amp;INDEX(GELIR_GIDER!$F$7:$F$3001,$T947))</f>
        <v/>
      </c>
      <c r="P947" s="1" t="str">
        <f>IF($N947="","","NAKİT YOK TAHAKKUK")</f>
        <v/>
      </c>
      <c r="Q947" s="1">
        <f>IF($N947="",0,INDEX(GELIR_GIDER!$G$7:$G$3001,$T947))</f>
        <v>0</v>
      </c>
      <c r="R947" s="1">
        <f>0</f>
        <v>0</v>
      </c>
      <c r="S947" s="1">
        <f>IF($N947="",1E+10,$N947*100000+$M947)</f>
        <v>0</v>
      </c>
      <c r="T947" s="1" t="str">
        <f>IFERROR(MATCH($C$36&amp;"|54",GELIR_GIDER!$AF$7:$AF$3001,0),0)</f>
        <v/>
      </c>
      <c r="V947" s="1" t="str">
        <f t="shared" si="167"/>
        <v/>
      </c>
      <c r="W947" s="1" t="str">
        <f t="shared" si="168"/>
        <v/>
      </c>
    </row>
    <row r="948" spans="2:23" ht="14.25" customHeight="1" x14ac:dyDescent="0.3">
      <c r="B948" s="65" t="str">
        <f t="shared" si="161"/>
        <v/>
      </c>
      <c r="C948" s="70" t="str">
        <f t="shared" si="162"/>
        <v/>
      </c>
      <c r="D948" s="74" t="str">
        <f t="shared" si="163"/>
        <v/>
      </c>
      <c r="F948" s="65" t="str">
        <f t="shared" si="164"/>
        <v/>
      </c>
      <c r="G948" s="68" t="str">
        <f t="shared" si="165"/>
        <v/>
      </c>
      <c r="H948" s="68" t="str">
        <f t="shared" si="166"/>
        <v/>
      </c>
      <c r="I948" s="68" t="str">
        <f t="shared" si="169"/>
        <v/>
      </c>
      <c r="M948" s="1">
        <v>911</v>
      </c>
      <c r="N948" s="1" t="str">
        <f>IF($T948=0,"",INDEX(GELIR_GIDER!$C$7:$C$3001,$T948))</f>
        <v/>
      </c>
      <c r="O948" s="1" t="str">
        <f>IF($N948="","",$C$36&amp;" – NAKİT YOK GELİR TAHAKKUKU – "&amp;INDEX(GELIR_GIDER!$F$7:$F$3001,$T948))</f>
        <v/>
      </c>
      <c r="P948" s="1" t="str">
        <f>IF($N948="","","NAKİT YOK TAHAKKUK")</f>
        <v/>
      </c>
      <c r="Q948" s="1">
        <f>IF($N948="",0,INDEX(GELIR_GIDER!$G$7:$G$3001,$T948))</f>
        <v>0</v>
      </c>
      <c r="R948" s="1">
        <f>0</f>
        <v>0</v>
      </c>
      <c r="S948" s="1">
        <f>IF($N948="",1E+10,$N948*100000+$M948)</f>
        <v>0</v>
      </c>
      <c r="T948" s="1" t="str">
        <f>IFERROR(MATCH($C$36&amp;"|55",GELIR_GIDER!$AF$7:$AF$3001,0),0)</f>
        <v/>
      </c>
      <c r="V948" s="1" t="str">
        <f t="shared" si="167"/>
        <v/>
      </c>
      <c r="W948" s="1" t="str">
        <f t="shared" si="168"/>
        <v/>
      </c>
    </row>
    <row r="949" spans="2:23" ht="14.25" customHeight="1" x14ac:dyDescent="0.3">
      <c r="B949" s="65" t="str">
        <f t="shared" si="161"/>
        <v/>
      </c>
      <c r="C949" s="70" t="str">
        <f t="shared" si="162"/>
        <v/>
      </c>
      <c r="D949" s="74" t="str">
        <f t="shared" si="163"/>
        <v/>
      </c>
      <c r="F949" s="65" t="str">
        <f t="shared" si="164"/>
        <v/>
      </c>
      <c r="G949" s="68" t="str">
        <f t="shared" si="165"/>
        <v/>
      </c>
      <c r="H949" s="68" t="str">
        <f t="shared" si="166"/>
        <v/>
      </c>
      <c r="I949" s="68" t="str">
        <f t="shared" si="169"/>
        <v/>
      </c>
      <c r="M949" s="1">
        <v>912</v>
      </c>
      <c r="N949" s="1" t="str">
        <f>IF($T949=0,"",INDEX(GELIR_GIDER!$C$7:$C$3001,$T949))</f>
        <v/>
      </c>
      <c r="O949" s="1" t="str">
        <f>IF($N949="","",$C$36&amp;" – NAKİT YOK GELİR TAHAKKUKU – "&amp;INDEX(GELIR_GIDER!$F$7:$F$3001,$T949))</f>
        <v/>
      </c>
      <c r="P949" s="1" t="str">
        <f>IF($N949="","","NAKİT YOK TAHAKKUK")</f>
        <v/>
      </c>
      <c r="Q949" s="1">
        <f>IF($N949="",0,INDEX(GELIR_GIDER!$G$7:$G$3001,$T949))</f>
        <v>0</v>
      </c>
      <c r="R949" s="1">
        <f>0</f>
        <v>0</v>
      </c>
      <c r="S949" s="1">
        <f>IF($N949="",1E+10,$N949*100000+$M949)</f>
        <v>0</v>
      </c>
      <c r="T949" s="1" t="str">
        <f>IFERROR(MATCH($C$36&amp;"|56",GELIR_GIDER!$AF$7:$AF$3001,0),0)</f>
        <v/>
      </c>
      <c r="V949" s="1" t="str">
        <f t="shared" si="167"/>
        <v/>
      </c>
      <c r="W949" s="1" t="str">
        <f t="shared" si="168"/>
        <v/>
      </c>
    </row>
    <row r="950" spans="2:23" ht="14.25" customHeight="1" x14ac:dyDescent="0.3">
      <c r="B950" s="65" t="str">
        <f t="shared" si="161"/>
        <v/>
      </c>
      <c r="C950" s="70" t="str">
        <f t="shared" si="162"/>
        <v/>
      </c>
      <c r="D950" s="74" t="str">
        <f t="shared" si="163"/>
        <v/>
      </c>
      <c r="F950" s="65" t="str">
        <f t="shared" si="164"/>
        <v/>
      </c>
      <c r="G950" s="68" t="str">
        <f t="shared" si="165"/>
        <v/>
      </c>
      <c r="H950" s="68" t="str">
        <f t="shared" si="166"/>
        <v/>
      </c>
      <c r="I950" s="68" t="str">
        <f t="shared" si="169"/>
        <v/>
      </c>
      <c r="M950" s="1">
        <v>913</v>
      </c>
      <c r="N950" s="1" t="str">
        <f>IF($T950=0,"",INDEX(GELIR_GIDER!$C$7:$C$3001,$T950))</f>
        <v/>
      </c>
      <c r="O950" s="1" t="str">
        <f>IF($N950="","",$C$36&amp;" – NAKİT YOK GELİR TAHAKKUKU – "&amp;INDEX(GELIR_GIDER!$F$7:$F$3001,$T950))</f>
        <v/>
      </c>
      <c r="P950" s="1" t="str">
        <f>IF($N950="","","NAKİT YOK TAHAKKUK")</f>
        <v/>
      </c>
      <c r="Q950" s="1">
        <f>IF($N950="",0,INDEX(GELIR_GIDER!$G$7:$G$3001,$T950))</f>
        <v>0</v>
      </c>
      <c r="R950" s="1">
        <f>0</f>
        <v>0</v>
      </c>
      <c r="S950" s="1">
        <f>IF($N950="",1E+10,$N950*100000+$M950)</f>
        <v>0</v>
      </c>
      <c r="T950" s="1" t="str">
        <f>IFERROR(MATCH($C$36&amp;"|57",GELIR_GIDER!$AF$7:$AF$3001,0),0)</f>
        <v/>
      </c>
      <c r="V950" s="1" t="str">
        <f t="shared" si="167"/>
        <v/>
      </c>
      <c r="W950" s="1" t="str">
        <f t="shared" si="168"/>
        <v/>
      </c>
    </row>
    <row r="951" spans="2:23" ht="14.25" customHeight="1" x14ac:dyDescent="0.3">
      <c r="B951" s="65" t="str">
        <f t="shared" si="161"/>
        <v/>
      </c>
      <c r="C951" s="70" t="str">
        <f t="shared" si="162"/>
        <v/>
      </c>
      <c r="D951" s="74" t="str">
        <f t="shared" si="163"/>
        <v/>
      </c>
      <c r="F951" s="65" t="str">
        <f t="shared" si="164"/>
        <v/>
      </c>
      <c r="G951" s="68" t="str">
        <f t="shared" si="165"/>
        <v/>
      </c>
      <c r="H951" s="68" t="str">
        <f t="shared" si="166"/>
        <v/>
      </c>
      <c r="I951" s="68" t="str">
        <f t="shared" si="169"/>
        <v/>
      </c>
      <c r="M951" s="1">
        <v>914</v>
      </c>
      <c r="N951" s="1" t="str">
        <f>IF($T951=0,"",INDEX(GELIR_GIDER!$C$7:$C$3001,$T951))</f>
        <v/>
      </c>
      <c r="O951" s="1" t="str">
        <f>IF($N951="","",$C$36&amp;" – NAKİT YOK GELİR TAHAKKUKU – "&amp;INDEX(GELIR_GIDER!$F$7:$F$3001,$T951))</f>
        <v/>
      </c>
      <c r="P951" s="1" t="str">
        <f>IF($N951="","","NAKİT YOK TAHAKKUK")</f>
        <v/>
      </c>
      <c r="Q951" s="1">
        <f>IF($N951="",0,INDEX(GELIR_GIDER!$G$7:$G$3001,$T951))</f>
        <v>0</v>
      </c>
      <c r="R951" s="1">
        <f>0</f>
        <v>0</v>
      </c>
      <c r="S951" s="1">
        <f>IF($N951="",1E+10,$N951*100000+$M951)</f>
        <v>0</v>
      </c>
      <c r="T951" s="1" t="str">
        <f>IFERROR(MATCH($C$36&amp;"|58",GELIR_GIDER!$AF$7:$AF$3001,0),0)</f>
        <v/>
      </c>
      <c r="V951" s="1" t="str">
        <f t="shared" si="167"/>
        <v/>
      </c>
      <c r="W951" s="1" t="str">
        <f t="shared" si="168"/>
        <v/>
      </c>
    </row>
    <row r="952" spans="2:23" ht="14.25" customHeight="1" x14ac:dyDescent="0.3">
      <c r="B952" s="65" t="str">
        <f t="shared" si="161"/>
        <v/>
      </c>
      <c r="C952" s="70" t="str">
        <f t="shared" si="162"/>
        <v/>
      </c>
      <c r="D952" s="74" t="str">
        <f t="shared" si="163"/>
        <v/>
      </c>
      <c r="F952" s="65" t="str">
        <f t="shared" si="164"/>
        <v/>
      </c>
      <c r="G952" s="68" t="str">
        <f t="shared" si="165"/>
        <v/>
      </c>
      <c r="H952" s="68" t="str">
        <f t="shared" si="166"/>
        <v/>
      </c>
      <c r="I952" s="68" t="str">
        <f t="shared" si="169"/>
        <v/>
      </c>
      <c r="M952" s="1">
        <v>915</v>
      </c>
      <c r="N952" s="1" t="str">
        <f>IF($T952=0,"",INDEX(GELIR_GIDER!$C$7:$C$3001,$T952))</f>
        <v/>
      </c>
      <c r="O952" s="1" t="str">
        <f>IF($N952="","",$C$36&amp;" – NAKİT YOK GELİR TAHAKKUKU – "&amp;INDEX(GELIR_GIDER!$F$7:$F$3001,$T952))</f>
        <v/>
      </c>
      <c r="P952" s="1" t="str">
        <f>IF($N952="","","NAKİT YOK TAHAKKUK")</f>
        <v/>
      </c>
      <c r="Q952" s="1">
        <f>IF($N952="",0,INDEX(GELIR_GIDER!$G$7:$G$3001,$T952))</f>
        <v>0</v>
      </c>
      <c r="R952" s="1">
        <f>0</f>
        <v>0</v>
      </c>
      <c r="S952" s="1">
        <f>IF($N952="",1E+10,$N952*100000+$M952)</f>
        <v>0</v>
      </c>
      <c r="T952" s="1" t="str">
        <f>IFERROR(MATCH($C$36&amp;"|59",GELIR_GIDER!$AF$7:$AF$3001,0),0)</f>
        <v/>
      </c>
      <c r="V952" s="1" t="str">
        <f t="shared" si="167"/>
        <v/>
      </c>
      <c r="W952" s="1" t="str">
        <f t="shared" si="168"/>
        <v/>
      </c>
    </row>
    <row r="953" spans="2:23" ht="14.25" customHeight="1" x14ac:dyDescent="0.3">
      <c r="B953" s="65" t="str">
        <f t="shared" si="161"/>
        <v/>
      </c>
      <c r="C953" s="70" t="str">
        <f t="shared" si="162"/>
        <v/>
      </c>
      <c r="D953" s="74" t="str">
        <f t="shared" si="163"/>
        <v/>
      </c>
      <c r="F953" s="65" t="str">
        <f t="shared" si="164"/>
        <v/>
      </c>
      <c r="G953" s="68" t="str">
        <f t="shared" si="165"/>
        <v/>
      </c>
      <c r="H953" s="68" t="str">
        <f t="shared" si="166"/>
        <v/>
      </c>
      <c r="I953" s="68" t="str">
        <f t="shared" si="169"/>
        <v/>
      </c>
      <c r="M953" s="1">
        <v>916</v>
      </c>
      <c r="N953" s="1" t="str">
        <f>IF($T953=0,"",INDEX(GELIR_GIDER!$C$7:$C$3001,$T953))</f>
        <v/>
      </c>
      <c r="O953" s="1" t="str">
        <f>IF($N953="","",$C$36&amp;" – NAKİT YOK GELİR TAHAKKUKU – "&amp;INDEX(GELIR_GIDER!$F$7:$F$3001,$T953))</f>
        <v/>
      </c>
      <c r="P953" s="1" t="str">
        <f>IF($N953="","","NAKİT YOK TAHAKKUK")</f>
        <v/>
      </c>
      <c r="Q953" s="1">
        <f>IF($N953="",0,INDEX(GELIR_GIDER!$G$7:$G$3001,$T953))</f>
        <v>0</v>
      </c>
      <c r="R953" s="1">
        <f>0</f>
        <v>0</v>
      </c>
      <c r="S953" s="1">
        <f>IF($N953="",1E+10,$N953*100000+$M953)</f>
        <v>0</v>
      </c>
      <c r="T953" s="1" t="str">
        <f>IFERROR(MATCH($C$36&amp;"|60",GELIR_GIDER!$AF$7:$AF$3001,0),0)</f>
        <v/>
      </c>
      <c r="V953" s="1" t="str">
        <f t="shared" si="167"/>
        <v/>
      </c>
      <c r="W953" s="1" t="str">
        <f t="shared" si="168"/>
        <v/>
      </c>
    </row>
  </sheetData>
  <sheetProtection formatCells="0" formatColumns="0" formatRows="0" sort="0" autoFilter="0"/>
  <autoFilter ref="B37:I37" xr:uid="{00000000-0001-0000-0700-000000000000}">
    <filterColumn colId="2" showButton="0"/>
  </autoFilter>
  <mergeCells count="161"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61:E61"/>
    <mergeCell ref="D141:E141"/>
    <mergeCell ref="D70:E70"/>
    <mergeCell ref="D135:E135"/>
    <mergeCell ref="D48:E48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D160:E160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143:E143"/>
    <mergeCell ref="D117:E117"/>
    <mergeCell ref="D92:E92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</mergeCells>
  <conditionalFormatting sqref="F38:F187">
    <cfRule type="expression" dxfId="49" priority="10">
      <formula>EXACT($F38,"HAK EDİŞ")</formula>
    </cfRule>
    <cfRule type="expression" dxfId="48" priority="11">
      <formula>EXACT($F38,"ÖDEME")</formula>
    </cfRule>
  </conditionalFormatting>
  <conditionalFormatting sqref="I14:I33">
    <cfRule type="expression" dxfId="47" priority="5">
      <formula>EXACT($I14,"UYGUN")</formula>
    </cfRule>
    <cfRule type="expression" dxfId="46" priority="6">
      <formula>EXACT($I14,"TANIMSIZ ORTAK")</formula>
    </cfRule>
    <cfRule type="expression" dxfId="45" priority="7">
      <formula>EXACT($I14,"BAŞLANGIÇ EKSİK")</formula>
    </cfRule>
    <cfRule type="expression" dxfId="44" priority="8">
      <formula>EXACT($I14,"ORAN EKSİK")</formula>
    </cfRule>
    <cfRule type="expression" dxfId="43" priority="9">
      <formula>EXACT($I14,"TARİH HATASI")</formula>
    </cfRule>
  </conditionalFormatting>
  <conditionalFormatting sqref="I38:I187">
    <cfRule type="cellIs" dxfId="42" priority="12" operator="lessThan">
      <formula>0</formula>
    </cfRule>
  </conditionalFormatting>
  <conditionalFormatting sqref="L7:L10">
    <cfRule type="expression" dxfId="41" priority="2">
      <formula>EXACT($L7,"UYGUN")</formula>
    </cfRule>
    <cfRule type="expression" dxfId="40" priority="3">
      <formula>EXACT($L7,"KALEM SEÇİLMEDİ")</formula>
    </cfRule>
    <cfRule type="expression" dxfId="39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7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7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7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700-000003000000}">
      <formula1>Gider</formula1>
      <formula2>0</formula2>
    </dataValidation>
    <dataValidation type="list" allowBlank="1" sqref="C36" xr:uid="{00000000-0002-0000-0700-000004000000}">
      <formula1>LST_ORTAK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6FA8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F14" sqref="F14"/>
    </sheetView>
  </sheetViews>
  <sheetFormatPr defaultColWidth="8" defaultRowHeight="14.25" customHeight="1" x14ac:dyDescent="0.25"/>
  <cols>
    <col min="1" max="1" width="2.28515625" customWidth="1"/>
    <col min="2" max="2" width="6.42578125" customWidth="1"/>
    <col min="3" max="3" width="15" customWidth="1"/>
    <col min="4" max="4" width="51.85546875" customWidth="1"/>
    <col min="5" max="7" width="16.7109375" customWidth="1"/>
    <col min="8" max="8" width="18.5703125" customWidth="1"/>
    <col min="9" max="10" width="2.28515625" customWidth="1"/>
    <col min="13" max="26" width="12" hidden="1" customWidth="1"/>
    <col min="28" max="30" width="12" hidden="1" customWidth="1"/>
  </cols>
  <sheetData>
    <row r="1" spans="1:30" ht="37.5" customHeight="1" x14ac:dyDescent="0.3">
      <c r="A1" s="170" t="s">
        <v>0</v>
      </c>
      <c r="B1" s="171"/>
      <c r="C1" s="171"/>
      <c r="D1" s="171"/>
      <c r="E1" s="171"/>
      <c r="F1" s="173" t="s">
        <v>1013</v>
      </c>
      <c r="G1" s="171"/>
      <c r="H1" s="171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3">
      <c r="A2" s="172" t="s">
        <v>1014</v>
      </c>
      <c r="B2" s="139"/>
      <c r="C2" s="139"/>
      <c r="D2" s="139"/>
      <c r="E2" s="139"/>
      <c r="F2" s="139"/>
      <c r="G2" s="139"/>
      <c r="H2" s="139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3">
      <c r="A3" s="2"/>
      <c r="B3" s="50" t="s">
        <v>1015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84" t="s">
        <v>1016</v>
      </c>
      <c r="E4" s="213" t="s">
        <v>668</v>
      </c>
      <c r="F4" s="214"/>
      <c r="G4" s="215"/>
      <c r="H4" s="85" t="str">
        <f>"Müşteri No:  "&amp;$AC$4</f>
        <v>Müşteri No:  M051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49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M051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UFUKYILMAZ</v>
      </c>
    </row>
    <row r="5" spans="1:30" ht="33.75" customHeight="1" x14ac:dyDescent="0.3">
      <c r="A5" s="2"/>
      <c r="B5" s="234" t="s">
        <v>1017</v>
      </c>
      <c r="C5" s="233"/>
      <c r="D5" s="233"/>
      <c r="E5" s="232" t="str">
        <f>IF($E$4="","",IFERROR(INDEX(MUSTERILER!$C$7:$C$156,MATCH($AC$4,MUSTERILER!$B$7:$B$156,0)),$E$4))</f>
        <v>UFUK YILMAZ</v>
      </c>
      <c r="F5" s="233"/>
      <c r="G5" s="233"/>
      <c r="H5" s="233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3">
      <c r="A6" s="2"/>
      <c r="B6" s="231" t="str">
        <f ca="1">"KILIÇ MUHASEBE   │   Düzenleme tarihi: "&amp;RIGHT("0"&amp;DAY(TODAY()),2)&amp;"."&amp;RIGHT("0"&amp;MONTH(TODAY()),2)&amp;"."&amp;YEAR(TODAY())</f>
        <v>KILIÇ MUHASEBE   │   Düzenleme tarihi: 26.08.2026</v>
      </c>
      <c r="C6" s="141"/>
      <c r="D6" s="141"/>
      <c r="E6" s="221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41"/>
      <c r="G6" s="141"/>
      <c r="H6" s="141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3">
      <c r="A8" s="2"/>
      <c r="B8" s="230" t="s">
        <v>1018</v>
      </c>
      <c r="C8" s="176"/>
      <c r="D8" s="220" t="s">
        <v>1019</v>
      </c>
      <c r="E8" s="154"/>
      <c r="F8" s="222" t="s">
        <v>1020</v>
      </c>
      <c r="G8" s="150"/>
      <c r="H8" s="151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3">
      <c r="A9" s="2"/>
      <c r="B9" s="235">
        <f ca="1">SUM($F$12:$F$311)</f>
        <v>21000</v>
      </c>
      <c r="C9" s="142"/>
      <c r="D9" s="236">
        <f ca="1">SUM($G$12:$G$311)</f>
        <v>24000</v>
      </c>
      <c r="E9" s="142"/>
      <c r="F9" s="229">
        <f ca="1">$B$9-$D$9</f>
        <v>-3000</v>
      </c>
      <c r="G9" s="141"/>
      <c r="H9" s="14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3">
      <c r="A10" s="2"/>
      <c r="B10" s="227" t="s">
        <v>1021</v>
      </c>
      <c r="C10" s="228"/>
      <c r="D10" s="228"/>
      <c r="E10" s="237" t="s">
        <v>1022</v>
      </c>
      <c r="F10" s="228"/>
      <c r="G10" s="228"/>
      <c r="H10" s="228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3">
      <c r="A11" s="2"/>
      <c r="B11" s="57" t="s">
        <v>1008</v>
      </c>
      <c r="C11" s="57" t="s">
        <v>709</v>
      </c>
      <c r="D11" s="58" t="s">
        <v>54</v>
      </c>
      <c r="E11" s="57" t="s">
        <v>1009</v>
      </c>
      <c r="F11" s="59" t="s">
        <v>1010</v>
      </c>
      <c r="G11" s="59" t="s">
        <v>1023</v>
      </c>
      <c r="H11" s="59" t="s">
        <v>1024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3">
      <c r="A12" s="2"/>
      <c r="B12" s="86">
        <f t="shared" ref="B12:B75" ca="1" si="0">IF($C12="","",ROW()-11)</f>
        <v>1</v>
      </c>
      <c r="C12" s="87">
        <f t="shared" ref="C12:C75" ca="1" si="1">IF($Z12="","",IF(INDEX($N$12:$N$432,$Z12)="","",INDEX($N$12:$N$432,$Z12)))</f>
        <v>46035</v>
      </c>
      <c r="D12" s="88" t="str">
        <f t="shared" ref="D12:D75" ca="1" si="2">IF($C12="","",INDEX($O$12:$O$432,$Z12))</f>
        <v>Ödeme  –  Nakit  (ÖMER KARTAL) / NAKİT ÖDENEN</v>
      </c>
      <c r="E12" s="86" t="str">
        <f t="shared" ref="E12:E75" ca="1" si="3">IF($C12="","",INDEX($P$12:$P$432,$Z12))</f>
        <v>ÖDEME</v>
      </c>
      <c r="F12" s="89">
        <f t="shared" ref="F12:F75" ca="1" si="4">IF($C12="","",INDEX($R$12:$R$432,$Z12))</f>
        <v>0</v>
      </c>
      <c r="G12" s="89">
        <f t="shared" ref="G12:G75" ca="1" si="5">IF($C12="","",INDEX($S$12:$S$432,$Z12))</f>
        <v>3000</v>
      </c>
      <c r="H12" s="89">
        <f t="shared" ref="H12:H75" ca="1" si="6">IF($C12="","",N($H11)+$F12-$G12)</f>
        <v>-3000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4603500242</v>
      </c>
      <c r="Z12" s="1">
        <f t="shared" ref="Z12:Z75" ca="1" si="9">IFERROR(MATCH($Y12,$T$12:$T$432,0),"")</f>
        <v>242</v>
      </c>
      <c r="AA12" s="1"/>
      <c r="AB12" s="1"/>
      <c r="AC12" s="1"/>
      <c r="AD12" s="1"/>
    </row>
    <row r="13" spans="1:30" ht="19.5" customHeight="1" x14ac:dyDescent="0.3">
      <c r="A13" s="2"/>
      <c r="B13" s="86">
        <f t="shared" ca="1" si="0"/>
        <v>2</v>
      </c>
      <c r="C13" s="87">
        <f t="shared" ca="1" si="1"/>
        <v>46053</v>
      </c>
      <c r="D13" s="88" t="str">
        <f t="shared" ca="1" si="2"/>
        <v>Ocak 2026 aylık muhasebe hizmet ücreti</v>
      </c>
      <c r="E13" s="86" t="str">
        <f t="shared" ca="1" si="3"/>
        <v>TAHAKKUK</v>
      </c>
      <c r="F13" s="89">
        <f t="shared" ca="1" si="4"/>
        <v>3000</v>
      </c>
      <c r="G13" s="89">
        <f t="shared" ca="1" si="5"/>
        <v>0</v>
      </c>
      <c r="H13" s="89">
        <f t="shared" ca="1" si="6"/>
        <v>0</v>
      </c>
      <c r="I13" s="2"/>
      <c r="J13" s="2"/>
      <c r="K13" s="1"/>
      <c r="L13" s="1"/>
      <c r="M13" s="1">
        <v>2</v>
      </c>
      <c r="N13" s="90">
        <f ca="1">IF(OR($U13=0,$W13="",$X13&lt;=0),"",IF($W13&gt;TODAY(),"",IF(AND(INDEX(UCRETLER!$E$7:$E$606,$U13)&lt;&gt;"",$W13&gt;INDEX(UCRETLER!$E$7:$E$606,$U13)),"",$W13)))</f>
        <v>46053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Ocak 2026 aylık muhasebe hizmet ücreti</v>
      </c>
      <c r="P13" s="1" t="str">
        <f t="shared" ref="P13:P76" ca="1" si="10">IF($N13="","","TAHAKKUK")</f>
        <v>TAHAKKUK</v>
      </c>
      <c r="Q13" s="1"/>
      <c r="R13" s="79">
        <f t="shared" ref="R13:R76" ca="1" si="11">IF($N13="",0,$X13)</f>
        <v>3000</v>
      </c>
      <c r="S13" s="1">
        <v>0</v>
      </c>
      <c r="T13" s="1">
        <f t="shared" ca="1" si="7"/>
        <v>4605300002</v>
      </c>
      <c r="U13" s="1">
        <f t="shared" ref="U13:U44" si="12">$AB$4</f>
        <v>49</v>
      </c>
      <c r="V13" s="1">
        <v>1</v>
      </c>
      <c r="W13" s="90">
        <f>IF($U13=0,"",IF(INDEX(UCRETLER!$D$7:$D$606,$U13)="","",IF(INDEX(UCRETLER!$F$7:$F$606,$U13)="Aylık",EOMONTH(INDEX(UCRETLER!$D$7:$D$606,$U13),$V13-1),INDEX(UCRETLER!$U$7:$U$606,$U13)+7*($V13-1))))</f>
        <v>46053</v>
      </c>
      <c r="X13" s="79">
        <f>IF($U13=0,0,INDEX(UCRETLER!$G$7:$G$606,$U13))</f>
        <v>3000</v>
      </c>
      <c r="Y13" s="1">
        <f t="shared" ca="1" si="8"/>
        <v>4605300002</v>
      </c>
      <c r="Z13" s="1">
        <f t="shared" ca="1" si="9"/>
        <v>2</v>
      </c>
      <c r="AA13" s="1"/>
      <c r="AB13" s="1"/>
      <c r="AC13" s="1"/>
      <c r="AD13" s="1"/>
    </row>
    <row r="14" spans="1:30" ht="19.5" customHeight="1" x14ac:dyDescent="0.3">
      <c r="A14" s="2"/>
      <c r="B14" s="86">
        <f t="shared" ca="1" si="0"/>
        <v>3</v>
      </c>
      <c r="C14" s="87">
        <f t="shared" ca="1" si="1"/>
        <v>46066</v>
      </c>
      <c r="D14" s="88" t="str">
        <f t="shared" ca="1" si="2"/>
        <v>Ödeme  –  Nakit  (ÖMER KARTAL) / NAKİT ÖDENEN</v>
      </c>
      <c r="E14" s="86" t="str">
        <f t="shared" ca="1" si="3"/>
        <v>ÖDEME</v>
      </c>
      <c r="F14" s="89">
        <f t="shared" ca="1" si="4"/>
        <v>0</v>
      </c>
      <c r="G14" s="89">
        <f t="shared" ca="1" si="5"/>
        <v>3000</v>
      </c>
      <c r="H14" s="89">
        <f t="shared" ca="1" si="6"/>
        <v>-3000</v>
      </c>
      <c r="I14" s="2"/>
      <c r="J14" s="2"/>
      <c r="K14" s="1"/>
      <c r="L14" s="1"/>
      <c r="M14" s="1">
        <v>3</v>
      </c>
      <c r="N14" s="90">
        <f ca="1">IF(OR($U14=0,$W14="",$X14&lt;=0),"",IF($W14&gt;TODAY(),"",IF(AND(INDEX(UCRETLER!$E$7:$E$606,$U14)&lt;&gt;"",$W14&gt;INDEX(UCRETLER!$E$7:$E$606,$U14)),"",$W14)))</f>
        <v>46081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Şubat 2026 aylık muhasebe hizmet ücreti</v>
      </c>
      <c r="P14" s="1" t="str">
        <f t="shared" ca="1" si="10"/>
        <v>TAHAKKUK</v>
      </c>
      <c r="Q14" s="1"/>
      <c r="R14" s="79">
        <f t="shared" ca="1" si="11"/>
        <v>3000</v>
      </c>
      <c r="S14" s="1">
        <v>0</v>
      </c>
      <c r="T14" s="1">
        <f t="shared" ca="1" si="7"/>
        <v>4608100003</v>
      </c>
      <c r="U14" s="1">
        <f t="shared" si="12"/>
        <v>49</v>
      </c>
      <c r="V14" s="1">
        <v>2</v>
      </c>
      <c r="W14" s="90">
        <f>IF($U14=0,"",IF(INDEX(UCRETLER!$D$7:$D$606,$U14)="","",IF(INDEX(UCRETLER!$F$7:$F$606,$U14)="Aylık",EOMONTH(INDEX(UCRETLER!$D$7:$D$606,$U14),$V14-1),INDEX(UCRETLER!$U$7:$U$606,$U14)+7*($V14-1))))</f>
        <v>46081</v>
      </c>
      <c r="X14" s="79">
        <f>IF($U14=0,0,INDEX(UCRETLER!$G$7:$G$606,$U14))</f>
        <v>3000</v>
      </c>
      <c r="Y14" s="1">
        <f t="shared" ca="1" si="8"/>
        <v>4606600243</v>
      </c>
      <c r="Z14" s="1">
        <f t="shared" ca="1" si="9"/>
        <v>243</v>
      </c>
      <c r="AA14" s="1"/>
      <c r="AB14" s="1"/>
      <c r="AC14" s="1"/>
      <c r="AD14" s="1"/>
    </row>
    <row r="15" spans="1:30" ht="19.5" customHeight="1" x14ac:dyDescent="0.3">
      <c r="A15" s="2"/>
      <c r="B15" s="86">
        <f t="shared" ca="1" si="0"/>
        <v>4</v>
      </c>
      <c r="C15" s="87">
        <f t="shared" ca="1" si="1"/>
        <v>46081</v>
      </c>
      <c r="D15" s="88" t="str">
        <f t="shared" ca="1" si="2"/>
        <v>Şubat 2026 aylık muhasebe hizmet ücreti</v>
      </c>
      <c r="E15" s="86" t="str">
        <f t="shared" ca="1" si="3"/>
        <v>TAHAKKUK</v>
      </c>
      <c r="F15" s="89">
        <f t="shared" ca="1" si="4"/>
        <v>3000</v>
      </c>
      <c r="G15" s="89">
        <f t="shared" ca="1" si="5"/>
        <v>0</v>
      </c>
      <c r="H15" s="89">
        <f t="shared" ca="1" si="6"/>
        <v>0</v>
      </c>
      <c r="I15" s="2"/>
      <c r="J15" s="2"/>
      <c r="K15" s="1"/>
      <c r="L15" s="1"/>
      <c r="M15" s="1">
        <v>4</v>
      </c>
      <c r="N15" s="90">
        <f ca="1">IF(OR($U15=0,$W15="",$X15&lt;=0),"",IF($W15&gt;TODAY(),"",IF(AND(INDEX(UCRETLER!$E$7:$E$606,$U15)&lt;&gt;"",$W15&gt;INDEX(UCRETLER!$E$7:$E$606,$U15)),"",$W15)))</f>
        <v>46112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Mart 2026 aylık muhasebe hizmet ücreti</v>
      </c>
      <c r="P15" s="1" t="str">
        <f t="shared" ca="1" si="10"/>
        <v>TAHAKKUK</v>
      </c>
      <c r="Q15" s="1"/>
      <c r="R15" s="79">
        <f t="shared" ca="1" si="11"/>
        <v>3000</v>
      </c>
      <c r="S15" s="1">
        <v>0</v>
      </c>
      <c r="T15" s="1">
        <f t="shared" ca="1" si="7"/>
        <v>4611200004</v>
      </c>
      <c r="U15" s="1">
        <f t="shared" si="12"/>
        <v>49</v>
      </c>
      <c r="V15" s="1">
        <v>3</v>
      </c>
      <c r="W15" s="90">
        <f>IF($U15=0,"",IF(INDEX(UCRETLER!$D$7:$D$606,$U15)="","",IF(INDEX(UCRETLER!$F$7:$F$606,$U15)="Aylık",EOMONTH(INDEX(UCRETLER!$D$7:$D$606,$U15),$V15-1),INDEX(UCRETLER!$U$7:$U$606,$U15)+7*($V15-1))))</f>
        <v>46112</v>
      </c>
      <c r="X15" s="79">
        <f>IF($U15=0,0,INDEX(UCRETLER!$G$7:$G$606,$U15))</f>
        <v>3000</v>
      </c>
      <c r="Y15" s="1">
        <f t="shared" ca="1" si="8"/>
        <v>4608100003</v>
      </c>
      <c r="Z15" s="1">
        <f t="shared" ca="1" si="9"/>
        <v>3</v>
      </c>
      <c r="AA15" s="1"/>
      <c r="AB15" s="1"/>
      <c r="AC15" s="1"/>
      <c r="AD15" s="1"/>
    </row>
    <row r="16" spans="1:30" ht="19.5" customHeight="1" x14ac:dyDescent="0.3">
      <c r="A16" s="2"/>
      <c r="B16" s="86">
        <f t="shared" ca="1" si="0"/>
        <v>5</v>
      </c>
      <c r="C16" s="87">
        <f t="shared" ca="1" si="1"/>
        <v>46099</v>
      </c>
      <c r="D16" s="88" t="str">
        <f t="shared" ca="1" si="2"/>
        <v>Ödeme  –  Nakit  (MERKEZ KASA) / NAKİT ÖDENEN</v>
      </c>
      <c r="E16" s="86" t="str">
        <f t="shared" ca="1" si="3"/>
        <v>ÖDEME</v>
      </c>
      <c r="F16" s="89">
        <f t="shared" ca="1" si="4"/>
        <v>0</v>
      </c>
      <c r="G16" s="89">
        <f t="shared" ca="1" si="5"/>
        <v>3000</v>
      </c>
      <c r="H16" s="89">
        <f t="shared" ca="1" si="6"/>
        <v>-3000</v>
      </c>
      <c r="I16" s="2"/>
      <c r="J16" s="2"/>
      <c r="K16" s="1"/>
      <c r="L16" s="1"/>
      <c r="M16" s="1">
        <v>5</v>
      </c>
      <c r="N16" s="90">
        <f ca="1">IF(OR($U16=0,$W16="",$X16&lt;=0),"",IF($W16&gt;TODAY(),"",IF(AND(INDEX(UCRETLER!$E$7:$E$606,$U16)&lt;&gt;"",$W16&gt;INDEX(UCRETLER!$E$7:$E$606,$U16)),"",$W16)))</f>
        <v>46142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Nisan 2026 aylık muhasebe hizmet ücreti</v>
      </c>
      <c r="P16" s="1" t="str">
        <f t="shared" ca="1" si="10"/>
        <v>TAHAKKUK</v>
      </c>
      <c r="Q16" s="1"/>
      <c r="R16" s="79">
        <f t="shared" ca="1" si="11"/>
        <v>3000</v>
      </c>
      <c r="S16" s="1">
        <v>0</v>
      </c>
      <c r="T16" s="1">
        <f t="shared" ca="1" si="7"/>
        <v>4614200005</v>
      </c>
      <c r="U16" s="1">
        <f t="shared" si="12"/>
        <v>49</v>
      </c>
      <c r="V16" s="1">
        <v>4</v>
      </c>
      <c r="W16" s="90">
        <f>IF($U16=0,"",IF(INDEX(UCRETLER!$D$7:$D$606,$U16)="","",IF(INDEX(UCRETLER!$F$7:$F$606,$U16)="Aylık",EOMONTH(INDEX(UCRETLER!$D$7:$D$606,$U16),$V16-1),INDEX(UCRETLER!$U$7:$U$606,$U16)+7*($V16-1))))</f>
        <v>46142</v>
      </c>
      <c r="X16" s="79">
        <f>IF($U16=0,0,INDEX(UCRETLER!$G$7:$G$606,$U16))</f>
        <v>3000</v>
      </c>
      <c r="Y16" s="1">
        <f t="shared" ca="1" si="8"/>
        <v>4609900244</v>
      </c>
      <c r="Z16" s="1">
        <f t="shared" ca="1" si="9"/>
        <v>244</v>
      </c>
      <c r="AA16" s="1"/>
      <c r="AB16" s="1"/>
      <c r="AC16" s="1"/>
      <c r="AD16" s="1"/>
    </row>
    <row r="17" spans="1:30" ht="19.5" customHeight="1" x14ac:dyDescent="0.3">
      <c r="A17" s="2"/>
      <c r="B17" s="86">
        <f t="shared" ca="1" si="0"/>
        <v>6</v>
      </c>
      <c r="C17" s="87">
        <f t="shared" ca="1" si="1"/>
        <v>46112</v>
      </c>
      <c r="D17" s="88" t="str">
        <f t="shared" ca="1" si="2"/>
        <v>Mart 2026 aylık muhasebe hizmet ücreti</v>
      </c>
      <c r="E17" s="86" t="str">
        <f t="shared" ca="1" si="3"/>
        <v>TAHAKKUK</v>
      </c>
      <c r="F17" s="89">
        <f t="shared" ca="1" si="4"/>
        <v>3000</v>
      </c>
      <c r="G17" s="89">
        <f t="shared" ca="1" si="5"/>
        <v>0</v>
      </c>
      <c r="H17" s="89">
        <f t="shared" ca="1" si="6"/>
        <v>0</v>
      </c>
      <c r="I17" s="2"/>
      <c r="J17" s="2"/>
      <c r="K17" s="1"/>
      <c r="L17" s="1"/>
      <c r="M17" s="1">
        <v>6</v>
      </c>
      <c r="N17" s="90">
        <f ca="1">IF(OR($U17=0,$W17="",$X17&lt;=0),"",IF($W17&gt;TODAY(),"",IF(AND(INDEX(UCRETLER!$E$7:$E$606,$U17)&lt;&gt;"",$W17&gt;INDEX(UCRETLER!$E$7:$E$606,$U17)),"",$W17)))</f>
        <v>46173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Mayıs 2026 aylık muhasebe hizmet ücreti</v>
      </c>
      <c r="P17" s="1" t="str">
        <f t="shared" ca="1" si="10"/>
        <v>TAHAKKUK</v>
      </c>
      <c r="Q17" s="1"/>
      <c r="R17" s="79">
        <f t="shared" ca="1" si="11"/>
        <v>3000</v>
      </c>
      <c r="S17" s="1">
        <v>0</v>
      </c>
      <c r="T17" s="1">
        <f t="shared" ca="1" si="7"/>
        <v>4617300006</v>
      </c>
      <c r="U17" s="1">
        <f t="shared" si="12"/>
        <v>49</v>
      </c>
      <c r="V17" s="1">
        <v>5</v>
      </c>
      <c r="W17" s="90">
        <f>IF($U17=0,"",IF(INDEX(UCRETLER!$D$7:$D$606,$U17)="","",IF(INDEX(UCRETLER!$F$7:$F$606,$U17)="Aylık",EOMONTH(INDEX(UCRETLER!$D$7:$D$606,$U17),$V17-1),INDEX(UCRETLER!$U$7:$U$606,$U17)+7*($V17-1))))</f>
        <v>46173</v>
      </c>
      <c r="X17" s="79">
        <f>IF($U17=0,0,INDEX(UCRETLER!$G$7:$G$606,$U17))</f>
        <v>3000</v>
      </c>
      <c r="Y17" s="1">
        <f t="shared" ca="1" si="8"/>
        <v>4611200004</v>
      </c>
      <c r="Z17" s="1">
        <f t="shared" ca="1" si="9"/>
        <v>4</v>
      </c>
      <c r="AA17" s="1"/>
      <c r="AB17" s="1"/>
      <c r="AC17" s="1"/>
      <c r="AD17" s="1"/>
    </row>
    <row r="18" spans="1:30" ht="19.5" customHeight="1" x14ac:dyDescent="0.3">
      <c r="A18" s="2"/>
      <c r="B18" s="86">
        <f t="shared" ca="1" si="0"/>
        <v>7</v>
      </c>
      <c r="C18" s="87">
        <f t="shared" ca="1" si="1"/>
        <v>46126</v>
      </c>
      <c r="D18" s="88" t="str">
        <f t="shared" ca="1" si="2"/>
        <v>Ödeme  –  Nakit  (ÖMER KARTAL) / NAKİT ÖDENEN</v>
      </c>
      <c r="E18" s="86" t="str">
        <f t="shared" ca="1" si="3"/>
        <v>ÖDEME</v>
      </c>
      <c r="F18" s="89">
        <f t="shared" ca="1" si="4"/>
        <v>0</v>
      </c>
      <c r="G18" s="89">
        <f t="shared" ca="1" si="5"/>
        <v>3000</v>
      </c>
      <c r="H18" s="89">
        <f t="shared" ca="1" si="6"/>
        <v>-3000</v>
      </c>
      <c r="I18" s="2"/>
      <c r="J18" s="2"/>
      <c r="K18" s="1"/>
      <c r="L18" s="1"/>
      <c r="M18" s="1">
        <v>7</v>
      </c>
      <c r="N18" s="90">
        <f ca="1">IF(OR($U18=0,$W18="",$X18&lt;=0),"",IF($W18&gt;TODAY(),"",IF(AND(INDEX(UCRETLER!$E$7:$E$606,$U18)&lt;&gt;"",$W18&gt;INDEX(UCRETLER!$E$7:$E$606,$U18)),"",$W18)))</f>
        <v>46203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Haziran 2026 aylık muhasebe hizmet ücreti</v>
      </c>
      <c r="P18" s="1" t="str">
        <f t="shared" ca="1" si="10"/>
        <v>TAHAKKUK</v>
      </c>
      <c r="Q18" s="1"/>
      <c r="R18" s="79">
        <f t="shared" ca="1" si="11"/>
        <v>3000</v>
      </c>
      <c r="S18" s="1">
        <v>0</v>
      </c>
      <c r="T18" s="1">
        <f t="shared" ca="1" si="7"/>
        <v>4620300007</v>
      </c>
      <c r="U18" s="1">
        <f t="shared" si="12"/>
        <v>49</v>
      </c>
      <c r="V18" s="1">
        <v>6</v>
      </c>
      <c r="W18" s="90">
        <f>IF($U18=0,"",IF(INDEX(UCRETLER!$D$7:$D$606,$U18)="","",IF(INDEX(UCRETLER!$F$7:$F$606,$U18)="Aylık",EOMONTH(INDEX(UCRETLER!$D$7:$D$606,$U18),$V18-1),INDEX(UCRETLER!$U$7:$U$606,$U18)+7*($V18-1))))</f>
        <v>46203</v>
      </c>
      <c r="X18" s="79">
        <f>IF($U18=0,0,INDEX(UCRETLER!$G$7:$G$606,$U18))</f>
        <v>3000</v>
      </c>
      <c r="Y18" s="1">
        <f t="shared" ca="1" si="8"/>
        <v>4612600245</v>
      </c>
      <c r="Z18" s="1">
        <f t="shared" ca="1" si="9"/>
        <v>245</v>
      </c>
      <c r="AA18" s="1"/>
      <c r="AB18" s="1"/>
      <c r="AC18" s="1"/>
      <c r="AD18" s="1"/>
    </row>
    <row r="19" spans="1:30" ht="19.5" customHeight="1" x14ac:dyDescent="0.3">
      <c r="A19" s="2"/>
      <c r="B19" s="86">
        <f t="shared" ca="1" si="0"/>
        <v>8</v>
      </c>
      <c r="C19" s="87">
        <f t="shared" ca="1" si="1"/>
        <v>46142</v>
      </c>
      <c r="D19" s="88" t="str">
        <f t="shared" ca="1" si="2"/>
        <v>Nisan 2026 aylık muhasebe hizmet ücreti</v>
      </c>
      <c r="E19" s="86" t="str">
        <f t="shared" ca="1" si="3"/>
        <v>TAHAKKUK</v>
      </c>
      <c r="F19" s="89">
        <f t="shared" ca="1" si="4"/>
        <v>3000</v>
      </c>
      <c r="G19" s="89">
        <f t="shared" ca="1" si="5"/>
        <v>0</v>
      </c>
      <c r="H19" s="89">
        <f t="shared" ca="1" si="6"/>
        <v>0</v>
      </c>
      <c r="I19" s="2"/>
      <c r="J19" s="2"/>
      <c r="K19" s="1"/>
      <c r="L19" s="1"/>
      <c r="M19" s="1">
        <v>8</v>
      </c>
      <c r="N19" s="90">
        <f ca="1">IF(OR($U19=0,$W19="",$X19&lt;=0),"",IF($W19&gt;TODAY(),"",IF(AND(INDEX(UCRETLER!$E$7:$E$606,$U19)&lt;&gt;"",$W19&gt;INDEX(UCRETLER!$E$7:$E$606,$U19)),"",$W19)))</f>
        <v>46234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Temmuz 2026 aylık muhasebe hizmet ücreti</v>
      </c>
      <c r="P19" s="1" t="str">
        <f t="shared" ca="1" si="10"/>
        <v>TAHAKKUK</v>
      </c>
      <c r="Q19" s="1"/>
      <c r="R19" s="79">
        <f t="shared" ca="1" si="11"/>
        <v>3000</v>
      </c>
      <c r="S19" s="1">
        <v>0</v>
      </c>
      <c r="T19" s="1">
        <f t="shared" ca="1" si="7"/>
        <v>4623400008</v>
      </c>
      <c r="U19" s="1">
        <f t="shared" si="12"/>
        <v>49</v>
      </c>
      <c r="V19" s="1">
        <v>7</v>
      </c>
      <c r="W19" s="90">
        <f>IF($U19=0,"",IF(INDEX(UCRETLER!$D$7:$D$606,$U19)="","",IF(INDEX(UCRETLER!$F$7:$F$606,$U19)="Aylık",EOMONTH(INDEX(UCRETLER!$D$7:$D$606,$U19),$V19-1),INDEX(UCRETLER!$U$7:$U$606,$U19)+7*($V19-1))))</f>
        <v>46234</v>
      </c>
      <c r="X19" s="79">
        <f>IF($U19=0,0,INDEX(UCRETLER!$G$7:$G$606,$U19))</f>
        <v>3000</v>
      </c>
      <c r="Y19" s="1">
        <f t="shared" ca="1" si="8"/>
        <v>4614200005</v>
      </c>
      <c r="Z19" s="1">
        <f t="shared" ca="1" si="9"/>
        <v>5</v>
      </c>
      <c r="AA19" s="1"/>
      <c r="AB19" s="1"/>
      <c r="AC19" s="1"/>
      <c r="AD19" s="1"/>
    </row>
    <row r="20" spans="1:30" ht="19.5" customHeight="1" x14ac:dyDescent="0.3">
      <c r="A20" s="2"/>
      <c r="B20" s="86">
        <f t="shared" ca="1" si="0"/>
        <v>9</v>
      </c>
      <c r="C20" s="87">
        <f t="shared" ca="1" si="1"/>
        <v>46157</v>
      </c>
      <c r="D20" s="88" t="str">
        <f t="shared" ca="1" si="2"/>
        <v>Ödeme  –  Nakit  (ÖMER KARTAL) / NAKİT ÖDENEN</v>
      </c>
      <c r="E20" s="86" t="str">
        <f t="shared" ca="1" si="3"/>
        <v>ÖDEME</v>
      </c>
      <c r="F20" s="89">
        <f t="shared" ca="1" si="4"/>
        <v>0</v>
      </c>
      <c r="G20" s="89">
        <f t="shared" ca="1" si="5"/>
        <v>3000</v>
      </c>
      <c r="H20" s="89">
        <f t="shared" ca="1" si="6"/>
        <v>-3000</v>
      </c>
      <c r="I20" s="2"/>
      <c r="J20" s="2"/>
      <c r="K20" s="1"/>
      <c r="L20" s="1"/>
      <c r="M20" s="1">
        <v>9</v>
      </c>
      <c r="N20" s="90" t="str">
        <f ca="1">IF(OR($U20=0,$W20="",$X20&lt;=0),"",IF($W20&gt;TODAY(),"",IF(AND(INDEX(UCRETLER!$E$7:$E$606,$U20)&lt;&gt;"",$W20&gt;INDEX(UCRETLER!$E$7:$E$606,$U20)),"",$W20)))</f>
        <v/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 t="str">
        <f t="shared" ca="1" si="10"/>
        <v/>
      </c>
      <c r="Q20" s="1"/>
      <c r="R20" s="79">
        <f t="shared" ca="1" si="11"/>
        <v>0</v>
      </c>
      <c r="S20" s="1">
        <v>0</v>
      </c>
      <c r="T20" s="1">
        <f t="shared" ca="1" si="7"/>
        <v>10000000000</v>
      </c>
      <c r="U20" s="1">
        <f t="shared" si="12"/>
        <v>49</v>
      </c>
      <c r="V20" s="1">
        <v>8</v>
      </c>
      <c r="W20" s="90">
        <f>IF($U20=0,"",IF(INDEX(UCRETLER!$D$7:$D$606,$U20)="","",IF(INDEX(UCRETLER!$F$7:$F$606,$U20)="Aylık",EOMONTH(INDEX(UCRETLER!$D$7:$D$606,$U20),$V20-1),INDEX(UCRETLER!$U$7:$U$606,$U20)+7*($V20-1))))</f>
        <v>46265</v>
      </c>
      <c r="X20" s="79">
        <f>IF($U20=0,0,INDEX(UCRETLER!$G$7:$G$606,$U20))</f>
        <v>3000</v>
      </c>
      <c r="Y20" s="1">
        <f t="shared" ca="1" si="8"/>
        <v>4615700246</v>
      </c>
      <c r="Z20" s="1">
        <f t="shared" ca="1" si="9"/>
        <v>246</v>
      </c>
      <c r="AA20" s="1"/>
      <c r="AB20" s="1"/>
      <c r="AC20" s="1"/>
      <c r="AD20" s="1"/>
    </row>
    <row r="21" spans="1:30" ht="19.5" customHeight="1" x14ac:dyDescent="0.3">
      <c r="A21" s="2"/>
      <c r="B21" s="86">
        <f t="shared" ca="1" si="0"/>
        <v>10</v>
      </c>
      <c r="C21" s="87">
        <f t="shared" ca="1" si="1"/>
        <v>46173</v>
      </c>
      <c r="D21" s="88" t="str">
        <f t="shared" ca="1" si="2"/>
        <v>Mayıs 2026 aylık muhasebe hizmet ücreti</v>
      </c>
      <c r="E21" s="86" t="str">
        <f t="shared" ca="1" si="3"/>
        <v>TAHAKKUK</v>
      </c>
      <c r="F21" s="89">
        <f t="shared" ca="1" si="4"/>
        <v>3000</v>
      </c>
      <c r="G21" s="89">
        <f t="shared" ca="1" si="5"/>
        <v>0</v>
      </c>
      <c r="H21" s="89">
        <f t="shared" ca="1" si="6"/>
        <v>0</v>
      </c>
      <c r="I21" s="2"/>
      <c r="J21" s="2"/>
      <c r="K21" s="1"/>
      <c r="L21" s="1"/>
      <c r="M21" s="1">
        <v>10</v>
      </c>
      <c r="N21" s="90" t="str">
        <f ca="1">IF(OR($U21=0,$W21="",$X21&lt;=0),"",IF($W21&gt;TODAY(),"",IF(AND(INDEX(UCRETLER!$E$7:$E$606,$U21)&lt;&gt;"",$W21&gt;INDEX(UCRETLER!$E$7:$E$606,$U21)),"",$W21)))</f>
        <v/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 t="str">
        <f t="shared" ca="1" si="10"/>
        <v/>
      </c>
      <c r="Q21" s="1"/>
      <c r="R21" s="79">
        <f t="shared" ca="1" si="11"/>
        <v>0</v>
      </c>
      <c r="S21" s="1">
        <v>0</v>
      </c>
      <c r="T21" s="1">
        <f t="shared" ca="1" si="7"/>
        <v>10000000000</v>
      </c>
      <c r="U21" s="1">
        <f t="shared" si="12"/>
        <v>49</v>
      </c>
      <c r="V21" s="1">
        <v>9</v>
      </c>
      <c r="W21" s="90">
        <f>IF($U21=0,"",IF(INDEX(UCRETLER!$D$7:$D$606,$U21)="","",IF(INDEX(UCRETLER!$F$7:$F$606,$U21)="Aylık",EOMONTH(INDEX(UCRETLER!$D$7:$D$606,$U21),$V21-1),INDEX(UCRETLER!$U$7:$U$606,$U21)+7*($V21-1))))</f>
        <v>46295</v>
      </c>
      <c r="X21" s="79">
        <f>IF($U21=0,0,INDEX(UCRETLER!$G$7:$G$606,$U21))</f>
        <v>3000</v>
      </c>
      <c r="Y21" s="1">
        <f t="shared" ca="1" si="8"/>
        <v>4617300006</v>
      </c>
      <c r="Z21" s="1">
        <f t="shared" ca="1" si="9"/>
        <v>6</v>
      </c>
      <c r="AA21" s="1"/>
      <c r="AB21" s="1"/>
      <c r="AC21" s="1"/>
      <c r="AD21" s="1"/>
    </row>
    <row r="22" spans="1:30" ht="19.5" customHeight="1" x14ac:dyDescent="0.3">
      <c r="A22" s="2"/>
      <c r="B22" s="86">
        <f t="shared" ca="1" si="0"/>
        <v>11</v>
      </c>
      <c r="C22" s="87">
        <f t="shared" ca="1" si="1"/>
        <v>46188</v>
      </c>
      <c r="D22" s="88" t="str">
        <f t="shared" ca="1" si="2"/>
        <v>Ödeme  –  Nakit  (ÖMER KARTAL) / NAKİT ÖDENEN</v>
      </c>
      <c r="E22" s="86" t="str">
        <f t="shared" ca="1" si="3"/>
        <v>ÖDEME</v>
      </c>
      <c r="F22" s="89">
        <f t="shared" ca="1" si="4"/>
        <v>0</v>
      </c>
      <c r="G22" s="89">
        <f t="shared" ca="1" si="5"/>
        <v>3000</v>
      </c>
      <c r="H22" s="89">
        <f t="shared" ca="1" si="6"/>
        <v>-3000</v>
      </c>
      <c r="I22" s="2"/>
      <c r="J22" s="2"/>
      <c r="K22" s="1"/>
      <c r="L22" s="1"/>
      <c r="M22" s="1">
        <v>11</v>
      </c>
      <c r="N22" s="90" t="str">
        <f ca="1">IF(OR($U22=0,$W22="",$X22&lt;=0),"",IF($W22&gt;TODAY(),"",IF(AND(INDEX(UCRETLER!$E$7:$E$606,$U22)&lt;&gt;"",$W22&gt;INDEX(UCRETLER!$E$7:$E$606,$U22)),"",$W22)))</f>
        <v/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 t="str">
        <f t="shared" ca="1" si="10"/>
        <v/>
      </c>
      <c r="Q22" s="1"/>
      <c r="R22" s="79">
        <f t="shared" ca="1" si="11"/>
        <v>0</v>
      </c>
      <c r="S22" s="1">
        <v>0</v>
      </c>
      <c r="T22" s="1">
        <f t="shared" ca="1" si="7"/>
        <v>10000000000</v>
      </c>
      <c r="U22" s="1">
        <f t="shared" si="12"/>
        <v>49</v>
      </c>
      <c r="V22" s="1">
        <v>10</v>
      </c>
      <c r="W22" s="90">
        <f>IF($U22=0,"",IF(INDEX(UCRETLER!$D$7:$D$606,$U22)="","",IF(INDEX(UCRETLER!$F$7:$F$606,$U22)="Aylık",EOMONTH(INDEX(UCRETLER!$D$7:$D$606,$U22),$V22-1),INDEX(UCRETLER!$U$7:$U$606,$U22)+7*($V22-1))))</f>
        <v>46326</v>
      </c>
      <c r="X22" s="79">
        <f>IF($U22=0,0,INDEX(UCRETLER!$G$7:$G$606,$U22))</f>
        <v>3000</v>
      </c>
      <c r="Y22" s="1">
        <f t="shared" ca="1" si="8"/>
        <v>4618800247</v>
      </c>
      <c r="Z22" s="1">
        <f t="shared" ca="1" si="9"/>
        <v>247</v>
      </c>
      <c r="AA22" s="1"/>
      <c r="AB22" s="1"/>
      <c r="AC22" s="1"/>
      <c r="AD22" s="1"/>
    </row>
    <row r="23" spans="1:30" ht="19.5" customHeight="1" x14ac:dyDescent="0.3">
      <c r="A23" s="2"/>
      <c r="B23" s="86">
        <f t="shared" ca="1" si="0"/>
        <v>12</v>
      </c>
      <c r="C23" s="87">
        <f t="shared" ca="1" si="1"/>
        <v>46203</v>
      </c>
      <c r="D23" s="88" t="str">
        <f t="shared" ca="1" si="2"/>
        <v>Haziran 2026 aylık muhasebe hizmet ücreti</v>
      </c>
      <c r="E23" s="86" t="str">
        <f t="shared" ca="1" si="3"/>
        <v>TAHAKKUK</v>
      </c>
      <c r="F23" s="89">
        <f t="shared" ca="1" si="4"/>
        <v>3000</v>
      </c>
      <c r="G23" s="89">
        <f t="shared" ca="1" si="5"/>
        <v>0</v>
      </c>
      <c r="H23" s="89">
        <f t="shared" ca="1" si="6"/>
        <v>0</v>
      </c>
      <c r="I23" s="2"/>
      <c r="J23" s="2"/>
      <c r="K23" s="1"/>
      <c r="L23" s="1"/>
      <c r="M23" s="1">
        <v>12</v>
      </c>
      <c r="N23" s="90" t="str">
        <f ca="1">IF(OR($U23=0,$W23="",$X23&lt;=0),"",IF($W23&gt;TODAY(),"",IF(AND(INDEX(UCRETLER!$E$7:$E$606,$U23)&lt;&gt;"",$W23&gt;INDEX(UCRETLER!$E$7:$E$606,$U23)),"",$W23)))</f>
        <v/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 t="str">
        <f t="shared" ca="1" si="10"/>
        <v/>
      </c>
      <c r="Q23" s="1"/>
      <c r="R23" s="79">
        <f t="shared" ca="1" si="11"/>
        <v>0</v>
      </c>
      <c r="S23" s="1">
        <v>0</v>
      </c>
      <c r="T23" s="1">
        <f t="shared" ca="1" si="7"/>
        <v>10000000000</v>
      </c>
      <c r="U23" s="1">
        <f t="shared" si="12"/>
        <v>49</v>
      </c>
      <c r="V23" s="1">
        <v>11</v>
      </c>
      <c r="W23" s="90">
        <f>IF($U23=0,"",IF(INDEX(UCRETLER!$D$7:$D$606,$U23)="","",IF(INDEX(UCRETLER!$F$7:$F$606,$U23)="Aylık",EOMONTH(INDEX(UCRETLER!$D$7:$D$606,$U23),$V23-1),INDEX(UCRETLER!$U$7:$U$606,$U23)+7*($V23-1))))</f>
        <v>46356</v>
      </c>
      <c r="X23" s="79">
        <f>IF($U23=0,0,INDEX(UCRETLER!$G$7:$G$606,$U23))</f>
        <v>3000</v>
      </c>
      <c r="Y23" s="1">
        <f t="shared" ca="1" si="8"/>
        <v>4620300007</v>
      </c>
      <c r="Z23" s="1">
        <f t="shared" ca="1" si="9"/>
        <v>7</v>
      </c>
      <c r="AA23" s="1"/>
      <c r="AB23" s="1"/>
      <c r="AC23" s="1"/>
      <c r="AD23" s="1"/>
    </row>
    <row r="24" spans="1:30" ht="19.5" customHeight="1" x14ac:dyDescent="0.3">
      <c r="A24" s="2"/>
      <c r="B24" s="86">
        <f t="shared" ca="1" si="0"/>
        <v>13</v>
      </c>
      <c r="C24" s="87">
        <f t="shared" ca="1" si="1"/>
        <v>46218</v>
      </c>
      <c r="D24" s="88" t="str">
        <f t="shared" ca="1" si="2"/>
        <v>Ödeme  –  Nakit  (ÖMER KARTAL) / NAKİT ÖDENEN</v>
      </c>
      <c r="E24" s="86" t="str">
        <f t="shared" ca="1" si="3"/>
        <v>ÖDEME</v>
      </c>
      <c r="F24" s="89">
        <f t="shared" ca="1" si="4"/>
        <v>0</v>
      </c>
      <c r="G24" s="89">
        <f t="shared" ca="1" si="5"/>
        <v>3000</v>
      </c>
      <c r="H24" s="89">
        <f t="shared" ca="1" si="6"/>
        <v>-3000</v>
      </c>
      <c r="I24" s="2"/>
      <c r="J24" s="2"/>
      <c r="K24" s="1"/>
      <c r="L24" s="1"/>
      <c r="M24" s="1">
        <v>13</v>
      </c>
      <c r="N24" s="90" t="str">
        <f ca="1">IF(OR($U24=0,$W24="",$X24&lt;=0),"",IF($W24&gt;TODAY(),"",IF(AND(INDEX(UCRETLER!$E$7:$E$606,$U24)&lt;&gt;"",$W24&gt;INDEX(UCRETLER!$E$7:$E$606,$U24)),"",$W24)))</f>
        <v/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 t="str">
        <f t="shared" ca="1" si="10"/>
        <v/>
      </c>
      <c r="Q24" s="1"/>
      <c r="R24" s="79">
        <f t="shared" ca="1" si="11"/>
        <v>0</v>
      </c>
      <c r="S24" s="1">
        <v>0</v>
      </c>
      <c r="T24" s="1">
        <f t="shared" ca="1" si="7"/>
        <v>10000000000</v>
      </c>
      <c r="U24" s="1">
        <f t="shared" si="12"/>
        <v>49</v>
      </c>
      <c r="V24" s="1">
        <v>12</v>
      </c>
      <c r="W24" s="90">
        <f>IF($U24=0,"",IF(INDEX(UCRETLER!$D$7:$D$606,$U24)="","",IF(INDEX(UCRETLER!$F$7:$F$606,$U24)="Aylık",EOMONTH(INDEX(UCRETLER!$D$7:$D$606,$U24),$V24-1),INDEX(UCRETLER!$U$7:$U$606,$U24)+7*($V24-1))))</f>
        <v>46387</v>
      </c>
      <c r="X24" s="79">
        <f>IF($U24=0,0,INDEX(UCRETLER!$G$7:$G$606,$U24))</f>
        <v>3000</v>
      </c>
      <c r="Y24" s="1">
        <f t="shared" ca="1" si="8"/>
        <v>4621800248</v>
      </c>
      <c r="Z24" s="1">
        <f t="shared" ca="1" si="9"/>
        <v>248</v>
      </c>
      <c r="AA24" s="1"/>
      <c r="AB24" s="1"/>
      <c r="AC24" s="1"/>
      <c r="AD24" s="1"/>
    </row>
    <row r="25" spans="1:30" ht="19.5" customHeight="1" x14ac:dyDescent="0.3">
      <c r="A25" s="2"/>
      <c r="B25" s="86">
        <f t="shared" ca="1" si="0"/>
        <v>14</v>
      </c>
      <c r="C25" s="87">
        <f t="shared" ca="1" si="1"/>
        <v>46234</v>
      </c>
      <c r="D25" s="88" t="str">
        <f t="shared" ca="1" si="2"/>
        <v>Temmuz 2026 aylık muhasebe hizmet ücreti</v>
      </c>
      <c r="E25" s="86" t="str">
        <f t="shared" ca="1" si="3"/>
        <v>TAHAKKUK</v>
      </c>
      <c r="F25" s="89">
        <f t="shared" ca="1" si="4"/>
        <v>3000</v>
      </c>
      <c r="G25" s="89">
        <f t="shared" ca="1" si="5"/>
        <v>0</v>
      </c>
      <c r="H25" s="89">
        <f t="shared" ca="1" si="6"/>
        <v>0</v>
      </c>
      <c r="I25" s="2"/>
      <c r="J25" s="2"/>
      <c r="K25" s="1"/>
      <c r="L25" s="1"/>
      <c r="M25" s="1">
        <v>14</v>
      </c>
      <c r="N25" s="90" t="str">
        <f ca="1">IF(OR($U25=0,$W25="",$X25&lt;=0),"",IF($W25&gt;TODAY(),"",IF(AND(INDEX(UCRETLER!$E$7:$E$606,$U25)&lt;&gt;"",$W25&gt;INDEX(UCRETLER!$E$7:$E$606,$U25)),"",$W25)))</f>
        <v/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 t="str">
        <f t="shared" ca="1" si="10"/>
        <v/>
      </c>
      <c r="Q25" s="1"/>
      <c r="R25" s="79">
        <f t="shared" ca="1" si="11"/>
        <v>0</v>
      </c>
      <c r="S25" s="1">
        <v>0</v>
      </c>
      <c r="T25" s="1">
        <f t="shared" ca="1" si="7"/>
        <v>10000000000</v>
      </c>
      <c r="U25" s="1">
        <f t="shared" si="12"/>
        <v>49</v>
      </c>
      <c r="V25" s="1">
        <v>13</v>
      </c>
      <c r="W25" s="90">
        <f>IF($U25=0,"",IF(INDEX(UCRETLER!$D$7:$D$606,$U25)="","",IF(INDEX(UCRETLER!$F$7:$F$606,$U25)="Aylık",EOMONTH(INDEX(UCRETLER!$D$7:$D$606,$U25),$V25-1),INDEX(UCRETLER!$U$7:$U$606,$U25)+7*($V25-1))))</f>
        <v>46418</v>
      </c>
      <c r="X25" s="79">
        <f>IF($U25=0,0,INDEX(UCRETLER!$G$7:$G$606,$U25))</f>
        <v>3000</v>
      </c>
      <c r="Y25" s="1">
        <f t="shared" ca="1" si="8"/>
        <v>4623400008</v>
      </c>
      <c r="Z25" s="1">
        <f t="shared" ca="1" si="9"/>
        <v>8</v>
      </c>
      <c r="AA25" s="1"/>
      <c r="AB25" s="1"/>
      <c r="AC25" s="1"/>
      <c r="AD25" s="1"/>
    </row>
    <row r="26" spans="1:30" ht="19.5" customHeight="1" x14ac:dyDescent="0.3">
      <c r="A26" s="2"/>
      <c r="B26" s="86">
        <f t="shared" ca="1" si="0"/>
        <v>15</v>
      </c>
      <c r="C26" s="87">
        <f t="shared" ca="1" si="1"/>
        <v>46249</v>
      </c>
      <c r="D26" s="88" t="str">
        <f t="shared" ca="1" si="2"/>
        <v>Ödeme  –  Nakit  (ÖMER KARTAL) / NAKİT ÖDENEN</v>
      </c>
      <c r="E26" s="86" t="str">
        <f t="shared" ca="1" si="3"/>
        <v>ÖDEME</v>
      </c>
      <c r="F26" s="89">
        <f t="shared" ca="1" si="4"/>
        <v>0</v>
      </c>
      <c r="G26" s="89">
        <f t="shared" ca="1" si="5"/>
        <v>3000</v>
      </c>
      <c r="H26" s="89">
        <f t="shared" ca="1" si="6"/>
        <v>-3000</v>
      </c>
      <c r="I26" s="2"/>
      <c r="J26" s="2"/>
      <c r="K26" s="1"/>
      <c r="L26" s="1"/>
      <c r="M26" s="1">
        <v>15</v>
      </c>
      <c r="N26" s="90" t="str">
        <f ca="1">IF(OR($U26=0,$W26="",$X26&lt;=0),"",IF($W26&gt;TODAY(),"",IF(AND(INDEX(UCRETLER!$E$7:$E$606,$U26)&lt;&gt;"",$W26&gt;INDEX(UCRETLER!$E$7:$E$606,$U26)),"",$W26)))</f>
        <v/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 t="str">
        <f t="shared" ca="1" si="10"/>
        <v/>
      </c>
      <c r="Q26" s="1"/>
      <c r="R26" s="79">
        <f t="shared" ca="1" si="11"/>
        <v>0</v>
      </c>
      <c r="S26" s="1">
        <v>0</v>
      </c>
      <c r="T26" s="1">
        <f t="shared" ca="1" si="7"/>
        <v>10000000000</v>
      </c>
      <c r="U26" s="1">
        <f t="shared" si="12"/>
        <v>49</v>
      </c>
      <c r="V26" s="1">
        <v>14</v>
      </c>
      <c r="W26" s="90">
        <f>IF($U26=0,"",IF(INDEX(UCRETLER!$D$7:$D$606,$U26)="","",IF(INDEX(UCRETLER!$F$7:$F$606,$U26)="Aylık",EOMONTH(INDEX(UCRETLER!$D$7:$D$606,$U26),$V26-1),INDEX(UCRETLER!$U$7:$U$606,$U26)+7*($V26-1))))</f>
        <v>46446</v>
      </c>
      <c r="X26" s="79">
        <f>IF($U26=0,0,INDEX(UCRETLER!$G$7:$G$606,$U26))</f>
        <v>3000</v>
      </c>
      <c r="Y26" s="1">
        <f t="shared" ca="1" si="8"/>
        <v>4624900249</v>
      </c>
      <c r="Z26" s="1">
        <f t="shared" ca="1" si="9"/>
        <v>249</v>
      </c>
      <c r="AA26" s="1"/>
      <c r="AB26" s="1"/>
      <c r="AC26" s="1"/>
      <c r="AD26" s="1"/>
    </row>
    <row r="27" spans="1:30" ht="19.5" customHeight="1" x14ac:dyDescent="0.3">
      <c r="A27" s="2"/>
      <c r="B27" s="86" t="str">
        <f t="shared" ca="1" si="0"/>
        <v/>
      </c>
      <c r="C27" s="87" t="str">
        <f t="shared" ca="1" si="1"/>
        <v/>
      </c>
      <c r="D27" s="88" t="str">
        <f t="shared" ca="1" si="2"/>
        <v/>
      </c>
      <c r="E27" s="86" t="str">
        <f t="shared" ca="1" si="3"/>
        <v/>
      </c>
      <c r="F27" s="89" t="str">
        <f t="shared" ca="1" si="4"/>
        <v/>
      </c>
      <c r="G27" s="89" t="str">
        <f t="shared" ca="1" si="5"/>
        <v/>
      </c>
      <c r="H27" s="89" t="str">
        <f t="shared" ca="1" si="6"/>
        <v/>
      </c>
      <c r="I27" s="2"/>
      <c r="J27" s="2"/>
      <c r="K27" s="1"/>
      <c r="L27" s="1"/>
      <c r="M27" s="1">
        <v>16</v>
      </c>
      <c r="N27" s="90" t="str">
        <f ca="1">IF(OR($U27=0,$W27="",$X27&lt;=0),"",IF($W27&gt;TODAY(),"",IF(AND(INDEX(UCRETLER!$E$7:$E$606,$U27)&lt;&gt;"",$W27&gt;INDEX(UCRETLER!$E$7:$E$606,$U27)),"",$W27)))</f>
        <v/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 t="str">
        <f t="shared" ca="1" si="10"/>
        <v/>
      </c>
      <c r="Q27" s="1"/>
      <c r="R27" s="79">
        <f t="shared" ca="1" si="11"/>
        <v>0</v>
      </c>
      <c r="S27" s="1">
        <v>0</v>
      </c>
      <c r="T27" s="1">
        <f t="shared" ca="1" si="7"/>
        <v>10000000000</v>
      </c>
      <c r="U27" s="1">
        <f t="shared" si="12"/>
        <v>49</v>
      </c>
      <c r="V27" s="1">
        <v>15</v>
      </c>
      <c r="W27" s="90">
        <f>IF($U27=0,"",IF(INDEX(UCRETLER!$D$7:$D$606,$U27)="","",IF(INDEX(UCRETLER!$F$7:$F$606,$U27)="Aylık",EOMONTH(INDEX(UCRETLER!$D$7:$D$606,$U27),$V27-1),INDEX(UCRETLER!$U$7:$U$606,$U27)+7*($V27-1))))</f>
        <v>46477</v>
      </c>
      <c r="X27" s="79">
        <f>IF($U27=0,0,INDEX(UCRETLER!$G$7:$G$606,$U27))</f>
        <v>3000</v>
      </c>
      <c r="Y27" s="1">
        <f t="shared" ca="1" si="8"/>
        <v>10000000000</v>
      </c>
      <c r="Z27" s="1">
        <f t="shared" ca="1" si="9"/>
        <v>1</v>
      </c>
      <c r="AA27" s="1"/>
      <c r="AB27" s="1"/>
      <c r="AC27" s="1"/>
      <c r="AD27" s="1"/>
    </row>
    <row r="28" spans="1:30" ht="19.5" customHeight="1" x14ac:dyDescent="0.3">
      <c r="A28" s="2"/>
      <c r="B28" s="86" t="str">
        <f t="shared" ca="1" si="0"/>
        <v/>
      </c>
      <c r="C28" s="87" t="str">
        <f t="shared" ca="1" si="1"/>
        <v/>
      </c>
      <c r="D28" s="88" t="str">
        <f t="shared" ca="1" si="2"/>
        <v/>
      </c>
      <c r="E28" s="86" t="str">
        <f t="shared" ca="1" si="3"/>
        <v/>
      </c>
      <c r="F28" s="89" t="str">
        <f t="shared" ca="1" si="4"/>
        <v/>
      </c>
      <c r="G28" s="89" t="str">
        <f t="shared" ca="1" si="5"/>
        <v/>
      </c>
      <c r="H28" s="89" t="str">
        <f t="shared" ca="1" si="6"/>
        <v/>
      </c>
      <c r="I28" s="2"/>
      <c r="J28" s="2"/>
      <c r="K28" s="1"/>
      <c r="L28" s="1"/>
      <c r="M28" s="1">
        <v>17</v>
      </c>
      <c r="N28" s="90" t="str">
        <f ca="1">IF(OR($U28=0,$W28="",$X28&lt;=0),"",IF($W28&gt;TODAY(),"",IF(AND(INDEX(UCRETLER!$E$7:$E$606,$U28)&lt;&gt;"",$W28&gt;INDEX(UCRETLER!$E$7:$E$606,$U28)),"",$W28)))</f>
        <v/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 t="str">
        <f t="shared" ca="1" si="10"/>
        <v/>
      </c>
      <c r="Q28" s="1"/>
      <c r="R28" s="79">
        <f t="shared" ca="1" si="11"/>
        <v>0</v>
      </c>
      <c r="S28" s="1">
        <v>0</v>
      </c>
      <c r="T28" s="1">
        <f t="shared" ca="1" si="7"/>
        <v>10000000000</v>
      </c>
      <c r="U28" s="1">
        <f t="shared" si="12"/>
        <v>49</v>
      </c>
      <c r="V28" s="1">
        <v>16</v>
      </c>
      <c r="W28" s="90">
        <f>IF($U28=0,"",IF(INDEX(UCRETLER!$D$7:$D$606,$U28)="","",IF(INDEX(UCRETLER!$F$7:$F$606,$U28)="Aylık",EOMONTH(INDEX(UCRETLER!$D$7:$D$606,$U28),$V28-1),INDEX(UCRETLER!$U$7:$U$606,$U28)+7*($V28-1))))</f>
        <v>46507</v>
      </c>
      <c r="X28" s="79">
        <f>IF($U28=0,0,INDEX(UCRETLER!$G$7:$G$606,$U28))</f>
        <v>3000</v>
      </c>
      <c r="Y28" s="1">
        <f t="shared" ca="1" si="8"/>
        <v>10000000000</v>
      </c>
      <c r="Z28" s="1">
        <f t="shared" ca="1" si="9"/>
        <v>1</v>
      </c>
      <c r="AA28" s="1"/>
      <c r="AB28" s="1"/>
      <c r="AC28" s="1"/>
      <c r="AD28" s="1"/>
    </row>
    <row r="29" spans="1:30" ht="19.5" customHeight="1" x14ac:dyDescent="0.3">
      <c r="A29" s="2"/>
      <c r="B29" s="86" t="str">
        <f t="shared" ca="1" si="0"/>
        <v/>
      </c>
      <c r="C29" s="87" t="str">
        <f t="shared" ca="1" si="1"/>
        <v/>
      </c>
      <c r="D29" s="88" t="str">
        <f t="shared" ca="1" si="2"/>
        <v/>
      </c>
      <c r="E29" s="86" t="str">
        <f t="shared" ca="1" si="3"/>
        <v/>
      </c>
      <c r="F29" s="89" t="str">
        <f t="shared" ca="1" si="4"/>
        <v/>
      </c>
      <c r="G29" s="89" t="str">
        <f t="shared" ca="1" si="5"/>
        <v/>
      </c>
      <c r="H29" s="89" t="str">
        <f t="shared" ca="1" si="6"/>
        <v/>
      </c>
      <c r="I29" s="2"/>
      <c r="J29" s="2"/>
      <c r="K29" s="1"/>
      <c r="L29" s="1"/>
      <c r="M29" s="1">
        <v>18</v>
      </c>
      <c r="N29" s="90" t="str">
        <f ca="1">IF(OR($U29=0,$W29="",$X29&lt;=0),"",IF($W29&gt;TODAY(),"",IF(AND(INDEX(UCRETLER!$E$7:$E$606,$U29)&lt;&gt;"",$W29&gt;INDEX(UCRETLER!$E$7:$E$606,$U29)),"",$W29)))</f>
        <v/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 t="str">
        <f t="shared" ca="1" si="10"/>
        <v/>
      </c>
      <c r="Q29" s="1"/>
      <c r="R29" s="79">
        <f t="shared" ca="1" si="11"/>
        <v>0</v>
      </c>
      <c r="S29" s="1">
        <v>0</v>
      </c>
      <c r="T29" s="1">
        <f t="shared" ca="1" si="7"/>
        <v>10000000000</v>
      </c>
      <c r="U29" s="1">
        <f t="shared" si="12"/>
        <v>49</v>
      </c>
      <c r="V29" s="1">
        <v>17</v>
      </c>
      <c r="W29" s="90">
        <f>IF($U29=0,"",IF(INDEX(UCRETLER!$D$7:$D$606,$U29)="","",IF(INDEX(UCRETLER!$F$7:$F$606,$U29)="Aylık",EOMONTH(INDEX(UCRETLER!$D$7:$D$606,$U29),$V29-1),INDEX(UCRETLER!$U$7:$U$606,$U29)+7*($V29-1))))</f>
        <v>46538</v>
      </c>
      <c r="X29" s="79">
        <f>IF($U29=0,0,INDEX(UCRETLER!$G$7:$G$606,$U29))</f>
        <v>3000</v>
      </c>
      <c r="Y29" s="1">
        <f t="shared" ca="1" si="8"/>
        <v>10000000000</v>
      </c>
      <c r="Z29" s="1">
        <f t="shared" ca="1" si="9"/>
        <v>1</v>
      </c>
      <c r="AA29" s="1"/>
      <c r="AB29" s="1"/>
      <c r="AC29" s="1"/>
      <c r="AD29" s="1"/>
    </row>
    <row r="30" spans="1:30" ht="19.5" customHeight="1" x14ac:dyDescent="0.3">
      <c r="A30" s="2"/>
      <c r="B30" s="86" t="str">
        <f t="shared" ca="1" si="0"/>
        <v/>
      </c>
      <c r="C30" s="87" t="str">
        <f t="shared" ca="1" si="1"/>
        <v/>
      </c>
      <c r="D30" s="88" t="str">
        <f t="shared" ca="1" si="2"/>
        <v/>
      </c>
      <c r="E30" s="86" t="str">
        <f t="shared" ca="1" si="3"/>
        <v/>
      </c>
      <c r="F30" s="89" t="str">
        <f t="shared" ca="1" si="4"/>
        <v/>
      </c>
      <c r="G30" s="89" t="str">
        <f t="shared" ca="1" si="5"/>
        <v/>
      </c>
      <c r="H30" s="89" t="str">
        <f t="shared" ca="1" si="6"/>
        <v/>
      </c>
      <c r="I30" s="2"/>
      <c r="J30" s="2"/>
      <c r="K30" s="1"/>
      <c r="L30" s="1"/>
      <c r="M30" s="1">
        <v>19</v>
      </c>
      <c r="N30" s="90" t="str">
        <f ca="1">IF(OR($U30=0,$W30="",$X30&lt;=0),"",IF($W30&gt;TODAY(),"",IF(AND(INDEX(UCRETLER!$E$7:$E$606,$U30)&lt;&gt;"",$W30&gt;INDEX(UCRETLER!$E$7:$E$606,$U30)),"",$W30)))</f>
        <v/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 t="str">
        <f t="shared" ca="1" si="10"/>
        <v/>
      </c>
      <c r="Q30" s="1"/>
      <c r="R30" s="79">
        <f t="shared" ca="1" si="11"/>
        <v>0</v>
      </c>
      <c r="S30" s="1">
        <v>0</v>
      </c>
      <c r="T30" s="1">
        <f t="shared" ca="1" si="7"/>
        <v>10000000000</v>
      </c>
      <c r="U30" s="1">
        <f t="shared" si="12"/>
        <v>49</v>
      </c>
      <c r="V30" s="1">
        <v>18</v>
      </c>
      <c r="W30" s="90">
        <f>IF($U30=0,"",IF(INDEX(UCRETLER!$D$7:$D$606,$U30)="","",IF(INDEX(UCRETLER!$F$7:$F$606,$U30)="Aylık",EOMONTH(INDEX(UCRETLER!$D$7:$D$606,$U30),$V30-1),INDEX(UCRETLER!$U$7:$U$606,$U30)+7*($V30-1))))</f>
        <v>46568</v>
      </c>
      <c r="X30" s="79">
        <f>IF($U30=0,0,INDEX(UCRETLER!$G$7:$G$606,$U30))</f>
        <v>3000</v>
      </c>
      <c r="Y30" s="1">
        <f t="shared" ca="1" si="8"/>
        <v>10000000000</v>
      </c>
      <c r="Z30" s="1">
        <f t="shared" ca="1" si="9"/>
        <v>1</v>
      </c>
      <c r="AA30" s="1"/>
      <c r="AB30" s="1"/>
      <c r="AC30" s="1"/>
      <c r="AD30" s="1"/>
    </row>
    <row r="31" spans="1:30" ht="19.5" customHeight="1" x14ac:dyDescent="0.3">
      <c r="A31" s="2"/>
      <c r="B31" s="86" t="str">
        <f t="shared" ca="1" si="0"/>
        <v/>
      </c>
      <c r="C31" s="87" t="str">
        <f t="shared" ca="1" si="1"/>
        <v/>
      </c>
      <c r="D31" s="88" t="str">
        <f t="shared" ca="1" si="2"/>
        <v/>
      </c>
      <c r="E31" s="86" t="str">
        <f t="shared" ca="1" si="3"/>
        <v/>
      </c>
      <c r="F31" s="89" t="str">
        <f t="shared" ca="1" si="4"/>
        <v/>
      </c>
      <c r="G31" s="89" t="str">
        <f t="shared" ca="1" si="5"/>
        <v/>
      </c>
      <c r="H31" s="89" t="str">
        <f t="shared" ca="1" si="6"/>
        <v/>
      </c>
      <c r="I31" s="2"/>
      <c r="J31" s="2"/>
      <c r="K31" s="1"/>
      <c r="L31" s="1"/>
      <c r="M31" s="1">
        <v>20</v>
      </c>
      <c r="N31" s="90" t="str">
        <f ca="1">IF(OR($U31=0,$W31="",$X31&lt;=0),"",IF($W31&gt;TODAY(),"",IF(AND(INDEX(UCRETLER!$E$7:$E$606,$U31)&lt;&gt;"",$W31&gt;INDEX(UCRETLER!$E$7:$E$606,$U31)),"",$W31)))</f>
        <v/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 t="str">
        <f t="shared" ca="1" si="10"/>
        <v/>
      </c>
      <c r="Q31" s="1"/>
      <c r="R31" s="79">
        <f t="shared" ca="1" si="11"/>
        <v>0</v>
      </c>
      <c r="S31" s="1">
        <v>0</v>
      </c>
      <c r="T31" s="1">
        <f t="shared" ca="1" si="7"/>
        <v>10000000000</v>
      </c>
      <c r="U31" s="1">
        <f t="shared" si="12"/>
        <v>49</v>
      </c>
      <c r="V31" s="1">
        <v>19</v>
      </c>
      <c r="W31" s="90">
        <f>IF($U31=0,"",IF(INDEX(UCRETLER!$D$7:$D$606,$U31)="","",IF(INDEX(UCRETLER!$F$7:$F$606,$U31)="Aylık",EOMONTH(INDEX(UCRETLER!$D$7:$D$606,$U31),$V31-1),INDEX(UCRETLER!$U$7:$U$606,$U31)+7*($V31-1))))</f>
        <v>46599</v>
      </c>
      <c r="X31" s="79">
        <f>IF($U31=0,0,INDEX(UCRETLER!$G$7:$G$606,$U31))</f>
        <v>3000</v>
      </c>
      <c r="Y31" s="1">
        <f t="shared" ca="1" si="8"/>
        <v>10000000000</v>
      </c>
      <c r="Z31" s="1">
        <f t="shared" ca="1" si="9"/>
        <v>1</v>
      </c>
      <c r="AA31" s="1"/>
      <c r="AB31" s="1"/>
      <c r="AC31" s="1"/>
      <c r="AD31" s="1"/>
    </row>
    <row r="32" spans="1:30" ht="19.5" customHeight="1" x14ac:dyDescent="0.3">
      <c r="A32" s="2"/>
      <c r="B32" s="86" t="str">
        <f t="shared" ca="1" si="0"/>
        <v/>
      </c>
      <c r="C32" s="87" t="str">
        <f t="shared" ca="1" si="1"/>
        <v/>
      </c>
      <c r="D32" s="88" t="str">
        <f t="shared" ca="1" si="2"/>
        <v/>
      </c>
      <c r="E32" s="86" t="str">
        <f t="shared" ca="1" si="3"/>
        <v/>
      </c>
      <c r="F32" s="89" t="str">
        <f t="shared" ca="1" si="4"/>
        <v/>
      </c>
      <c r="G32" s="89" t="str">
        <f t="shared" ca="1" si="5"/>
        <v/>
      </c>
      <c r="H32" s="89" t="str">
        <f t="shared" ca="1" si="6"/>
        <v/>
      </c>
      <c r="I32" s="2"/>
      <c r="J32" s="2"/>
      <c r="K32" s="1"/>
      <c r="L32" s="1"/>
      <c r="M32" s="1">
        <v>21</v>
      </c>
      <c r="N32" s="90" t="str">
        <f ca="1">IF(OR($U32=0,$W32="",$X32&lt;=0),"",IF($W32&gt;TODAY(),"",IF(AND(INDEX(UCRETLER!$E$7:$E$606,$U32)&lt;&gt;"",$W32&gt;INDEX(UCRETLER!$E$7:$E$606,$U32)),"",$W32)))</f>
        <v/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 t="str">
        <f t="shared" ca="1" si="10"/>
        <v/>
      </c>
      <c r="Q32" s="1"/>
      <c r="R32" s="79">
        <f t="shared" ca="1" si="11"/>
        <v>0</v>
      </c>
      <c r="S32" s="1">
        <v>0</v>
      </c>
      <c r="T32" s="1">
        <f t="shared" ca="1" si="7"/>
        <v>10000000000</v>
      </c>
      <c r="U32" s="1">
        <f t="shared" si="12"/>
        <v>49</v>
      </c>
      <c r="V32" s="1">
        <v>20</v>
      </c>
      <c r="W32" s="90">
        <f>IF($U32=0,"",IF(INDEX(UCRETLER!$D$7:$D$606,$U32)="","",IF(INDEX(UCRETLER!$F$7:$F$606,$U32)="Aylık",EOMONTH(INDEX(UCRETLER!$D$7:$D$606,$U32),$V32-1),INDEX(UCRETLER!$U$7:$U$606,$U32)+7*($V32-1))))</f>
        <v>46630</v>
      </c>
      <c r="X32" s="79">
        <f>IF($U32=0,0,INDEX(UCRETLER!$G$7:$G$606,$U32))</f>
        <v>3000</v>
      </c>
      <c r="Y32" s="1">
        <f t="shared" ca="1" si="8"/>
        <v>10000000000</v>
      </c>
      <c r="Z32" s="1">
        <f t="shared" ca="1" si="9"/>
        <v>1</v>
      </c>
      <c r="AA32" s="1"/>
      <c r="AB32" s="1"/>
      <c r="AC32" s="1"/>
      <c r="AD32" s="1"/>
    </row>
    <row r="33" spans="1:30" ht="19.5" customHeight="1" x14ac:dyDescent="0.3">
      <c r="A33" s="2"/>
      <c r="B33" s="86" t="str">
        <f t="shared" ca="1" si="0"/>
        <v/>
      </c>
      <c r="C33" s="87" t="str">
        <f t="shared" ca="1" si="1"/>
        <v/>
      </c>
      <c r="D33" s="88" t="str">
        <f t="shared" ca="1" si="2"/>
        <v/>
      </c>
      <c r="E33" s="86" t="str">
        <f t="shared" ca="1" si="3"/>
        <v/>
      </c>
      <c r="F33" s="89" t="str">
        <f t="shared" ca="1" si="4"/>
        <v/>
      </c>
      <c r="G33" s="89" t="str">
        <f t="shared" ca="1" si="5"/>
        <v/>
      </c>
      <c r="H33" s="89" t="str">
        <f t="shared" ca="1" si="6"/>
        <v/>
      </c>
      <c r="I33" s="2"/>
      <c r="J33" s="2"/>
      <c r="K33" s="1"/>
      <c r="L33" s="1"/>
      <c r="M33" s="1">
        <v>22</v>
      </c>
      <c r="N33" s="90" t="str">
        <f ca="1">IF(OR($U33=0,$W33="",$X33&lt;=0),"",IF($W33&gt;TODAY(),"",IF(AND(INDEX(UCRETLER!$E$7:$E$606,$U33)&lt;&gt;"",$W33&gt;INDEX(UCRETLER!$E$7:$E$606,$U33)),"",$W33)))</f>
        <v/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 t="str">
        <f t="shared" ca="1" si="10"/>
        <v/>
      </c>
      <c r="Q33" s="1"/>
      <c r="R33" s="79">
        <f t="shared" ca="1" si="11"/>
        <v>0</v>
      </c>
      <c r="S33" s="1">
        <v>0</v>
      </c>
      <c r="T33" s="1">
        <f t="shared" ca="1" si="7"/>
        <v>10000000000</v>
      </c>
      <c r="U33" s="1">
        <f t="shared" si="12"/>
        <v>49</v>
      </c>
      <c r="V33" s="1">
        <v>21</v>
      </c>
      <c r="W33" s="90">
        <f>IF($U33=0,"",IF(INDEX(UCRETLER!$D$7:$D$606,$U33)="","",IF(INDEX(UCRETLER!$F$7:$F$606,$U33)="Aylık",EOMONTH(INDEX(UCRETLER!$D$7:$D$606,$U33),$V33-1),INDEX(UCRETLER!$U$7:$U$606,$U33)+7*($V33-1))))</f>
        <v>46660</v>
      </c>
      <c r="X33" s="79">
        <f>IF($U33=0,0,INDEX(UCRETLER!$G$7:$G$606,$U33))</f>
        <v>3000</v>
      </c>
      <c r="Y33" s="1">
        <f t="shared" ca="1" si="8"/>
        <v>10000000000</v>
      </c>
      <c r="Z33" s="1">
        <f t="shared" ca="1" si="9"/>
        <v>1</v>
      </c>
      <c r="AA33" s="1"/>
      <c r="AB33" s="1"/>
      <c r="AC33" s="1"/>
      <c r="AD33" s="1"/>
    </row>
    <row r="34" spans="1:30" ht="19.5" customHeight="1" x14ac:dyDescent="0.3">
      <c r="A34" s="2"/>
      <c r="B34" s="86" t="str">
        <f t="shared" ca="1" si="0"/>
        <v/>
      </c>
      <c r="C34" s="87" t="str">
        <f t="shared" ca="1" si="1"/>
        <v/>
      </c>
      <c r="D34" s="88" t="str">
        <f t="shared" ca="1" si="2"/>
        <v/>
      </c>
      <c r="E34" s="86" t="str">
        <f t="shared" ca="1" si="3"/>
        <v/>
      </c>
      <c r="F34" s="89" t="str">
        <f t="shared" ca="1" si="4"/>
        <v/>
      </c>
      <c r="G34" s="89" t="str">
        <f t="shared" ca="1" si="5"/>
        <v/>
      </c>
      <c r="H34" s="89" t="str">
        <f t="shared" ca="1" si="6"/>
        <v/>
      </c>
      <c r="I34" s="2"/>
      <c r="J34" s="2"/>
      <c r="K34" s="1"/>
      <c r="L34" s="1"/>
      <c r="M34" s="1">
        <v>23</v>
      </c>
      <c r="N34" s="90" t="str">
        <f ca="1">IF(OR($U34=0,$W34="",$X34&lt;=0),"",IF($W34&gt;TODAY(),"",IF(AND(INDEX(UCRETLER!$E$7:$E$606,$U34)&lt;&gt;"",$W34&gt;INDEX(UCRETLER!$E$7:$E$606,$U34)),"",$W34)))</f>
        <v/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 t="str">
        <f t="shared" ca="1" si="10"/>
        <v/>
      </c>
      <c r="Q34" s="1"/>
      <c r="R34" s="79">
        <f t="shared" ca="1" si="11"/>
        <v>0</v>
      </c>
      <c r="S34" s="1">
        <v>0</v>
      </c>
      <c r="T34" s="1">
        <f t="shared" ca="1" si="7"/>
        <v>10000000000</v>
      </c>
      <c r="U34" s="1">
        <f t="shared" si="12"/>
        <v>49</v>
      </c>
      <c r="V34" s="1">
        <v>22</v>
      </c>
      <c r="W34" s="90">
        <f>IF($U34=0,"",IF(INDEX(UCRETLER!$D$7:$D$606,$U34)="","",IF(INDEX(UCRETLER!$F$7:$F$606,$U34)="Aylık",EOMONTH(INDEX(UCRETLER!$D$7:$D$606,$U34),$V34-1),INDEX(UCRETLER!$U$7:$U$606,$U34)+7*($V34-1))))</f>
        <v>46691</v>
      </c>
      <c r="X34" s="79">
        <f>IF($U34=0,0,INDEX(UCRETLER!$G$7:$G$606,$U34))</f>
        <v>3000</v>
      </c>
      <c r="Y34" s="1">
        <f t="shared" ca="1" si="8"/>
        <v>10000000000</v>
      </c>
      <c r="Z34" s="1">
        <f t="shared" ca="1" si="9"/>
        <v>1</v>
      </c>
      <c r="AA34" s="1"/>
      <c r="AB34" s="1"/>
      <c r="AC34" s="1"/>
      <c r="AD34" s="1"/>
    </row>
    <row r="35" spans="1:30" ht="19.5" customHeight="1" x14ac:dyDescent="0.3">
      <c r="A35" s="2"/>
      <c r="B35" s="86" t="str">
        <f t="shared" ca="1" si="0"/>
        <v/>
      </c>
      <c r="C35" s="87" t="str">
        <f t="shared" ca="1" si="1"/>
        <v/>
      </c>
      <c r="D35" s="88" t="str">
        <f t="shared" ca="1" si="2"/>
        <v/>
      </c>
      <c r="E35" s="86" t="str">
        <f t="shared" ca="1" si="3"/>
        <v/>
      </c>
      <c r="F35" s="89" t="str">
        <f t="shared" ca="1" si="4"/>
        <v/>
      </c>
      <c r="G35" s="89" t="str">
        <f t="shared" ca="1" si="5"/>
        <v/>
      </c>
      <c r="H35" s="89" t="str">
        <f t="shared" ca="1" si="6"/>
        <v/>
      </c>
      <c r="I35" s="2"/>
      <c r="J35" s="2"/>
      <c r="K35" s="1"/>
      <c r="L35" s="1"/>
      <c r="M35" s="1">
        <v>24</v>
      </c>
      <c r="N35" s="90" t="str">
        <f ca="1">IF(OR($U35=0,$W35="",$X35&lt;=0),"",IF($W35&gt;TODAY(),"",IF(AND(INDEX(UCRETLER!$E$7:$E$606,$U35)&lt;&gt;"",$W35&gt;INDEX(UCRETLER!$E$7:$E$606,$U35)),"",$W35)))</f>
        <v/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 t="str">
        <f t="shared" ca="1" si="10"/>
        <v/>
      </c>
      <c r="Q35" s="1"/>
      <c r="R35" s="79">
        <f t="shared" ca="1" si="11"/>
        <v>0</v>
      </c>
      <c r="S35" s="1">
        <v>0</v>
      </c>
      <c r="T35" s="1">
        <f t="shared" ca="1" si="7"/>
        <v>10000000000</v>
      </c>
      <c r="U35" s="1">
        <f t="shared" si="12"/>
        <v>49</v>
      </c>
      <c r="V35" s="1">
        <v>23</v>
      </c>
      <c r="W35" s="90">
        <f>IF($U35=0,"",IF(INDEX(UCRETLER!$D$7:$D$606,$U35)="","",IF(INDEX(UCRETLER!$F$7:$F$606,$U35)="Aylık",EOMONTH(INDEX(UCRETLER!$D$7:$D$606,$U35),$V35-1),INDEX(UCRETLER!$U$7:$U$606,$U35)+7*($V35-1))))</f>
        <v>46721</v>
      </c>
      <c r="X35" s="79">
        <f>IF($U35=0,0,INDEX(UCRETLER!$G$7:$G$606,$U35))</f>
        <v>3000</v>
      </c>
      <c r="Y35" s="1">
        <f t="shared" ca="1" si="8"/>
        <v>10000000000</v>
      </c>
      <c r="Z35" s="1">
        <f t="shared" ca="1" si="9"/>
        <v>1</v>
      </c>
      <c r="AA35" s="1"/>
      <c r="AB35" s="1"/>
      <c r="AC35" s="1"/>
      <c r="AD35" s="1"/>
    </row>
    <row r="36" spans="1:30" ht="19.5" customHeight="1" x14ac:dyDescent="0.3">
      <c r="A36" s="2"/>
      <c r="B36" s="86" t="str">
        <f t="shared" ca="1" si="0"/>
        <v/>
      </c>
      <c r="C36" s="87" t="str">
        <f t="shared" ca="1" si="1"/>
        <v/>
      </c>
      <c r="D36" s="88" t="str">
        <f t="shared" ca="1" si="2"/>
        <v/>
      </c>
      <c r="E36" s="86" t="str">
        <f t="shared" ca="1" si="3"/>
        <v/>
      </c>
      <c r="F36" s="89" t="str">
        <f t="shared" ca="1" si="4"/>
        <v/>
      </c>
      <c r="G36" s="89" t="str">
        <f t="shared" ca="1" si="5"/>
        <v/>
      </c>
      <c r="H36" s="89" t="str">
        <f t="shared" ca="1" si="6"/>
        <v/>
      </c>
      <c r="I36" s="2"/>
      <c r="J36" s="2"/>
      <c r="K36" s="1"/>
      <c r="L36" s="1"/>
      <c r="M36" s="1">
        <v>25</v>
      </c>
      <c r="N36" s="90" t="str">
        <f ca="1">IF(OR($U36=0,$W36="",$X36&lt;=0),"",IF($W36&gt;TODAY(),"",IF(AND(INDEX(UCRETLER!$E$7:$E$606,$U36)&lt;&gt;"",$W36&gt;INDEX(UCRETLER!$E$7:$E$606,$U36)),"",$W36)))</f>
        <v/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 t="str">
        <f t="shared" ca="1" si="10"/>
        <v/>
      </c>
      <c r="Q36" s="1"/>
      <c r="R36" s="79">
        <f t="shared" ca="1" si="11"/>
        <v>0</v>
      </c>
      <c r="S36" s="1">
        <v>0</v>
      </c>
      <c r="T36" s="1">
        <f t="shared" ca="1" si="7"/>
        <v>10000000000</v>
      </c>
      <c r="U36" s="1">
        <f t="shared" si="12"/>
        <v>49</v>
      </c>
      <c r="V36" s="1">
        <v>24</v>
      </c>
      <c r="W36" s="90">
        <f>IF($U36=0,"",IF(INDEX(UCRETLER!$D$7:$D$606,$U36)="","",IF(INDEX(UCRETLER!$F$7:$F$606,$U36)="Aylık",EOMONTH(INDEX(UCRETLER!$D$7:$D$606,$U36),$V36-1),INDEX(UCRETLER!$U$7:$U$606,$U36)+7*($V36-1))))</f>
        <v>46752</v>
      </c>
      <c r="X36" s="79">
        <f>IF($U36=0,0,INDEX(UCRETLER!$G$7:$G$606,$U36))</f>
        <v>3000</v>
      </c>
      <c r="Y36" s="1">
        <f t="shared" ca="1" si="8"/>
        <v>10000000000</v>
      </c>
      <c r="Z36" s="1">
        <f t="shared" ca="1" si="9"/>
        <v>1</v>
      </c>
      <c r="AA36" s="1"/>
      <c r="AB36" s="1"/>
      <c r="AC36" s="1"/>
      <c r="AD36" s="1"/>
    </row>
    <row r="37" spans="1:30" ht="19.5" customHeight="1" x14ac:dyDescent="0.3">
      <c r="A37" s="2"/>
      <c r="B37" s="86" t="str">
        <f t="shared" ca="1" si="0"/>
        <v/>
      </c>
      <c r="C37" s="87" t="str">
        <f t="shared" ca="1" si="1"/>
        <v/>
      </c>
      <c r="D37" s="88" t="str">
        <f t="shared" ca="1" si="2"/>
        <v/>
      </c>
      <c r="E37" s="86" t="str">
        <f t="shared" ca="1" si="3"/>
        <v/>
      </c>
      <c r="F37" s="89" t="str">
        <f t="shared" ca="1" si="4"/>
        <v/>
      </c>
      <c r="G37" s="89" t="str">
        <f t="shared" ca="1" si="5"/>
        <v/>
      </c>
      <c r="H37" s="89" t="str">
        <f t="shared" ca="1" si="6"/>
        <v/>
      </c>
      <c r="I37" s="2"/>
      <c r="J37" s="2"/>
      <c r="K37" s="1"/>
      <c r="L37" s="1"/>
      <c r="M37" s="1">
        <v>26</v>
      </c>
      <c r="N37" s="90" t="str">
        <f ca="1">IF(OR($U37=0,$W37="",$X37&lt;=0),"",IF($W37&gt;TODAY(),"",IF(AND(INDEX(UCRETLER!$E$7:$E$606,$U37)&lt;&gt;"",$W37&gt;INDEX(UCRETLER!$E$7:$E$606,$U37)),"",$W37)))</f>
        <v/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 t="str">
        <f t="shared" ca="1" si="10"/>
        <v/>
      </c>
      <c r="Q37" s="1"/>
      <c r="R37" s="79">
        <f t="shared" ca="1" si="11"/>
        <v>0</v>
      </c>
      <c r="S37" s="1">
        <v>0</v>
      </c>
      <c r="T37" s="1">
        <f t="shared" ca="1" si="7"/>
        <v>10000000000</v>
      </c>
      <c r="U37" s="1">
        <f t="shared" si="12"/>
        <v>49</v>
      </c>
      <c r="V37" s="1">
        <v>25</v>
      </c>
      <c r="W37" s="90">
        <f>IF($U37=0,"",IF(INDEX(UCRETLER!$D$7:$D$606,$U37)="","",IF(INDEX(UCRETLER!$F$7:$F$606,$U37)="Aylık",EOMONTH(INDEX(UCRETLER!$D$7:$D$606,$U37),$V37-1),INDEX(UCRETLER!$U$7:$U$606,$U37)+7*($V37-1))))</f>
        <v>46783</v>
      </c>
      <c r="X37" s="79">
        <f>IF($U37=0,0,INDEX(UCRETLER!$G$7:$G$606,$U37))</f>
        <v>3000</v>
      </c>
      <c r="Y37" s="1">
        <f t="shared" ca="1" si="8"/>
        <v>10000000000</v>
      </c>
      <c r="Z37" s="1">
        <f t="shared" ca="1" si="9"/>
        <v>1</v>
      </c>
      <c r="AA37" s="1"/>
      <c r="AB37" s="1"/>
      <c r="AC37" s="1"/>
      <c r="AD37" s="1"/>
    </row>
    <row r="38" spans="1:30" ht="19.5" customHeight="1" x14ac:dyDescent="0.3">
      <c r="A38" s="2"/>
      <c r="B38" s="86" t="str">
        <f t="shared" ca="1" si="0"/>
        <v/>
      </c>
      <c r="C38" s="87" t="str">
        <f t="shared" ca="1" si="1"/>
        <v/>
      </c>
      <c r="D38" s="88" t="str">
        <f t="shared" ca="1" si="2"/>
        <v/>
      </c>
      <c r="E38" s="86" t="str">
        <f t="shared" ca="1" si="3"/>
        <v/>
      </c>
      <c r="F38" s="89" t="str">
        <f t="shared" ca="1" si="4"/>
        <v/>
      </c>
      <c r="G38" s="89" t="str">
        <f t="shared" ca="1" si="5"/>
        <v/>
      </c>
      <c r="H38" s="89" t="str">
        <f t="shared" ca="1" si="6"/>
        <v/>
      </c>
      <c r="I38" s="2"/>
      <c r="J38" s="2"/>
      <c r="K38" s="1"/>
      <c r="L38" s="1"/>
      <c r="M38" s="1">
        <v>27</v>
      </c>
      <c r="N38" s="90" t="str">
        <f ca="1">IF(OR($U38=0,$W38="",$X38&lt;=0),"",IF($W38&gt;TODAY(),"",IF(AND(INDEX(UCRETLER!$E$7:$E$606,$U38)&lt;&gt;"",$W38&gt;INDEX(UCRETLER!$E$7:$E$606,$U38)),"",$W38)))</f>
        <v/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 t="str">
        <f t="shared" ca="1" si="10"/>
        <v/>
      </c>
      <c r="Q38" s="1"/>
      <c r="R38" s="79">
        <f t="shared" ca="1" si="11"/>
        <v>0</v>
      </c>
      <c r="S38" s="1">
        <v>0</v>
      </c>
      <c r="T38" s="1">
        <f t="shared" ca="1" si="7"/>
        <v>10000000000</v>
      </c>
      <c r="U38" s="1">
        <f t="shared" si="12"/>
        <v>49</v>
      </c>
      <c r="V38" s="1">
        <v>26</v>
      </c>
      <c r="W38" s="90">
        <f>IF($U38=0,"",IF(INDEX(UCRETLER!$D$7:$D$606,$U38)="","",IF(INDEX(UCRETLER!$F$7:$F$606,$U38)="Aylık",EOMONTH(INDEX(UCRETLER!$D$7:$D$606,$U38),$V38-1),INDEX(UCRETLER!$U$7:$U$606,$U38)+7*($V38-1))))</f>
        <v>46812</v>
      </c>
      <c r="X38" s="79">
        <f>IF($U38=0,0,INDEX(UCRETLER!$G$7:$G$606,$U38))</f>
        <v>3000</v>
      </c>
      <c r="Y38" s="1">
        <f t="shared" ca="1" si="8"/>
        <v>10000000000</v>
      </c>
      <c r="Z38" s="1">
        <f t="shared" ca="1" si="9"/>
        <v>1</v>
      </c>
      <c r="AA38" s="1"/>
      <c r="AB38" s="1"/>
      <c r="AC38" s="1"/>
      <c r="AD38" s="1"/>
    </row>
    <row r="39" spans="1:30" ht="19.5" customHeight="1" x14ac:dyDescent="0.3">
      <c r="A39" s="2"/>
      <c r="B39" s="86" t="str">
        <f t="shared" ca="1" si="0"/>
        <v/>
      </c>
      <c r="C39" s="87" t="str">
        <f t="shared" ca="1" si="1"/>
        <v/>
      </c>
      <c r="D39" s="88" t="str">
        <f t="shared" ca="1" si="2"/>
        <v/>
      </c>
      <c r="E39" s="86" t="str">
        <f t="shared" ca="1" si="3"/>
        <v/>
      </c>
      <c r="F39" s="89" t="str">
        <f t="shared" ca="1" si="4"/>
        <v/>
      </c>
      <c r="G39" s="89" t="str">
        <f t="shared" ca="1" si="5"/>
        <v/>
      </c>
      <c r="H39" s="89" t="str">
        <f t="shared" ca="1" si="6"/>
        <v/>
      </c>
      <c r="I39" s="2"/>
      <c r="J39" s="2"/>
      <c r="K39" s="1"/>
      <c r="L39" s="1"/>
      <c r="M39" s="1">
        <v>28</v>
      </c>
      <c r="N39" s="90" t="str">
        <f ca="1">IF(OR($U39=0,$W39="",$X39&lt;=0),"",IF($W39&gt;TODAY(),"",IF(AND(INDEX(UCRETLER!$E$7:$E$606,$U39)&lt;&gt;"",$W39&gt;INDEX(UCRETLER!$E$7:$E$606,$U39)),"",$W39)))</f>
        <v/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 t="str">
        <f t="shared" ca="1" si="10"/>
        <v/>
      </c>
      <c r="Q39" s="1"/>
      <c r="R39" s="79">
        <f t="shared" ca="1" si="11"/>
        <v>0</v>
      </c>
      <c r="S39" s="1">
        <v>0</v>
      </c>
      <c r="T39" s="1">
        <f t="shared" ca="1" si="7"/>
        <v>10000000000</v>
      </c>
      <c r="U39" s="1">
        <f t="shared" si="12"/>
        <v>49</v>
      </c>
      <c r="V39" s="1">
        <v>27</v>
      </c>
      <c r="W39" s="90">
        <f>IF($U39=0,"",IF(INDEX(UCRETLER!$D$7:$D$606,$U39)="","",IF(INDEX(UCRETLER!$F$7:$F$606,$U39)="Aylık",EOMONTH(INDEX(UCRETLER!$D$7:$D$606,$U39),$V39-1),INDEX(UCRETLER!$U$7:$U$606,$U39)+7*($V39-1))))</f>
        <v>46843</v>
      </c>
      <c r="X39" s="79">
        <f>IF($U39=0,0,INDEX(UCRETLER!$G$7:$G$606,$U39))</f>
        <v>3000</v>
      </c>
      <c r="Y39" s="1">
        <f t="shared" ca="1" si="8"/>
        <v>10000000000</v>
      </c>
      <c r="Z39" s="1">
        <f t="shared" ca="1" si="9"/>
        <v>1</v>
      </c>
      <c r="AA39" s="1"/>
      <c r="AB39" s="1"/>
      <c r="AC39" s="1"/>
      <c r="AD39" s="1"/>
    </row>
    <row r="40" spans="1:30" ht="19.5" customHeight="1" x14ac:dyDescent="0.3">
      <c r="A40" s="2"/>
      <c r="B40" s="86" t="str">
        <f t="shared" ca="1" si="0"/>
        <v/>
      </c>
      <c r="C40" s="87" t="str">
        <f t="shared" ca="1" si="1"/>
        <v/>
      </c>
      <c r="D40" s="88" t="str">
        <f t="shared" ca="1" si="2"/>
        <v/>
      </c>
      <c r="E40" s="86" t="str">
        <f t="shared" ca="1" si="3"/>
        <v/>
      </c>
      <c r="F40" s="89" t="str">
        <f t="shared" ca="1" si="4"/>
        <v/>
      </c>
      <c r="G40" s="89" t="str">
        <f t="shared" ca="1" si="5"/>
        <v/>
      </c>
      <c r="H40" s="89" t="str">
        <f t="shared" ca="1" si="6"/>
        <v/>
      </c>
      <c r="I40" s="2"/>
      <c r="J40" s="2"/>
      <c r="K40" s="1"/>
      <c r="L40" s="1"/>
      <c r="M40" s="1">
        <v>29</v>
      </c>
      <c r="N40" s="90" t="str">
        <f ca="1">IF(OR($U40=0,$W40="",$X40&lt;=0),"",IF($W40&gt;TODAY(),"",IF(AND(INDEX(UCRETLER!$E$7:$E$606,$U40)&lt;&gt;"",$W40&gt;INDEX(UCRETLER!$E$7:$E$606,$U40)),"",$W40)))</f>
        <v/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 t="str">
        <f t="shared" ca="1" si="10"/>
        <v/>
      </c>
      <c r="Q40" s="1"/>
      <c r="R40" s="79">
        <f t="shared" ca="1" si="11"/>
        <v>0</v>
      </c>
      <c r="S40" s="1">
        <v>0</v>
      </c>
      <c r="T40" s="1">
        <f t="shared" ca="1" si="7"/>
        <v>10000000000</v>
      </c>
      <c r="U40" s="1">
        <f t="shared" si="12"/>
        <v>49</v>
      </c>
      <c r="V40" s="1">
        <v>28</v>
      </c>
      <c r="W40" s="90">
        <f>IF($U40=0,"",IF(INDEX(UCRETLER!$D$7:$D$606,$U40)="","",IF(INDEX(UCRETLER!$F$7:$F$606,$U40)="Aylık",EOMONTH(INDEX(UCRETLER!$D$7:$D$606,$U40),$V40-1),INDEX(UCRETLER!$U$7:$U$606,$U40)+7*($V40-1))))</f>
        <v>46873</v>
      </c>
      <c r="X40" s="79">
        <f>IF($U40=0,0,INDEX(UCRETLER!$G$7:$G$606,$U40))</f>
        <v>3000</v>
      </c>
      <c r="Y40" s="1">
        <f t="shared" ca="1" si="8"/>
        <v>10000000000</v>
      </c>
      <c r="Z40" s="1">
        <f t="shared" ca="1" si="9"/>
        <v>1</v>
      </c>
      <c r="AA40" s="1"/>
      <c r="AB40" s="1"/>
      <c r="AC40" s="1"/>
      <c r="AD40" s="1"/>
    </row>
    <row r="41" spans="1:30" ht="19.5" customHeight="1" x14ac:dyDescent="0.3">
      <c r="A41" s="2"/>
      <c r="B41" s="86" t="str">
        <f t="shared" ca="1" si="0"/>
        <v/>
      </c>
      <c r="C41" s="87" t="str">
        <f t="shared" ca="1" si="1"/>
        <v/>
      </c>
      <c r="D41" s="88" t="str">
        <f t="shared" ca="1" si="2"/>
        <v/>
      </c>
      <c r="E41" s="86" t="str">
        <f t="shared" ca="1" si="3"/>
        <v/>
      </c>
      <c r="F41" s="89" t="str">
        <f t="shared" ca="1" si="4"/>
        <v/>
      </c>
      <c r="G41" s="89" t="str">
        <f t="shared" ca="1" si="5"/>
        <v/>
      </c>
      <c r="H41" s="89" t="str">
        <f t="shared" ca="1" si="6"/>
        <v/>
      </c>
      <c r="I41" s="2"/>
      <c r="J41" s="2"/>
      <c r="K41" s="1"/>
      <c r="L41" s="1"/>
      <c r="M41" s="1">
        <v>30</v>
      </c>
      <c r="N41" s="90" t="str">
        <f ca="1">IF(OR($U41=0,$W41="",$X41&lt;=0),"",IF($W41&gt;TODAY(),"",IF(AND(INDEX(UCRETLER!$E$7:$E$606,$U41)&lt;&gt;"",$W41&gt;INDEX(UCRETLER!$E$7:$E$606,$U41)),"",$W41)))</f>
        <v/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 t="str">
        <f t="shared" ca="1" si="10"/>
        <v/>
      </c>
      <c r="Q41" s="1"/>
      <c r="R41" s="79">
        <f t="shared" ca="1" si="11"/>
        <v>0</v>
      </c>
      <c r="S41" s="1">
        <v>0</v>
      </c>
      <c r="T41" s="1">
        <f t="shared" ca="1" si="7"/>
        <v>10000000000</v>
      </c>
      <c r="U41" s="1">
        <f t="shared" si="12"/>
        <v>49</v>
      </c>
      <c r="V41" s="1">
        <v>29</v>
      </c>
      <c r="W41" s="90">
        <f>IF($U41=0,"",IF(INDEX(UCRETLER!$D$7:$D$606,$U41)="","",IF(INDEX(UCRETLER!$F$7:$F$606,$U41)="Aylık",EOMONTH(INDEX(UCRETLER!$D$7:$D$606,$U41),$V41-1),INDEX(UCRETLER!$U$7:$U$606,$U41)+7*($V41-1))))</f>
        <v>46904</v>
      </c>
      <c r="X41" s="79">
        <f>IF($U41=0,0,INDEX(UCRETLER!$G$7:$G$606,$U41))</f>
        <v>3000</v>
      </c>
      <c r="Y41" s="1">
        <f t="shared" ca="1" si="8"/>
        <v>10000000000</v>
      </c>
      <c r="Z41" s="1">
        <f t="shared" ca="1" si="9"/>
        <v>1</v>
      </c>
      <c r="AA41" s="1"/>
      <c r="AB41" s="1"/>
      <c r="AC41" s="1"/>
      <c r="AD41" s="1"/>
    </row>
    <row r="42" spans="1:30" ht="19.5" customHeight="1" x14ac:dyDescent="0.3">
      <c r="A42" s="2"/>
      <c r="B42" s="86" t="str">
        <f t="shared" ca="1" si="0"/>
        <v/>
      </c>
      <c r="C42" s="87" t="str">
        <f t="shared" ca="1" si="1"/>
        <v/>
      </c>
      <c r="D42" s="88" t="str">
        <f t="shared" ca="1" si="2"/>
        <v/>
      </c>
      <c r="E42" s="86" t="str">
        <f t="shared" ca="1" si="3"/>
        <v/>
      </c>
      <c r="F42" s="89" t="str">
        <f t="shared" ca="1" si="4"/>
        <v/>
      </c>
      <c r="G42" s="89" t="str">
        <f t="shared" ca="1" si="5"/>
        <v/>
      </c>
      <c r="H42" s="89" t="str">
        <f t="shared" ca="1" si="6"/>
        <v/>
      </c>
      <c r="I42" s="2"/>
      <c r="J42" s="2"/>
      <c r="K42" s="1"/>
      <c r="L42" s="1"/>
      <c r="M42" s="1">
        <v>31</v>
      </c>
      <c r="N42" s="90" t="str">
        <f ca="1">IF(OR($U42=0,$W42="",$X42&lt;=0),"",IF($W42&gt;TODAY(),"",IF(AND(INDEX(UCRETLER!$E$7:$E$606,$U42)&lt;&gt;"",$W42&gt;INDEX(UCRETLER!$E$7:$E$606,$U42)),"",$W42)))</f>
        <v/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 t="str">
        <f t="shared" ca="1" si="10"/>
        <v/>
      </c>
      <c r="Q42" s="1"/>
      <c r="R42" s="79">
        <f t="shared" ca="1" si="11"/>
        <v>0</v>
      </c>
      <c r="S42" s="1">
        <v>0</v>
      </c>
      <c r="T42" s="1">
        <f t="shared" ca="1" si="7"/>
        <v>10000000000</v>
      </c>
      <c r="U42" s="1">
        <f t="shared" si="12"/>
        <v>49</v>
      </c>
      <c r="V42" s="1">
        <v>30</v>
      </c>
      <c r="W42" s="90">
        <f>IF($U42=0,"",IF(INDEX(UCRETLER!$D$7:$D$606,$U42)="","",IF(INDEX(UCRETLER!$F$7:$F$606,$U42)="Aylık",EOMONTH(INDEX(UCRETLER!$D$7:$D$606,$U42),$V42-1),INDEX(UCRETLER!$U$7:$U$606,$U42)+7*($V42-1))))</f>
        <v>46934</v>
      </c>
      <c r="X42" s="79">
        <f>IF($U42=0,0,INDEX(UCRETLER!$G$7:$G$606,$U42))</f>
        <v>3000</v>
      </c>
      <c r="Y42" s="1">
        <f t="shared" ca="1" si="8"/>
        <v>10000000000</v>
      </c>
      <c r="Z42" s="1">
        <f t="shared" ca="1" si="9"/>
        <v>1</v>
      </c>
      <c r="AA42" s="1"/>
      <c r="AB42" s="1"/>
      <c r="AC42" s="1"/>
      <c r="AD42" s="1"/>
    </row>
    <row r="43" spans="1:30" ht="19.5" customHeight="1" x14ac:dyDescent="0.3">
      <c r="A43" s="2"/>
      <c r="B43" s="86" t="str">
        <f t="shared" ca="1" si="0"/>
        <v/>
      </c>
      <c r="C43" s="87" t="str">
        <f t="shared" ca="1" si="1"/>
        <v/>
      </c>
      <c r="D43" s="88" t="str">
        <f t="shared" ca="1" si="2"/>
        <v/>
      </c>
      <c r="E43" s="86" t="str">
        <f t="shared" ca="1" si="3"/>
        <v/>
      </c>
      <c r="F43" s="89" t="str">
        <f t="shared" ca="1" si="4"/>
        <v/>
      </c>
      <c r="G43" s="89" t="str">
        <f t="shared" ca="1" si="5"/>
        <v/>
      </c>
      <c r="H43" s="89" t="str">
        <f t="shared" ca="1" si="6"/>
        <v/>
      </c>
      <c r="I43" s="2"/>
      <c r="J43" s="2"/>
      <c r="K43" s="1"/>
      <c r="L43" s="1"/>
      <c r="M43" s="1">
        <v>32</v>
      </c>
      <c r="N43" s="90" t="str">
        <f ca="1">IF(OR($U43=0,$W43="",$X43&lt;=0),"",IF($W43&gt;TODAY(),"",IF(AND(INDEX(UCRETLER!$E$7:$E$606,$U43)&lt;&gt;"",$W43&gt;INDEX(UCRETLER!$E$7:$E$606,$U43)),"",$W43)))</f>
        <v/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 t="str">
        <f t="shared" ca="1" si="10"/>
        <v/>
      </c>
      <c r="Q43" s="1"/>
      <c r="R43" s="79">
        <f t="shared" ca="1" si="11"/>
        <v>0</v>
      </c>
      <c r="S43" s="1">
        <v>0</v>
      </c>
      <c r="T43" s="1">
        <f t="shared" ca="1" si="7"/>
        <v>10000000000</v>
      </c>
      <c r="U43" s="1">
        <f t="shared" si="12"/>
        <v>49</v>
      </c>
      <c r="V43" s="1">
        <v>31</v>
      </c>
      <c r="W43" s="90">
        <f>IF($U43=0,"",IF(INDEX(UCRETLER!$D$7:$D$606,$U43)="","",IF(INDEX(UCRETLER!$F$7:$F$606,$U43)="Aylık",EOMONTH(INDEX(UCRETLER!$D$7:$D$606,$U43),$V43-1),INDEX(UCRETLER!$U$7:$U$606,$U43)+7*($V43-1))))</f>
        <v>46965</v>
      </c>
      <c r="X43" s="79">
        <f>IF($U43=0,0,INDEX(UCRETLER!$G$7:$G$606,$U43))</f>
        <v>3000</v>
      </c>
      <c r="Y43" s="1">
        <f t="shared" ca="1" si="8"/>
        <v>10000000000</v>
      </c>
      <c r="Z43" s="1">
        <f t="shared" ca="1" si="9"/>
        <v>1</v>
      </c>
      <c r="AA43" s="1"/>
      <c r="AB43" s="1"/>
      <c r="AC43" s="1"/>
      <c r="AD43" s="1"/>
    </row>
    <row r="44" spans="1:30" ht="19.5" customHeight="1" x14ac:dyDescent="0.3">
      <c r="A44" s="2"/>
      <c r="B44" s="86" t="str">
        <f t="shared" ca="1" si="0"/>
        <v/>
      </c>
      <c r="C44" s="87" t="str">
        <f t="shared" ca="1" si="1"/>
        <v/>
      </c>
      <c r="D44" s="88" t="str">
        <f t="shared" ca="1" si="2"/>
        <v/>
      </c>
      <c r="E44" s="86" t="str">
        <f t="shared" ca="1" si="3"/>
        <v/>
      </c>
      <c r="F44" s="89" t="str">
        <f t="shared" ca="1" si="4"/>
        <v/>
      </c>
      <c r="G44" s="89" t="str">
        <f t="shared" ca="1" si="5"/>
        <v/>
      </c>
      <c r="H44" s="89" t="str">
        <f t="shared" ca="1" si="6"/>
        <v/>
      </c>
      <c r="I44" s="2"/>
      <c r="J44" s="2"/>
      <c r="K44" s="1"/>
      <c r="L44" s="1"/>
      <c r="M44" s="1">
        <v>33</v>
      </c>
      <c r="N44" s="90" t="str">
        <f ca="1">IF(OR($U44=0,$W44="",$X44&lt;=0),"",IF($W44&gt;TODAY(),"",IF(AND(INDEX(UCRETLER!$E$7:$E$606,$U44)&lt;&gt;"",$W44&gt;INDEX(UCRETLER!$E$7:$E$606,$U44)),"",$W44)))</f>
        <v/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 t="str">
        <f t="shared" ca="1" si="10"/>
        <v/>
      </c>
      <c r="Q44" s="1"/>
      <c r="R44" s="79">
        <f t="shared" ca="1" si="11"/>
        <v>0</v>
      </c>
      <c r="S44" s="1">
        <v>0</v>
      </c>
      <c r="T44" s="1">
        <f t="shared" ca="1" si="7"/>
        <v>10000000000</v>
      </c>
      <c r="U44" s="1">
        <f t="shared" si="12"/>
        <v>49</v>
      </c>
      <c r="V44" s="1">
        <v>32</v>
      </c>
      <c r="W44" s="90">
        <f>IF($U44=0,"",IF(INDEX(UCRETLER!$D$7:$D$606,$U44)="","",IF(INDEX(UCRETLER!$F$7:$F$606,$U44)="Aylık",EOMONTH(INDEX(UCRETLER!$D$7:$D$606,$U44),$V44-1),INDEX(UCRETLER!$U$7:$U$606,$U44)+7*($V44-1))))</f>
        <v>46996</v>
      </c>
      <c r="X44" s="79">
        <f>IF($U44=0,0,INDEX(UCRETLER!$G$7:$G$606,$U44))</f>
        <v>3000</v>
      </c>
      <c r="Y44" s="1">
        <f t="shared" ca="1" si="8"/>
        <v>10000000000</v>
      </c>
      <c r="Z44" s="1">
        <f t="shared" ca="1" si="9"/>
        <v>1</v>
      </c>
      <c r="AA44" s="1"/>
      <c r="AB44" s="1"/>
      <c r="AC44" s="1"/>
      <c r="AD44" s="1"/>
    </row>
    <row r="45" spans="1:30" ht="19.5" customHeight="1" x14ac:dyDescent="0.3">
      <c r="A45" s="2"/>
      <c r="B45" s="86" t="str">
        <f t="shared" ca="1" si="0"/>
        <v/>
      </c>
      <c r="C45" s="87" t="str">
        <f t="shared" ca="1" si="1"/>
        <v/>
      </c>
      <c r="D45" s="88" t="str">
        <f t="shared" ca="1" si="2"/>
        <v/>
      </c>
      <c r="E45" s="86" t="str">
        <f t="shared" ca="1" si="3"/>
        <v/>
      </c>
      <c r="F45" s="89" t="str">
        <f t="shared" ca="1" si="4"/>
        <v/>
      </c>
      <c r="G45" s="89" t="str">
        <f t="shared" ca="1" si="5"/>
        <v/>
      </c>
      <c r="H45" s="89" t="str">
        <f t="shared" ca="1" si="6"/>
        <v/>
      </c>
      <c r="I45" s="2"/>
      <c r="J45" s="2"/>
      <c r="K45" s="1"/>
      <c r="L45" s="1"/>
      <c r="M45" s="1">
        <v>34</v>
      </c>
      <c r="N45" s="90" t="str">
        <f ca="1">IF(OR($U45=0,$W45="",$X45&lt;=0),"",IF($W45&gt;TODAY(),"",IF(AND(INDEX(UCRETLER!$E$7:$E$606,$U45)&lt;&gt;"",$W45&gt;INDEX(UCRETLER!$E$7:$E$606,$U45)),"",$W45)))</f>
        <v/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 t="str">
        <f t="shared" ca="1" si="10"/>
        <v/>
      </c>
      <c r="Q45" s="1"/>
      <c r="R45" s="79">
        <f t="shared" ca="1" si="11"/>
        <v>0</v>
      </c>
      <c r="S45" s="1">
        <v>0</v>
      </c>
      <c r="T45" s="1">
        <f t="shared" ca="1" si="7"/>
        <v>10000000000</v>
      </c>
      <c r="U45" s="1">
        <f t="shared" ref="U45:U76" si="13">$AB$4</f>
        <v>49</v>
      </c>
      <c r="V45" s="1">
        <v>33</v>
      </c>
      <c r="W45" s="90">
        <f>IF($U45=0,"",IF(INDEX(UCRETLER!$D$7:$D$606,$U45)="","",IF(INDEX(UCRETLER!$F$7:$F$606,$U45)="Aylık",EOMONTH(INDEX(UCRETLER!$D$7:$D$606,$U45),$V45-1),INDEX(UCRETLER!$U$7:$U$606,$U45)+7*($V45-1))))</f>
        <v>47026</v>
      </c>
      <c r="X45" s="79">
        <f>IF($U45=0,0,INDEX(UCRETLER!$G$7:$G$606,$U45))</f>
        <v>3000</v>
      </c>
      <c r="Y45" s="1">
        <f t="shared" ca="1" si="8"/>
        <v>10000000000</v>
      </c>
      <c r="Z45" s="1">
        <f t="shared" ca="1" si="9"/>
        <v>1</v>
      </c>
      <c r="AA45" s="1"/>
      <c r="AB45" s="1"/>
      <c r="AC45" s="1"/>
      <c r="AD45" s="1"/>
    </row>
    <row r="46" spans="1:30" ht="19.5" customHeight="1" x14ac:dyDescent="0.3">
      <c r="A46" s="2"/>
      <c r="B46" s="86" t="str">
        <f t="shared" ca="1" si="0"/>
        <v/>
      </c>
      <c r="C46" s="87" t="str">
        <f t="shared" ca="1" si="1"/>
        <v/>
      </c>
      <c r="D46" s="88" t="str">
        <f t="shared" ca="1" si="2"/>
        <v/>
      </c>
      <c r="E46" s="86" t="str">
        <f t="shared" ca="1" si="3"/>
        <v/>
      </c>
      <c r="F46" s="89" t="str">
        <f t="shared" ca="1" si="4"/>
        <v/>
      </c>
      <c r="G46" s="89" t="str">
        <f t="shared" ca="1" si="5"/>
        <v/>
      </c>
      <c r="H46" s="89" t="str">
        <f t="shared" ca="1" si="6"/>
        <v/>
      </c>
      <c r="I46" s="2"/>
      <c r="J46" s="2"/>
      <c r="K46" s="1"/>
      <c r="L46" s="1"/>
      <c r="M46" s="1">
        <v>35</v>
      </c>
      <c r="N46" s="90" t="str">
        <f ca="1">IF(OR($U46=0,$W46="",$X46&lt;=0),"",IF($W46&gt;TODAY(),"",IF(AND(INDEX(UCRETLER!$E$7:$E$606,$U46)&lt;&gt;"",$W46&gt;INDEX(UCRETLER!$E$7:$E$606,$U46)),"",$W46)))</f>
        <v/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 t="str">
        <f t="shared" ca="1" si="10"/>
        <v/>
      </c>
      <c r="Q46" s="1"/>
      <c r="R46" s="79">
        <f t="shared" ca="1" si="11"/>
        <v>0</v>
      </c>
      <c r="S46" s="1">
        <v>0</v>
      </c>
      <c r="T46" s="1">
        <f t="shared" ca="1" si="7"/>
        <v>10000000000</v>
      </c>
      <c r="U46" s="1">
        <f t="shared" si="13"/>
        <v>49</v>
      </c>
      <c r="V46" s="1">
        <v>34</v>
      </c>
      <c r="W46" s="90">
        <f>IF($U46=0,"",IF(INDEX(UCRETLER!$D$7:$D$606,$U46)="","",IF(INDEX(UCRETLER!$F$7:$F$606,$U46)="Aylık",EOMONTH(INDEX(UCRETLER!$D$7:$D$606,$U46),$V46-1),INDEX(UCRETLER!$U$7:$U$606,$U46)+7*($V46-1))))</f>
        <v>47057</v>
      </c>
      <c r="X46" s="79">
        <f>IF($U46=0,0,INDEX(UCRETLER!$G$7:$G$606,$U46))</f>
        <v>3000</v>
      </c>
      <c r="Y46" s="1">
        <f t="shared" ca="1" si="8"/>
        <v>10000000000</v>
      </c>
      <c r="Z46" s="1">
        <f t="shared" ca="1" si="9"/>
        <v>1</v>
      </c>
      <c r="AA46" s="1"/>
      <c r="AB46" s="1"/>
      <c r="AC46" s="1"/>
      <c r="AD46" s="1"/>
    </row>
    <row r="47" spans="1:30" ht="19.5" customHeight="1" x14ac:dyDescent="0.3">
      <c r="A47" s="2"/>
      <c r="B47" s="86" t="str">
        <f t="shared" ca="1" si="0"/>
        <v/>
      </c>
      <c r="C47" s="87" t="str">
        <f t="shared" ca="1" si="1"/>
        <v/>
      </c>
      <c r="D47" s="88" t="str">
        <f t="shared" ca="1" si="2"/>
        <v/>
      </c>
      <c r="E47" s="86" t="str">
        <f t="shared" ca="1" si="3"/>
        <v/>
      </c>
      <c r="F47" s="89" t="str">
        <f t="shared" ca="1" si="4"/>
        <v/>
      </c>
      <c r="G47" s="89" t="str">
        <f t="shared" ca="1" si="5"/>
        <v/>
      </c>
      <c r="H47" s="89" t="str">
        <f t="shared" ca="1" si="6"/>
        <v/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49</v>
      </c>
      <c r="V47" s="1">
        <v>35</v>
      </c>
      <c r="W47" s="90">
        <f>IF($U47=0,"",IF(INDEX(UCRETLER!$D$7:$D$606,$U47)="","",IF(INDEX(UCRETLER!$F$7:$F$606,$U47)="Aylık",EOMONTH(INDEX(UCRETLER!$D$7:$D$606,$U47),$V47-1),INDEX(UCRETLER!$U$7:$U$606,$U47)+7*($V47-1))))</f>
        <v>47087</v>
      </c>
      <c r="X47" s="79">
        <f>IF($U47=0,0,INDEX(UCRETLER!$G$7:$G$606,$U47))</f>
        <v>3000</v>
      </c>
      <c r="Y47" s="1">
        <f t="shared" ca="1" si="8"/>
        <v>10000000000</v>
      </c>
      <c r="Z47" s="1">
        <f t="shared" ca="1" si="9"/>
        <v>1</v>
      </c>
      <c r="AA47" s="1"/>
      <c r="AB47" s="1"/>
      <c r="AC47" s="1"/>
      <c r="AD47" s="1"/>
    </row>
    <row r="48" spans="1:30" ht="19.5" customHeight="1" x14ac:dyDescent="0.3">
      <c r="A48" s="2"/>
      <c r="B48" s="86" t="str">
        <f t="shared" ca="1" si="0"/>
        <v/>
      </c>
      <c r="C48" s="87" t="str">
        <f t="shared" ca="1" si="1"/>
        <v/>
      </c>
      <c r="D48" s="88" t="str">
        <f t="shared" ca="1" si="2"/>
        <v/>
      </c>
      <c r="E48" s="86" t="str">
        <f t="shared" ca="1" si="3"/>
        <v/>
      </c>
      <c r="F48" s="89" t="str">
        <f t="shared" ca="1" si="4"/>
        <v/>
      </c>
      <c r="G48" s="89" t="str">
        <f t="shared" ca="1" si="5"/>
        <v/>
      </c>
      <c r="H48" s="89" t="str">
        <f t="shared" ca="1" si="6"/>
        <v/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49</v>
      </c>
      <c r="V48" s="1">
        <v>36</v>
      </c>
      <c r="W48" s="90">
        <f>IF($U48=0,"",IF(INDEX(UCRETLER!$D$7:$D$606,$U48)="","",IF(INDEX(UCRETLER!$F$7:$F$606,$U48)="Aylık",EOMONTH(INDEX(UCRETLER!$D$7:$D$606,$U48),$V48-1),INDEX(UCRETLER!$U$7:$U$606,$U48)+7*($V48-1))))</f>
        <v>47118</v>
      </c>
      <c r="X48" s="79">
        <f>IF($U48=0,0,INDEX(UCRETLER!$G$7:$G$606,$U48))</f>
        <v>3000</v>
      </c>
      <c r="Y48" s="1">
        <f t="shared" ca="1" si="8"/>
        <v>10000000000</v>
      </c>
      <c r="Z48" s="1">
        <f t="shared" ca="1" si="9"/>
        <v>1</v>
      </c>
      <c r="AA48" s="1"/>
      <c r="AB48" s="1"/>
      <c r="AC48" s="1"/>
      <c r="AD48" s="1"/>
    </row>
    <row r="49" spans="1:30" ht="19.5" customHeight="1" x14ac:dyDescent="0.3">
      <c r="A49" s="2"/>
      <c r="B49" s="86" t="str">
        <f t="shared" ca="1" si="0"/>
        <v/>
      </c>
      <c r="C49" s="87" t="str">
        <f t="shared" ca="1" si="1"/>
        <v/>
      </c>
      <c r="D49" s="88" t="str">
        <f t="shared" ca="1" si="2"/>
        <v/>
      </c>
      <c r="E49" s="86" t="str">
        <f t="shared" ca="1" si="3"/>
        <v/>
      </c>
      <c r="F49" s="89" t="str">
        <f t="shared" ca="1" si="4"/>
        <v/>
      </c>
      <c r="G49" s="89" t="str">
        <f t="shared" ca="1" si="5"/>
        <v/>
      </c>
      <c r="H49" s="89" t="str">
        <f t="shared" ca="1" si="6"/>
        <v/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49</v>
      </c>
      <c r="V49" s="1">
        <v>37</v>
      </c>
      <c r="W49" s="90">
        <f>IF($U49=0,"",IF(INDEX(UCRETLER!$D$7:$D$606,$U49)="","",IF(INDEX(UCRETLER!$F$7:$F$606,$U49)="Aylık",EOMONTH(INDEX(UCRETLER!$D$7:$D$606,$U49),$V49-1),INDEX(UCRETLER!$U$7:$U$606,$U49)+7*($V49-1))))</f>
        <v>47149</v>
      </c>
      <c r="X49" s="79">
        <f>IF($U49=0,0,INDEX(UCRETLER!$G$7:$G$606,$U49))</f>
        <v>3000</v>
      </c>
      <c r="Y49" s="1">
        <f t="shared" ca="1" si="8"/>
        <v>10000000000</v>
      </c>
      <c r="Z49" s="1">
        <f t="shared" ca="1" si="9"/>
        <v>1</v>
      </c>
      <c r="AA49" s="1"/>
      <c r="AB49" s="1"/>
      <c r="AC49" s="1"/>
      <c r="AD49" s="1"/>
    </row>
    <row r="50" spans="1:30" ht="19.5" customHeight="1" x14ac:dyDescent="0.3">
      <c r="A50" s="2"/>
      <c r="B50" s="86" t="str">
        <f t="shared" ca="1" si="0"/>
        <v/>
      </c>
      <c r="C50" s="87" t="str">
        <f t="shared" ca="1" si="1"/>
        <v/>
      </c>
      <c r="D50" s="88" t="str">
        <f t="shared" ca="1" si="2"/>
        <v/>
      </c>
      <c r="E50" s="86" t="str">
        <f t="shared" ca="1" si="3"/>
        <v/>
      </c>
      <c r="F50" s="89" t="str">
        <f t="shared" ca="1" si="4"/>
        <v/>
      </c>
      <c r="G50" s="89" t="str">
        <f t="shared" ca="1" si="5"/>
        <v/>
      </c>
      <c r="H50" s="89" t="str">
        <f t="shared" ca="1" si="6"/>
        <v/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49</v>
      </c>
      <c r="V50" s="1">
        <v>38</v>
      </c>
      <c r="W50" s="90">
        <f>IF($U50=0,"",IF(INDEX(UCRETLER!$D$7:$D$606,$U50)="","",IF(INDEX(UCRETLER!$F$7:$F$606,$U50)="Aylık",EOMONTH(INDEX(UCRETLER!$D$7:$D$606,$U50),$V50-1),INDEX(UCRETLER!$U$7:$U$606,$U50)+7*($V50-1))))</f>
        <v>47177</v>
      </c>
      <c r="X50" s="79">
        <f>IF($U50=0,0,INDEX(UCRETLER!$G$7:$G$606,$U50))</f>
        <v>3000</v>
      </c>
      <c r="Y50" s="1">
        <f t="shared" ca="1" si="8"/>
        <v>10000000000</v>
      </c>
      <c r="Z50" s="1">
        <f t="shared" ca="1" si="9"/>
        <v>1</v>
      </c>
      <c r="AA50" s="1"/>
      <c r="AB50" s="1"/>
      <c r="AC50" s="1"/>
      <c r="AD50" s="1"/>
    </row>
    <row r="51" spans="1:30" ht="19.5" customHeight="1" x14ac:dyDescent="0.3">
      <c r="A51" s="2"/>
      <c r="B51" s="86" t="str">
        <f t="shared" ca="1" si="0"/>
        <v/>
      </c>
      <c r="C51" s="87" t="str">
        <f t="shared" ca="1" si="1"/>
        <v/>
      </c>
      <c r="D51" s="88" t="str">
        <f t="shared" ca="1" si="2"/>
        <v/>
      </c>
      <c r="E51" s="86" t="str">
        <f t="shared" ca="1" si="3"/>
        <v/>
      </c>
      <c r="F51" s="89" t="str">
        <f t="shared" ca="1" si="4"/>
        <v/>
      </c>
      <c r="G51" s="89" t="str">
        <f t="shared" ca="1" si="5"/>
        <v/>
      </c>
      <c r="H51" s="89" t="str">
        <f t="shared" ca="1" si="6"/>
        <v/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49</v>
      </c>
      <c r="V51" s="1">
        <v>39</v>
      </c>
      <c r="W51" s="90">
        <f>IF($U51=0,"",IF(INDEX(UCRETLER!$D$7:$D$606,$U51)="","",IF(INDEX(UCRETLER!$F$7:$F$606,$U51)="Aylık",EOMONTH(INDEX(UCRETLER!$D$7:$D$606,$U51),$V51-1),INDEX(UCRETLER!$U$7:$U$606,$U51)+7*($V51-1))))</f>
        <v>47208</v>
      </c>
      <c r="X51" s="79">
        <f>IF($U51=0,0,INDEX(UCRETLER!$G$7:$G$606,$U51))</f>
        <v>3000</v>
      </c>
      <c r="Y51" s="1">
        <f t="shared" ca="1" si="8"/>
        <v>10000000000</v>
      </c>
      <c r="Z51" s="1">
        <f t="shared" ca="1" si="9"/>
        <v>1</v>
      </c>
      <c r="AA51" s="1"/>
      <c r="AB51" s="1"/>
      <c r="AC51" s="1"/>
      <c r="AD51" s="1"/>
    </row>
    <row r="52" spans="1:30" ht="19.5" customHeight="1" x14ac:dyDescent="0.3">
      <c r="A52" s="2"/>
      <c r="B52" s="86" t="str">
        <f t="shared" ca="1" si="0"/>
        <v/>
      </c>
      <c r="C52" s="87" t="str">
        <f t="shared" ca="1" si="1"/>
        <v/>
      </c>
      <c r="D52" s="88" t="str">
        <f t="shared" ca="1" si="2"/>
        <v/>
      </c>
      <c r="E52" s="86" t="str">
        <f t="shared" ca="1" si="3"/>
        <v/>
      </c>
      <c r="F52" s="89" t="str">
        <f t="shared" ca="1" si="4"/>
        <v/>
      </c>
      <c r="G52" s="89" t="str">
        <f t="shared" ca="1" si="5"/>
        <v/>
      </c>
      <c r="H52" s="89" t="str">
        <f t="shared" ca="1" si="6"/>
        <v/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49</v>
      </c>
      <c r="V52" s="1">
        <v>40</v>
      </c>
      <c r="W52" s="90">
        <f>IF($U52=0,"",IF(INDEX(UCRETLER!$D$7:$D$606,$U52)="","",IF(INDEX(UCRETLER!$F$7:$F$606,$U52)="Aylık",EOMONTH(INDEX(UCRETLER!$D$7:$D$606,$U52),$V52-1),INDEX(UCRETLER!$U$7:$U$606,$U52)+7*($V52-1))))</f>
        <v>47238</v>
      </c>
      <c r="X52" s="79">
        <f>IF($U52=0,0,INDEX(UCRETLER!$G$7:$G$606,$U52))</f>
        <v>3000</v>
      </c>
      <c r="Y52" s="1">
        <f t="shared" ca="1" si="8"/>
        <v>10000000000</v>
      </c>
      <c r="Z52" s="1">
        <f t="shared" ca="1" si="9"/>
        <v>1</v>
      </c>
      <c r="AA52" s="1"/>
      <c r="AB52" s="1"/>
      <c r="AC52" s="1"/>
      <c r="AD52" s="1"/>
    </row>
    <row r="53" spans="1:30" ht="19.5" customHeight="1" x14ac:dyDescent="0.3">
      <c r="A53" s="2"/>
      <c r="B53" s="86" t="str">
        <f t="shared" ca="1" si="0"/>
        <v/>
      </c>
      <c r="C53" s="87" t="str">
        <f t="shared" ca="1" si="1"/>
        <v/>
      </c>
      <c r="D53" s="88" t="str">
        <f t="shared" ca="1" si="2"/>
        <v/>
      </c>
      <c r="E53" s="86" t="str">
        <f t="shared" ca="1" si="3"/>
        <v/>
      </c>
      <c r="F53" s="89" t="str">
        <f t="shared" ca="1" si="4"/>
        <v/>
      </c>
      <c r="G53" s="89" t="str">
        <f t="shared" ca="1" si="5"/>
        <v/>
      </c>
      <c r="H53" s="89" t="str">
        <f t="shared" ca="1" si="6"/>
        <v/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49</v>
      </c>
      <c r="V53" s="1">
        <v>41</v>
      </c>
      <c r="W53" s="90">
        <f>IF($U53=0,"",IF(INDEX(UCRETLER!$D$7:$D$606,$U53)="","",IF(INDEX(UCRETLER!$F$7:$F$606,$U53)="Aylık",EOMONTH(INDEX(UCRETLER!$D$7:$D$606,$U53),$V53-1),INDEX(UCRETLER!$U$7:$U$606,$U53)+7*($V53-1))))</f>
        <v>47269</v>
      </c>
      <c r="X53" s="79">
        <f>IF($U53=0,0,INDEX(UCRETLER!$G$7:$G$606,$U53))</f>
        <v>3000</v>
      </c>
      <c r="Y53" s="1">
        <f t="shared" ca="1" si="8"/>
        <v>10000000000</v>
      </c>
      <c r="Z53" s="1">
        <f t="shared" ca="1" si="9"/>
        <v>1</v>
      </c>
      <c r="AA53" s="1"/>
      <c r="AB53" s="1"/>
      <c r="AC53" s="1"/>
      <c r="AD53" s="1"/>
    </row>
    <row r="54" spans="1:30" ht="19.5" customHeight="1" x14ac:dyDescent="0.3">
      <c r="A54" s="2"/>
      <c r="B54" s="86" t="str">
        <f t="shared" ca="1" si="0"/>
        <v/>
      </c>
      <c r="C54" s="87" t="str">
        <f t="shared" ca="1" si="1"/>
        <v/>
      </c>
      <c r="D54" s="88" t="str">
        <f t="shared" ca="1" si="2"/>
        <v/>
      </c>
      <c r="E54" s="86" t="str">
        <f t="shared" ca="1" si="3"/>
        <v/>
      </c>
      <c r="F54" s="89" t="str">
        <f t="shared" ca="1" si="4"/>
        <v/>
      </c>
      <c r="G54" s="89" t="str">
        <f t="shared" ca="1" si="5"/>
        <v/>
      </c>
      <c r="H54" s="89" t="str">
        <f t="shared" ca="1" si="6"/>
        <v/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49</v>
      </c>
      <c r="V54" s="1">
        <v>42</v>
      </c>
      <c r="W54" s="90">
        <f>IF($U54=0,"",IF(INDEX(UCRETLER!$D$7:$D$606,$U54)="","",IF(INDEX(UCRETLER!$F$7:$F$606,$U54)="Aylık",EOMONTH(INDEX(UCRETLER!$D$7:$D$606,$U54),$V54-1),INDEX(UCRETLER!$U$7:$U$606,$U54)+7*($V54-1))))</f>
        <v>47299</v>
      </c>
      <c r="X54" s="79">
        <f>IF($U54=0,0,INDEX(UCRETLER!$G$7:$G$606,$U54))</f>
        <v>3000</v>
      </c>
      <c r="Y54" s="1">
        <f t="shared" ca="1" si="8"/>
        <v>10000000000</v>
      </c>
      <c r="Z54" s="1">
        <f t="shared" ca="1" si="9"/>
        <v>1</v>
      </c>
      <c r="AA54" s="1"/>
      <c r="AB54" s="1"/>
      <c r="AC54" s="1"/>
      <c r="AD54" s="1"/>
    </row>
    <row r="55" spans="1:30" ht="19.5" customHeight="1" x14ac:dyDescent="0.3">
      <c r="A55" s="2"/>
      <c r="B55" s="86" t="str">
        <f t="shared" ca="1" si="0"/>
        <v/>
      </c>
      <c r="C55" s="87" t="str">
        <f t="shared" ca="1" si="1"/>
        <v/>
      </c>
      <c r="D55" s="88" t="str">
        <f t="shared" ca="1" si="2"/>
        <v/>
      </c>
      <c r="E55" s="86" t="str">
        <f t="shared" ca="1" si="3"/>
        <v/>
      </c>
      <c r="F55" s="89" t="str">
        <f t="shared" ca="1" si="4"/>
        <v/>
      </c>
      <c r="G55" s="89" t="str">
        <f t="shared" ca="1" si="5"/>
        <v/>
      </c>
      <c r="H55" s="89" t="str">
        <f t="shared" ca="1" si="6"/>
        <v/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49</v>
      </c>
      <c r="V55" s="1">
        <v>43</v>
      </c>
      <c r="W55" s="90">
        <f>IF($U55=0,"",IF(INDEX(UCRETLER!$D$7:$D$606,$U55)="","",IF(INDEX(UCRETLER!$F$7:$F$606,$U55)="Aylık",EOMONTH(INDEX(UCRETLER!$D$7:$D$606,$U55),$V55-1),INDEX(UCRETLER!$U$7:$U$606,$U55)+7*($V55-1))))</f>
        <v>47330</v>
      </c>
      <c r="X55" s="79">
        <f>IF($U55=0,0,INDEX(UCRETLER!$G$7:$G$606,$U55))</f>
        <v>3000</v>
      </c>
      <c r="Y55" s="1">
        <f t="shared" ca="1" si="8"/>
        <v>10000000000</v>
      </c>
      <c r="Z55" s="1">
        <f t="shared" ca="1" si="9"/>
        <v>1</v>
      </c>
      <c r="AA55" s="1"/>
      <c r="AB55" s="1"/>
      <c r="AC55" s="1"/>
      <c r="AD55" s="1"/>
    </row>
    <row r="56" spans="1:30" ht="19.5" customHeight="1" x14ac:dyDescent="0.3">
      <c r="A56" s="2"/>
      <c r="B56" s="86" t="str">
        <f t="shared" ca="1" si="0"/>
        <v/>
      </c>
      <c r="C56" s="87" t="str">
        <f t="shared" ca="1" si="1"/>
        <v/>
      </c>
      <c r="D56" s="88" t="str">
        <f t="shared" ca="1" si="2"/>
        <v/>
      </c>
      <c r="E56" s="86" t="str">
        <f t="shared" ca="1" si="3"/>
        <v/>
      </c>
      <c r="F56" s="89" t="str">
        <f t="shared" ca="1" si="4"/>
        <v/>
      </c>
      <c r="G56" s="89" t="str">
        <f t="shared" ca="1" si="5"/>
        <v/>
      </c>
      <c r="H56" s="89" t="str">
        <f t="shared" ca="1" si="6"/>
        <v/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49</v>
      </c>
      <c r="V56" s="1">
        <v>44</v>
      </c>
      <c r="W56" s="90">
        <f>IF($U56=0,"",IF(INDEX(UCRETLER!$D$7:$D$606,$U56)="","",IF(INDEX(UCRETLER!$F$7:$F$606,$U56)="Aylık",EOMONTH(INDEX(UCRETLER!$D$7:$D$606,$U56),$V56-1),INDEX(UCRETLER!$U$7:$U$606,$U56)+7*($V56-1))))</f>
        <v>47361</v>
      </c>
      <c r="X56" s="79">
        <f>IF($U56=0,0,INDEX(UCRETLER!$G$7:$G$606,$U56))</f>
        <v>3000</v>
      </c>
      <c r="Y56" s="1">
        <f t="shared" ca="1" si="8"/>
        <v>10000000000</v>
      </c>
      <c r="Z56" s="1">
        <f t="shared" ca="1" si="9"/>
        <v>1</v>
      </c>
      <c r="AA56" s="1"/>
      <c r="AB56" s="1"/>
      <c r="AC56" s="1"/>
      <c r="AD56" s="1"/>
    </row>
    <row r="57" spans="1:30" ht="19.5" customHeight="1" x14ac:dyDescent="0.3">
      <c r="A57" s="2"/>
      <c r="B57" s="86" t="str">
        <f t="shared" ca="1" si="0"/>
        <v/>
      </c>
      <c r="C57" s="87" t="str">
        <f t="shared" ca="1" si="1"/>
        <v/>
      </c>
      <c r="D57" s="88" t="str">
        <f t="shared" ca="1" si="2"/>
        <v/>
      </c>
      <c r="E57" s="86" t="str">
        <f t="shared" ca="1" si="3"/>
        <v/>
      </c>
      <c r="F57" s="89" t="str">
        <f t="shared" ca="1" si="4"/>
        <v/>
      </c>
      <c r="G57" s="89" t="str">
        <f t="shared" ca="1" si="5"/>
        <v/>
      </c>
      <c r="H57" s="89" t="str">
        <f t="shared" ca="1" si="6"/>
        <v/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49</v>
      </c>
      <c r="V57" s="1">
        <v>45</v>
      </c>
      <c r="W57" s="90">
        <f>IF($U57=0,"",IF(INDEX(UCRETLER!$D$7:$D$606,$U57)="","",IF(INDEX(UCRETLER!$F$7:$F$606,$U57)="Aylık",EOMONTH(INDEX(UCRETLER!$D$7:$D$606,$U57),$V57-1),INDEX(UCRETLER!$U$7:$U$606,$U57)+7*($V57-1))))</f>
        <v>47391</v>
      </c>
      <c r="X57" s="79">
        <f>IF($U57=0,0,INDEX(UCRETLER!$G$7:$G$606,$U57))</f>
        <v>3000</v>
      </c>
      <c r="Y57" s="1">
        <f t="shared" ca="1" si="8"/>
        <v>10000000000</v>
      </c>
      <c r="Z57" s="1">
        <f t="shared" ca="1" si="9"/>
        <v>1</v>
      </c>
      <c r="AA57" s="1"/>
      <c r="AB57" s="1"/>
      <c r="AC57" s="1"/>
      <c r="AD57" s="1"/>
    </row>
    <row r="58" spans="1:30" ht="19.5" customHeight="1" x14ac:dyDescent="0.3">
      <c r="A58" s="2"/>
      <c r="B58" s="86" t="str">
        <f t="shared" ca="1" si="0"/>
        <v/>
      </c>
      <c r="C58" s="87" t="str">
        <f t="shared" ca="1" si="1"/>
        <v/>
      </c>
      <c r="D58" s="88" t="str">
        <f t="shared" ca="1" si="2"/>
        <v/>
      </c>
      <c r="E58" s="86" t="str">
        <f t="shared" ca="1" si="3"/>
        <v/>
      </c>
      <c r="F58" s="89" t="str">
        <f t="shared" ca="1" si="4"/>
        <v/>
      </c>
      <c r="G58" s="89" t="str">
        <f t="shared" ca="1" si="5"/>
        <v/>
      </c>
      <c r="H58" s="89" t="str">
        <f t="shared" ca="1" si="6"/>
        <v/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49</v>
      </c>
      <c r="V58" s="1">
        <v>46</v>
      </c>
      <c r="W58" s="90">
        <f>IF($U58=0,"",IF(INDEX(UCRETLER!$D$7:$D$606,$U58)="","",IF(INDEX(UCRETLER!$F$7:$F$606,$U58)="Aylık",EOMONTH(INDEX(UCRETLER!$D$7:$D$606,$U58),$V58-1),INDEX(UCRETLER!$U$7:$U$606,$U58)+7*($V58-1))))</f>
        <v>47422</v>
      </c>
      <c r="X58" s="79">
        <f>IF($U58=0,0,INDEX(UCRETLER!$G$7:$G$606,$U58))</f>
        <v>3000</v>
      </c>
      <c r="Y58" s="1">
        <f t="shared" ca="1" si="8"/>
        <v>10000000000</v>
      </c>
      <c r="Z58" s="1">
        <f t="shared" ca="1" si="9"/>
        <v>1</v>
      </c>
      <c r="AA58" s="1"/>
      <c r="AB58" s="1"/>
      <c r="AC58" s="1"/>
      <c r="AD58" s="1"/>
    </row>
    <row r="59" spans="1:30" ht="19.5" customHeight="1" x14ac:dyDescent="0.3">
      <c r="A59" s="2"/>
      <c r="B59" s="86" t="str">
        <f t="shared" ca="1" si="0"/>
        <v/>
      </c>
      <c r="C59" s="87" t="str">
        <f t="shared" ca="1" si="1"/>
        <v/>
      </c>
      <c r="D59" s="88" t="str">
        <f t="shared" ca="1" si="2"/>
        <v/>
      </c>
      <c r="E59" s="86" t="str">
        <f t="shared" ca="1" si="3"/>
        <v/>
      </c>
      <c r="F59" s="89" t="str">
        <f t="shared" ca="1" si="4"/>
        <v/>
      </c>
      <c r="G59" s="89" t="str">
        <f t="shared" ca="1" si="5"/>
        <v/>
      </c>
      <c r="H59" s="89" t="str">
        <f t="shared" ca="1" si="6"/>
        <v/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49</v>
      </c>
      <c r="V59" s="1">
        <v>47</v>
      </c>
      <c r="W59" s="90">
        <f>IF($U59=0,"",IF(INDEX(UCRETLER!$D$7:$D$606,$U59)="","",IF(INDEX(UCRETLER!$F$7:$F$606,$U59)="Aylık",EOMONTH(INDEX(UCRETLER!$D$7:$D$606,$U59),$V59-1),INDEX(UCRETLER!$U$7:$U$606,$U59)+7*($V59-1))))</f>
        <v>47452</v>
      </c>
      <c r="X59" s="79">
        <f>IF($U59=0,0,INDEX(UCRETLER!$G$7:$G$606,$U59))</f>
        <v>3000</v>
      </c>
      <c r="Y59" s="1">
        <f t="shared" ca="1" si="8"/>
        <v>10000000000</v>
      </c>
      <c r="Z59" s="1">
        <f t="shared" ca="1" si="9"/>
        <v>1</v>
      </c>
      <c r="AA59" s="1"/>
      <c r="AB59" s="1"/>
      <c r="AC59" s="1"/>
      <c r="AD59" s="1"/>
    </row>
    <row r="60" spans="1:30" ht="19.5" customHeight="1" x14ac:dyDescent="0.3">
      <c r="A60" s="2"/>
      <c r="B60" s="86" t="str">
        <f t="shared" ca="1" si="0"/>
        <v/>
      </c>
      <c r="C60" s="87" t="str">
        <f t="shared" ca="1" si="1"/>
        <v/>
      </c>
      <c r="D60" s="88" t="str">
        <f t="shared" ca="1" si="2"/>
        <v/>
      </c>
      <c r="E60" s="86" t="str">
        <f t="shared" ca="1" si="3"/>
        <v/>
      </c>
      <c r="F60" s="89" t="str">
        <f t="shared" ca="1" si="4"/>
        <v/>
      </c>
      <c r="G60" s="89" t="str">
        <f t="shared" ca="1" si="5"/>
        <v/>
      </c>
      <c r="H60" s="89" t="str">
        <f t="shared" ca="1" si="6"/>
        <v/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49</v>
      </c>
      <c r="V60" s="1">
        <v>48</v>
      </c>
      <c r="W60" s="90">
        <f>IF($U60=0,"",IF(INDEX(UCRETLER!$D$7:$D$606,$U60)="","",IF(INDEX(UCRETLER!$F$7:$F$606,$U60)="Aylık",EOMONTH(INDEX(UCRETLER!$D$7:$D$606,$U60),$V60-1),INDEX(UCRETLER!$U$7:$U$606,$U60)+7*($V60-1))))</f>
        <v>47483</v>
      </c>
      <c r="X60" s="79">
        <f>IF($U60=0,0,INDEX(UCRETLER!$G$7:$G$606,$U60))</f>
        <v>3000</v>
      </c>
      <c r="Y60" s="1">
        <f t="shared" ca="1" si="8"/>
        <v>10000000000</v>
      </c>
      <c r="Z60" s="1">
        <f t="shared" ca="1" si="9"/>
        <v>1</v>
      </c>
      <c r="AA60" s="1"/>
      <c r="AB60" s="1"/>
      <c r="AC60" s="1"/>
      <c r="AD60" s="1"/>
    </row>
    <row r="61" spans="1:30" ht="19.5" customHeight="1" x14ac:dyDescent="0.3">
      <c r="A61" s="2"/>
      <c r="B61" s="86" t="str">
        <f t="shared" ca="1" si="0"/>
        <v/>
      </c>
      <c r="C61" s="87" t="str">
        <f t="shared" ca="1" si="1"/>
        <v/>
      </c>
      <c r="D61" s="88" t="str">
        <f t="shared" ca="1" si="2"/>
        <v/>
      </c>
      <c r="E61" s="86" t="str">
        <f t="shared" ca="1" si="3"/>
        <v/>
      </c>
      <c r="F61" s="89" t="str">
        <f t="shared" ca="1" si="4"/>
        <v/>
      </c>
      <c r="G61" s="89" t="str">
        <f t="shared" ca="1" si="5"/>
        <v/>
      </c>
      <c r="H61" s="89" t="str">
        <f t="shared" ca="1" si="6"/>
        <v/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49</v>
      </c>
      <c r="V61" s="1">
        <v>49</v>
      </c>
      <c r="W61" s="90">
        <f>IF($U61=0,"",IF(INDEX(UCRETLER!$D$7:$D$606,$U61)="","",IF(INDEX(UCRETLER!$F$7:$F$606,$U61)="Aylık",EOMONTH(INDEX(UCRETLER!$D$7:$D$606,$U61),$V61-1),INDEX(UCRETLER!$U$7:$U$606,$U61)+7*($V61-1))))</f>
        <v>47514</v>
      </c>
      <c r="X61" s="79">
        <f>IF($U61=0,0,INDEX(UCRETLER!$G$7:$G$606,$U61))</f>
        <v>3000</v>
      </c>
      <c r="Y61" s="1">
        <f t="shared" ca="1" si="8"/>
        <v>10000000000</v>
      </c>
      <c r="Z61" s="1">
        <f t="shared" ca="1" si="9"/>
        <v>1</v>
      </c>
      <c r="AA61" s="1"/>
      <c r="AB61" s="1"/>
      <c r="AC61" s="1"/>
      <c r="AD61" s="1"/>
    </row>
    <row r="62" spans="1:30" ht="19.5" customHeight="1" x14ac:dyDescent="0.3">
      <c r="A62" s="2"/>
      <c r="B62" s="86" t="str">
        <f t="shared" ca="1" si="0"/>
        <v/>
      </c>
      <c r="C62" s="87" t="str">
        <f t="shared" ca="1" si="1"/>
        <v/>
      </c>
      <c r="D62" s="88" t="str">
        <f t="shared" ca="1" si="2"/>
        <v/>
      </c>
      <c r="E62" s="86" t="str">
        <f t="shared" ca="1" si="3"/>
        <v/>
      </c>
      <c r="F62" s="89" t="str">
        <f t="shared" ca="1" si="4"/>
        <v/>
      </c>
      <c r="G62" s="89" t="str">
        <f t="shared" ca="1" si="5"/>
        <v/>
      </c>
      <c r="H62" s="89" t="str">
        <f t="shared" ca="1" si="6"/>
        <v/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49</v>
      </c>
      <c r="V62" s="1">
        <v>50</v>
      </c>
      <c r="W62" s="90">
        <f>IF($U62=0,"",IF(INDEX(UCRETLER!$D$7:$D$606,$U62)="","",IF(INDEX(UCRETLER!$F$7:$F$606,$U62)="Aylık",EOMONTH(INDEX(UCRETLER!$D$7:$D$606,$U62),$V62-1),INDEX(UCRETLER!$U$7:$U$606,$U62)+7*($V62-1))))</f>
        <v>47542</v>
      </c>
      <c r="X62" s="79">
        <f>IF($U62=0,0,INDEX(UCRETLER!$G$7:$G$606,$U62))</f>
        <v>3000</v>
      </c>
      <c r="Y62" s="1">
        <f t="shared" ca="1" si="8"/>
        <v>10000000000</v>
      </c>
      <c r="Z62" s="1">
        <f t="shared" ca="1" si="9"/>
        <v>1</v>
      </c>
      <c r="AA62" s="1"/>
      <c r="AB62" s="1"/>
      <c r="AC62" s="1"/>
      <c r="AD62" s="1"/>
    </row>
    <row r="63" spans="1:30" ht="19.5" customHeight="1" x14ac:dyDescent="0.3">
      <c r="A63" s="2"/>
      <c r="B63" s="86" t="str">
        <f t="shared" ca="1" si="0"/>
        <v/>
      </c>
      <c r="C63" s="87" t="str">
        <f t="shared" ca="1" si="1"/>
        <v/>
      </c>
      <c r="D63" s="88" t="str">
        <f t="shared" ca="1" si="2"/>
        <v/>
      </c>
      <c r="E63" s="86" t="str">
        <f t="shared" ca="1" si="3"/>
        <v/>
      </c>
      <c r="F63" s="89" t="str">
        <f t="shared" ca="1" si="4"/>
        <v/>
      </c>
      <c r="G63" s="89" t="str">
        <f t="shared" ca="1" si="5"/>
        <v/>
      </c>
      <c r="H63" s="89" t="str">
        <f t="shared" ca="1" si="6"/>
        <v/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49</v>
      </c>
      <c r="V63" s="1">
        <v>51</v>
      </c>
      <c r="W63" s="90">
        <f>IF($U63=0,"",IF(INDEX(UCRETLER!$D$7:$D$606,$U63)="","",IF(INDEX(UCRETLER!$F$7:$F$606,$U63)="Aylık",EOMONTH(INDEX(UCRETLER!$D$7:$D$606,$U63),$V63-1),INDEX(UCRETLER!$U$7:$U$606,$U63)+7*($V63-1))))</f>
        <v>47573</v>
      </c>
      <c r="X63" s="79">
        <f>IF($U63=0,0,INDEX(UCRETLER!$G$7:$G$606,$U63))</f>
        <v>3000</v>
      </c>
      <c r="Y63" s="1">
        <f t="shared" ca="1" si="8"/>
        <v>10000000000</v>
      </c>
      <c r="Z63" s="1">
        <f t="shared" ca="1" si="9"/>
        <v>1</v>
      </c>
      <c r="AA63" s="1"/>
      <c r="AB63" s="1"/>
      <c r="AC63" s="1"/>
      <c r="AD63" s="1"/>
    </row>
    <row r="64" spans="1:30" ht="19.5" customHeight="1" x14ac:dyDescent="0.3">
      <c r="A64" s="2"/>
      <c r="B64" s="86" t="str">
        <f t="shared" ca="1" si="0"/>
        <v/>
      </c>
      <c r="C64" s="87" t="str">
        <f t="shared" ca="1" si="1"/>
        <v/>
      </c>
      <c r="D64" s="88" t="str">
        <f t="shared" ca="1" si="2"/>
        <v/>
      </c>
      <c r="E64" s="86" t="str">
        <f t="shared" ca="1" si="3"/>
        <v/>
      </c>
      <c r="F64" s="89" t="str">
        <f t="shared" ca="1" si="4"/>
        <v/>
      </c>
      <c r="G64" s="89" t="str">
        <f t="shared" ca="1" si="5"/>
        <v/>
      </c>
      <c r="H64" s="89" t="str">
        <f t="shared" ca="1" si="6"/>
        <v/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49</v>
      </c>
      <c r="V64" s="1">
        <v>52</v>
      </c>
      <c r="W64" s="90">
        <f>IF($U64=0,"",IF(INDEX(UCRETLER!$D$7:$D$606,$U64)="","",IF(INDEX(UCRETLER!$F$7:$F$606,$U64)="Aylık",EOMONTH(INDEX(UCRETLER!$D$7:$D$606,$U64),$V64-1),INDEX(UCRETLER!$U$7:$U$606,$U64)+7*($V64-1))))</f>
        <v>47603</v>
      </c>
      <c r="X64" s="79">
        <f>IF($U64=0,0,INDEX(UCRETLER!$G$7:$G$606,$U64))</f>
        <v>3000</v>
      </c>
      <c r="Y64" s="1">
        <f t="shared" ca="1" si="8"/>
        <v>10000000000</v>
      </c>
      <c r="Z64" s="1">
        <f t="shared" ca="1" si="9"/>
        <v>1</v>
      </c>
      <c r="AA64" s="1"/>
      <c r="AB64" s="1"/>
      <c r="AC64" s="1"/>
      <c r="AD64" s="1"/>
    </row>
    <row r="65" spans="1:30" ht="19.5" customHeight="1" x14ac:dyDescent="0.3">
      <c r="A65" s="2"/>
      <c r="B65" s="86" t="str">
        <f t="shared" ca="1" si="0"/>
        <v/>
      </c>
      <c r="C65" s="87" t="str">
        <f t="shared" ca="1" si="1"/>
        <v/>
      </c>
      <c r="D65" s="88" t="str">
        <f t="shared" ca="1" si="2"/>
        <v/>
      </c>
      <c r="E65" s="86" t="str">
        <f t="shared" ca="1" si="3"/>
        <v/>
      </c>
      <c r="F65" s="89" t="str">
        <f t="shared" ca="1" si="4"/>
        <v/>
      </c>
      <c r="G65" s="89" t="str">
        <f t="shared" ca="1" si="5"/>
        <v/>
      </c>
      <c r="H65" s="89" t="str">
        <f t="shared" ca="1" si="6"/>
        <v/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49</v>
      </c>
      <c r="V65" s="1">
        <v>53</v>
      </c>
      <c r="W65" s="90">
        <f>IF($U65=0,"",IF(INDEX(UCRETLER!$D$7:$D$606,$U65)="","",IF(INDEX(UCRETLER!$F$7:$F$606,$U65)="Aylık",EOMONTH(INDEX(UCRETLER!$D$7:$D$606,$U65),$V65-1),INDEX(UCRETLER!$U$7:$U$606,$U65)+7*($V65-1))))</f>
        <v>47634</v>
      </c>
      <c r="X65" s="79">
        <f>IF($U65=0,0,INDEX(UCRETLER!$G$7:$G$606,$U65))</f>
        <v>3000</v>
      </c>
      <c r="Y65" s="1">
        <f t="shared" ca="1" si="8"/>
        <v>10000000000</v>
      </c>
      <c r="Z65" s="1">
        <f t="shared" ca="1" si="9"/>
        <v>1</v>
      </c>
      <c r="AA65" s="1"/>
      <c r="AB65" s="1"/>
      <c r="AC65" s="1"/>
      <c r="AD65" s="1"/>
    </row>
    <row r="66" spans="1:30" ht="19.5" customHeight="1" x14ac:dyDescent="0.3">
      <c r="A66" s="2"/>
      <c r="B66" s="86" t="str">
        <f t="shared" ca="1" si="0"/>
        <v/>
      </c>
      <c r="C66" s="87" t="str">
        <f t="shared" ca="1" si="1"/>
        <v/>
      </c>
      <c r="D66" s="88" t="str">
        <f t="shared" ca="1" si="2"/>
        <v/>
      </c>
      <c r="E66" s="86" t="str">
        <f t="shared" ca="1" si="3"/>
        <v/>
      </c>
      <c r="F66" s="89" t="str">
        <f t="shared" ca="1" si="4"/>
        <v/>
      </c>
      <c r="G66" s="89" t="str">
        <f t="shared" ca="1" si="5"/>
        <v/>
      </c>
      <c r="H66" s="89" t="str">
        <f t="shared" ca="1" si="6"/>
        <v/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49</v>
      </c>
      <c r="V66" s="1">
        <v>54</v>
      </c>
      <c r="W66" s="90">
        <f>IF($U66=0,"",IF(INDEX(UCRETLER!$D$7:$D$606,$U66)="","",IF(INDEX(UCRETLER!$F$7:$F$606,$U66)="Aylık",EOMONTH(INDEX(UCRETLER!$D$7:$D$606,$U66),$V66-1),INDEX(UCRETLER!$U$7:$U$606,$U66)+7*($V66-1))))</f>
        <v>47664</v>
      </c>
      <c r="X66" s="79">
        <f>IF($U66=0,0,INDEX(UCRETLER!$G$7:$G$606,$U66))</f>
        <v>3000</v>
      </c>
      <c r="Y66" s="1">
        <f t="shared" ca="1" si="8"/>
        <v>10000000000</v>
      </c>
      <c r="Z66" s="1">
        <f t="shared" ca="1" si="9"/>
        <v>1</v>
      </c>
      <c r="AA66" s="1"/>
      <c r="AB66" s="1"/>
      <c r="AC66" s="1"/>
      <c r="AD66" s="1"/>
    </row>
    <row r="67" spans="1:30" ht="19.5" customHeight="1" x14ac:dyDescent="0.3">
      <c r="A67" s="2"/>
      <c r="B67" s="86" t="str">
        <f t="shared" ca="1" si="0"/>
        <v/>
      </c>
      <c r="C67" s="87" t="str">
        <f t="shared" ca="1" si="1"/>
        <v/>
      </c>
      <c r="D67" s="88" t="str">
        <f t="shared" ca="1" si="2"/>
        <v/>
      </c>
      <c r="E67" s="86" t="str">
        <f t="shared" ca="1" si="3"/>
        <v/>
      </c>
      <c r="F67" s="89" t="str">
        <f t="shared" ca="1" si="4"/>
        <v/>
      </c>
      <c r="G67" s="89" t="str">
        <f t="shared" ca="1" si="5"/>
        <v/>
      </c>
      <c r="H67" s="89" t="str">
        <f t="shared" ca="1" si="6"/>
        <v/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49</v>
      </c>
      <c r="V67" s="1">
        <v>55</v>
      </c>
      <c r="W67" s="90">
        <f>IF($U67=0,"",IF(INDEX(UCRETLER!$D$7:$D$606,$U67)="","",IF(INDEX(UCRETLER!$F$7:$F$606,$U67)="Aylık",EOMONTH(INDEX(UCRETLER!$D$7:$D$606,$U67),$V67-1),INDEX(UCRETLER!$U$7:$U$606,$U67)+7*($V67-1))))</f>
        <v>47695</v>
      </c>
      <c r="X67" s="79">
        <f>IF($U67=0,0,INDEX(UCRETLER!$G$7:$G$606,$U67))</f>
        <v>3000</v>
      </c>
      <c r="Y67" s="1">
        <f t="shared" ca="1" si="8"/>
        <v>10000000000</v>
      </c>
      <c r="Z67" s="1">
        <f t="shared" ca="1" si="9"/>
        <v>1</v>
      </c>
      <c r="AA67" s="1"/>
      <c r="AB67" s="1"/>
      <c r="AC67" s="1"/>
      <c r="AD67" s="1"/>
    </row>
    <row r="68" spans="1:30" ht="19.5" customHeight="1" x14ac:dyDescent="0.3">
      <c r="A68" s="2"/>
      <c r="B68" s="86" t="str">
        <f t="shared" ca="1" si="0"/>
        <v/>
      </c>
      <c r="C68" s="87" t="str">
        <f t="shared" ca="1" si="1"/>
        <v/>
      </c>
      <c r="D68" s="88" t="str">
        <f t="shared" ca="1" si="2"/>
        <v/>
      </c>
      <c r="E68" s="86" t="str">
        <f t="shared" ca="1" si="3"/>
        <v/>
      </c>
      <c r="F68" s="89" t="str">
        <f t="shared" ca="1" si="4"/>
        <v/>
      </c>
      <c r="G68" s="89" t="str">
        <f t="shared" ca="1" si="5"/>
        <v/>
      </c>
      <c r="H68" s="89" t="str">
        <f t="shared" ca="1" si="6"/>
        <v/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49</v>
      </c>
      <c r="V68" s="1">
        <v>56</v>
      </c>
      <c r="W68" s="90">
        <f>IF($U68=0,"",IF(INDEX(UCRETLER!$D$7:$D$606,$U68)="","",IF(INDEX(UCRETLER!$F$7:$F$606,$U68)="Aylık",EOMONTH(INDEX(UCRETLER!$D$7:$D$606,$U68),$V68-1),INDEX(UCRETLER!$U$7:$U$606,$U68)+7*($V68-1))))</f>
        <v>47726</v>
      </c>
      <c r="X68" s="79">
        <f>IF($U68=0,0,INDEX(UCRETLER!$G$7:$G$606,$U68))</f>
        <v>3000</v>
      </c>
      <c r="Y68" s="1">
        <f t="shared" ca="1" si="8"/>
        <v>10000000000</v>
      </c>
      <c r="Z68" s="1">
        <f t="shared" ca="1" si="9"/>
        <v>1</v>
      </c>
      <c r="AA68" s="1"/>
      <c r="AB68" s="1"/>
      <c r="AC68" s="1"/>
      <c r="AD68" s="1"/>
    </row>
    <row r="69" spans="1:30" ht="19.5" customHeight="1" x14ac:dyDescent="0.3">
      <c r="A69" s="2"/>
      <c r="B69" s="86" t="str">
        <f t="shared" ca="1" si="0"/>
        <v/>
      </c>
      <c r="C69" s="87" t="str">
        <f t="shared" ca="1" si="1"/>
        <v/>
      </c>
      <c r="D69" s="88" t="str">
        <f t="shared" ca="1" si="2"/>
        <v/>
      </c>
      <c r="E69" s="86" t="str">
        <f t="shared" ca="1" si="3"/>
        <v/>
      </c>
      <c r="F69" s="89" t="str">
        <f t="shared" ca="1" si="4"/>
        <v/>
      </c>
      <c r="G69" s="89" t="str">
        <f t="shared" ca="1" si="5"/>
        <v/>
      </c>
      <c r="H69" s="89" t="str">
        <f t="shared" ca="1" si="6"/>
        <v/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49</v>
      </c>
      <c r="V69" s="1">
        <v>57</v>
      </c>
      <c r="W69" s="90">
        <f>IF($U69=0,"",IF(INDEX(UCRETLER!$D$7:$D$606,$U69)="","",IF(INDEX(UCRETLER!$F$7:$F$606,$U69)="Aylık",EOMONTH(INDEX(UCRETLER!$D$7:$D$606,$U69),$V69-1),INDEX(UCRETLER!$U$7:$U$606,$U69)+7*($V69-1))))</f>
        <v>47756</v>
      </c>
      <c r="X69" s="79">
        <f>IF($U69=0,0,INDEX(UCRETLER!$G$7:$G$606,$U69))</f>
        <v>3000</v>
      </c>
      <c r="Y69" s="1">
        <f t="shared" ca="1" si="8"/>
        <v>10000000000</v>
      </c>
      <c r="Z69" s="1">
        <f t="shared" ca="1" si="9"/>
        <v>1</v>
      </c>
      <c r="AA69" s="1"/>
      <c r="AB69" s="1"/>
      <c r="AC69" s="1"/>
      <c r="AD69" s="1"/>
    </row>
    <row r="70" spans="1:30" ht="19.5" customHeight="1" x14ac:dyDescent="0.3">
      <c r="A70" s="2"/>
      <c r="B70" s="86" t="str">
        <f t="shared" ca="1" si="0"/>
        <v/>
      </c>
      <c r="C70" s="87" t="str">
        <f t="shared" ca="1" si="1"/>
        <v/>
      </c>
      <c r="D70" s="88" t="str">
        <f t="shared" ca="1" si="2"/>
        <v/>
      </c>
      <c r="E70" s="86" t="str">
        <f t="shared" ca="1" si="3"/>
        <v/>
      </c>
      <c r="F70" s="89" t="str">
        <f t="shared" ca="1" si="4"/>
        <v/>
      </c>
      <c r="G70" s="89" t="str">
        <f t="shared" ca="1" si="5"/>
        <v/>
      </c>
      <c r="H70" s="89" t="str">
        <f t="shared" ca="1" si="6"/>
        <v/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49</v>
      </c>
      <c r="V70" s="1">
        <v>58</v>
      </c>
      <c r="W70" s="90">
        <f>IF($U70=0,"",IF(INDEX(UCRETLER!$D$7:$D$606,$U70)="","",IF(INDEX(UCRETLER!$F$7:$F$606,$U70)="Aylık",EOMONTH(INDEX(UCRETLER!$D$7:$D$606,$U70),$V70-1),INDEX(UCRETLER!$U$7:$U$606,$U70)+7*($V70-1))))</f>
        <v>47787</v>
      </c>
      <c r="X70" s="79">
        <f>IF($U70=0,0,INDEX(UCRETLER!$G$7:$G$606,$U70))</f>
        <v>3000</v>
      </c>
      <c r="Y70" s="1">
        <f t="shared" ca="1" si="8"/>
        <v>10000000000</v>
      </c>
      <c r="Z70" s="1">
        <f t="shared" ca="1" si="9"/>
        <v>1</v>
      </c>
      <c r="AA70" s="1"/>
      <c r="AB70" s="1"/>
      <c r="AC70" s="1"/>
      <c r="AD70" s="1"/>
    </row>
    <row r="71" spans="1:30" ht="19.5" customHeight="1" x14ac:dyDescent="0.3">
      <c r="A71" s="2"/>
      <c r="B71" s="86" t="str">
        <f t="shared" ca="1" si="0"/>
        <v/>
      </c>
      <c r="C71" s="87" t="str">
        <f t="shared" ca="1" si="1"/>
        <v/>
      </c>
      <c r="D71" s="88" t="str">
        <f t="shared" ca="1" si="2"/>
        <v/>
      </c>
      <c r="E71" s="86" t="str">
        <f t="shared" ca="1" si="3"/>
        <v/>
      </c>
      <c r="F71" s="89" t="str">
        <f t="shared" ca="1" si="4"/>
        <v/>
      </c>
      <c r="G71" s="89" t="str">
        <f t="shared" ca="1" si="5"/>
        <v/>
      </c>
      <c r="H71" s="89" t="str">
        <f t="shared" ca="1" si="6"/>
        <v/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49</v>
      </c>
      <c r="V71" s="1">
        <v>59</v>
      </c>
      <c r="W71" s="90">
        <f>IF($U71=0,"",IF(INDEX(UCRETLER!$D$7:$D$606,$U71)="","",IF(INDEX(UCRETLER!$F$7:$F$606,$U71)="Aylık",EOMONTH(INDEX(UCRETLER!$D$7:$D$606,$U71),$V71-1),INDEX(UCRETLER!$U$7:$U$606,$U71)+7*($V71-1))))</f>
        <v>47817</v>
      </c>
      <c r="X71" s="79">
        <f>IF($U71=0,0,INDEX(UCRETLER!$G$7:$G$606,$U71))</f>
        <v>3000</v>
      </c>
      <c r="Y71" s="1">
        <f t="shared" ca="1" si="8"/>
        <v>10000000000</v>
      </c>
      <c r="Z71" s="1">
        <f t="shared" ca="1" si="9"/>
        <v>1</v>
      </c>
      <c r="AA71" s="1"/>
      <c r="AB71" s="1"/>
      <c r="AC71" s="1"/>
      <c r="AD71" s="1"/>
    </row>
    <row r="72" spans="1:30" ht="19.5" customHeight="1" x14ac:dyDescent="0.3">
      <c r="A72" s="2"/>
      <c r="B72" s="86" t="str">
        <f t="shared" ca="1" si="0"/>
        <v/>
      </c>
      <c r="C72" s="87" t="str">
        <f t="shared" ca="1" si="1"/>
        <v/>
      </c>
      <c r="D72" s="88" t="str">
        <f t="shared" ca="1" si="2"/>
        <v/>
      </c>
      <c r="E72" s="86" t="str">
        <f t="shared" ca="1" si="3"/>
        <v/>
      </c>
      <c r="F72" s="89" t="str">
        <f t="shared" ca="1" si="4"/>
        <v/>
      </c>
      <c r="G72" s="89" t="str">
        <f t="shared" ca="1" si="5"/>
        <v/>
      </c>
      <c r="H72" s="89" t="str">
        <f t="shared" ca="1" si="6"/>
        <v/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49</v>
      </c>
      <c r="V72" s="1">
        <v>60</v>
      </c>
      <c r="W72" s="90">
        <f>IF($U72=0,"",IF(INDEX(UCRETLER!$D$7:$D$606,$U72)="","",IF(INDEX(UCRETLER!$F$7:$F$606,$U72)="Aylık",EOMONTH(INDEX(UCRETLER!$D$7:$D$606,$U72),$V72-1),INDEX(UCRETLER!$U$7:$U$606,$U72)+7*($V72-1))))</f>
        <v>47848</v>
      </c>
      <c r="X72" s="79">
        <f>IF($U72=0,0,INDEX(UCRETLER!$G$7:$G$606,$U72))</f>
        <v>3000</v>
      </c>
      <c r="Y72" s="1">
        <f t="shared" ca="1" si="8"/>
        <v>10000000000</v>
      </c>
      <c r="Z72" s="1">
        <f t="shared" ca="1" si="9"/>
        <v>1</v>
      </c>
      <c r="AA72" s="1"/>
      <c r="AB72" s="1"/>
      <c r="AC72" s="1"/>
      <c r="AD72" s="1"/>
    </row>
    <row r="73" spans="1:30" ht="19.5" customHeight="1" x14ac:dyDescent="0.3">
      <c r="A73" s="2"/>
      <c r="B73" s="86" t="str">
        <f t="shared" ca="1" si="0"/>
        <v/>
      </c>
      <c r="C73" s="87" t="str">
        <f t="shared" ca="1" si="1"/>
        <v/>
      </c>
      <c r="D73" s="88" t="str">
        <f t="shared" ca="1" si="2"/>
        <v/>
      </c>
      <c r="E73" s="86" t="str">
        <f t="shared" ca="1" si="3"/>
        <v/>
      </c>
      <c r="F73" s="89" t="str">
        <f t="shared" ca="1" si="4"/>
        <v/>
      </c>
      <c r="G73" s="89" t="str">
        <f t="shared" ca="1" si="5"/>
        <v/>
      </c>
      <c r="H73" s="89" t="str">
        <f t="shared" ca="1" si="6"/>
        <v/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49</v>
      </c>
      <c r="V73" s="1">
        <v>61</v>
      </c>
      <c r="W73" s="90">
        <f>IF($U73=0,"",IF(INDEX(UCRETLER!$D$7:$D$606,$U73)="","",IF(INDEX(UCRETLER!$F$7:$F$606,$U73)="Aylık",EOMONTH(INDEX(UCRETLER!$D$7:$D$606,$U73),$V73-1),INDEX(UCRETLER!$U$7:$U$606,$U73)+7*($V73-1))))</f>
        <v>47879</v>
      </c>
      <c r="X73" s="79">
        <f>IF($U73=0,0,INDEX(UCRETLER!$G$7:$G$606,$U73))</f>
        <v>3000</v>
      </c>
      <c r="Y73" s="1">
        <f t="shared" ca="1" si="8"/>
        <v>10000000000</v>
      </c>
      <c r="Z73" s="1">
        <f t="shared" ca="1" si="9"/>
        <v>1</v>
      </c>
      <c r="AA73" s="1"/>
      <c r="AB73" s="1"/>
      <c r="AC73" s="1"/>
      <c r="AD73" s="1"/>
    </row>
    <row r="74" spans="1:30" ht="19.5" customHeight="1" x14ac:dyDescent="0.3">
      <c r="A74" s="2"/>
      <c r="B74" s="86" t="str">
        <f t="shared" ca="1" si="0"/>
        <v/>
      </c>
      <c r="C74" s="87" t="str">
        <f t="shared" ca="1" si="1"/>
        <v/>
      </c>
      <c r="D74" s="88" t="str">
        <f t="shared" ca="1" si="2"/>
        <v/>
      </c>
      <c r="E74" s="86" t="str">
        <f t="shared" ca="1" si="3"/>
        <v/>
      </c>
      <c r="F74" s="89" t="str">
        <f t="shared" ca="1" si="4"/>
        <v/>
      </c>
      <c r="G74" s="89" t="str">
        <f t="shared" ca="1" si="5"/>
        <v/>
      </c>
      <c r="H74" s="89" t="str">
        <f t="shared" ca="1" si="6"/>
        <v/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49</v>
      </c>
      <c r="V74" s="1">
        <v>62</v>
      </c>
      <c r="W74" s="90">
        <f>IF($U74=0,"",IF(INDEX(UCRETLER!$D$7:$D$606,$U74)="","",IF(INDEX(UCRETLER!$F$7:$F$606,$U74)="Aylık",EOMONTH(INDEX(UCRETLER!$D$7:$D$606,$U74),$V74-1),INDEX(UCRETLER!$U$7:$U$606,$U74)+7*($V74-1))))</f>
        <v>47907</v>
      </c>
      <c r="X74" s="79">
        <f>IF($U74=0,0,INDEX(UCRETLER!$G$7:$G$606,$U74))</f>
        <v>3000</v>
      </c>
      <c r="Y74" s="1">
        <f t="shared" ca="1" si="8"/>
        <v>10000000000</v>
      </c>
      <c r="Z74" s="1">
        <f t="shared" ca="1" si="9"/>
        <v>1</v>
      </c>
      <c r="AA74" s="1"/>
      <c r="AB74" s="1"/>
      <c r="AC74" s="1"/>
      <c r="AD74" s="1"/>
    </row>
    <row r="75" spans="1:30" ht="19.5" customHeight="1" x14ac:dyDescent="0.3">
      <c r="A75" s="2"/>
      <c r="B75" s="86" t="str">
        <f t="shared" ca="1" si="0"/>
        <v/>
      </c>
      <c r="C75" s="87" t="str">
        <f t="shared" ca="1" si="1"/>
        <v/>
      </c>
      <c r="D75" s="88" t="str">
        <f t="shared" ca="1" si="2"/>
        <v/>
      </c>
      <c r="E75" s="86" t="str">
        <f t="shared" ca="1" si="3"/>
        <v/>
      </c>
      <c r="F75" s="89" t="str">
        <f t="shared" ca="1" si="4"/>
        <v/>
      </c>
      <c r="G75" s="89" t="str">
        <f t="shared" ca="1" si="5"/>
        <v/>
      </c>
      <c r="H75" s="89" t="str">
        <f t="shared" ca="1" si="6"/>
        <v/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49</v>
      </c>
      <c r="V75" s="1">
        <v>63</v>
      </c>
      <c r="W75" s="90">
        <f>IF($U75=0,"",IF(INDEX(UCRETLER!$D$7:$D$606,$U75)="","",IF(INDEX(UCRETLER!$F$7:$F$606,$U75)="Aylık",EOMONTH(INDEX(UCRETLER!$D$7:$D$606,$U75),$V75-1),INDEX(UCRETLER!$U$7:$U$606,$U75)+7*($V75-1))))</f>
        <v>47938</v>
      </c>
      <c r="X75" s="79">
        <f>IF($U75=0,0,INDEX(UCRETLER!$G$7:$G$606,$U75))</f>
        <v>3000</v>
      </c>
      <c r="Y75" s="1">
        <f t="shared" ca="1" si="8"/>
        <v>10000000000</v>
      </c>
      <c r="Z75" s="1">
        <f t="shared" ca="1" si="9"/>
        <v>1</v>
      </c>
      <c r="AA75" s="1"/>
      <c r="AB75" s="1"/>
      <c r="AC75" s="1"/>
      <c r="AD75" s="1"/>
    </row>
    <row r="76" spans="1:30" ht="19.5" customHeight="1" x14ac:dyDescent="0.3">
      <c r="A76" s="2"/>
      <c r="B76" s="86" t="str">
        <f t="shared" ref="B76:B139" ca="1" si="14">IF($C76="","",ROW()-11)</f>
        <v/>
      </c>
      <c r="C76" s="87" t="str">
        <f t="shared" ref="C76:C139" ca="1" si="15">IF($Z76="","",IF(INDEX($N$12:$N$432,$Z76)="","",INDEX($N$12:$N$432,$Z76)))</f>
        <v/>
      </c>
      <c r="D76" s="88" t="str">
        <f t="shared" ref="D76:D139" ca="1" si="16">IF($C76="","",INDEX($O$12:$O$432,$Z76))</f>
        <v/>
      </c>
      <c r="E76" s="86" t="str">
        <f t="shared" ref="E76:E139" ca="1" si="17">IF($C76="","",INDEX($P$12:$P$432,$Z76))</f>
        <v/>
      </c>
      <c r="F76" s="89" t="str">
        <f t="shared" ref="F76:F139" ca="1" si="18">IF($C76="","",INDEX($R$12:$R$432,$Z76))</f>
        <v/>
      </c>
      <c r="G76" s="89" t="str">
        <f t="shared" ref="G76:G139" ca="1" si="19">IF($C76="","",INDEX($S$12:$S$432,$Z76))</f>
        <v/>
      </c>
      <c r="H76" s="89" t="str">
        <f t="shared" ref="H76:H139" ca="1" si="20">IF($C76="","",N($H75)+$F76-$G76)</f>
        <v/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49</v>
      </c>
      <c r="V76" s="1">
        <v>64</v>
      </c>
      <c r="W76" s="90">
        <f>IF($U76=0,"",IF(INDEX(UCRETLER!$D$7:$D$606,$U76)="","",IF(INDEX(UCRETLER!$F$7:$F$606,$U76)="Aylık",EOMONTH(INDEX(UCRETLER!$D$7:$D$606,$U76),$V76-1),INDEX(UCRETLER!$U$7:$U$606,$U76)+7*($V76-1))))</f>
        <v>47968</v>
      </c>
      <c r="X76" s="79">
        <f>IF($U76=0,0,INDEX(UCRETLER!$G$7:$G$606,$U76))</f>
        <v>3000</v>
      </c>
      <c r="Y76" s="1">
        <f t="shared" ref="Y76:Y139" ca="1" si="22">IFERROR(SMALL($T$12:$T$432,ROW()-11),"")</f>
        <v>10000000000</v>
      </c>
      <c r="Z76" s="1">
        <f t="shared" ref="Z76:Z139" ca="1" si="23">IFERROR(MATCH($Y76,$T$12:$T$432,0),"")</f>
        <v>1</v>
      </c>
      <c r="AA76" s="1"/>
      <c r="AB76" s="1"/>
      <c r="AC76" s="1"/>
      <c r="AD76" s="1"/>
    </row>
    <row r="77" spans="1:30" ht="19.5" customHeight="1" x14ac:dyDescent="0.3">
      <c r="A77" s="2"/>
      <c r="B77" s="86" t="str">
        <f t="shared" ca="1" si="14"/>
        <v/>
      </c>
      <c r="C77" s="87" t="str">
        <f t="shared" ca="1" si="15"/>
        <v/>
      </c>
      <c r="D77" s="88" t="str">
        <f t="shared" ca="1" si="16"/>
        <v/>
      </c>
      <c r="E77" s="86" t="str">
        <f t="shared" ca="1" si="17"/>
        <v/>
      </c>
      <c r="F77" s="89" t="str">
        <f t="shared" ca="1" si="18"/>
        <v/>
      </c>
      <c r="G77" s="89" t="str">
        <f t="shared" ca="1" si="19"/>
        <v/>
      </c>
      <c r="H77" s="89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49</v>
      </c>
      <c r="V77" s="1">
        <v>65</v>
      </c>
      <c r="W77" s="90">
        <f>IF($U77=0,"",IF(INDEX(UCRETLER!$D$7:$D$606,$U77)="","",IF(INDEX(UCRETLER!$F$7:$F$606,$U77)="Aylık",EOMONTH(INDEX(UCRETLER!$D$7:$D$606,$U77),$V77-1),INDEX(UCRETLER!$U$7:$U$606,$U77)+7*($V77-1))))</f>
        <v>47999</v>
      </c>
      <c r="X77" s="79">
        <f>IF($U77=0,0,INDEX(UCRETLER!$G$7:$G$606,$U77))</f>
        <v>3000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3">
      <c r="A78" s="2"/>
      <c r="B78" s="86" t="str">
        <f t="shared" ca="1" si="14"/>
        <v/>
      </c>
      <c r="C78" s="87" t="str">
        <f t="shared" ca="1" si="15"/>
        <v/>
      </c>
      <c r="D78" s="88" t="str">
        <f t="shared" ca="1" si="16"/>
        <v/>
      </c>
      <c r="E78" s="86" t="str">
        <f t="shared" ca="1" si="17"/>
        <v/>
      </c>
      <c r="F78" s="89" t="str">
        <f t="shared" ca="1" si="18"/>
        <v/>
      </c>
      <c r="G78" s="89" t="str">
        <f t="shared" ca="1" si="19"/>
        <v/>
      </c>
      <c r="H78" s="89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49</v>
      </c>
      <c r="V78" s="1">
        <v>66</v>
      </c>
      <c r="W78" s="90">
        <f>IF($U78=0,"",IF(INDEX(UCRETLER!$D$7:$D$606,$U78)="","",IF(INDEX(UCRETLER!$F$7:$F$606,$U78)="Aylık",EOMONTH(INDEX(UCRETLER!$D$7:$D$606,$U78),$V78-1),INDEX(UCRETLER!$U$7:$U$606,$U78)+7*($V78-1))))</f>
        <v>48029</v>
      </c>
      <c r="X78" s="79">
        <f>IF($U78=0,0,INDEX(UCRETLER!$G$7:$G$606,$U78))</f>
        <v>3000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3">
      <c r="A79" s="2"/>
      <c r="B79" s="86" t="str">
        <f t="shared" ca="1" si="14"/>
        <v/>
      </c>
      <c r="C79" s="87" t="str">
        <f t="shared" ca="1" si="15"/>
        <v/>
      </c>
      <c r="D79" s="88" t="str">
        <f t="shared" ca="1" si="16"/>
        <v/>
      </c>
      <c r="E79" s="86" t="str">
        <f t="shared" ca="1" si="17"/>
        <v/>
      </c>
      <c r="F79" s="89" t="str">
        <f t="shared" ca="1" si="18"/>
        <v/>
      </c>
      <c r="G79" s="89" t="str">
        <f t="shared" ca="1" si="19"/>
        <v/>
      </c>
      <c r="H79" s="89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49</v>
      </c>
      <c r="V79" s="1">
        <v>67</v>
      </c>
      <c r="W79" s="90">
        <f>IF($U79=0,"",IF(INDEX(UCRETLER!$D$7:$D$606,$U79)="","",IF(INDEX(UCRETLER!$F$7:$F$606,$U79)="Aylık",EOMONTH(INDEX(UCRETLER!$D$7:$D$606,$U79),$V79-1),INDEX(UCRETLER!$U$7:$U$606,$U79)+7*($V79-1))))</f>
        <v>48060</v>
      </c>
      <c r="X79" s="79">
        <f>IF($U79=0,0,INDEX(UCRETLER!$G$7:$G$606,$U79))</f>
        <v>3000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3">
      <c r="A80" s="2"/>
      <c r="B80" s="86" t="str">
        <f t="shared" ca="1" si="14"/>
        <v/>
      </c>
      <c r="C80" s="87" t="str">
        <f t="shared" ca="1" si="15"/>
        <v/>
      </c>
      <c r="D80" s="88" t="str">
        <f t="shared" ca="1" si="16"/>
        <v/>
      </c>
      <c r="E80" s="86" t="str">
        <f t="shared" ca="1" si="17"/>
        <v/>
      </c>
      <c r="F80" s="89" t="str">
        <f t="shared" ca="1" si="18"/>
        <v/>
      </c>
      <c r="G80" s="89" t="str">
        <f t="shared" ca="1" si="19"/>
        <v/>
      </c>
      <c r="H80" s="89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49</v>
      </c>
      <c r="V80" s="1">
        <v>68</v>
      </c>
      <c r="W80" s="90">
        <f>IF($U80=0,"",IF(INDEX(UCRETLER!$D$7:$D$606,$U80)="","",IF(INDEX(UCRETLER!$F$7:$F$606,$U80)="Aylık",EOMONTH(INDEX(UCRETLER!$D$7:$D$606,$U80),$V80-1),INDEX(UCRETLER!$U$7:$U$606,$U80)+7*($V80-1))))</f>
        <v>48091</v>
      </c>
      <c r="X80" s="79">
        <f>IF($U80=0,0,INDEX(UCRETLER!$G$7:$G$606,$U80))</f>
        <v>3000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3">
      <c r="A81" s="2"/>
      <c r="B81" s="86" t="str">
        <f t="shared" ca="1" si="14"/>
        <v/>
      </c>
      <c r="C81" s="87" t="str">
        <f t="shared" ca="1" si="15"/>
        <v/>
      </c>
      <c r="D81" s="88" t="str">
        <f t="shared" ca="1" si="16"/>
        <v/>
      </c>
      <c r="E81" s="86" t="str">
        <f t="shared" ca="1" si="17"/>
        <v/>
      </c>
      <c r="F81" s="89" t="str">
        <f t="shared" ca="1" si="18"/>
        <v/>
      </c>
      <c r="G81" s="89" t="str">
        <f t="shared" ca="1" si="19"/>
        <v/>
      </c>
      <c r="H81" s="89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49</v>
      </c>
      <c r="V81" s="1">
        <v>69</v>
      </c>
      <c r="W81" s="90">
        <f>IF($U81=0,"",IF(INDEX(UCRETLER!$D$7:$D$606,$U81)="","",IF(INDEX(UCRETLER!$F$7:$F$606,$U81)="Aylık",EOMONTH(INDEX(UCRETLER!$D$7:$D$606,$U81),$V81-1),INDEX(UCRETLER!$U$7:$U$606,$U81)+7*($V81-1))))</f>
        <v>48121</v>
      </c>
      <c r="X81" s="79">
        <f>IF($U81=0,0,INDEX(UCRETLER!$G$7:$G$606,$U81))</f>
        <v>3000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3">
      <c r="A82" s="2"/>
      <c r="B82" s="86" t="str">
        <f t="shared" ca="1" si="14"/>
        <v/>
      </c>
      <c r="C82" s="87" t="str">
        <f t="shared" ca="1" si="15"/>
        <v/>
      </c>
      <c r="D82" s="88" t="str">
        <f t="shared" ca="1" si="16"/>
        <v/>
      </c>
      <c r="E82" s="86" t="str">
        <f t="shared" ca="1" si="17"/>
        <v/>
      </c>
      <c r="F82" s="89" t="str">
        <f t="shared" ca="1" si="18"/>
        <v/>
      </c>
      <c r="G82" s="89" t="str">
        <f t="shared" ca="1" si="19"/>
        <v/>
      </c>
      <c r="H82" s="89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49</v>
      </c>
      <c r="V82" s="1">
        <v>70</v>
      </c>
      <c r="W82" s="90">
        <f>IF($U82=0,"",IF(INDEX(UCRETLER!$D$7:$D$606,$U82)="","",IF(INDEX(UCRETLER!$F$7:$F$606,$U82)="Aylık",EOMONTH(INDEX(UCRETLER!$D$7:$D$606,$U82),$V82-1),INDEX(UCRETLER!$U$7:$U$606,$U82)+7*($V82-1))))</f>
        <v>48152</v>
      </c>
      <c r="X82" s="79">
        <f>IF($U82=0,0,INDEX(UCRETLER!$G$7:$G$606,$U82))</f>
        <v>3000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3">
      <c r="A83" s="2"/>
      <c r="B83" s="86" t="str">
        <f t="shared" ca="1" si="14"/>
        <v/>
      </c>
      <c r="C83" s="87" t="str">
        <f t="shared" ca="1" si="15"/>
        <v/>
      </c>
      <c r="D83" s="88" t="str">
        <f t="shared" ca="1" si="16"/>
        <v/>
      </c>
      <c r="E83" s="86" t="str">
        <f t="shared" ca="1" si="17"/>
        <v/>
      </c>
      <c r="F83" s="89" t="str">
        <f t="shared" ca="1" si="18"/>
        <v/>
      </c>
      <c r="G83" s="89" t="str">
        <f t="shared" ca="1" si="19"/>
        <v/>
      </c>
      <c r="H83" s="89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49</v>
      </c>
      <c r="V83" s="1">
        <v>71</v>
      </c>
      <c r="W83" s="90">
        <f>IF($U83=0,"",IF(INDEX(UCRETLER!$D$7:$D$606,$U83)="","",IF(INDEX(UCRETLER!$F$7:$F$606,$U83)="Aylık",EOMONTH(INDEX(UCRETLER!$D$7:$D$606,$U83),$V83-1),INDEX(UCRETLER!$U$7:$U$606,$U83)+7*($V83-1))))</f>
        <v>48182</v>
      </c>
      <c r="X83" s="79">
        <f>IF($U83=0,0,INDEX(UCRETLER!$G$7:$G$606,$U83))</f>
        <v>3000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3">
      <c r="A84" s="2"/>
      <c r="B84" s="86" t="str">
        <f t="shared" ca="1" si="14"/>
        <v/>
      </c>
      <c r="C84" s="87" t="str">
        <f t="shared" ca="1" si="15"/>
        <v/>
      </c>
      <c r="D84" s="88" t="str">
        <f t="shared" ca="1" si="16"/>
        <v/>
      </c>
      <c r="E84" s="86" t="str">
        <f t="shared" ca="1" si="17"/>
        <v/>
      </c>
      <c r="F84" s="89" t="str">
        <f t="shared" ca="1" si="18"/>
        <v/>
      </c>
      <c r="G84" s="89" t="str">
        <f t="shared" ca="1" si="19"/>
        <v/>
      </c>
      <c r="H84" s="89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49</v>
      </c>
      <c r="V84" s="1">
        <v>72</v>
      </c>
      <c r="W84" s="90">
        <f>IF($U84=0,"",IF(INDEX(UCRETLER!$D$7:$D$606,$U84)="","",IF(INDEX(UCRETLER!$F$7:$F$606,$U84)="Aylık",EOMONTH(INDEX(UCRETLER!$D$7:$D$606,$U84),$V84-1),INDEX(UCRETLER!$U$7:$U$606,$U84)+7*($V84-1))))</f>
        <v>48213</v>
      </c>
      <c r="X84" s="79">
        <f>IF($U84=0,0,INDEX(UCRETLER!$G$7:$G$606,$U84))</f>
        <v>3000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3">
      <c r="A85" s="2"/>
      <c r="B85" s="86" t="str">
        <f t="shared" ca="1" si="14"/>
        <v/>
      </c>
      <c r="C85" s="87" t="str">
        <f t="shared" ca="1" si="15"/>
        <v/>
      </c>
      <c r="D85" s="88" t="str">
        <f t="shared" ca="1" si="16"/>
        <v/>
      </c>
      <c r="E85" s="86" t="str">
        <f t="shared" ca="1" si="17"/>
        <v/>
      </c>
      <c r="F85" s="89" t="str">
        <f t="shared" ca="1" si="18"/>
        <v/>
      </c>
      <c r="G85" s="89" t="str">
        <f t="shared" ca="1" si="19"/>
        <v/>
      </c>
      <c r="H85" s="89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49</v>
      </c>
      <c r="V85" s="1">
        <v>73</v>
      </c>
      <c r="W85" s="90">
        <f>IF($U85=0,"",IF(INDEX(UCRETLER!$D$7:$D$606,$U85)="","",IF(INDEX(UCRETLER!$F$7:$F$606,$U85)="Aylık",EOMONTH(INDEX(UCRETLER!$D$7:$D$606,$U85),$V85-1),INDEX(UCRETLER!$U$7:$U$606,$U85)+7*($V85-1))))</f>
        <v>48244</v>
      </c>
      <c r="X85" s="79">
        <f>IF($U85=0,0,INDEX(UCRETLER!$G$7:$G$606,$U85))</f>
        <v>3000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3">
      <c r="A86" s="2"/>
      <c r="B86" s="86" t="str">
        <f t="shared" ca="1" si="14"/>
        <v/>
      </c>
      <c r="C86" s="87" t="str">
        <f t="shared" ca="1" si="15"/>
        <v/>
      </c>
      <c r="D86" s="88" t="str">
        <f t="shared" ca="1" si="16"/>
        <v/>
      </c>
      <c r="E86" s="86" t="str">
        <f t="shared" ca="1" si="17"/>
        <v/>
      </c>
      <c r="F86" s="89" t="str">
        <f t="shared" ca="1" si="18"/>
        <v/>
      </c>
      <c r="G86" s="89" t="str">
        <f t="shared" ca="1" si="19"/>
        <v/>
      </c>
      <c r="H86" s="89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49</v>
      </c>
      <c r="V86" s="1">
        <v>74</v>
      </c>
      <c r="W86" s="90">
        <f>IF($U86=0,"",IF(INDEX(UCRETLER!$D$7:$D$606,$U86)="","",IF(INDEX(UCRETLER!$F$7:$F$606,$U86)="Aylık",EOMONTH(INDEX(UCRETLER!$D$7:$D$606,$U86),$V86-1),INDEX(UCRETLER!$U$7:$U$606,$U86)+7*($V86-1))))</f>
        <v>48273</v>
      </c>
      <c r="X86" s="79">
        <f>IF($U86=0,0,INDEX(UCRETLER!$G$7:$G$606,$U86))</f>
        <v>3000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3">
      <c r="A87" s="2"/>
      <c r="B87" s="86" t="str">
        <f t="shared" ca="1" si="14"/>
        <v/>
      </c>
      <c r="C87" s="87" t="str">
        <f t="shared" ca="1" si="15"/>
        <v/>
      </c>
      <c r="D87" s="88" t="str">
        <f t="shared" ca="1" si="16"/>
        <v/>
      </c>
      <c r="E87" s="86" t="str">
        <f t="shared" ca="1" si="17"/>
        <v/>
      </c>
      <c r="F87" s="89" t="str">
        <f t="shared" ca="1" si="18"/>
        <v/>
      </c>
      <c r="G87" s="89" t="str">
        <f t="shared" ca="1" si="19"/>
        <v/>
      </c>
      <c r="H87" s="89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49</v>
      </c>
      <c r="V87" s="1">
        <v>75</v>
      </c>
      <c r="W87" s="90">
        <f>IF($U87=0,"",IF(INDEX(UCRETLER!$D$7:$D$606,$U87)="","",IF(INDEX(UCRETLER!$F$7:$F$606,$U87)="Aylık",EOMONTH(INDEX(UCRETLER!$D$7:$D$606,$U87),$V87-1),INDEX(UCRETLER!$U$7:$U$606,$U87)+7*($V87-1))))</f>
        <v>48304</v>
      </c>
      <c r="X87" s="79">
        <f>IF($U87=0,0,INDEX(UCRETLER!$G$7:$G$606,$U87))</f>
        <v>3000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3">
      <c r="A88" s="2"/>
      <c r="B88" s="86" t="str">
        <f t="shared" ca="1" si="14"/>
        <v/>
      </c>
      <c r="C88" s="87" t="str">
        <f t="shared" ca="1" si="15"/>
        <v/>
      </c>
      <c r="D88" s="88" t="str">
        <f t="shared" ca="1" si="16"/>
        <v/>
      </c>
      <c r="E88" s="86" t="str">
        <f t="shared" ca="1" si="17"/>
        <v/>
      </c>
      <c r="F88" s="89" t="str">
        <f t="shared" ca="1" si="18"/>
        <v/>
      </c>
      <c r="G88" s="89" t="str">
        <f t="shared" ca="1" si="19"/>
        <v/>
      </c>
      <c r="H88" s="89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49</v>
      </c>
      <c r="V88" s="1">
        <v>76</v>
      </c>
      <c r="W88" s="90">
        <f>IF($U88=0,"",IF(INDEX(UCRETLER!$D$7:$D$606,$U88)="","",IF(INDEX(UCRETLER!$F$7:$F$606,$U88)="Aylık",EOMONTH(INDEX(UCRETLER!$D$7:$D$606,$U88),$V88-1),INDEX(UCRETLER!$U$7:$U$606,$U88)+7*($V88-1))))</f>
        <v>48334</v>
      </c>
      <c r="X88" s="79">
        <f>IF($U88=0,0,INDEX(UCRETLER!$G$7:$G$606,$U88))</f>
        <v>3000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3">
      <c r="A89" s="2"/>
      <c r="B89" s="86" t="str">
        <f t="shared" ca="1" si="14"/>
        <v/>
      </c>
      <c r="C89" s="87" t="str">
        <f t="shared" ca="1" si="15"/>
        <v/>
      </c>
      <c r="D89" s="88" t="str">
        <f t="shared" ca="1" si="16"/>
        <v/>
      </c>
      <c r="E89" s="86" t="str">
        <f t="shared" ca="1" si="17"/>
        <v/>
      </c>
      <c r="F89" s="89" t="str">
        <f t="shared" ca="1" si="18"/>
        <v/>
      </c>
      <c r="G89" s="89" t="str">
        <f t="shared" ca="1" si="19"/>
        <v/>
      </c>
      <c r="H89" s="89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49</v>
      </c>
      <c r="V89" s="1">
        <v>77</v>
      </c>
      <c r="W89" s="90">
        <f>IF($U89=0,"",IF(INDEX(UCRETLER!$D$7:$D$606,$U89)="","",IF(INDEX(UCRETLER!$F$7:$F$606,$U89)="Aylık",EOMONTH(INDEX(UCRETLER!$D$7:$D$606,$U89),$V89-1),INDEX(UCRETLER!$U$7:$U$606,$U89)+7*($V89-1))))</f>
        <v>48365</v>
      </c>
      <c r="X89" s="79">
        <f>IF($U89=0,0,INDEX(UCRETLER!$G$7:$G$606,$U89))</f>
        <v>3000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3">
      <c r="A90" s="2"/>
      <c r="B90" s="86" t="str">
        <f t="shared" ca="1" si="14"/>
        <v/>
      </c>
      <c r="C90" s="87" t="str">
        <f t="shared" ca="1" si="15"/>
        <v/>
      </c>
      <c r="D90" s="88" t="str">
        <f t="shared" ca="1" si="16"/>
        <v/>
      </c>
      <c r="E90" s="86" t="str">
        <f t="shared" ca="1" si="17"/>
        <v/>
      </c>
      <c r="F90" s="89" t="str">
        <f t="shared" ca="1" si="18"/>
        <v/>
      </c>
      <c r="G90" s="89" t="str">
        <f t="shared" ca="1" si="19"/>
        <v/>
      </c>
      <c r="H90" s="89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49</v>
      </c>
      <c r="V90" s="1">
        <v>78</v>
      </c>
      <c r="W90" s="90">
        <f>IF($U90=0,"",IF(INDEX(UCRETLER!$D$7:$D$606,$U90)="","",IF(INDEX(UCRETLER!$F$7:$F$606,$U90)="Aylık",EOMONTH(INDEX(UCRETLER!$D$7:$D$606,$U90),$V90-1),INDEX(UCRETLER!$U$7:$U$606,$U90)+7*($V90-1))))</f>
        <v>48395</v>
      </c>
      <c r="X90" s="79">
        <f>IF($U90=0,0,INDEX(UCRETLER!$G$7:$G$606,$U90))</f>
        <v>3000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3">
      <c r="A91" s="2"/>
      <c r="B91" s="86" t="str">
        <f t="shared" ca="1" si="14"/>
        <v/>
      </c>
      <c r="C91" s="87" t="str">
        <f t="shared" ca="1" si="15"/>
        <v/>
      </c>
      <c r="D91" s="88" t="str">
        <f t="shared" ca="1" si="16"/>
        <v/>
      </c>
      <c r="E91" s="86" t="str">
        <f t="shared" ca="1" si="17"/>
        <v/>
      </c>
      <c r="F91" s="89" t="str">
        <f t="shared" ca="1" si="18"/>
        <v/>
      </c>
      <c r="G91" s="89" t="str">
        <f t="shared" ca="1" si="19"/>
        <v/>
      </c>
      <c r="H91" s="89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49</v>
      </c>
      <c r="V91" s="1">
        <v>79</v>
      </c>
      <c r="W91" s="90">
        <f>IF($U91=0,"",IF(INDEX(UCRETLER!$D$7:$D$606,$U91)="","",IF(INDEX(UCRETLER!$F$7:$F$606,$U91)="Aylık",EOMONTH(INDEX(UCRETLER!$D$7:$D$606,$U91),$V91-1),INDEX(UCRETLER!$U$7:$U$606,$U91)+7*($V91-1))))</f>
        <v>48426</v>
      </c>
      <c r="X91" s="79">
        <f>IF($U91=0,0,INDEX(UCRETLER!$G$7:$G$606,$U91))</f>
        <v>3000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3">
      <c r="A92" s="2"/>
      <c r="B92" s="86" t="str">
        <f t="shared" ca="1" si="14"/>
        <v/>
      </c>
      <c r="C92" s="87" t="str">
        <f t="shared" ca="1" si="15"/>
        <v/>
      </c>
      <c r="D92" s="88" t="str">
        <f t="shared" ca="1" si="16"/>
        <v/>
      </c>
      <c r="E92" s="86" t="str">
        <f t="shared" ca="1" si="17"/>
        <v/>
      </c>
      <c r="F92" s="89" t="str">
        <f t="shared" ca="1" si="18"/>
        <v/>
      </c>
      <c r="G92" s="89" t="str">
        <f t="shared" ca="1" si="19"/>
        <v/>
      </c>
      <c r="H92" s="89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49</v>
      </c>
      <c r="V92" s="1">
        <v>80</v>
      </c>
      <c r="W92" s="90">
        <f>IF($U92=0,"",IF(INDEX(UCRETLER!$D$7:$D$606,$U92)="","",IF(INDEX(UCRETLER!$F$7:$F$606,$U92)="Aylık",EOMONTH(INDEX(UCRETLER!$D$7:$D$606,$U92),$V92-1),INDEX(UCRETLER!$U$7:$U$606,$U92)+7*($V92-1))))</f>
        <v>48457</v>
      </c>
      <c r="X92" s="79">
        <f>IF($U92=0,0,INDEX(UCRETLER!$G$7:$G$606,$U92))</f>
        <v>3000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3">
      <c r="A93" s="2"/>
      <c r="B93" s="86" t="str">
        <f t="shared" ca="1" si="14"/>
        <v/>
      </c>
      <c r="C93" s="87" t="str">
        <f t="shared" ca="1" si="15"/>
        <v/>
      </c>
      <c r="D93" s="88" t="str">
        <f t="shared" ca="1" si="16"/>
        <v/>
      </c>
      <c r="E93" s="86" t="str">
        <f t="shared" ca="1" si="17"/>
        <v/>
      </c>
      <c r="F93" s="89" t="str">
        <f t="shared" ca="1" si="18"/>
        <v/>
      </c>
      <c r="G93" s="89" t="str">
        <f t="shared" ca="1" si="19"/>
        <v/>
      </c>
      <c r="H93" s="89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3">
      <c r="A94" s="2"/>
      <c r="B94" s="86" t="str">
        <f t="shared" ca="1" si="14"/>
        <v/>
      </c>
      <c r="C94" s="87" t="str">
        <f t="shared" ca="1" si="15"/>
        <v/>
      </c>
      <c r="D94" s="88" t="str">
        <f t="shared" ca="1" si="16"/>
        <v/>
      </c>
      <c r="E94" s="86" t="str">
        <f t="shared" ca="1" si="17"/>
        <v/>
      </c>
      <c r="F94" s="89" t="str">
        <f t="shared" ca="1" si="18"/>
        <v/>
      </c>
      <c r="G94" s="89" t="str">
        <f t="shared" ca="1" si="19"/>
        <v/>
      </c>
      <c r="H94" s="89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3">
      <c r="A95" s="2"/>
      <c r="B95" s="86" t="str">
        <f t="shared" ca="1" si="14"/>
        <v/>
      </c>
      <c r="C95" s="87" t="str">
        <f t="shared" ca="1" si="15"/>
        <v/>
      </c>
      <c r="D95" s="88" t="str">
        <f t="shared" ca="1" si="16"/>
        <v/>
      </c>
      <c r="E95" s="86" t="str">
        <f t="shared" ca="1" si="17"/>
        <v/>
      </c>
      <c r="F95" s="89" t="str">
        <f t="shared" ca="1" si="18"/>
        <v/>
      </c>
      <c r="G95" s="89" t="str">
        <f t="shared" ca="1" si="19"/>
        <v/>
      </c>
      <c r="H95" s="89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3">
      <c r="A96" s="2"/>
      <c r="B96" s="86" t="str">
        <f t="shared" ca="1" si="14"/>
        <v/>
      </c>
      <c r="C96" s="87" t="str">
        <f t="shared" ca="1" si="15"/>
        <v/>
      </c>
      <c r="D96" s="88" t="str">
        <f t="shared" ca="1" si="16"/>
        <v/>
      </c>
      <c r="E96" s="86" t="str">
        <f t="shared" ca="1" si="17"/>
        <v/>
      </c>
      <c r="F96" s="89" t="str">
        <f t="shared" ca="1" si="18"/>
        <v/>
      </c>
      <c r="G96" s="89" t="str">
        <f t="shared" ca="1" si="19"/>
        <v/>
      </c>
      <c r="H96" s="89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3">
      <c r="A97" s="2"/>
      <c r="B97" s="86" t="str">
        <f t="shared" ca="1" si="14"/>
        <v/>
      </c>
      <c r="C97" s="87" t="str">
        <f t="shared" ca="1" si="15"/>
        <v/>
      </c>
      <c r="D97" s="88" t="str">
        <f t="shared" ca="1" si="16"/>
        <v/>
      </c>
      <c r="E97" s="86" t="str">
        <f t="shared" ca="1" si="17"/>
        <v/>
      </c>
      <c r="F97" s="89" t="str">
        <f t="shared" ca="1" si="18"/>
        <v/>
      </c>
      <c r="G97" s="89" t="str">
        <f t="shared" ca="1" si="19"/>
        <v/>
      </c>
      <c r="H97" s="89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3">
      <c r="A98" s="2"/>
      <c r="B98" s="86" t="str">
        <f t="shared" ca="1" si="14"/>
        <v/>
      </c>
      <c r="C98" s="87" t="str">
        <f t="shared" ca="1" si="15"/>
        <v/>
      </c>
      <c r="D98" s="88" t="str">
        <f t="shared" ca="1" si="16"/>
        <v/>
      </c>
      <c r="E98" s="86" t="str">
        <f t="shared" ca="1" si="17"/>
        <v/>
      </c>
      <c r="F98" s="89" t="str">
        <f t="shared" ca="1" si="18"/>
        <v/>
      </c>
      <c r="G98" s="89" t="str">
        <f t="shared" ca="1" si="19"/>
        <v/>
      </c>
      <c r="H98" s="89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3">
      <c r="A99" s="2"/>
      <c r="B99" s="86" t="str">
        <f t="shared" ca="1" si="14"/>
        <v/>
      </c>
      <c r="C99" s="87" t="str">
        <f t="shared" ca="1" si="15"/>
        <v/>
      </c>
      <c r="D99" s="88" t="str">
        <f t="shared" ca="1" si="16"/>
        <v/>
      </c>
      <c r="E99" s="86" t="str">
        <f t="shared" ca="1" si="17"/>
        <v/>
      </c>
      <c r="F99" s="89" t="str">
        <f t="shared" ca="1" si="18"/>
        <v/>
      </c>
      <c r="G99" s="89" t="str">
        <f t="shared" ca="1" si="19"/>
        <v/>
      </c>
      <c r="H99" s="89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3">
      <c r="A100" s="2"/>
      <c r="B100" s="86" t="str">
        <f t="shared" ca="1" si="14"/>
        <v/>
      </c>
      <c r="C100" s="87" t="str">
        <f t="shared" ca="1" si="15"/>
        <v/>
      </c>
      <c r="D100" s="88" t="str">
        <f t="shared" ca="1" si="16"/>
        <v/>
      </c>
      <c r="E100" s="86" t="str">
        <f t="shared" ca="1" si="17"/>
        <v/>
      </c>
      <c r="F100" s="89" t="str">
        <f t="shared" ca="1" si="18"/>
        <v/>
      </c>
      <c r="G100" s="89" t="str">
        <f t="shared" ca="1" si="19"/>
        <v/>
      </c>
      <c r="H100" s="89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3">
      <c r="A101" s="2"/>
      <c r="B101" s="86" t="str">
        <f t="shared" ca="1" si="14"/>
        <v/>
      </c>
      <c r="C101" s="87" t="str">
        <f t="shared" ca="1" si="15"/>
        <v/>
      </c>
      <c r="D101" s="88" t="str">
        <f t="shared" ca="1" si="16"/>
        <v/>
      </c>
      <c r="E101" s="86" t="str">
        <f t="shared" ca="1" si="17"/>
        <v/>
      </c>
      <c r="F101" s="89" t="str">
        <f t="shared" ca="1" si="18"/>
        <v/>
      </c>
      <c r="G101" s="89" t="str">
        <f t="shared" ca="1" si="19"/>
        <v/>
      </c>
      <c r="H101" s="89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3">
      <c r="A102" s="2"/>
      <c r="B102" s="86" t="str">
        <f t="shared" ca="1" si="14"/>
        <v/>
      </c>
      <c r="C102" s="87" t="str">
        <f t="shared" ca="1" si="15"/>
        <v/>
      </c>
      <c r="D102" s="88" t="str">
        <f t="shared" ca="1" si="16"/>
        <v/>
      </c>
      <c r="E102" s="86" t="str">
        <f t="shared" ca="1" si="17"/>
        <v/>
      </c>
      <c r="F102" s="89" t="str">
        <f t="shared" ca="1" si="18"/>
        <v/>
      </c>
      <c r="G102" s="89" t="str">
        <f t="shared" ca="1" si="19"/>
        <v/>
      </c>
      <c r="H102" s="89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3">
      <c r="A103" s="2"/>
      <c r="B103" s="86" t="str">
        <f t="shared" ca="1" si="14"/>
        <v/>
      </c>
      <c r="C103" s="87" t="str">
        <f t="shared" ca="1" si="15"/>
        <v/>
      </c>
      <c r="D103" s="88" t="str">
        <f t="shared" ca="1" si="16"/>
        <v/>
      </c>
      <c r="E103" s="86" t="str">
        <f t="shared" ca="1" si="17"/>
        <v/>
      </c>
      <c r="F103" s="89" t="str">
        <f t="shared" ca="1" si="18"/>
        <v/>
      </c>
      <c r="G103" s="89" t="str">
        <f t="shared" ca="1" si="19"/>
        <v/>
      </c>
      <c r="H103" s="89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3">
      <c r="A104" s="2"/>
      <c r="B104" s="86" t="str">
        <f t="shared" ca="1" si="14"/>
        <v/>
      </c>
      <c r="C104" s="87" t="str">
        <f t="shared" ca="1" si="15"/>
        <v/>
      </c>
      <c r="D104" s="88" t="str">
        <f t="shared" ca="1" si="16"/>
        <v/>
      </c>
      <c r="E104" s="86" t="str">
        <f t="shared" ca="1" si="17"/>
        <v/>
      </c>
      <c r="F104" s="89" t="str">
        <f t="shared" ca="1" si="18"/>
        <v/>
      </c>
      <c r="G104" s="89" t="str">
        <f t="shared" ca="1" si="19"/>
        <v/>
      </c>
      <c r="H104" s="89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3">
      <c r="A105" s="2"/>
      <c r="B105" s="86" t="str">
        <f t="shared" ca="1" si="14"/>
        <v/>
      </c>
      <c r="C105" s="87" t="str">
        <f t="shared" ca="1" si="15"/>
        <v/>
      </c>
      <c r="D105" s="88" t="str">
        <f t="shared" ca="1" si="16"/>
        <v/>
      </c>
      <c r="E105" s="86" t="str">
        <f t="shared" ca="1" si="17"/>
        <v/>
      </c>
      <c r="F105" s="89" t="str">
        <f t="shared" ca="1" si="18"/>
        <v/>
      </c>
      <c r="G105" s="89" t="str">
        <f t="shared" ca="1" si="19"/>
        <v/>
      </c>
      <c r="H105" s="89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3">
      <c r="A106" s="2"/>
      <c r="B106" s="86" t="str">
        <f t="shared" ca="1" si="14"/>
        <v/>
      </c>
      <c r="C106" s="87" t="str">
        <f t="shared" ca="1" si="15"/>
        <v/>
      </c>
      <c r="D106" s="88" t="str">
        <f t="shared" ca="1" si="16"/>
        <v/>
      </c>
      <c r="E106" s="86" t="str">
        <f t="shared" ca="1" si="17"/>
        <v/>
      </c>
      <c r="F106" s="89" t="str">
        <f t="shared" ca="1" si="18"/>
        <v/>
      </c>
      <c r="G106" s="89" t="str">
        <f t="shared" ca="1" si="19"/>
        <v/>
      </c>
      <c r="H106" s="89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3">
      <c r="A107" s="2"/>
      <c r="B107" s="86" t="str">
        <f t="shared" ca="1" si="14"/>
        <v/>
      </c>
      <c r="C107" s="87" t="str">
        <f t="shared" ca="1" si="15"/>
        <v/>
      </c>
      <c r="D107" s="88" t="str">
        <f t="shared" ca="1" si="16"/>
        <v/>
      </c>
      <c r="E107" s="86" t="str">
        <f t="shared" ca="1" si="17"/>
        <v/>
      </c>
      <c r="F107" s="89" t="str">
        <f t="shared" ca="1" si="18"/>
        <v/>
      </c>
      <c r="G107" s="89" t="str">
        <f t="shared" ca="1" si="19"/>
        <v/>
      </c>
      <c r="H107" s="89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3">
      <c r="A108" s="2"/>
      <c r="B108" s="86" t="str">
        <f t="shared" ca="1" si="14"/>
        <v/>
      </c>
      <c r="C108" s="87" t="str">
        <f t="shared" ca="1" si="15"/>
        <v/>
      </c>
      <c r="D108" s="88" t="str">
        <f t="shared" ca="1" si="16"/>
        <v/>
      </c>
      <c r="E108" s="86" t="str">
        <f t="shared" ca="1" si="17"/>
        <v/>
      </c>
      <c r="F108" s="89" t="str">
        <f t="shared" ca="1" si="18"/>
        <v/>
      </c>
      <c r="G108" s="89" t="str">
        <f t="shared" ca="1" si="19"/>
        <v/>
      </c>
      <c r="H108" s="89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3">
      <c r="A109" s="2"/>
      <c r="B109" s="86" t="str">
        <f t="shared" ca="1" si="14"/>
        <v/>
      </c>
      <c r="C109" s="87" t="str">
        <f t="shared" ca="1" si="15"/>
        <v/>
      </c>
      <c r="D109" s="88" t="str">
        <f t="shared" ca="1" si="16"/>
        <v/>
      </c>
      <c r="E109" s="86" t="str">
        <f t="shared" ca="1" si="17"/>
        <v/>
      </c>
      <c r="F109" s="89" t="str">
        <f t="shared" ca="1" si="18"/>
        <v/>
      </c>
      <c r="G109" s="89" t="str">
        <f t="shared" ca="1" si="19"/>
        <v/>
      </c>
      <c r="H109" s="89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3">
      <c r="A110" s="2"/>
      <c r="B110" s="86" t="str">
        <f t="shared" ca="1" si="14"/>
        <v/>
      </c>
      <c r="C110" s="87" t="str">
        <f t="shared" ca="1" si="15"/>
        <v/>
      </c>
      <c r="D110" s="88" t="str">
        <f t="shared" ca="1" si="16"/>
        <v/>
      </c>
      <c r="E110" s="86" t="str">
        <f t="shared" ca="1" si="17"/>
        <v/>
      </c>
      <c r="F110" s="89" t="str">
        <f t="shared" ca="1" si="18"/>
        <v/>
      </c>
      <c r="G110" s="89" t="str">
        <f t="shared" ca="1" si="19"/>
        <v/>
      </c>
      <c r="H110" s="89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3">
      <c r="A111" s="2"/>
      <c r="B111" s="86" t="str">
        <f t="shared" ca="1" si="14"/>
        <v/>
      </c>
      <c r="C111" s="87" t="str">
        <f t="shared" ca="1" si="15"/>
        <v/>
      </c>
      <c r="D111" s="88" t="str">
        <f t="shared" ca="1" si="16"/>
        <v/>
      </c>
      <c r="E111" s="86" t="str">
        <f t="shared" ca="1" si="17"/>
        <v/>
      </c>
      <c r="F111" s="89" t="str">
        <f t="shared" ca="1" si="18"/>
        <v/>
      </c>
      <c r="G111" s="89" t="str">
        <f t="shared" ca="1" si="19"/>
        <v/>
      </c>
      <c r="H111" s="89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3">
      <c r="A112" s="2"/>
      <c r="B112" s="86" t="str">
        <f t="shared" ca="1" si="14"/>
        <v/>
      </c>
      <c r="C112" s="87" t="str">
        <f t="shared" ca="1" si="15"/>
        <v/>
      </c>
      <c r="D112" s="88" t="str">
        <f t="shared" ca="1" si="16"/>
        <v/>
      </c>
      <c r="E112" s="86" t="str">
        <f t="shared" ca="1" si="17"/>
        <v/>
      </c>
      <c r="F112" s="89" t="str">
        <f t="shared" ca="1" si="18"/>
        <v/>
      </c>
      <c r="G112" s="89" t="str">
        <f t="shared" ca="1" si="19"/>
        <v/>
      </c>
      <c r="H112" s="89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3">
      <c r="A113" s="2"/>
      <c r="B113" s="86" t="str">
        <f t="shared" ca="1" si="14"/>
        <v/>
      </c>
      <c r="C113" s="87" t="str">
        <f t="shared" ca="1" si="15"/>
        <v/>
      </c>
      <c r="D113" s="88" t="str">
        <f t="shared" ca="1" si="16"/>
        <v/>
      </c>
      <c r="E113" s="86" t="str">
        <f t="shared" ca="1" si="17"/>
        <v/>
      </c>
      <c r="F113" s="89" t="str">
        <f t="shared" ca="1" si="18"/>
        <v/>
      </c>
      <c r="G113" s="89" t="str">
        <f t="shared" ca="1" si="19"/>
        <v/>
      </c>
      <c r="H113" s="89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3">
      <c r="A114" s="2"/>
      <c r="B114" s="86" t="str">
        <f t="shared" ca="1" si="14"/>
        <v/>
      </c>
      <c r="C114" s="87" t="str">
        <f t="shared" ca="1" si="15"/>
        <v/>
      </c>
      <c r="D114" s="88" t="str">
        <f t="shared" ca="1" si="16"/>
        <v/>
      </c>
      <c r="E114" s="86" t="str">
        <f t="shared" ca="1" si="17"/>
        <v/>
      </c>
      <c r="F114" s="89" t="str">
        <f t="shared" ca="1" si="18"/>
        <v/>
      </c>
      <c r="G114" s="89" t="str">
        <f t="shared" ca="1" si="19"/>
        <v/>
      </c>
      <c r="H114" s="89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3">
      <c r="A115" s="2"/>
      <c r="B115" s="86" t="str">
        <f t="shared" ca="1" si="14"/>
        <v/>
      </c>
      <c r="C115" s="87" t="str">
        <f t="shared" ca="1" si="15"/>
        <v/>
      </c>
      <c r="D115" s="88" t="str">
        <f t="shared" ca="1" si="16"/>
        <v/>
      </c>
      <c r="E115" s="86" t="str">
        <f t="shared" ca="1" si="17"/>
        <v/>
      </c>
      <c r="F115" s="89" t="str">
        <f t="shared" ca="1" si="18"/>
        <v/>
      </c>
      <c r="G115" s="89" t="str">
        <f t="shared" ca="1" si="19"/>
        <v/>
      </c>
      <c r="H115" s="89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3">
      <c r="A116" s="2"/>
      <c r="B116" s="86" t="str">
        <f t="shared" ca="1" si="14"/>
        <v/>
      </c>
      <c r="C116" s="87" t="str">
        <f t="shared" ca="1" si="15"/>
        <v/>
      </c>
      <c r="D116" s="88" t="str">
        <f t="shared" ca="1" si="16"/>
        <v/>
      </c>
      <c r="E116" s="86" t="str">
        <f t="shared" ca="1" si="17"/>
        <v/>
      </c>
      <c r="F116" s="89" t="str">
        <f t="shared" ca="1" si="18"/>
        <v/>
      </c>
      <c r="G116" s="89" t="str">
        <f t="shared" ca="1" si="19"/>
        <v/>
      </c>
      <c r="H116" s="89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3">
      <c r="A117" s="2"/>
      <c r="B117" s="86" t="str">
        <f t="shared" ca="1" si="14"/>
        <v/>
      </c>
      <c r="C117" s="87" t="str">
        <f t="shared" ca="1" si="15"/>
        <v/>
      </c>
      <c r="D117" s="88" t="str">
        <f t="shared" ca="1" si="16"/>
        <v/>
      </c>
      <c r="E117" s="86" t="str">
        <f t="shared" ca="1" si="17"/>
        <v/>
      </c>
      <c r="F117" s="89" t="str">
        <f t="shared" ca="1" si="18"/>
        <v/>
      </c>
      <c r="G117" s="89" t="str">
        <f t="shared" ca="1" si="19"/>
        <v/>
      </c>
      <c r="H117" s="89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3">
      <c r="A118" s="2"/>
      <c r="B118" s="86" t="str">
        <f t="shared" ca="1" si="14"/>
        <v/>
      </c>
      <c r="C118" s="87" t="str">
        <f t="shared" ca="1" si="15"/>
        <v/>
      </c>
      <c r="D118" s="88" t="str">
        <f t="shared" ca="1" si="16"/>
        <v/>
      </c>
      <c r="E118" s="86" t="str">
        <f t="shared" ca="1" si="17"/>
        <v/>
      </c>
      <c r="F118" s="89" t="str">
        <f t="shared" ca="1" si="18"/>
        <v/>
      </c>
      <c r="G118" s="89" t="str">
        <f t="shared" ca="1" si="19"/>
        <v/>
      </c>
      <c r="H118" s="89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3">
      <c r="A119" s="2"/>
      <c r="B119" s="86" t="str">
        <f t="shared" ca="1" si="14"/>
        <v/>
      </c>
      <c r="C119" s="87" t="str">
        <f t="shared" ca="1" si="15"/>
        <v/>
      </c>
      <c r="D119" s="88" t="str">
        <f t="shared" ca="1" si="16"/>
        <v/>
      </c>
      <c r="E119" s="86" t="str">
        <f t="shared" ca="1" si="17"/>
        <v/>
      </c>
      <c r="F119" s="89" t="str">
        <f t="shared" ca="1" si="18"/>
        <v/>
      </c>
      <c r="G119" s="89" t="str">
        <f t="shared" ca="1" si="19"/>
        <v/>
      </c>
      <c r="H119" s="89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3">
      <c r="A120" s="2"/>
      <c r="B120" s="86" t="str">
        <f t="shared" ca="1" si="14"/>
        <v/>
      </c>
      <c r="C120" s="87" t="str">
        <f t="shared" ca="1" si="15"/>
        <v/>
      </c>
      <c r="D120" s="88" t="str">
        <f t="shared" ca="1" si="16"/>
        <v/>
      </c>
      <c r="E120" s="86" t="str">
        <f t="shared" ca="1" si="17"/>
        <v/>
      </c>
      <c r="F120" s="89" t="str">
        <f t="shared" ca="1" si="18"/>
        <v/>
      </c>
      <c r="G120" s="89" t="str">
        <f t="shared" ca="1" si="19"/>
        <v/>
      </c>
      <c r="H120" s="89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3">
      <c r="A121" s="2"/>
      <c r="B121" s="86" t="str">
        <f t="shared" ca="1" si="14"/>
        <v/>
      </c>
      <c r="C121" s="87" t="str">
        <f t="shared" ca="1" si="15"/>
        <v/>
      </c>
      <c r="D121" s="88" t="str">
        <f t="shared" ca="1" si="16"/>
        <v/>
      </c>
      <c r="E121" s="86" t="str">
        <f t="shared" ca="1" si="17"/>
        <v/>
      </c>
      <c r="F121" s="89" t="str">
        <f t="shared" ca="1" si="18"/>
        <v/>
      </c>
      <c r="G121" s="89" t="str">
        <f t="shared" ca="1" si="19"/>
        <v/>
      </c>
      <c r="H121" s="89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3">
      <c r="A122" s="2"/>
      <c r="B122" s="86" t="str">
        <f t="shared" ca="1" si="14"/>
        <v/>
      </c>
      <c r="C122" s="87" t="str">
        <f t="shared" ca="1" si="15"/>
        <v/>
      </c>
      <c r="D122" s="88" t="str">
        <f t="shared" ca="1" si="16"/>
        <v/>
      </c>
      <c r="E122" s="86" t="str">
        <f t="shared" ca="1" si="17"/>
        <v/>
      </c>
      <c r="F122" s="89" t="str">
        <f t="shared" ca="1" si="18"/>
        <v/>
      </c>
      <c r="G122" s="89" t="str">
        <f t="shared" ca="1" si="19"/>
        <v/>
      </c>
      <c r="H122" s="89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3">
      <c r="A123" s="2"/>
      <c r="B123" s="86" t="str">
        <f t="shared" ca="1" si="14"/>
        <v/>
      </c>
      <c r="C123" s="87" t="str">
        <f t="shared" ca="1" si="15"/>
        <v/>
      </c>
      <c r="D123" s="88" t="str">
        <f t="shared" ca="1" si="16"/>
        <v/>
      </c>
      <c r="E123" s="86" t="str">
        <f t="shared" ca="1" si="17"/>
        <v/>
      </c>
      <c r="F123" s="89" t="str">
        <f t="shared" ca="1" si="18"/>
        <v/>
      </c>
      <c r="G123" s="89" t="str">
        <f t="shared" ca="1" si="19"/>
        <v/>
      </c>
      <c r="H123" s="89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3">
      <c r="A124" s="2"/>
      <c r="B124" s="86" t="str">
        <f t="shared" ca="1" si="14"/>
        <v/>
      </c>
      <c r="C124" s="87" t="str">
        <f t="shared" ca="1" si="15"/>
        <v/>
      </c>
      <c r="D124" s="88" t="str">
        <f t="shared" ca="1" si="16"/>
        <v/>
      </c>
      <c r="E124" s="86" t="str">
        <f t="shared" ca="1" si="17"/>
        <v/>
      </c>
      <c r="F124" s="89" t="str">
        <f t="shared" ca="1" si="18"/>
        <v/>
      </c>
      <c r="G124" s="89" t="str">
        <f t="shared" ca="1" si="19"/>
        <v/>
      </c>
      <c r="H124" s="89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3">
      <c r="A125" s="2"/>
      <c r="B125" s="86" t="str">
        <f t="shared" ca="1" si="14"/>
        <v/>
      </c>
      <c r="C125" s="87" t="str">
        <f t="shared" ca="1" si="15"/>
        <v/>
      </c>
      <c r="D125" s="88" t="str">
        <f t="shared" ca="1" si="16"/>
        <v/>
      </c>
      <c r="E125" s="86" t="str">
        <f t="shared" ca="1" si="17"/>
        <v/>
      </c>
      <c r="F125" s="89" t="str">
        <f t="shared" ca="1" si="18"/>
        <v/>
      </c>
      <c r="G125" s="89" t="str">
        <f t="shared" ca="1" si="19"/>
        <v/>
      </c>
      <c r="H125" s="89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3">
      <c r="A126" s="2"/>
      <c r="B126" s="86" t="str">
        <f t="shared" ca="1" si="14"/>
        <v/>
      </c>
      <c r="C126" s="87" t="str">
        <f t="shared" ca="1" si="15"/>
        <v/>
      </c>
      <c r="D126" s="88" t="str">
        <f t="shared" ca="1" si="16"/>
        <v/>
      </c>
      <c r="E126" s="86" t="str">
        <f t="shared" ca="1" si="17"/>
        <v/>
      </c>
      <c r="F126" s="89" t="str">
        <f t="shared" ca="1" si="18"/>
        <v/>
      </c>
      <c r="G126" s="89" t="str">
        <f t="shared" ca="1" si="19"/>
        <v/>
      </c>
      <c r="H126" s="89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3">
      <c r="A127" s="2"/>
      <c r="B127" s="86" t="str">
        <f t="shared" ca="1" si="14"/>
        <v/>
      </c>
      <c r="C127" s="87" t="str">
        <f t="shared" ca="1" si="15"/>
        <v/>
      </c>
      <c r="D127" s="88" t="str">
        <f t="shared" ca="1" si="16"/>
        <v/>
      </c>
      <c r="E127" s="86" t="str">
        <f t="shared" ca="1" si="17"/>
        <v/>
      </c>
      <c r="F127" s="89" t="str">
        <f t="shared" ca="1" si="18"/>
        <v/>
      </c>
      <c r="G127" s="89" t="str">
        <f t="shared" ca="1" si="19"/>
        <v/>
      </c>
      <c r="H127" s="89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3">
      <c r="A128" s="2"/>
      <c r="B128" s="86" t="str">
        <f t="shared" ca="1" si="14"/>
        <v/>
      </c>
      <c r="C128" s="87" t="str">
        <f t="shared" ca="1" si="15"/>
        <v/>
      </c>
      <c r="D128" s="88" t="str">
        <f t="shared" ca="1" si="16"/>
        <v/>
      </c>
      <c r="E128" s="86" t="str">
        <f t="shared" ca="1" si="17"/>
        <v/>
      </c>
      <c r="F128" s="89" t="str">
        <f t="shared" ca="1" si="18"/>
        <v/>
      </c>
      <c r="G128" s="89" t="str">
        <f t="shared" ca="1" si="19"/>
        <v/>
      </c>
      <c r="H128" s="89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3">
      <c r="A129" s="2"/>
      <c r="B129" s="86" t="str">
        <f t="shared" ca="1" si="14"/>
        <v/>
      </c>
      <c r="C129" s="87" t="str">
        <f t="shared" ca="1" si="15"/>
        <v/>
      </c>
      <c r="D129" s="88" t="str">
        <f t="shared" ca="1" si="16"/>
        <v/>
      </c>
      <c r="E129" s="86" t="str">
        <f t="shared" ca="1" si="17"/>
        <v/>
      </c>
      <c r="F129" s="89" t="str">
        <f t="shared" ca="1" si="18"/>
        <v/>
      </c>
      <c r="G129" s="89" t="str">
        <f t="shared" ca="1" si="19"/>
        <v/>
      </c>
      <c r="H129" s="89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3">
      <c r="A130" s="2"/>
      <c r="B130" s="86" t="str">
        <f t="shared" ca="1" si="14"/>
        <v/>
      </c>
      <c r="C130" s="87" t="str">
        <f t="shared" ca="1" si="15"/>
        <v/>
      </c>
      <c r="D130" s="88" t="str">
        <f t="shared" ca="1" si="16"/>
        <v/>
      </c>
      <c r="E130" s="86" t="str">
        <f t="shared" ca="1" si="17"/>
        <v/>
      </c>
      <c r="F130" s="89" t="str">
        <f t="shared" ca="1" si="18"/>
        <v/>
      </c>
      <c r="G130" s="89" t="str">
        <f t="shared" ca="1" si="19"/>
        <v/>
      </c>
      <c r="H130" s="89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3">
      <c r="A131" s="2"/>
      <c r="B131" s="86" t="str">
        <f t="shared" ca="1" si="14"/>
        <v/>
      </c>
      <c r="C131" s="87" t="str">
        <f t="shared" ca="1" si="15"/>
        <v/>
      </c>
      <c r="D131" s="88" t="str">
        <f t="shared" ca="1" si="16"/>
        <v/>
      </c>
      <c r="E131" s="86" t="str">
        <f t="shared" ca="1" si="17"/>
        <v/>
      </c>
      <c r="F131" s="89" t="str">
        <f t="shared" ca="1" si="18"/>
        <v/>
      </c>
      <c r="G131" s="89" t="str">
        <f t="shared" ca="1" si="19"/>
        <v/>
      </c>
      <c r="H131" s="89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3">
      <c r="A132" s="2"/>
      <c r="B132" s="86" t="str">
        <f t="shared" ca="1" si="14"/>
        <v/>
      </c>
      <c r="C132" s="87" t="str">
        <f t="shared" ca="1" si="15"/>
        <v/>
      </c>
      <c r="D132" s="88" t="str">
        <f t="shared" ca="1" si="16"/>
        <v/>
      </c>
      <c r="E132" s="86" t="str">
        <f t="shared" ca="1" si="17"/>
        <v/>
      </c>
      <c r="F132" s="89" t="str">
        <f t="shared" ca="1" si="18"/>
        <v/>
      </c>
      <c r="G132" s="89" t="str">
        <f t="shared" ca="1" si="19"/>
        <v/>
      </c>
      <c r="H132" s="89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3">
      <c r="A133" s="2"/>
      <c r="B133" s="86" t="str">
        <f t="shared" ca="1" si="14"/>
        <v/>
      </c>
      <c r="C133" s="87" t="str">
        <f t="shared" ca="1" si="15"/>
        <v/>
      </c>
      <c r="D133" s="88" t="str">
        <f t="shared" ca="1" si="16"/>
        <v/>
      </c>
      <c r="E133" s="86" t="str">
        <f t="shared" ca="1" si="17"/>
        <v/>
      </c>
      <c r="F133" s="89" t="str">
        <f t="shared" ca="1" si="18"/>
        <v/>
      </c>
      <c r="G133" s="89" t="str">
        <f t="shared" ca="1" si="19"/>
        <v/>
      </c>
      <c r="H133" s="89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3">
      <c r="A134" s="2"/>
      <c r="B134" s="86" t="str">
        <f t="shared" ca="1" si="14"/>
        <v/>
      </c>
      <c r="C134" s="87" t="str">
        <f t="shared" ca="1" si="15"/>
        <v/>
      </c>
      <c r="D134" s="88" t="str">
        <f t="shared" ca="1" si="16"/>
        <v/>
      </c>
      <c r="E134" s="86" t="str">
        <f t="shared" ca="1" si="17"/>
        <v/>
      </c>
      <c r="F134" s="89" t="str">
        <f t="shared" ca="1" si="18"/>
        <v/>
      </c>
      <c r="G134" s="89" t="str">
        <f t="shared" ca="1" si="19"/>
        <v/>
      </c>
      <c r="H134" s="89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3">
      <c r="A135" s="2"/>
      <c r="B135" s="86" t="str">
        <f t="shared" ca="1" si="14"/>
        <v/>
      </c>
      <c r="C135" s="87" t="str">
        <f t="shared" ca="1" si="15"/>
        <v/>
      </c>
      <c r="D135" s="88" t="str">
        <f t="shared" ca="1" si="16"/>
        <v/>
      </c>
      <c r="E135" s="86" t="str">
        <f t="shared" ca="1" si="17"/>
        <v/>
      </c>
      <c r="F135" s="89" t="str">
        <f t="shared" ca="1" si="18"/>
        <v/>
      </c>
      <c r="G135" s="89" t="str">
        <f t="shared" ca="1" si="19"/>
        <v/>
      </c>
      <c r="H135" s="89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3">
      <c r="A136" s="2"/>
      <c r="B136" s="86" t="str">
        <f t="shared" ca="1" si="14"/>
        <v/>
      </c>
      <c r="C136" s="87" t="str">
        <f t="shared" ca="1" si="15"/>
        <v/>
      </c>
      <c r="D136" s="88" t="str">
        <f t="shared" ca="1" si="16"/>
        <v/>
      </c>
      <c r="E136" s="86" t="str">
        <f t="shared" ca="1" si="17"/>
        <v/>
      </c>
      <c r="F136" s="89" t="str">
        <f t="shared" ca="1" si="18"/>
        <v/>
      </c>
      <c r="G136" s="89" t="str">
        <f t="shared" ca="1" si="19"/>
        <v/>
      </c>
      <c r="H136" s="89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3">
      <c r="A137" s="2"/>
      <c r="B137" s="86" t="str">
        <f t="shared" ca="1" si="14"/>
        <v/>
      </c>
      <c r="C137" s="87" t="str">
        <f t="shared" ca="1" si="15"/>
        <v/>
      </c>
      <c r="D137" s="88" t="str">
        <f t="shared" ca="1" si="16"/>
        <v/>
      </c>
      <c r="E137" s="86" t="str">
        <f t="shared" ca="1" si="17"/>
        <v/>
      </c>
      <c r="F137" s="89" t="str">
        <f t="shared" ca="1" si="18"/>
        <v/>
      </c>
      <c r="G137" s="89" t="str">
        <f t="shared" ca="1" si="19"/>
        <v/>
      </c>
      <c r="H137" s="89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3">
      <c r="A138" s="2"/>
      <c r="B138" s="86" t="str">
        <f t="shared" ca="1" si="14"/>
        <v/>
      </c>
      <c r="C138" s="87" t="str">
        <f t="shared" ca="1" si="15"/>
        <v/>
      </c>
      <c r="D138" s="88" t="str">
        <f t="shared" ca="1" si="16"/>
        <v/>
      </c>
      <c r="E138" s="86" t="str">
        <f t="shared" ca="1" si="17"/>
        <v/>
      </c>
      <c r="F138" s="89" t="str">
        <f t="shared" ca="1" si="18"/>
        <v/>
      </c>
      <c r="G138" s="89" t="str">
        <f t="shared" ca="1" si="19"/>
        <v/>
      </c>
      <c r="H138" s="89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3">
      <c r="A139" s="2"/>
      <c r="B139" s="86" t="str">
        <f t="shared" ca="1" si="14"/>
        <v/>
      </c>
      <c r="C139" s="87" t="str">
        <f t="shared" ca="1" si="15"/>
        <v/>
      </c>
      <c r="D139" s="88" t="str">
        <f t="shared" ca="1" si="16"/>
        <v/>
      </c>
      <c r="E139" s="86" t="str">
        <f t="shared" ca="1" si="17"/>
        <v/>
      </c>
      <c r="F139" s="89" t="str">
        <f t="shared" ca="1" si="18"/>
        <v/>
      </c>
      <c r="G139" s="89" t="str">
        <f t="shared" ca="1" si="19"/>
        <v/>
      </c>
      <c r="H139" s="89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3">
      <c r="A140" s="2"/>
      <c r="B140" s="86" t="str">
        <f t="shared" ref="B140:B203" ca="1" si="29">IF($C140="","",ROW()-11)</f>
        <v/>
      </c>
      <c r="C140" s="87" t="str">
        <f t="shared" ref="C140:C203" ca="1" si="30">IF($Z140="","",IF(INDEX($N$12:$N$432,$Z140)="","",INDEX($N$12:$N$432,$Z140)))</f>
        <v/>
      </c>
      <c r="D140" s="88" t="str">
        <f t="shared" ref="D140:D203" ca="1" si="31">IF($C140="","",INDEX($O$12:$O$432,$Z140))</f>
        <v/>
      </c>
      <c r="E140" s="86" t="str">
        <f t="shared" ref="E140:E203" ca="1" si="32">IF($C140="","",INDEX($P$12:$P$432,$Z140))</f>
        <v/>
      </c>
      <c r="F140" s="89" t="str">
        <f t="shared" ref="F140:F203" ca="1" si="33">IF($C140="","",INDEX($R$12:$R$432,$Z140))</f>
        <v/>
      </c>
      <c r="G140" s="89" t="str">
        <f t="shared" ref="G140:G203" ca="1" si="34">IF($C140="","",INDEX($S$12:$S$432,$Z140))</f>
        <v/>
      </c>
      <c r="H140" s="89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3">
      <c r="A141" s="2"/>
      <c r="B141" s="86" t="str">
        <f t="shared" ca="1" si="29"/>
        <v/>
      </c>
      <c r="C141" s="87" t="str">
        <f t="shared" ca="1" si="30"/>
        <v/>
      </c>
      <c r="D141" s="88" t="str">
        <f t="shared" ca="1" si="31"/>
        <v/>
      </c>
      <c r="E141" s="86" t="str">
        <f t="shared" ca="1" si="32"/>
        <v/>
      </c>
      <c r="F141" s="89" t="str">
        <f t="shared" ca="1" si="33"/>
        <v/>
      </c>
      <c r="G141" s="89" t="str">
        <f t="shared" ca="1" si="34"/>
        <v/>
      </c>
      <c r="H141" s="89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3">
      <c r="A142" s="2"/>
      <c r="B142" s="86" t="str">
        <f t="shared" ca="1" si="29"/>
        <v/>
      </c>
      <c r="C142" s="87" t="str">
        <f t="shared" ca="1" si="30"/>
        <v/>
      </c>
      <c r="D142" s="88" t="str">
        <f t="shared" ca="1" si="31"/>
        <v/>
      </c>
      <c r="E142" s="86" t="str">
        <f t="shared" ca="1" si="32"/>
        <v/>
      </c>
      <c r="F142" s="89" t="str">
        <f t="shared" ca="1" si="33"/>
        <v/>
      </c>
      <c r="G142" s="89" t="str">
        <f t="shared" ca="1" si="34"/>
        <v/>
      </c>
      <c r="H142" s="89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3">
      <c r="A143" s="2"/>
      <c r="B143" s="86" t="str">
        <f t="shared" ca="1" si="29"/>
        <v/>
      </c>
      <c r="C143" s="87" t="str">
        <f t="shared" ca="1" si="30"/>
        <v/>
      </c>
      <c r="D143" s="88" t="str">
        <f t="shared" ca="1" si="31"/>
        <v/>
      </c>
      <c r="E143" s="86" t="str">
        <f t="shared" ca="1" si="32"/>
        <v/>
      </c>
      <c r="F143" s="89" t="str">
        <f t="shared" ca="1" si="33"/>
        <v/>
      </c>
      <c r="G143" s="89" t="str">
        <f t="shared" ca="1" si="34"/>
        <v/>
      </c>
      <c r="H143" s="89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3">
      <c r="A144" s="2"/>
      <c r="B144" s="86" t="str">
        <f t="shared" ca="1" si="29"/>
        <v/>
      </c>
      <c r="C144" s="87" t="str">
        <f t="shared" ca="1" si="30"/>
        <v/>
      </c>
      <c r="D144" s="88" t="str">
        <f t="shared" ca="1" si="31"/>
        <v/>
      </c>
      <c r="E144" s="86" t="str">
        <f t="shared" ca="1" si="32"/>
        <v/>
      </c>
      <c r="F144" s="89" t="str">
        <f t="shared" ca="1" si="33"/>
        <v/>
      </c>
      <c r="G144" s="89" t="str">
        <f t="shared" ca="1" si="34"/>
        <v/>
      </c>
      <c r="H144" s="89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3">
      <c r="A145" s="2"/>
      <c r="B145" s="86" t="str">
        <f t="shared" ca="1" si="29"/>
        <v/>
      </c>
      <c r="C145" s="87" t="str">
        <f t="shared" ca="1" si="30"/>
        <v/>
      </c>
      <c r="D145" s="88" t="str">
        <f t="shared" ca="1" si="31"/>
        <v/>
      </c>
      <c r="E145" s="86" t="str">
        <f t="shared" ca="1" si="32"/>
        <v/>
      </c>
      <c r="F145" s="89" t="str">
        <f t="shared" ca="1" si="33"/>
        <v/>
      </c>
      <c r="G145" s="89" t="str">
        <f t="shared" ca="1" si="34"/>
        <v/>
      </c>
      <c r="H145" s="89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3">
      <c r="A146" s="2"/>
      <c r="B146" s="86" t="str">
        <f t="shared" ca="1" si="29"/>
        <v/>
      </c>
      <c r="C146" s="87" t="str">
        <f t="shared" ca="1" si="30"/>
        <v/>
      </c>
      <c r="D146" s="88" t="str">
        <f t="shared" ca="1" si="31"/>
        <v/>
      </c>
      <c r="E146" s="86" t="str">
        <f t="shared" ca="1" si="32"/>
        <v/>
      </c>
      <c r="F146" s="89" t="str">
        <f t="shared" ca="1" si="33"/>
        <v/>
      </c>
      <c r="G146" s="89" t="str">
        <f t="shared" ca="1" si="34"/>
        <v/>
      </c>
      <c r="H146" s="89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3">
      <c r="A147" s="2"/>
      <c r="B147" s="86" t="str">
        <f t="shared" ca="1" si="29"/>
        <v/>
      </c>
      <c r="C147" s="87" t="str">
        <f t="shared" ca="1" si="30"/>
        <v/>
      </c>
      <c r="D147" s="88" t="str">
        <f t="shared" ca="1" si="31"/>
        <v/>
      </c>
      <c r="E147" s="86" t="str">
        <f t="shared" ca="1" si="32"/>
        <v/>
      </c>
      <c r="F147" s="89" t="str">
        <f t="shared" ca="1" si="33"/>
        <v/>
      </c>
      <c r="G147" s="89" t="str">
        <f t="shared" ca="1" si="34"/>
        <v/>
      </c>
      <c r="H147" s="89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3">
      <c r="A148" s="2"/>
      <c r="B148" s="86" t="str">
        <f t="shared" ca="1" si="29"/>
        <v/>
      </c>
      <c r="C148" s="87" t="str">
        <f t="shared" ca="1" si="30"/>
        <v/>
      </c>
      <c r="D148" s="88" t="str">
        <f t="shared" ca="1" si="31"/>
        <v/>
      </c>
      <c r="E148" s="86" t="str">
        <f t="shared" ca="1" si="32"/>
        <v/>
      </c>
      <c r="F148" s="89" t="str">
        <f t="shared" ca="1" si="33"/>
        <v/>
      </c>
      <c r="G148" s="89" t="str">
        <f t="shared" ca="1" si="34"/>
        <v/>
      </c>
      <c r="H148" s="89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3">
      <c r="A149" s="2"/>
      <c r="B149" s="86" t="str">
        <f t="shared" ca="1" si="29"/>
        <v/>
      </c>
      <c r="C149" s="87" t="str">
        <f t="shared" ca="1" si="30"/>
        <v/>
      </c>
      <c r="D149" s="88" t="str">
        <f t="shared" ca="1" si="31"/>
        <v/>
      </c>
      <c r="E149" s="86" t="str">
        <f t="shared" ca="1" si="32"/>
        <v/>
      </c>
      <c r="F149" s="89" t="str">
        <f t="shared" ca="1" si="33"/>
        <v/>
      </c>
      <c r="G149" s="89" t="str">
        <f t="shared" ca="1" si="34"/>
        <v/>
      </c>
      <c r="H149" s="89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3">
      <c r="A150" s="2"/>
      <c r="B150" s="86" t="str">
        <f t="shared" ca="1" si="29"/>
        <v/>
      </c>
      <c r="C150" s="87" t="str">
        <f t="shared" ca="1" si="30"/>
        <v/>
      </c>
      <c r="D150" s="88" t="str">
        <f t="shared" ca="1" si="31"/>
        <v/>
      </c>
      <c r="E150" s="86" t="str">
        <f t="shared" ca="1" si="32"/>
        <v/>
      </c>
      <c r="F150" s="89" t="str">
        <f t="shared" ca="1" si="33"/>
        <v/>
      </c>
      <c r="G150" s="89" t="str">
        <f t="shared" ca="1" si="34"/>
        <v/>
      </c>
      <c r="H150" s="89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3">
      <c r="A151" s="2"/>
      <c r="B151" s="86" t="str">
        <f t="shared" ca="1" si="29"/>
        <v/>
      </c>
      <c r="C151" s="87" t="str">
        <f t="shared" ca="1" si="30"/>
        <v/>
      </c>
      <c r="D151" s="88" t="str">
        <f t="shared" ca="1" si="31"/>
        <v/>
      </c>
      <c r="E151" s="86" t="str">
        <f t="shared" ca="1" si="32"/>
        <v/>
      </c>
      <c r="F151" s="89" t="str">
        <f t="shared" ca="1" si="33"/>
        <v/>
      </c>
      <c r="G151" s="89" t="str">
        <f t="shared" ca="1" si="34"/>
        <v/>
      </c>
      <c r="H151" s="89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3">
      <c r="A152" s="2"/>
      <c r="B152" s="86" t="str">
        <f t="shared" ca="1" si="29"/>
        <v/>
      </c>
      <c r="C152" s="87" t="str">
        <f t="shared" ca="1" si="30"/>
        <v/>
      </c>
      <c r="D152" s="88" t="str">
        <f t="shared" ca="1" si="31"/>
        <v/>
      </c>
      <c r="E152" s="86" t="str">
        <f t="shared" ca="1" si="32"/>
        <v/>
      </c>
      <c r="F152" s="89" t="str">
        <f t="shared" ca="1" si="33"/>
        <v/>
      </c>
      <c r="G152" s="89" t="str">
        <f t="shared" ca="1" si="34"/>
        <v/>
      </c>
      <c r="H152" s="89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3">
      <c r="A153" s="2"/>
      <c r="B153" s="86" t="str">
        <f t="shared" ca="1" si="29"/>
        <v/>
      </c>
      <c r="C153" s="87" t="str">
        <f t="shared" ca="1" si="30"/>
        <v/>
      </c>
      <c r="D153" s="88" t="str">
        <f t="shared" ca="1" si="31"/>
        <v/>
      </c>
      <c r="E153" s="86" t="str">
        <f t="shared" ca="1" si="32"/>
        <v/>
      </c>
      <c r="F153" s="89" t="str">
        <f t="shared" ca="1" si="33"/>
        <v/>
      </c>
      <c r="G153" s="89" t="str">
        <f t="shared" ca="1" si="34"/>
        <v/>
      </c>
      <c r="H153" s="89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3">
      <c r="A154" s="2"/>
      <c r="B154" s="86" t="str">
        <f t="shared" ca="1" si="29"/>
        <v/>
      </c>
      <c r="C154" s="87" t="str">
        <f t="shared" ca="1" si="30"/>
        <v/>
      </c>
      <c r="D154" s="88" t="str">
        <f t="shared" ca="1" si="31"/>
        <v/>
      </c>
      <c r="E154" s="86" t="str">
        <f t="shared" ca="1" si="32"/>
        <v/>
      </c>
      <c r="F154" s="89" t="str">
        <f t="shared" ca="1" si="33"/>
        <v/>
      </c>
      <c r="G154" s="89" t="str">
        <f t="shared" ca="1" si="34"/>
        <v/>
      </c>
      <c r="H154" s="89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3">
      <c r="A155" s="2"/>
      <c r="B155" s="86" t="str">
        <f t="shared" ca="1" si="29"/>
        <v/>
      </c>
      <c r="C155" s="87" t="str">
        <f t="shared" ca="1" si="30"/>
        <v/>
      </c>
      <c r="D155" s="88" t="str">
        <f t="shared" ca="1" si="31"/>
        <v/>
      </c>
      <c r="E155" s="86" t="str">
        <f t="shared" ca="1" si="32"/>
        <v/>
      </c>
      <c r="F155" s="89" t="str">
        <f t="shared" ca="1" si="33"/>
        <v/>
      </c>
      <c r="G155" s="89" t="str">
        <f t="shared" ca="1" si="34"/>
        <v/>
      </c>
      <c r="H155" s="89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3">
      <c r="A156" s="2"/>
      <c r="B156" s="86" t="str">
        <f t="shared" ca="1" si="29"/>
        <v/>
      </c>
      <c r="C156" s="87" t="str">
        <f t="shared" ca="1" si="30"/>
        <v/>
      </c>
      <c r="D156" s="88" t="str">
        <f t="shared" ca="1" si="31"/>
        <v/>
      </c>
      <c r="E156" s="86" t="str">
        <f t="shared" ca="1" si="32"/>
        <v/>
      </c>
      <c r="F156" s="89" t="str">
        <f t="shared" ca="1" si="33"/>
        <v/>
      </c>
      <c r="G156" s="89" t="str">
        <f t="shared" ca="1" si="34"/>
        <v/>
      </c>
      <c r="H156" s="89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3">
      <c r="A157" s="2"/>
      <c r="B157" s="86" t="str">
        <f t="shared" ca="1" si="29"/>
        <v/>
      </c>
      <c r="C157" s="87" t="str">
        <f t="shared" ca="1" si="30"/>
        <v/>
      </c>
      <c r="D157" s="88" t="str">
        <f t="shared" ca="1" si="31"/>
        <v/>
      </c>
      <c r="E157" s="86" t="str">
        <f t="shared" ca="1" si="32"/>
        <v/>
      </c>
      <c r="F157" s="89" t="str">
        <f t="shared" ca="1" si="33"/>
        <v/>
      </c>
      <c r="G157" s="89" t="str">
        <f t="shared" ca="1" si="34"/>
        <v/>
      </c>
      <c r="H157" s="89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3">
      <c r="A158" s="2"/>
      <c r="B158" s="86" t="str">
        <f t="shared" ca="1" si="29"/>
        <v/>
      </c>
      <c r="C158" s="87" t="str">
        <f t="shared" ca="1" si="30"/>
        <v/>
      </c>
      <c r="D158" s="88" t="str">
        <f t="shared" ca="1" si="31"/>
        <v/>
      </c>
      <c r="E158" s="86" t="str">
        <f t="shared" ca="1" si="32"/>
        <v/>
      </c>
      <c r="F158" s="89" t="str">
        <f t="shared" ca="1" si="33"/>
        <v/>
      </c>
      <c r="G158" s="89" t="str">
        <f t="shared" ca="1" si="34"/>
        <v/>
      </c>
      <c r="H158" s="89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3">
      <c r="A159" s="2"/>
      <c r="B159" s="86" t="str">
        <f t="shared" ca="1" si="29"/>
        <v/>
      </c>
      <c r="C159" s="87" t="str">
        <f t="shared" ca="1" si="30"/>
        <v/>
      </c>
      <c r="D159" s="88" t="str">
        <f t="shared" ca="1" si="31"/>
        <v/>
      </c>
      <c r="E159" s="86" t="str">
        <f t="shared" ca="1" si="32"/>
        <v/>
      </c>
      <c r="F159" s="89" t="str">
        <f t="shared" ca="1" si="33"/>
        <v/>
      </c>
      <c r="G159" s="89" t="str">
        <f t="shared" ca="1" si="34"/>
        <v/>
      </c>
      <c r="H159" s="89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3">
      <c r="A160" s="2"/>
      <c r="B160" s="86" t="str">
        <f t="shared" ca="1" si="29"/>
        <v/>
      </c>
      <c r="C160" s="87" t="str">
        <f t="shared" ca="1" si="30"/>
        <v/>
      </c>
      <c r="D160" s="88" t="str">
        <f t="shared" ca="1" si="31"/>
        <v/>
      </c>
      <c r="E160" s="86" t="str">
        <f t="shared" ca="1" si="32"/>
        <v/>
      </c>
      <c r="F160" s="89" t="str">
        <f t="shared" ca="1" si="33"/>
        <v/>
      </c>
      <c r="G160" s="89" t="str">
        <f t="shared" ca="1" si="34"/>
        <v/>
      </c>
      <c r="H160" s="89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3">
      <c r="A161" s="2"/>
      <c r="B161" s="86" t="str">
        <f t="shared" ca="1" si="29"/>
        <v/>
      </c>
      <c r="C161" s="87" t="str">
        <f t="shared" ca="1" si="30"/>
        <v/>
      </c>
      <c r="D161" s="88" t="str">
        <f t="shared" ca="1" si="31"/>
        <v/>
      </c>
      <c r="E161" s="86" t="str">
        <f t="shared" ca="1" si="32"/>
        <v/>
      </c>
      <c r="F161" s="89" t="str">
        <f t="shared" ca="1" si="33"/>
        <v/>
      </c>
      <c r="G161" s="89" t="str">
        <f t="shared" ca="1" si="34"/>
        <v/>
      </c>
      <c r="H161" s="89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3">
      <c r="A162" s="2"/>
      <c r="B162" s="86" t="str">
        <f t="shared" ca="1" si="29"/>
        <v/>
      </c>
      <c r="C162" s="87" t="str">
        <f t="shared" ca="1" si="30"/>
        <v/>
      </c>
      <c r="D162" s="88" t="str">
        <f t="shared" ca="1" si="31"/>
        <v/>
      </c>
      <c r="E162" s="86" t="str">
        <f t="shared" ca="1" si="32"/>
        <v/>
      </c>
      <c r="F162" s="89" t="str">
        <f t="shared" ca="1" si="33"/>
        <v/>
      </c>
      <c r="G162" s="89" t="str">
        <f t="shared" ca="1" si="34"/>
        <v/>
      </c>
      <c r="H162" s="89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3">
      <c r="A163" s="2"/>
      <c r="B163" s="86" t="str">
        <f t="shared" ca="1" si="29"/>
        <v/>
      </c>
      <c r="C163" s="87" t="str">
        <f t="shared" ca="1" si="30"/>
        <v/>
      </c>
      <c r="D163" s="88" t="str">
        <f t="shared" ca="1" si="31"/>
        <v/>
      </c>
      <c r="E163" s="86" t="str">
        <f t="shared" ca="1" si="32"/>
        <v/>
      </c>
      <c r="F163" s="89" t="str">
        <f t="shared" ca="1" si="33"/>
        <v/>
      </c>
      <c r="G163" s="89" t="str">
        <f t="shared" ca="1" si="34"/>
        <v/>
      </c>
      <c r="H163" s="89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3">
      <c r="A164" s="2"/>
      <c r="B164" s="86" t="str">
        <f t="shared" ca="1" si="29"/>
        <v/>
      </c>
      <c r="C164" s="87" t="str">
        <f t="shared" ca="1" si="30"/>
        <v/>
      </c>
      <c r="D164" s="88" t="str">
        <f t="shared" ca="1" si="31"/>
        <v/>
      </c>
      <c r="E164" s="86" t="str">
        <f t="shared" ca="1" si="32"/>
        <v/>
      </c>
      <c r="F164" s="89" t="str">
        <f t="shared" ca="1" si="33"/>
        <v/>
      </c>
      <c r="G164" s="89" t="str">
        <f t="shared" ca="1" si="34"/>
        <v/>
      </c>
      <c r="H164" s="89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3">
      <c r="A165" s="2"/>
      <c r="B165" s="86" t="str">
        <f t="shared" ca="1" si="29"/>
        <v/>
      </c>
      <c r="C165" s="87" t="str">
        <f t="shared" ca="1" si="30"/>
        <v/>
      </c>
      <c r="D165" s="88" t="str">
        <f t="shared" ca="1" si="31"/>
        <v/>
      </c>
      <c r="E165" s="86" t="str">
        <f t="shared" ca="1" si="32"/>
        <v/>
      </c>
      <c r="F165" s="89" t="str">
        <f t="shared" ca="1" si="33"/>
        <v/>
      </c>
      <c r="G165" s="89" t="str">
        <f t="shared" ca="1" si="34"/>
        <v/>
      </c>
      <c r="H165" s="89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3">
      <c r="A166" s="2"/>
      <c r="B166" s="86" t="str">
        <f t="shared" ca="1" si="29"/>
        <v/>
      </c>
      <c r="C166" s="87" t="str">
        <f t="shared" ca="1" si="30"/>
        <v/>
      </c>
      <c r="D166" s="88" t="str">
        <f t="shared" ca="1" si="31"/>
        <v/>
      </c>
      <c r="E166" s="86" t="str">
        <f t="shared" ca="1" si="32"/>
        <v/>
      </c>
      <c r="F166" s="89" t="str">
        <f t="shared" ca="1" si="33"/>
        <v/>
      </c>
      <c r="G166" s="89" t="str">
        <f t="shared" ca="1" si="34"/>
        <v/>
      </c>
      <c r="H166" s="89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3">
      <c r="A167" s="2"/>
      <c r="B167" s="86" t="str">
        <f t="shared" ca="1" si="29"/>
        <v/>
      </c>
      <c r="C167" s="87" t="str">
        <f t="shared" ca="1" si="30"/>
        <v/>
      </c>
      <c r="D167" s="88" t="str">
        <f t="shared" ca="1" si="31"/>
        <v/>
      </c>
      <c r="E167" s="86" t="str">
        <f t="shared" ca="1" si="32"/>
        <v/>
      </c>
      <c r="F167" s="89" t="str">
        <f t="shared" ca="1" si="33"/>
        <v/>
      </c>
      <c r="G167" s="89" t="str">
        <f t="shared" ca="1" si="34"/>
        <v/>
      </c>
      <c r="H167" s="89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3">
      <c r="A168" s="2"/>
      <c r="B168" s="86" t="str">
        <f t="shared" ca="1" si="29"/>
        <v/>
      </c>
      <c r="C168" s="87" t="str">
        <f t="shared" ca="1" si="30"/>
        <v/>
      </c>
      <c r="D168" s="88" t="str">
        <f t="shared" ca="1" si="31"/>
        <v/>
      </c>
      <c r="E168" s="86" t="str">
        <f t="shared" ca="1" si="32"/>
        <v/>
      </c>
      <c r="F168" s="89" t="str">
        <f t="shared" ca="1" si="33"/>
        <v/>
      </c>
      <c r="G168" s="89" t="str">
        <f t="shared" ca="1" si="34"/>
        <v/>
      </c>
      <c r="H168" s="89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3">
      <c r="A169" s="2"/>
      <c r="B169" s="86" t="str">
        <f t="shared" ca="1" si="29"/>
        <v/>
      </c>
      <c r="C169" s="87" t="str">
        <f t="shared" ca="1" si="30"/>
        <v/>
      </c>
      <c r="D169" s="88" t="str">
        <f t="shared" ca="1" si="31"/>
        <v/>
      </c>
      <c r="E169" s="86" t="str">
        <f t="shared" ca="1" si="32"/>
        <v/>
      </c>
      <c r="F169" s="89" t="str">
        <f t="shared" ca="1" si="33"/>
        <v/>
      </c>
      <c r="G169" s="89" t="str">
        <f t="shared" ca="1" si="34"/>
        <v/>
      </c>
      <c r="H169" s="89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3">
      <c r="A170" s="2"/>
      <c r="B170" s="86" t="str">
        <f t="shared" ca="1" si="29"/>
        <v/>
      </c>
      <c r="C170" s="87" t="str">
        <f t="shared" ca="1" si="30"/>
        <v/>
      </c>
      <c r="D170" s="88" t="str">
        <f t="shared" ca="1" si="31"/>
        <v/>
      </c>
      <c r="E170" s="86" t="str">
        <f t="shared" ca="1" si="32"/>
        <v/>
      </c>
      <c r="F170" s="89" t="str">
        <f t="shared" ca="1" si="33"/>
        <v/>
      </c>
      <c r="G170" s="89" t="str">
        <f t="shared" ca="1" si="34"/>
        <v/>
      </c>
      <c r="H170" s="89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3">
      <c r="A171" s="2"/>
      <c r="B171" s="86" t="str">
        <f t="shared" ca="1" si="29"/>
        <v/>
      </c>
      <c r="C171" s="87" t="str">
        <f t="shared" ca="1" si="30"/>
        <v/>
      </c>
      <c r="D171" s="88" t="str">
        <f t="shared" ca="1" si="31"/>
        <v/>
      </c>
      <c r="E171" s="86" t="str">
        <f t="shared" ca="1" si="32"/>
        <v/>
      </c>
      <c r="F171" s="89" t="str">
        <f t="shared" ca="1" si="33"/>
        <v/>
      </c>
      <c r="G171" s="89" t="str">
        <f t="shared" ca="1" si="34"/>
        <v/>
      </c>
      <c r="H171" s="89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3">
      <c r="A172" s="2"/>
      <c r="B172" s="86" t="str">
        <f t="shared" ca="1" si="29"/>
        <v/>
      </c>
      <c r="C172" s="87" t="str">
        <f t="shared" ca="1" si="30"/>
        <v/>
      </c>
      <c r="D172" s="88" t="str">
        <f t="shared" ca="1" si="31"/>
        <v/>
      </c>
      <c r="E172" s="86" t="str">
        <f t="shared" ca="1" si="32"/>
        <v/>
      </c>
      <c r="F172" s="89" t="str">
        <f t="shared" ca="1" si="33"/>
        <v/>
      </c>
      <c r="G172" s="89" t="str">
        <f t="shared" ca="1" si="34"/>
        <v/>
      </c>
      <c r="H172" s="89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3">
      <c r="A173" s="2"/>
      <c r="B173" s="86" t="str">
        <f t="shared" ca="1" si="29"/>
        <v/>
      </c>
      <c r="C173" s="87" t="str">
        <f t="shared" ca="1" si="30"/>
        <v/>
      </c>
      <c r="D173" s="88" t="str">
        <f t="shared" ca="1" si="31"/>
        <v/>
      </c>
      <c r="E173" s="86" t="str">
        <f t="shared" ca="1" si="32"/>
        <v/>
      </c>
      <c r="F173" s="89" t="str">
        <f t="shared" ca="1" si="33"/>
        <v/>
      </c>
      <c r="G173" s="89" t="str">
        <f t="shared" ca="1" si="34"/>
        <v/>
      </c>
      <c r="H173" s="89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3">
      <c r="A174" s="2"/>
      <c r="B174" s="86" t="str">
        <f t="shared" ca="1" si="29"/>
        <v/>
      </c>
      <c r="C174" s="87" t="str">
        <f t="shared" ca="1" si="30"/>
        <v/>
      </c>
      <c r="D174" s="88" t="str">
        <f t="shared" ca="1" si="31"/>
        <v/>
      </c>
      <c r="E174" s="86" t="str">
        <f t="shared" ca="1" si="32"/>
        <v/>
      </c>
      <c r="F174" s="89" t="str">
        <f t="shared" ca="1" si="33"/>
        <v/>
      </c>
      <c r="G174" s="89" t="str">
        <f t="shared" ca="1" si="34"/>
        <v/>
      </c>
      <c r="H174" s="89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3">
      <c r="A175" s="2"/>
      <c r="B175" s="86" t="str">
        <f t="shared" ca="1" si="29"/>
        <v/>
      </c>
      <c r="C175" s="87" t="str">
        <f t="shared" ca="1" si="30"/>
        <v/>
      </c>
      <c r="D175" s="88" t="str">
        <f t="shared" ca="1" si="31"/>
        <v/>
      </c>
      <c r="E175" s="86" t="str">
        <f t="shared" ca="1" si="32"/>
        <v/>
      </c>
      <c r="F175" s="89" t="str">
        <f t="shared" ca="1" si="33"/>
        <v/>
      </c>
      <c r="G175" s="89" t="str">
        <f t="shared" ca="1" si="34"/>
        <v/>
      </c>
      <c r="H175" s="89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3">
      <c r="A176" s="2"/>
      <c r="B176" s="86" t="str">
        <f t="shared" ca="1" si="29"/>
        <v/>
      </c>
      <c r="C176" s="87" t="str">
        <f t="shared" ca="1" si="30"/>
        <v/>
      </c>
      <c r="D176" s="88" t="str">
        <f t="shared" ca="1" si="31"/>
        <v/>
      </c>
      <c r="E176" s="86" t="str">
        <f t="shared" ca="1" si="32"/>
        <v/>
      </c>
      <c r="F176" s="89" t="str">
        <f t="shared" ca="1" si="33"/>
        <v/>
      </c>
      <c r="G176" s="89" t="str">
        <f t="shared" ca="1" si="34"/>
        <v/>
      </c>
      <c r="H176" s="89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3">
      <c r="A177" s="2"/>
      <c r="B177" s="86" t="str">
        <f t="shared" ca="1" si="29"/>
        <v/>
      </c>
      <c r="C177" s="87" t="str">
        <f t="shared" ca="1" si="30"/>
        <v/>
      </c>
      <c r="D177" s="88" t="str">
        <f t="shared" ca="1" si="31"/>
        <v/>
      </c>
      <c r="E177" s="86" t="str">
        <f t="shared" ca="1" si="32"/>
        <v/>
      </c>
      <c r="F177" s="89" t="str">
        <f t="shared" ca="1" si="33"/>
        <v/>
      </c>
      <c r="G177" s="89" t="str">
        <f t="shared" ca="1" si="34"/>
        <v/>
      </c>
      <c r="H177" s="89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3">
      <c r="A178" s="2"/>
      <c r="B178" s="86" t="str">
        <f t="shared" ca="1" si="29"/>
        <v/>
      </c>
      <c r="C178" s="87" t="str">
        <f t="shared" ca="1" si="30"/>
        <v/>
      </c>
      <c r="D178" s="88" t="str">
        <f t="shared" ca="1" si="31"/>
        <v/>
      </c>
      <c r="E178" s="86" t="str">
        <f t="shared" ca="1" si="32"/>
        <v/>
      </c>
      <c r="F178" s="89" t="str">
        <f t="shared" ca="1" si="33"/>
        <v/>
      </c>
      <c r="G178" s="89" t="str">
        <f t="shared" ca="1" si="34"/>
        <v/>
      </c>
      <c r="H178" s="89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3">
      <c r="A179" s="2"/>
      <c r="B179" s="86" t="str">
        <f t="shared" ca="1" si="29"/>
        <v/>
      </c>
      <c r="C179" s="87" t="str">
        <f t="shared" ca="1" si="30"/>
        <v/>
      </c>
      <c r="D179" s="88" t="str">
        <f t="shared" ca="1" si="31"/>
        <v/>
      </c>
      <c r="E179" s="86" t="str">
        <f t="shared" ca="1" si="32"/>
        <v/>
      </c>
      <c r="F179" s="89" t="str">
        <f t="shared" ca="1" si="33"/>
        <v/>
      </c>
      <c r="G179" s="89" t="str">
        <f t="shared" ca="1" si="34"/>
        <v/>
      </c>
      <c r="H179" s="89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3">
      <c r="A180" s="2"/>
      <c r="B180" s="86" t="str">
        <f t="shared" ca="1" si="29"/>
        <v/>
      </c>
      <c r="C180" s="87" t="str">
        <f t="shared" ca="1" si="30"/>
        <v/>
      </c>
      <c r="D180" s="88" t="str">
        <f t="shared" ca="1" si="31"/>
        <v/>
      </c>
      <c r="E180" s="86" t="str">
        <f t="shared" ca="1" si="32"/>
        <v/>
      </c>
      <c r="F180" s="89" t="str">
        <f t="shared" ca="1" si="33"/>
        <v/>
      </c>
      <c r="G180" s="89" t="str">
        <f t="shared" ca="1" si="34"/>
        <v/>
      </c>
      <c r="H180" s="89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3">
      <c r="A181" s="2"/>
      <c r="B181" s="86" t="str">
        <f t="shared" ca="1" si="29"/>
        <v/>
      </c>
      <c r="C181" s="87" t="str">
        <f t="shared" ca="1" si="30"/>
        <v/>
      </c>
      <c r="D181" s="88" t="str">
        <f t="shared" ca="1" si="31"/>
        <v/>
      </c>
      <c r="E181" s="86" t="str">
        <f t="shared" ca="1" si="32"/>
        <v/>
      </c>
      <c r="F181" s="89" t="str">
        <f t="shared" ca="1" si="33"/>
        <v/>
      </c>
      <c r="G181" s="89" t="str">
        <f t="shared" ca="1" si="34"/>
        <v/>
      </c>
      <c r="H181" s="89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3">
      <c r="A182" s="2"/>
      <c r="B182" s="86" t="str">
        <f t="shared" ca="1" si="29"/>
        <v/>
      </c>
      <c r="C182" s="87" t="str">
        <f t="shared" ca="1" si="30"/>
        <v/>
      </c>
      <c r="D182" s="88" t="str">
        <f t="shared" ca="1" si="31"/>
        <v/>
      </c>
      <c r="E182" s="86" t="str">
        <f t="shared" ca="1" si="32"/>
        <v/>
      </c>
      <c r="F182" s="89" t="str">
        <f t="shared" ca="1" si="33"/>
        <v/>
      </c>
      <c r="G182" s="89" t="str">
        <f t="shared" ca="1" si="34"/>
        <v/>
      </c>
      <c r="H182" s="89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3">
      <c r="A183" s="2"/>
      <c r="B183" s="86" t="str">
        <f t="shared" ca="1" si="29"/>
        <v/>
      </c>
      <c r="C183" s="87" t="str">
        <f t="shared" ca="1" si="30"/>
        <v/>
      </c>
      <c r="D183" s="88" t="str">
        <f t="shared" ca="1" si="31"/>
        <v/>
      </c>
      <c r="E183" s="86" t="str">
        <f t="shared" ca="1" si="32"/>
        <v/>
      </c>
      <c r="F183" s="89" t="str">
        <f t="shared" ca="1" si="33"/>
        <v/>
      </c>
      <c r="G183" s="89" t="str">
        <f t="shared" ca="1" si="34"/>
        <v/>
      </c>
      <c r="H183" s="89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3">
      <c r="A184" s="2"/>
      <c r="B184" s="86" t="str">
        <f t="shared" ca="1" si="29"/>
        <v/>
      </c>
      <c r="C184" s="87" t="str">
        <f t="shared" ca="1" si="30"/>
        <v/>
      </c>
      <c r="D184" s="88" t="str">
        <f t="shared" ca="1" si="31"/>
        <v/>
      </c>
      <c r="E184" s="86" t="str">
        <f t="shared" ca="1" si="32"/>
        <v/>
      </c>
      <c r="F184" s="89" t="str">
        <f t="shared" ca="1" si="33"/>
        <v/>
      </c>
      <c r="G184" s="89" t="str">
        <f t="shared" ca="1" si="34"/>
        <v/>
      </c>
      <c r="H184" s="89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3">
      <c r="A185" s="2"/>
      <c r="B185" s="86" t="str">
        <f t="shared" ca="1" si="29"/>
        <v/>
      </c>
      <c r="C185" s="87" t="str">
        <f t="shared" ca="1" si="30"/>
        <v/>
      </c>
      <c r="D185" s="88" t="str">
        <f t="shared" ca="1" si="31"/>
        <v/>
      </c>
      <c r="E185" s="86" t="str">
        <f t="shared" ca="1" si="32"/>
        <v/>
      </c>
      <c r="F185" s="89" t="str">
        <f t="shared" ca="1" si="33"/>
        <v/>
      </c>
      <c r="G185" s="89" t="str">
        <f t="shared" ca="1" si="34"/>
        <v/>
      </c>
      <c r="H185" s="89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3">
      <c r="A186" s="2"/>
      <c r="B186" s="86" t="str">
        <f t="shared" ca="1" si="29"/>
        <v/>
      </c>
      <c r="C186" s="87" t="str">
        <f t="shared" ca="1" si="30"/>
        <v/>
      </c>
      <c r="D186" s="88" t="str">
        <f t="shared" ca="1" si="31"/>
        <v/>
      </c>
      <c r="E186" s="86" t="str">
        <f t="shared" ca="1" si="32"/>
        <v/>
      </c>
      <c r="F186" s="89" t="str">
        <f t="shared" ca="1" si="33"/>
        <v/>
      </c>
      <c r="G186" s="89" t="str">
        <f t="shared" ca="1" si="34"/>
        <v/>
      </c>
      <c r="H186" s="89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3">
      <c r="A187" s="2"/>
      <c r="B187" s="86" t="str">
        <f t="shared" ca="1" si="29"/>
        <v/>
      </c>
      <c r="C187" s="87" t="str">
        <f t="shared" ca="1" si="30"/>
        <v/>
      </c>
      <c r="D187" s="88" t="str">
        <f t="shared" ca="1" si="31"/>
        <v/>
      </c>
      <c r="E187" s="86" t="str">
        <f t="shared" ca="1" si="32"/>
        <v/>
      </c>
      <c r="F187" s="89" t="str">
        <f t="shared" ca="1" si="33"/>
        <v/>
      </c>
      <c r="G187" s="89" t="str">
        <f t="shared" ca="1" si="34"/>
        <v/>
      </c>
      <c r="H187" s="89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3">
      <c r="A188" s="2"/>
      <c r="B188" s="86" t="str">
        <f t="shared" ca="1" si="29"/>
        <v/>
      </c>
      <c r="C188" s="87" t="str">
        <f t="shared" ca="1" si="30"/>
        <v/>
      </c>
      <c r="D188" s="88" t="str">
        <f t="shared" ca="1" si="31"/>
        <v/>
      </c>
      <c r="E188" s="86" t="str">
        <f t="shared" ca="1" si="32"/>
        <v/>
      </c>
      <c r="F188" s="89" t="str">
        <f t="shared" ca="1" si="33"/>
        <v/>
      </c>
      <c r="G188" s="89" t="str">
        <f t="shared" ca="1" si="34"/>
        <v/>
      </c>
      <c r="H188" s="89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3">
      <c r="A189" s="2"/>
      <c r="B189" s="86" t="str">
        <f t="shared" ca="1" si="29"/>
        <v/>
      </c>
      <c r="C189" s="87" t="str">
        <f t="shared" ca="1" si="30"/>
        <v/>
      </c>
      <c r="D189" s="88" t="str">
        <f t="shared" ca="1" si="31"/>
        <v/>
      </c>
      <c r="E189" s="86" t="str">
        <f t="shared" ca="1" si="32"/>
        <v/>
      </c>
      <c r="F189" s="89" t="str">
        <f t="shared" ca="1" si="33"/>
        <v/>
      </c>
      <c r="G189" s="89" t="str">
        <f t="shared" ca="1" si="34"/>
        <v/>
      </c>
      <c r="H189" s="89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3">
      <c r="A190" s="2"/>
      <c r="B190" s="86" t="str">
        <f t="shared" ca="1" si="29"/>
        <v/>
      </c>
      <c r="C190" s="87" t="str">
        <f t="shared" ca="1" si="30"/>
        <v/>
      </c>
      <c r="D190" s="88" t="str">
        <f t="shared" ca="1" si="31"/>
        <v/>
      </c>
      <c r="E190" s="86" t="str">
        <f t="shared" ca="1" si="32"/>
        <v/>
      </c>
      <c r="F190" s="89" t="str">
        <f t="shared" ca="1" si="33"/>
        <v/>
      </c>
      <c r="G190" s="89" t="str">
        <f t="shared" ca="1" si="34"/>
        <v/>
      </c>
      <c r="H190" s="89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3">
      <c r="A191" s="2"/>
      <c r="B191" s="86" t="str">
        <f t="shared" ca="1" si="29"/>
        <v/>
      </c>
      <c r="C191" s="87" t="str">
        <f t="shared" ca="1" si="30"/>
        <v/>
      </c>
      <c r="D191" s="88" t="str">
        <f t="shared" ca="1" si="31"/>
        <v/>
      </c>
      <c r="E191" s="86" t="str">
        <f t="shared" ca="1" si="32"/>
        <v/>
      </c>
      <c r="F191" s="89" t="str">
        <f t="shared" ca="1" si="33"/>
        <v/>
      </c>
      <c r="G191" s="89" t="str">
        <f t="shared" ca="1" si="34"/>
        <v/>
      </c>
      <c r="H191" s="89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3">
      <c r="A192" s="2"/>
      <c r="B192" s="86" t="str">
        <f t="shared" ca="1" si="29"/>
        <v/>
      </c>
      <c r="C192" s="87" t="str">
        <f t="shared" ca="1" si="30"/>
        <v/>
      </c>
      <c r="D192" s="88" t="str">
        <f t="shared" ca="1" si="31"/>
        <v/>
      </c>
      <c r="E192" s="86" t="str">
        <f t="shared" ca="1" si="32"/>
        <v/>
      </c>
      <c r="F192" s="89" t="str">
        <f t="shared" ca="1" si="33"/>
        <v/>
      </c>
      <c r="G192" s="89" t="str">
        <f t="shared" ca="1" si="34"/>
        <v/>
      </c>
      <c r="H192" s="89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3">
      <c r="A193" s="2"/>
      <c r="B193" s="86" t="str">
        <f t="shared" ca="1" si="29"/>
        <v/>
      </c>
      <c r="C193" s="87" t="str">
        <f t="shared" ca="1" si="30"/>
        <v/>
      </c>
      <c r="D193" s="88" t="str">
        <f t="shared" ca="1" si="31"/>
        <v/>
      </c>
      <c r="E193" s="86" t="str">
        <f t="shared" ca="1" si="32"/>
        <v/>
      </c>
      <c r="F193" s="89" t="str">
        <f t="shared" ca="1" si="33"/>
        <v/>
      </c>
      <c r="G193" s="89" t="str">
        <f t="shared" ca="1" si="34"/>
        <v/>
      </c>
      <c r="H193" s="89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3">
      <c r="A194" s="2"/>
      <c r="B194" s="86" t="str">
        <f t="shared" ca="1" si="29"/>
        <v/>
      </c>
      <c r="C194" s="87" t="str">
        <f t="shared" ca="1" si="30"/>
        <v/>
      </c>
      <c r="D194" s="88" t="str">
        <f t="shared" ca="1" si="31"/>
        <v/>
      </c>
      <c r="E194" s="86" t="str">
        <f t="shared" ca="1" si="32"/>
        <v/>
      </c>
      <c r="F194" s="89" t="str">
        <f t="shared" ca="1" si="33"/>
        <v/>
      </c>
      <c r="G194" s="89" t="str">
        <f t="shared" ca="1" si="34"/>
        <v/>
      </c>
      <c r="H194" s="89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3">
      <c r="A195" s="2"/>
      <c r="B195" s="86" t="str">
        <f t="shared" ca="1" si="29"/>
        <v/>
      </c>
      <c r="C195" s="87" t="str">
        <f t="shared" ca="1" si="30"/>
        <v/>
      </c>
      <c r="D195" s="88" t="str">
        <f t="shared" ca="1" si="31"/>
        <v/>
      </c>
      <c r="E195" s="86" t="str">
        <f t="shared" ca="1" si="32"/>
        <v/>
      </c>
      <c r="F195" s="89" t="str">
        <f t="shared" ca="1" si="33"/>
        <v/>
      </c>
      <c r="G195" s="89" t="str">
        <f t="shared" ca="1" si="34"/>
        <v/>
      </c>
      <c r="H195" s="89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3">
      <c r="A196" s="2"/>
      <c r="B196" s="86" t="str">
        <f t="shared" ca="1" si="29"/>
        <v/>
      </c>
      <c r="C196" s="87" t="str">
        <f t="shared" ca="1" si="30"/>
        <v/>
      </c>
      <c r="D196" s="88" t="str">
        <f t="shared" ca="1" si="31"/>
        <v/>
      </c>
      <c r="E196" s="86" t="str">
        <f t="shared" ca="1" si="32"/>
        <v/>
      </c>
      <c r="F196" s="89" t="str">
        <f t="shared" ca="1" si="33"/>
        <v/>
      </c>
      <c r="G196" s="89" t="str">
        <f t="shared" ca="1" si="34"/>
        <v/>
      </c>
      <c r="H196" s="89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3">
      <c r="A197" s="2"/>
      <c r="B197" s="86" t="str">
        <f t="shared" ca="1" si="29"/>
        <v/>
      </c>
      <c r="C197" s="87" t="str">
        <f t="shared" ca="1" si="30"/>
        <v/>
      </c>
      <c r="D197" s="88" t="str">
        <f t="shared" ca="1" si="31"/>
        <v/>
      </c>
      <c r="E197" s="86" t="str">
        <f t="shared" ca="1" si="32"/>
        <v/>
      </c>
      <c r="F197" s="89" t="str">
        <f t="shared" ca="1" si="33"/>
        <v/>
      </c>
      <c r="G197" s="89" t="str">
        <f t="shared" ca="1" si="34"/>
        <v/>
      </c>
      <c r="H197" s="89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3">
      <c r="A198" s="2"/>
      <c r="B198" s="86" t="str">
        <f t="shared" ca="1" si="29"/>
        <v/>
      </c>
      <c r="C198" s="87" t="str">
        <f t="shared" ca="1" si="30"/>
        <v/>
      </c>
      <c r="D198" s="88" t="str">
        <f t="shared" ca="1" si="31"/>
        <v/>
      </c>
      <c r="E198" s="86" t="str">
        <f t="shared" ca="1" si="32"/>
        <v/>
      </c>
      <c r="F198" s="89" t="str">
        <f t="shared" ca="1" si="33"/>
        <v/>
      </c>
      <c r="G198" s="89" t="str">
        <f t="shared" ca="1" si="34"/>
        <v/>
      </c>
      <c r="H198" s="89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3">
      <c r="A199" s="2"/>
      <c r="B199" s="86" t="str">
        <f t="shared" ca="1" si="29"/>
        <v/>
      </c>
      <c r="C199" s="87" t="str">
        <f t="shared" ca="1" si="30"/>
        <v/>
      </c>
      <c r="D199" s="88" t="str">
        <f t="shared" ca="1" si="31"/>
        <v/>
      </c>
      <c r="E199" s="86" t="str">
        <f t="shared" ca="1" si="32"/>
        <v/>
      </c>
      <c r="F199" s="89" t="str">
        <f t="shared" ca="1" si="33"/>
        <v/>
      </c>
      <c r="G199" s="89" t="str">
        <f t="shared" ca="1" si="34"/>
        <v/>
      </c>
      <c r="H199" s="89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3">
      <c r="A200" s="2"/>
      <c r="B200" s="86" t="str">
        <f t="shared" ca="1" si="29"/>
        <v/>
      </c>
      <c r="C200" s="87" t="str">
        <f t="shared" ca="1" si="30"/>
        <v/>
      </c>
      <c r="D200" s="88" t="str">
        <f t="shared" ca="1" si="31"/>
        <v/>
      </c>
      <c r="E200" s="86" t="str">
        <f t="shared" ca="1" si="32"/>
        <v/>
      </c>
      <c r="F200" s="89" t="str">
        <f t="shared" ca="1" si="33"/>
        <v/>
      </c>
      <c r="G200" s="89" t="str">
        <f t="shared" ca="1" si="34"/>
        <v/>
      </c>
      <c r="H200" s="89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3">
      <c r="A201" s="2"/>
      <c r="B201" s="86" t="str">
        <f t="shared" ca="1" si="29"/>
        <v/>
      </c>
      <c r="C201" s="87" t="str">
        <f t="shared" ca="1" si="30"/>
        <v/>
      </c>
      <c r="D201" s="88" t="str">
        <f t="shared" ca="1" si="31"/>
        <v/>
      </c>
      <c r="E201" s="86" t="str">
        <f t="shared" ca="1" si="32"/>
        <v/>
      </c>
      <c r="F201" s="89" t="str">
        <f t="shared" ca="1" si="33"/>
        <v/>
      </c>
      <c r="G201" s="89" t="str">
        <f t="shared" ca="1" si="34"/>
        <v/>
      </c>
      <c r="H201" s="89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3">
      <c r="A202" s="2"/>
      <c r="B202" s="86" t="str">
        <f t="shared" ca="1" si="29"/>
        <v/>
      </c>
      <c r="C202" s="87" t="str">
        <f t="shared" ca="1" si="30"/>
        <v/>
      </c>
      <c r="D202" s="88" t="str">
        <f t="shared" ca="1" si="31"/>
        <v/>
      </c>
      <c r="E202" s="86" t="str">
        <f t="shared" ca="1" si="32"/>
        <v/>
      </c>
      <c r="F202" s="89" t="str">
        <f t="shared" ca="1" si="33"/>
        <v/>
      </c>
      <c r="G202" s="89" t="str">
        <f t="shared" ca="1" si="34"/>
        <v/>
      </c>
      <c r="H202" s="89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3">
      <c r="A203" s="2"/>
      <c r="B203" s="86" t="str">
        <f t="shared" ca="1" si="29"/>
        <v/>
      </c>
      <c r="C203" s="87" t="str">
        <f t="shared" ca="1" si="30"/>
        <v/>
      </c>
      <c r="D203" s="88" t="str">
        <f t="shared" ca="1" si="31"/>
        <v/>
      </c>
      <c r="E203" s="86" t="str">
        <f t="shared" ca="1" si="32"/>
        <v/>
      </c>
      <c r="F203" s="89" t="str">
        <f t="shared" ca="1" si="33"/>
        <v/>
      </c>
      <c r="G203" s="89" t="str">
        <f t="shared" ca="1" si="34"/>
        <v/>
      </c>
      <c r="H203" s="89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3">
      <c r="A204" s="2"/>
      <c r="B204" s="86" t="str">
        <f t="shared" ref="B204:B267" ca="1" si="43">IF($C204="","",ROW()-11)</f>
        <v/>
      </c>
      <c r="C204" s="87" t="str">
        <f t="shared" ref="C204:C267" ca="1" si="44">IF($Z204="","",IF(INDEX($N$12:$N$432,$Z204)="","",INDEX($N$12:$N$432,$Z204)))</f>
        <v/>
      </c>
      <c r="D204" s="88" t="str">
        <f t="shared" ref="D204:D267" ca="1" si="45">IF($C204="","",INDEX($O$12:$O$432,$Z204))</f>
        <v/>
      </c>
      <c r="E204" s="86" t="str">
        <f t="shared" ref="E204:E267" ca="1" si="46">IF($C204="","",INDEX($P$12:$P$432,$Z204))</f>
        <v/>
      </c>
      <c r="F204" s="89" t="str">
        <f t="shared" ref="F204:F267" ca="1" si="47">IF($C204="","",INDEX($R$12:$R$432,$Z204))</f>
        <v/>
      </c>
      <c r="G204" s="89" t="str">
        <f t="shared" ref="G204:G267" ca="1" si="48">IF($C204="","",INDEX($S$12:$S$432,$Z204))</f>
        <v/>
      </c>
      <c r="H204" s="89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3">
      <c r="A205" s="2"/>
      <c r="B205" s="86" t="str">
        <f t="shared" ca="1" si="43"/>
        <v/>
      </c>
      <c r="C205" s="87" t="str">
        <f t="shared" ca="1" si="44"/>
        <v/>
      </c>
      <c r="D205" s="88" t="str">
        <f t="shared" ca="1" si="45"/>
        <v/>
      </c>
      <c r="E205" s="86" t="str">
        <f t="shared" ca="1" si="46"/>
        <v/>
      </c>
      <c r="F205" s="89" t="str">
        <f t="shared" ca="1" si="47"/>
        <v/>
      </c>
      <c r="G205" s="89" t="str">
        <f t="shared" ca="1" si="48"/>
        <v/>
      </c>
      <c r="H205" s="89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3">
      <c r="A206" s="2"/>
      <c r="B206" s="86" t="str">
        <f t="shared" ca="1" si="43"/>
        <v/>
      </c>
      <c r="C206" s="87" t="str">
        <f t="shared" ca="1" si="44"/>
        <v/>
      </c>
      <c r="D206" s="88" t="str">
        <f t="shared" ca="1" si="45"/>
        <v/>
      </c>
      <c r="E206" s="86" t="str">
        <f t="shared" ca="1" si="46"/>
        <v/>
      </c>
      <c r="F206" s="89" t="str">
        <f t="shared" ca="1" si="47"/>
        <v/>
      </c>
      <c r="G206" s="89" t="str">
        <f t="shared" ca="1" si="48"/>
        <v/>
      </c>
      <c r="H206" s="89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3">
      <c r="A207" s="2"/>
      <c r="B207" s="86" t="str">
        <f t="shared" ca="1" si="43"/>
        <v/>
      </c>
      <c r="C207" s="87" t="str">
        <f t="shared" ca="1" si="44"/>
        <v/>
      </c>
      <c r="D207" s="88" t="str">
        <f t="shared" ca="1" si="45"/>
        <v/>
      </c>
      <c r="E207" s="86" t="str">
        <f t="shared" ca="1" si="46"/>
        <v/>
      </c>
      <c r="F207" s="89" t="str">
        <f t="shared" ca="1" si="47"/>
        <v/>
      </c>
      <c r="G207" s="89" t="str">
        <f t="shared" ca="1" si="48"/>
        <v/>
      </c>
      <c r="H207" s="89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3">
      <c r="A208" s="2"/>
      <c r="B208" s="86" t="str">
        <f t="shared" ca="1" si="43"/>
        <v/>
      </c>
      <c r="C208" s="87" t="str">
        <f t="shared" ca="1" si="44"/>
        <v/>
      </c>
      <c r="D208" s="88" t="str">
        <f t="shared" ca="1" si="45"/>
        <v/>
      </c>
      <c r="E208" s="86" t="str">
        <f t="shared" ca="1" si="46"/>
        <v/>
      </c>
      <c r="F208" s="89" t="str">
        <f t="shared" ca="1" si="47"/>
        <v/>
      </c>
      <c r="G208" s="89" t="str">
        <f t="shared" ca="1" si="48"/>
        <v/>
      </c>
      <c r="H208" s="89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3">
      <c r="A209" s="2"/>
      <c r="B209" s="86" t="str">
        <f t="shared" ca="1" si="43"/>
        <v/>
      </c>
      <c r="C209" s="87" t="str">
        <f t="shared" ca="1" si="44"/>
        <v/>
      </c>
      <c r="D209" s="88" t="str">
        <f t="shared" ca="1" si="45"/>
        <v/>
      </c>
      <c r="E209" s="86" t="str">
        <f t="shared" ca="1" si="46"/>
        <v/>
      </c>
      <c r="F209" s="89" t="str">
        <f t="shared" ca="1" si="47"/>
        <v/>
      </c>
      <c r="G209" s="89" t="str">
        <f t="shared" ca="1" si="48"/>
        <v/>
      </c>
      <c r="H209" s="89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3">
      <c r="A210" s="2"/>
      <c r="B210" s="86" t="str">
        <f t="shared" ca="1" si="43"/>
        <v/>
      </c>
      <c r="C210" s="87" t="str">
        <f t="shared" ca="1" si="44"/>
        <v/>
      </c>
      <c r="D210" s="88" t="str">
        <f t="shared" ca="1" si="45"/>
        <v/>
      </c>
      <c r="E210" s="86" t="str">
        <f t="shared" ca="1" si="46"/>
        <v/>
      </c>
      <c r="F210" s="89" t="str">
        <f t="shared" ca="1" si="47"/>
        <v/>
      </c>
      <c r="G210" s="89" t="str">
        <f t="shared" ca="1" si="48"/>
        <v/>
      </c>
      <c r="H210" s="89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3">
      <c r="A211" s="2"/>
      <c r="B211" s="86" t="str">
        <f t="shared" ca="1" si="43"/>
        <v/>
      </c>
      <c r="C211" s="87" t="str">
        <f t="shared" ca="1" si="44"/>
        <v/>
      </c>
      <c r="D211" s="88" t="str">
        <f t="shared" ca="1" si="45"/>
        <v/>
      </c>
      <c r="E211" s="86" t="str">
        <f t="shared" ca="1" si="46"/>
        <v/>
      </c>
      <c r="F211" s="89" t="str">
        <f t="shared" ca="1" si="47"/>
        <v/>
      </c>
      <c r="G211" s="89" t="str">
        <f t="shared" ca="1" si="48"/>
        <v/>
      </c>
      <c r="H211" s="89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3">
      <c r="A212" s="2"/>
      <c r="B212" s="86" t="str">
        <f t="shared" ca="1" si="43"/>
        <v/>
      </c>
      <c r="C212" s="87" t="str">
        <f t="shared" ca="1" si="44"/>
        <v/>
      </c>
      <c r="D212" s="88" t="str">
        <f t="shared" ca="1" si="45"/>
        <v/>
      </c>
      <c r="E212" s="86" t="str">
        <f t="shared" ca="1" si="46"/>
        <v/>
      </c>
      <c r="F212" s="89" t="str">
        <f t="shared" ca="1" si="47"/>
        <v/>
      </c>
      <c r="G212" s="89" t="str">
        <f t="shared" ca="1" si="48"/>
        <v/>
      </c>
      <c r="H212" s="89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3">
      <c r="A213" s="2"/>
      <c r="B213" s="86" t="str">
        <f t="shared" ca="1" si="43"/>
        <v/>
      </c>
      <c r="C213" s="87" t="str">
        <f t="shared" ca="1" si="44"/>
        <v/>
      </c>
      <c r="D213" s="88" t="str">
        <f t="shared" ca="1" si="45"/>
        <v/>
      </c>
      <c r="E213" s="86" t="str">
        <f t="shared" ca="1" si="46"/>
        <v/>
      </c>
      <c r="F213" s="89" t="str">
        <f t="shared" ca="1" si="47"/>
        <v/>
      </c>
      <c r="G213" s="89" t="str">
        <f t="shared" ca="1" si="48"/>
        <v/>
      </c>
      <c r="H213" s="89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3">
      <c r="A214" s="2"/>
      <c r="B214" s="86" t="str">
        <f t="shared" ca="1" si="43"/>
        <v/>
      </c>
      <c r="C214" s="87" t="str">
        <f t="shared" ca="1" si="44"/>
        <v/>
      </c>
      <c r="D214" s="88" t="str">
        <f t="shared" ca="1" si="45"/>
        <v/>
      </c>
      <c r="E214" s="86" t="str">
        <f t="shared" ca="1" si="46"/>
        <v/>
      </c>
      <c r="F214" s="89" t="str">
        <f t="shared" ca="1" si="47"/>
        <v/>
      </c>
      <c r="G214" s="89" t="str">
        <f t="shared" ca="1" si="48"/>
        <v/>
      </c>
      <c r="H214" s="89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3">
      <c r="A215" s="2"/>
      <c r="B215" s="86" t="str">
        <f t="shared" ca="1" si="43"/>
        <v/>
      </c>
      <c r="C215" s="87" t="str">
        <f t="shared" ca="1" si="44"/>
        <v/>
      </c>
      <c r="D215" s="88" t="str">
        <f t="shared" ca="1" si="45"/>
        <v/>
      </c>
      <c r="E215" s="86" t="str">
        <f t="shared" ca="1" si="46"/>
        <v/>
      </c>
      <c r="F215" s="89" t="str">
        <f t="shared" ca="1" si="47"/>
        <v/>
      </c>
      <c r="G215" s="89" t="str">
        <f t="shared" ca="1" si="48"/>
        <v/>
      </c>
      <c r="H215" s="89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3">
      <c r="A216" s="2"/>
      <c r="B216" s="86" t="str">
        <f t="shared" ca="1" si="43"/>
        <v/>
      </c>
      <c r="C216" s="87" t="str">
        <f t="shared" ca="1" si="44"/>
        <v/>
      </c>
      <c r="D216" s="88" t="str">
        <f t="shared" ca="1" si="45"/>
        <v/>
      </c>
      <c r="E216" s="86" t="str">
        <f t="shared" ca="1" si="46"/>
        <v/>
      </c>
      <c r="F216" s="89" t="str">
        <f t="shared" ca="1" si="47"/>
        <v/>
      </c>
      <c r="G216" s="89" t="str">
        <f t="shared" ca="1" si="48"/>
        <v/>
      </c>
      <c r="H216" s="89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3">
      <c r="A217" s="2"/>
      <c r="B217" s="86" t="str">
        <f t="shared" ca="1" si="43"/>
        <v/>
      </c>
      <c r="C217" s="87" t="str">
        <f t="shared" ca="1" si="44"/>
        <v/>
      </c>
      <c r="D217" s="88" t="str">
        <f t="shared" ca="1" si="45"/>
        <v/>
      </c>
      <c r="E217" s="86" t="str">
        <f t="shared" ca="1" si="46"/>
        <v/>
      </c>
      <c r="F217" s="89" t="str">
        <f t="shared" ca="1" si="47"/>
        <v/>
      </c>
      <c r="G217" s="89" t="str">
        <f t="shared" ca="1" si="48"/>
        <v/>
      </c>
      <c r="H217" s="89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3">
      <c r="A218" s="2"/>
      <c r="B218" s="86" t="str">
        <f t="shared" ca="1" si="43"/>
        <v/>
      </c>
      <c r="C218" s="87" t="str">
        <f t="shared" ca="1" si="44"/>
        <v/>
      </c>
      <c r="D218" s="88" t="str">
        <f t="shared" ca="1" si="45"/>
        <v/>
      </c>
      <c r="E218" s="86" t="str">
        <f t="shared" ca="1" si="46"/>
        <v/>
      </c>
      <c r="F218" s="89" t="str">
        <f t="shared" ca="1" si="47"/>
        <v/>
      </c>
      <c r="G218" s="89" t="str">
        <f t="shared" ca="1" si="48"/>
        <v/>
      </c>
      <c r="H218" s="89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3">
      <c r="A219" s="2"/>
      <c r="B219" s="86" t="str">
        <f t="shared" ca="1" si="43"/>
        <v/>
      </c>
      <c r="C219" s="87" t="str">
        <f t="shared" ca="1" si="44"/>
        <v/>
      </c>
      <c r="D219" s="88" t="str">
        <f t="shared" ca="1" si="45"/>
        <v/>
      </c>
      <c r="E219" s="86" t="str">
        <f t="shared" ca="1" si="46"/>
        <v/>
      </c>
      <c r="F219" s="89" t="str">
        <f t="shared" ca="1" si="47"/>
        <v/>
      </c>
      <c r="G219" s="89" t="str">
        <f t="shared" ca="1" si="48"/>
        <v/>
      </c>
      <c r="H219" s="89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3">
      <c r="A220" s="2"/>
      <c r="B220" s="86" t="str">
        <f t="shared" ca="1" si="43"/>
        <v/>
      </c>
      <c r="C220" s="87" t="str">
        <f t="shared" ca="1" si="44"/>
        <v/>
      </c>
      <c r="D220" s="88" t="str">
        <f t="shared" ca="1" si="45"/>
        <v/>
      </c>
      <c r="E220" s="86" t="str">
        <f t="shared" ca="1" si="46"/>
        <v/>
      </c>
      <c r="F220" s="89" t="str">
        <f t="shared" ca="1" si="47"/>
        <v/>
      </c>
      <c r="G220" s="89" t="str">
        <f t="shared" ca="1" si="48"/>
        <v/>
      </c>
      <c r="H220" s="89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3">
      <c r="A221" s="2"/>
      <c r="B221" s="86" t="str">
        <f t="shared" ca="1" si="43"/>
        <v/>
      </c>
      <c r="C221" s="87" t="str">
        <f t="shared" ca="1" si="44"/>
        <v/>
      </c>
      <c r="D221" s="88" t="str">
        <f t="shared" ca="1" si="45"/>
        <v/>
      </c>
      <c r="E221" s="86" t="str">
        <f t="shared" ca="1" si="46"/>
        <v/>
      </c>
      <c r="F221" s="89" t="str">
        <f t="shared" ca="1" si="47"/>
        <v/>
      </c>
      <c r="G221" s="89" t="str">
        <f t="shared" ca="1" si="48"/>
        <v/>
      </c>
      <c r="H221" s="89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3">
      <c r="A222" s="2"/>
      <c r="B222" s="86" t="str">
        <f t="shared" ca="1" si="43"/>
        <v/>
      </c>
      <c r="C222" s="87" t="str">
        <f t="shared" ca="1" si="44"/>
        <v/>
      </c>
      <c r="D222" s="88" t="str">
        <f t="shared" ca="1" si="45"/>
        <v/>
      </c>
      <c r="E222" s="86" t="str">
        <f t="shared" ca="1" si="46"/>
        <v/>
      </c>
      <c r="F222" s="89" t="str">
        <f t="shared" ca="1" si="47"/>
        <v/>
      </c>
      <c r="G222" s="89" t="str">
        <f t="shared" ca="1" si="48"/>
        <v/>
      </c>
      <c r="H222" s="89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3">
      <c r="A223" s="2"/>
      <c r="B223" s="86" t="str">
        <f t="shared" ca="1" si="43"/>
        <v/>
      </c>
      <c r="C223" s="87" t="str">
        <f t="shared" ca="1" si="44"/>
        <v/>
      </c>
      <c r="D223" s="88" t="str">
        <f t="shared" ca="1" si="45"/>
        <v/>
      </c>
      <c r="E223" s="86" t="str">
        <f t="shared" ca="1" si="46"/>
        <v/>
      </c>
      <c r="F223" s="89" t="str">
        <f t="shared" ca="1" si="47"/>
        <v/>
      </c>
      <c r="G223" s="89" t="str">
        <f t="shared" ca="1" si="48"/>
        <v/>
      </c>
      <c r="H223" s="89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3">
      <c r="A224" s="2"/>
      <c r="B224" s="86" t="str">
        <f t="shared" ca="1" si="43"/>
        <v/>
      </c>
      <c r="C224" s="87" t="str">
        <f t="shared" ca="1" si="44"/>
        <v/>
      </c>
      <c r="D224" s="88" t="str">
        <f t="shared" ca="1" si="45"/>
        <v/>
      </c>
      <c r="E224" s="86" t="str">
        <f t="shared" ca="1" si="46"/>
        <v/>
      </c>
      <c r="F224" s="89" t="str">
        <f t="shared" ca="1" si="47"/>
        <v/>
      </c>
      <c r="G224" s="89" t="str">
        <f t="shared" ca="1" si="48"/>
        <v/>
      </c>
      <c r="H224" s="89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3">
      <c r="A225" s="2"/>
      <c r="B225" s="86" t="str">
        <f t="shared" ca="1" si="43"/>
        <v/>
      </c>
      <c r="C225" s="87" t="str">
        <f t="shared" ca="1" si="44"/>
        <v/>
      </c>
      <c r="D225" s="88" t="str">
        <f t="shared" ca="1" si="45"/>
        <v/>
      </c>
      <c r="E225" s="86" t="str">
        <f t="shared" ca="1" si="46"/>
        <v/>
      </c>
      <c r="F225" s="89" t="str">
        <f t="shared" ca="1" si="47"/>
        <v/>
      </c>
      <c r="G225" s="89" t="str">
        <f t="shared" ca="1" si="48"/>
        <v/>
      </c>
      <c r="H225" s="89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3">
      <c r="A226" s="2"/>
      <c r="B226" s="86" t="str">
        <f t="shared" ca="1" si="43"/>
        <v/>
      </c>
      <c r="C226" s="87" t="str">
        <f t="shared" ca="1" si="44"/>
        <v/>
      </c>
      <c r="D226" s="88" t="str">
        <f t="shared" ca="1" si="45"/>
        <v/>
      </c>
      <c r="E226" s="86" t="str">
        <f t="shared" ca="1" si="46"/>
        <v/>
      </c>
      <c r="F226" s="89" t="str">
        <f t="shared" ca="1" si="47"/>
        <v/>
      </c>
      <c r="G226" s="89" t="str">
        <f t="shared" ca="1" si="48"/>
        <v/>
      </c>
      <c r="H226" s="89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3">
      <c r="A227" s="2"/>
      <c r="B227" s="86" t="str">
        <f t="shared" ca="1" si="43"/>
        <v/>
      </c>
      <c r="C227" s="87" t="str">
        <f t="shared" ca="1" si="44"/>
        <v/>
      </c>
      <c r="D227" s="88" t="str">
        <f t="shared" ca="1" si="45"/>
        <v/>
      </c>
      <c r="E227" s="86" t="str">
        <f t="shared" ca="1" si="46"/>
        <v/>
      </c>
      <c r="F227" s="89" t="str">
        <f t="shared" ca="1" si="47"/>
        <v/>
      </c>
      <c r="G227" s="89" t="str">
        <f t="shared" ca="1" si="48"/>
        <v/>
      </c>
      <c r="H227" s="89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3">
      <c r="A228" s="2"/>
      <c r="B228" s="86" t="str">
        <f t="shared" ca="1" si="43"/>
        <v/>
      </c>
      <c r="C228" s="87" t="str">
        <f t="shared" ca="1" si="44"/>
        <v/>
      </c>
      <c r="D228" s="88" t="str">
        <f t="shared" ca="1" si="45"/>
        <v/>
      </c>
      <c r="E228" s="86" t="str">
        <f t="shared" ca="1" si="46"/>
        <v/>
      </c>
      <c r="F228" s="89" t="str">
        <f t="shared" ca="1" si="47"/>
        <v/>
      </c>
      <c r="G228" s="89" t="str">
        <f t="shared" ca="1" si="48"/>
        <v/>
      </c>
      <c r="H228" s="89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3">
      <c r="A229" s="2"/>
      <c r="B229" s="86" t="str">
        <f t="shared" ca="1" si="43"/>
        <v/>
      </c>
      <c r="C229" s="87" t="str">
        <f t="shared" ca="1" si="44"/>
        <v/>
      </c>
      <c r="D229" s="88" t="str">
        <f t="shared" ca="1" si="45"/>
        <v/>
      </c>
      <c r="E229" s="86" t="str">
        <f t="shared" ca="1" si="46"/>
        <v/>
      </c>
      <c r="F229" s="89" t="str">
        <f t="shared" ca="1" si="47"/>
        <v/>
      </c>
      <c r="G229" s="89" t="str">
        <f t="shared" ca="1" si="48"/>
        <v/>
      </c>
      <c r="H229" s="89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3">
      <c r="A230" s="2"/>
      <c r="B230" s="86" t="str">
        <f t="shared" ca="1" si="43"/>
        <v/>
      </c>
      <c r="C230" s="87" t="str">
        <f t="shared" ca="1" si="44"/>
        <v/>
      </c>
      <c r="D230" s="88" t="str">
        <f t="shared" ca="1" si="45"/>
        <v/>
      </c>
      <c r="E230" s="86" t="str">
        <f t="shared" ca="1" si="46"/>
        <v/>
      </c>
      <c r="F230" s="89" t="str">
        <f t="shared" ca="1" si="47"/>
        <v/>
      </c>
      <c r="G230" s="89" t="str">
        <f t="shared" ca="1" si="48"/>
        <v/>
      </c>
      <c r="H230" s="89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3">
      <c r="A231" s="2"/>
      <c r="B231" s="86" t="str">
        <f t="shared" ca="1" si="43"/>
        <v/>
      </c>
      <c r="C231" s="87" t="str">
        <f t="shared" ca="1" si="44"/>
        <v/>
      </c>
      <c r="D231" s="88" t="str">
        <f t="shared" ca="1" si="45"/>
        <v/>
      </c>
      <c r="E231" s="86" t="str">
        <f t="shared" ca="1" si="46"/>
        <v/>
      </c>
      <c r="F231" s="89" t="str">
        <f t="shared" ca="1" si="47"/>
        <v/>
      </c>
      <c r="G231" s="89" t="str">
        <f t="shared" ca="1" si="48"/>
        <v/>
      </c>
      <c r="H231" s="89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3">
      <c r="A232" s="2"/>
      <c r="B232" s="86" t="str">
        <f t="shared" ca="1" si="43"/>
        <v/>
      </c>
      <c r="C232" s="87" t="str">
        <f t="shared" ca="1" si="44"/>
        <v/>
      </c>
      <c r="D232" s="88" t="str">
        <f t="shared" ca="1" si="45"/>
        <v/>
      </c>
      <c r="E232" s="86" t="str">
        <f t="shared" ca="1" si="46"/>
        <v/>
      </c>
      <c r="F232" s="89" t="str">
        <f t="shared" ca="1" si="47"/>
        <v/>
      </c>
      <c r="G232" s="89" t="str">
        <f t="shared" ca="1" si="48"/>
        <v/>
      </c>
      <c r="H232" s="89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3">
      <c r="A233" s="2"/>
      <c r="B233" s="86" t="str">
        <f t="shared" ca="1" si="43"/>
        <v/>
      </c>
      <c r="C233" s="87" t="str">
        <f t="shared" ca="1" si="44"/>
        <v/>
      </c>
      <c r="D233" s="88" t="str">
        <f t="shared" ca="1" si="45"/>
        <v/>
      </c>
      <c r="E233" s="86" t="str">
        <f t="shared" ca="1" si="46"/>
        <v/>
      </c>
      <c r="F233" s="89" t="str">
        <f t="shared" ca="1" si="47"/>
        <v/>
      </c>
      <c r="G233" s="89" t="str">
        <f t="shared" ca="1" si="48"/>
        <v/>
      </c>
      <c r="H233" s="89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3">
      <c r="A234" s="2"/>
      <c r="B234" s="86" t="str">
        <f t="shared" ca="1" si="43"/>
        <v/>
      </c>
      <c r="C234" s="87" t="str">
        <f t="shared" ca="1" si="44"/>
        <v/>
      </c>
      <c r="D234" s="88" t="str">
        <f t="shared" ca="1" si="45"/>
        <v/>
      </c>
      <c r="E234" s="86" t="str">
        <f t="shared" ca="1" si="46"/>
        <v/>
      </c>
      <c r="F234" s="89" t="str">
        <f t="shared" ca="1" si="47"/>
        <v/>
      </c>
      <c r="G234" s="89" t="str">
        <f t="shared" ca="1" si="48"/>
        <v/>
      </c>
      <c r="H234" s="89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3">
      <c r="A235" s="2"/>
      <c r="B235" s="86" t="str">
        <f t="shared" ca="1" si="43"/>
        <v/>
      </c>
      <c r="C235" s="87" t="str">
        <f t="shared" ca="1" si="44"/>
        <v/>
      </c>
      <c r="D235" s="88" t="str">
        <f t="shared" ca="1" si="45"/>
        <v/>
      </c>
      <c r="E235" s="86" t="str">
        <f t="shared" ca="1" si="46"/>
        <v/>
      </c>
      <c r="F235" s="89" t="str">
        <f t="shared" ca="1" si="47"/>
        <v/>
      </c>
      <c r="G235" s="89" t="str">
        <f t="shared" ca="1" si="48"/>
        <v/>
      </c>
      <c r="H235" s="89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3">
      <c r="A236" s="2"/>
      <c r="B236" s="86" t="str">
        <f t="shared" ca="1" si="43"/>
        <v/>
      </c>
      <c r="C236" s="87" t="str">
        <f t="shared" ca="1" si="44"/>
        <v/>
      </c>
      <c r="D236" s="88" t="str">
        <f t="shared" ca="1" si="45"/>
        <v/>
      </c>
      <c r="E236" s="86" t="str">
        <f t="shared" ca="1" si="46"/>
        <v/>
      </c>
      <c r="F236" s="89" t="str">
        <f t="shared" ca="1" si="47"/>
        <v/>
      </c>
      <c r="G236" s="89" t="str">
        <f t="shared" ca="1" si="48"/>
        <v/>
      </c>
      <c r="H236" s="89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3">
      <c r="A237" s="2"/>
      <c r="B237" s="86" t="str">
        <f t="shared" ca="1" si="43"/>
        <v/>
      </c>
      <c r="C237" s="87" t="str">
        <f t="shared" ca="1" si="44"/>
        <v/>
      </c>
      <c r="D237" s="88" t="str">
        <f t="shared" ca="1" si="45"/>
        <v/>
      </c>
      <c r="E237" s="86" t="str">
        <f t="shared" ca="1" si="46"/>
        <v/>
      </c>
      <c r="F237" s="89" t="str">
        <f t="shared" ca="1" si="47"/>
        <v/>
      </c>
      <c r="G237" s="89" t="str">
        <f t="shared" ca="1" si="48"/>
        <v/>
      </c>
      <c r="H237" s="89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3">
      <c r="A238" s="2"/>
      <c r="B238" s="86" t="str">
        <f t="shared" ca="1" si="43"/>
        <v/>
      </c>
      <c r="C238" s="87" t="str">
        <f t="shared" ca="1" si="44"/>
        <v/>
      </c>
      <c r="D238" s="88" t="str">
        <f t="shared" ca="1" si="45"/>
        <v/>
      </c>
      <c r="E238" s="86" t="str">
        <f t="shared" ca="1" si="46"/>
        <v/>
      </c>
      <c r="F238" s="89" t="str">
        <f t="shared" ca="1" si="47"/>
        <v/>
      </c>
      <c r="G238" s="89" t="str">
        <f t="shared" ca="1" si="48"/>
        <v/>
      </c>
      <c r="H238" s="89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3">
      <c r="A239" s="2"/>
      <c r="B239" s="86" t="str">
        <f t="shared" ca="1" si="43"/>
        <v/>
      </c>
      <c r="C239" s="87" t="str">
        <f t="shared" ca="1" si="44"/>
        <v/>
      </c>
      <c r="D239" s="88" t="str">
        <f t="shared" ca="1" si="45"/>
        <v/>
      </c>
      <c r="E239" s="86" t="str">
        <f t="shared" ca="1" si="46"/>
        <v/>
      </c>
      <c r="F239" s="89" t="str">
        <f t="shared" ca="1" si="47"/>
        <v/>
      </c>
      <c r="G239" s="89" t="str">
        <f t="shared" ca="1" si="48"/>
        <v/>
      </c>
      <c r="H239" s="89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3">
      <c r="A240" s="2"/>
      <c r="B240" s="86" t="str">
        <f t="shared" ca="1" si="43"/>
        <v/>
      </c>
      <c r="C240" s="87" t="str">
        <f t="shared" ca="1" si="44"/>
        <v/>
      </c>
      <c r="D240" s="88" t="str">
        <f t="shared" ca="1" si="45"/>
        <v/>
      </c>
      <c r="E240" s="86" t="str">
        <f t="shared" ca="1" si="46"/>
        <v/>
      </c>
      <c r="F240" s="89" t="str">
        <f t="shared" ca="1" si="47"/>
        <v/>
      </c>
      <c r="G240" s="89" t="str">
        <f t="shared" ca="1" si="48"/>
        <v/>
      </c>
      <c r="H240" s="89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3">
      <c r="A241" s="2"/>
      <c r="B241" s="86" t="str">
        <f t="shared" ca="1" si="43"/>
        <v/>
      </c>
      <c r="C241" s="87" t="str">
        <f t="shared" ca="1" si="44"/>
        <v/>
      </c>
      <c r="D241" s="88" t="str">
        <f t="shared" ca="1" si="45"/>
        <v/>
      </c>
      <c r="E241" s="86" t="str">
        <f t="shared" ca="1" si="46"/>
        <v/>
      </c>
      <c r="F241" s="89" t="str">
        <f t="shared" ca="1" si="47"/>
        <v/>
      </c>
      <c r="G241" s="89" t="str">
        <f t="shared" ca="1" si="48"/>
        <v/>
      </c>
      <c r="H241" s="89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3">
      <c r="A242" s="2"/>
      <c r="B242" s="86" t="str">
        <f t="shared" ca="1" si="43"/>
        <v/>
      </c>
      <c r="C242" s="87" t="str">
        <f t="shared" ca="1" si="44"/>
        <v/>
      </c>
      <c r="D242" s="88" t="str">
        <f t="shared" ca="1" si="45"/>
        <v/>
      </c>
      <c r="E242" s="86" t="str">
        <f t="shared" ca="1" si="46"/>
        <v/>
      </c>
      <c r="F242" s="89" t="str">
        <f t="shared" ca="1" si="47"/>
        <v/>
      </c>
      <c r="G242" s="89" t="str">
        <f t="shared" ca="1" si="48"/>
        <v/>
      </c>
      <c r="H242" s="89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3">
      <c r="A243" s="2"/>
      <c r="B243" s="86" t="str">
        <f t="shared" ca="1" si="43"/>
        <v/>
      </c>
      <c r="C243" s="87" t="str">
        <f t="shared" ca="1" si="44"/>
        <v/>
      </c>
      <c r="D243" s="88" t="str">
        <f t="shared" ca="1" si="45"/>
        <v/>
      </c>
      <c r="E243" s="86" t="str">
        <f t="shared" ca="1" si="46"/>
        <v/>
      </c>
      <c r="F243" s="89" t="str">
        <f t="shared" ca="1" si="47"/>
        <v/>
      </c>
      <c r="G243" s="89" t="str">
        <f t="shared" ca="1" si="48"/>
        <v/>
      </c>
      <c r="H243" s="89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3">
      <c r="A244" s="2"/>
      <c r="B244" s="86" t="str">
        <f t="shared" ca="1" si="43"/>
        <v/>
      </c>
      <c r="C244" s="87" t="str">
        <f t="shared" ca="1" si="44"/>
        <v/>
      </c>
      <c r="D244" s="88" t="str">
        <f t="shared" ca="1" si="45"/>
        <v/>
      </c>
      <c r="E244" s="86" t="str">
        <f t="shared" ca="1" si="46"/>
        <v/>
      </c>
      <c r="F244" s="89" t="str">
        <f t="shared" ca="1" si="47"/>
        <v/>
      </c>
      <c r="G244" s="89" t="str">
        <f t="shared" ca="1" si="48"/>
        <v/>
      </c>
      <c r="H244" s="89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3">
      <c r="A245" s="2"/>
      <c r="B245" s="86" t="str">
        <f t="shared" ca="1" si="43"/>
        <v/>
      </c>
      <c r="C245" s="87" t="str">
        <f t="shared" ca="1" si="44"/>
        <v/>
      </c>
      <c r="D245" s="88" t="str">
        <f t="shared" ca="1" si="45"/>
        <v/>
      </c>
      <c r="E245" s="86" t="str">
        <f t="shared" ca="1" si="46"/>
        <v/>
      </c>
      <c r="F245" s="89" t="str">
        <f t="shared" ca="1" si="47"/>
        <v/>
      </c>
      <c r="G245" s="89" t="str">
        <f t="shared" ca="1" si="48"/>
        <v/>
      </c>
      <c r="H245" s="89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3">
      <c r="A246" s="2"/>
      <c r="B246" s="86" t="str">
        <f t="shared" ca="1" si="43"/>
        <v/>
      </c>
      <c r="C246" s="87" t="str">
        <f t="shared" ca="1" si="44"/>
        <v/>
      </c>
      <c r="D246" s="88" t="str">
        <f t="shared" ca="1" si="45"/>
        <v/>
      </c>
      <c r="E246" s="86" t="str">
        <f t="shared" ca="1" si="46"/>
        <v/>
      </c>
      <c r="F246" s="89" t="str">
        <f t="shared" ca="1" si="47"/>
        <v/>
      </c>
      <c r="G246" s="89" t="str">
        <f t="shared" ca="1" si="48"/>
        <v/>
      </c>
      <c r="H246" s="89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3">
      <c r="A247" s="2"/>
      <c r="B247" s="86" t="str">
        <f t="shared" ca="1" si="43"/>
        <v/>
      </c>
      <c r="C247" s="87" t="str">
        <f t="shared" ca="1" si="44"/>
        <v/>
      </c>
      <c r="D247" s="88" t="str">
        <f t="shared" ca="1" si="45"/>
        <v/>
      </c>
      <c r="E247" s="86" t="str">
        <f t="shared" ca="1" si="46"/>
        <v/>
      </c>
      <c r="F247" s="89" t="str">
        <f t="shared" ca="1" si="47"/>
        <v/>
      </c>
      <c r="G247" s="89" t="str">
        <f t="shared" ca="1" si="48"/>
        <v/>
      </c>
      <c r="H247" s="89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3">
      <c r="A248" s="2"/>
      <c r="B248" s="86" t="str">
        <f t="shared" ca="1" si="43"/>
        <v/>
      </c>
      <c r="C248" s="87" t="str">
        <f t="shared" ca="1" si="44"/>
        <v/>
      </c>
      <c r="D248" s="88" t="str">
        <f t="shared" ca="1" si="45"/>
        <v/>
      </c>
      <c r="E248" s="86" t="str">
        <f t="shared" ca="1" si="46"/>
        <v/>
      </c>
      <c r="F248" s="89" t="str">
        <f t="shared" ca="1" si="47"/>
        <v/>
      </c>
      <c r="G248" s="89" t="str">
        <f t="shared" ca="1" si="48"/>
        <v/>
      </c>
      <c r="H248" s="89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3">
      <c r="A249" s="2"/>
      <c r="B249" s="86" t="str">
        <f t="shared" ca="1" si="43"/>
        <v/>
      </c>
      <c r="C249" s="87" t="str">
        <f t="shared" ca="1" si="44"/>
        <v/>
      </c>
      <c r="D249" s="88" t="str">
        <f t="shared" ca="1" si="45"/>
        <v/>
      </c>
      <c r="E249" s="86" t="str">
        <f t="shared" ca="1" si="46"/>
        <v/>
      </c>
      <c r="F249" s="89" t="str">
        <f t="shared" ca="1" si="47"/>
        <v/>
      </c>
      <c r="G249" s="89" t="str">
        <f t="shared" ca="1" si="48"/>
        <v/>
      </c>
      <c r="H249" s="89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3">
      <c r="A250" s="2"/>
      <c r="B250" s="86" t="str">
        <f t="shared" ca="1" si="43"/>
        <v/>
      </c>
      <c r="C250" s="87" t="str">
        <f t="shared" ca="1" si="44"/>
        <v/>
      </c>
      <c r="D250" s="88" t="str">
        <f t="shared" ca="1" si="45"/>
        <v/>
      </c>
      <c r="E250" s="86" t="str">
        <f t="shared" ca="1" si="46"/>
        <v/>
      </c>
      <c r="F250" s="89" t="str">
        <f t="shared" ca="1" si="47"/>
        <v/>
      </c>
      <c r="G250" s="89" t="str">
        <f t="shared" ca="1" si="48"/>
        <v/>
      </c>
      <c r="H250" s="89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3">
      <c r="A251" s="2"/>
      <c r="B251" s="86" t="str">
        <f t="shared" ca="1" si="43"/>
        <v/>
      </c>
      <c r="C251" s="87" t="str">
        <f t="shared" ca="1" si="44"/>
        <v/>
      </c>
      <c r="D251" s="88" t="str">
        <f t="shared" ca="1" si="45"/>
        <v/>
      </c>
      <c r="E251" s="86" t="str">
        <f t="shared" ca="1" si="46"/>
        <v/>
      </c>
      <c r="F251" s="89" t="str">
        <f t="shared" ca="1" si="47"/>
        <v/>
      </c>
      <c r="G251" s="89" t="str">
        <f t="shared" ca="1" si="48"/>
        <v/>
      </c>
      <c r="H251" s="89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3">
      <c r="A252" s="2"/>
      <c r="B252" s="86" t="str">
        <f t="shared" ca="1" si="43"/>
        <v/>
      </c>
      <c r="C252" s="87" t="str">
        <f t="shared" ca="1" si="44"/>
        <v/>
      </c>
      <c r="D252" s="88" t="str">
        <f t="shared" ca="1" si="45"/>
        <v/>
      </c>
      <c r="E252" s="86" t="str">
        <f t="shared" ca="1" si="46"/>
        <v/>
      </c>
      <c r="F252" s="89" t="str">
        <f t="shared" ca="1" si="47"/>
        <v/>
      </c>
      <c r="G252" s="89" t="str">
        <f t="shared" ca="1" si="48"/>
        <v/>
      </c>
      <c r="H252" s="89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3">
      <c r="A253" s="2"/>
      <c r="B253" s="86" t="str">
        <f t="shared" ca="1" si="43"/>
        <v/>
      </c>
      <c r="C253" s="87" t="str">
        <f t="shared" ca="1" si="44"/>
        <v/>
      </c>
      <c r="D253" s="88" t="str">
        <f t="shared" ca="1" si="45"/>
        <v/>
      </c>
      <c r="E253" s="86" t="str">
        <f t="shared" ca="1" si="46"/>
        <v/>
      </c>
      <c r="F253" s="89" t="str">
        <f t="shared" ca="1" si="47"/>
        <v/>
      </c>
      <c r="G253" s="89" t="str">
        <f t="shared" ca="1" si="48"/>
        <v/>
      </c>
      <c r="H253" s="89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IF($U253=0,"",INDEX(TAHSILAT!$E$7:$E$2503,$U253))</f>
        <v>46035</v>
      </c>
      <c r="O253" s="1" t="str">
        <f>IF($N253="","","Ödeme  –  "&amp;INDEX(TAHSILAT!$H$7:$H$2503,$U253)&amp;"  ("&amp;INDEX(TAHSILAT!$G$7:$G$2503,$U253)&amp;")"&amp;IF(INDEX(TAHSILAT!$J$7:$J$2503,$U253)="",""," / "&amp;INDEX(TAHSILAT!$J$7:$J$2503,$U253)))</f>
        <v>Ödeme  –  Nakit  (ÖMER KARTAL) / NAKİT ÖDENEN</v>
      </c>
      <c r="P253" s="1" t="str">
        <f t="shared" ref="P253:P284" si="57">IF($N253="","","ÖDEME")</f>
        <v>ÖDEME</v>
      </c>
      <c r="Q253" s="1"/>
      <c r="R253" s="1">
        <v>0</v>
      </c>
      <c r="S253" s="79">
        <f>IF($N253="",0,INDEX(TAHSILAT!$F$7:$F$2503,$U253))</f>
        <v>3000</v>
      </c>
      <c r="T253" s="1">
        <f t="shared" si="50"/>
        <v>4603500242</v>
      </c>
      <c r="U253" s="1">
        <f>IFERROR(MATCH($AC$4&amp;"|1",TAHSILAT!$Q$7:$Q$2503,0),0)</f>
        <v>25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3">
      <c r="A254" s="2"/>
      <c r="B254" s="86" t="str">
        <f t="shared" ca="1" si="43"/>
        <v/>
      </c>
      <c r="C254" s="87" t="str">
        <f t="shared" ca="1" si="44"/>
        <v/>
      </c>
      <c r="D254" s="88" t="str">
        <f t="shared" ca="1" si="45"/>
        <v/>
      </c>
      <c r="E254" s="86" t="str">
        <f t="shared" ca="1" si="46"/>
        <v/>
      </c>
      <c r="F254" s="89" t="str">
        <f t="shared" ca="1" si="47"/>
        <v/>
      </c>
      <c r="G254" s="89" t="str">
        <f t="shared" ca="1" si="48"/>
        <v/>
      </c>
      <c r="H254" s="89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IF($U254=0,"",INDEX(TAHSILAT!$E$7:$E$2503,$U254))</f>
        <v>46066</v>
      </c>
      <c r="O254" s="1" t="str">
        <f>IF($N254="","","Ödeme  –  "&amp;INDEX(TAHSILAT!$H$7:$H$2503,$U254)&amp;"  ("&amp;INDEX(TAHSILAT!$G$7:$G$2503,$U254)&amp;")"&amp;IF(INDEX(TAHSILAT!$J$7:$J$2503,$U254)="",""," / "&amp;INDEX(TAHSILAT!$J$7:$J$2503,$U254)))</f>
        <v>Ödeme  –  Nakit  (ÖMER KARTAL) / NAKİT ÖDENEN</v>
      </c>
      <c r="P254" s="1" t="str">
        <f t="shared" si="57"/>
        <v>ÖDEME</v>
      </c>
      <c r="Q254" s="1"/>
      <c r="R254" s="1">
        <v>0</v>
      </c>
      <c r="S254" s="79">
        <f>IF($N254="",0,INDEX(TAHSILAT!$F$7:$F$2503,$U254))</f>
        <v>3000</v>
      </c>
      <c r="T254" s="1">
        <f t="shared" si="50"/>
        <v>4606600243</v>
      </c>
      <c r="U254" s="1">
        <f>IFERROR(MATCH($AC$4&amp;"|2",TAHSILAT!$Q$7:$Q$2503,0),0)</f>
        <v>101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3">
      <c r="A255" s="2"/>
      <c r="B255" s="86" t="str">
        <f t="shared" ca="1" si="43"/>
        <v/>
      </c>
      <c r="C255" s="87" t="str">
        <f t="shared" ca="1" si="44"/>
        <v/>
      </c>
      <c r="D255" s="88" t="str">
        <f t="shared" ca="1" si="45"/>
        <v/>
      </c>
      <c r="E255" s="86" t="str">
        <f t="shared" ca="1" si="46"/>
        <v/>
      </c>
      <c r="F255" s="89" t="str">
        <f t="shared" ca="1" si="47"/>
        <v/>
      </c>
      <c r="G255" s="89" t="str">
        <f t="shared" ca="1" si="48"/>
        <v/>
      </c>
      <c r="H255" s="89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IF($U255=0,"",INDEX(TAHSILAT!$E$7:$E$2503,$U255))</f>
        <v>46099</v>
      </c>
      <c r="O255" s="1" t="str">
        <f>IF($N255="","","Ödeme  –  "&amp;INDEX(TAHSILAT!$H$7:$H$2503,$U255)&amp;"  ("&amp;INDEX(TAHSILAT!$G$7:$G$2503,$U255)&amp;")"&amp;IF(INDEX(TAHSILAT!$J$7:$J$2503,$U255)="",""," / "&amp;INDEX(TAHSILAT!$J$7:$J$2503,$U255)))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79">
        <f>IF($N255="",0,INDEX(TAHSILAT!$F$7:$F$2503,$U255))</f>
        <v>3000</v>
      </c>
      <c r="T255" s="1">
        <f t="shared" si="50"/>
        <v>4609900244</v>
      </c>
      <c r="U255" s="1">
        <f>IFERROR(MATCH($AC$4&amp;"|3",TAHSILAT!$Q$7:$Q$2503,0),0)</f>
        <v>170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3">
      <c r="A256" s="2"/>
      <c r="B256" s="86" t="str">
        <f t="shared" ca="1" si="43"/>
        <v/>
      </c>
      <c r="C256" s="87" t="str">
        <f t="shared" ca="1" si="44"/>
        <v/>
      </c>
      <c r="D256" s="88" t="str">
        <f t="shared" ca="1" si="45"/>
        <v/>
      </c>
      <c r="E256" s="86" t="str">
        <f t="shared" ca="1" si="46"/>
        <v/>
      </c>
      <c r="F256" s="89" t="str">
        <f t="shared" ca="1" si="47"/>
        <v/>
      </c>
      <c r="G256" s="89" t="str">
        <f t="shared" ca="1" si="48"/>
        <v/>
      </c>
      <c r="H256" s="89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IF($U256=0,"",INDEX(TAHSILAT!$E$7:$E$2503,$U256))</f>
        <v>46126</v>
      </c>
      <c r="O256" s="1" t="str">
        <f>IF($N256="","","Ödeme  –  "&amp;INDEX(TAHSILAT!$H$7:$H$2503,$U256)&amp;"  ("&amp;INDEX(TAHSILAT!$G$7:$G$2503,$U256)&amp;")"&amp;IF(INDEX(TAHSILAT!$J$7:$J$2503,$U256)="",""," / "&amp;INDEX(TAHSILAT!$J$7:$J$2503,$U256)))</f>
        <v>Ödeme  –  Nakit  (ÖMER KARTAL) / NAKİT ÖDENEN</v>
      </c>
      <c r="P256" s="1" t="str">
        <f t="shared" si="57"/>
        <v>ÖDEME</v>
      </c>
      <c r="Q256" s="1"/>
      <c r="R256" s="1">
        <v>0</v>
      </c>
      <c r="S256" s="79">
        <f>IF($N256="",0,INDEX(TAHSILAT!$F$7:$F$2503,$U256))</f>
        <v>3000</v>
      </c>
      <c r="T256" s="1">
        <f t="shared" si="50"/>
        <v>4612600245</v>
      </c>
      <c r="U256" s="1">
        <f>IFERROR(MATCH($AC$4&amp;"|4",TAHSILAT!$Q$7:$Q$2503,0),0)</f>
        <v>236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3">
      <c r="A257" s="2"/>
      <c r="B257" s="86" t="str">
        <f t="shared" ca="1" si="43"/>
        <v/>
      </c>
      <c r="C257" s="87" t="str">
        <f t="shared" ca="1" si="44"/>
        <v/>
      </c>
      <c r="D257" s="88" t="str">
        <f t="shared" ca="1" si="45"/>
        <v/>
      </c>
      <c r="E257" s="86" t="str">
        <f t="shared" ca="1" si="46"/>
        <v/>
      </c>
      <c r="F257" s="89" t="str">
        <f t="shared" ca="1" si="47"/>
        <v/>
      </c>
      <c r="G257" s="89" t="str">
        <f t="shared" ca="1" si="48"/>
        <v/>
      </c>
      <c r="H257" s="89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IF($U257=0,"",INDEX(TAHSILAT!$E$7:$E$2503,$U257))</f>
        <v>46157</v>
      </c>
      <c r="O257" s="1" t="str">
        <f>IF($N257="","","Ödeme  –  "&amp;INDEX(TAHSILAT!$H$7:$H$2503,$U257)&amp;"  ("&amp;INDEX(TAHSILAT!$G$7:$G$2503,$U257)&amp;")"&amp;IF(INDEX(TAHSILAT!$J$7:$J$2503,$U257)="",""," / "&amp;INDEX(TAHSILAT!$J$7:$J$2503,$U257)))</f>
        <v>Ödeme  –  Nakit  (ÖMER KARTAL) / NAKİT ÖDENEN</v>
      </c>
      <c r="P257" s="1" t="str">
        <f t="shared" si="57"/>
        <v>ÖDEME</v>
      </c>
      <c r="Q257" s="1"/>
      <c r="R257" s="1">
        <v>0</v>
      </c>
      <c r="S257" s="79">
        <f>IF($N257="",0,INDEX(TAHSILAT!$F$7:$F$2503,$U257))</f>
        <v>3000</v>
      </c>
      <c r="T257" s="1">
        <f t="shared" si="50"/>
        <v>4615700246</v>
      </c>
      <c r="U257" s="1">
        <f>IFERROR(MATCH($AC$4&amp;"|5",TAHSILAT!$Q$7:$Q$2503,0),0)</f>
        <v>309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3">
      <c r="A258" s="2"/>
      <c r="B258" s="86" t="str">
        <f t="shared" ca="1" si="43"/>
        <v/>
      </c>
      <c r="C258" s="87" t="str">
        <f t="shared" ca="1" si="44"/>
        <v/>
      </c>
      <c r="D258" s="88" t="str">
        <f t="shared" ca="1" si="45"/>
        <v/>
      </c>
      <c r="E258" s="86" t="str">
        <f t="shared" ca="1" si="46"/>
        <v/>
      </c>
      <c r="F258" s="89" t="str">
        <f t="shared" ca="1" si="47"/>
        <v/>
      </c>
      <c r="G258" s="89" t="str">
        <f t="shared" ca="1" si="48"/>
        <v/>
      </c>
      <c r="H258" s="89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IF($U258=0,"",INDEX(TAHSILAT!$E$7:$E$2503,$U258))</f>
        <v>46188</v>
      </c>
      <c r="O258" s="1" t="str">
        <f>IF($N258="","","Ödeme  –  "&amp;INDEX(TAHSILAT!$H$7:$H$2503,$U258)&amp;"  ("&amp;INDEX(TAHSILAT!$G$7:$G$2503,$U258)&amp;")"&amp;IF(INDEX(TAHSILAT!$J$7:$J$2503,$U258)="",""," / "&amp;INDEX(TAHSILAT!$J$7:$J$2503,$U258)))</f>
        <v>Ödeme  –  Nakit  (ÖMER KARTAL) / NAKİT ÖDENEN</v>
      </c>
      <c r="P258" s="1" t="str">
        <f t="shared" si="57"/>
        <v>ÖDEME</v>
      </c>
      <c r="Q258" s="1"/>
      <c r="R258" s="1">
        <v>0</v>
      </c>
      <c r="S258" s="79">
        <f>IF($N258="",0,INDEX(TAHSILAT!$F$7:$F$2503,$U258))</f>
        <v>3000</v>
      </c>
      <c r="T258" s="1">
        <f t="shared" si="50"/>
        <v>4618800247</v>
      </c>
      <c r="U258" s="1">
        <f>IFERROR(MATCH($AC$4&amp;"|6",TAHSILAT!$Q$7:$Q$2503,0),0)</f>
        <v>391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3">
      <c r="A259" s="2"/>
      <c r="B259" s="86" t="str">
        <f t="shared" ca="1" si="43"/>
        <v/>
      </c>
      <c r="C259" s="87" t="str">
        <f t="shared" ca="1" si="44"/>
        <v/>
      </c>
      <c r="D259" s="88" t="str">
        <f t="shared" ca="1" si="45"/>
        <v/>
      </c>
      <c r="E259" s="86" t="str">
        <f t="shared" ca="1" si="46"/>
        <v/>
      </c>
      <c r="F259" s="89" t="str">
        <f t="shared" ca="1" si="47"/>
        <v/>
      </c>
      <c r="G259" s="89" t="str">
        <f t="shared" ca="1" si="48"/>
        <v/>
      </c>
      <c r="H259" s="89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IF($U259=0,"",INDEX(TAHSILAT!$E$7:$E$2503,$U259))</f>
        <v>46218</v>
      </c>
      <c r="O259" s="1" t="str">
        <f>IF($N259="","","Ödeme  –  "&amp;INDEX(TAHSILAT!$H$7:$H$2503,$U259)&amp;"  ("&amp;INDEX(TAHSILAT!$G$7:$G$2503,$U259)&amp;")"&amp;IF(INDEX(TAHSILAT!$J$7:$J$2503,$U259)="",""," / "&amp;INDEX(TAHSILAT!$J$7:$J$2503,$U259)))</f>
        <v>Ödeme  –  Nakit  (ÖMER KARTAL) / NAKİT ÖDENEN</v>
      </c>
      <c r="P259" s="1" t="str">
        <f t="shared" si="57"/>
        <v>ÖDEME</v>
      </c>
      <c r="Q259" s="1"/>
      <c r="R259" s="1">
        <v>0</v>
      </c>
      <c r="S259" s="79">
        <f>IF($N259="",0,INDEX(TAHSILAT!$F$7:$F$2503,$U259))</f>
        <v>3000</v>
      </c>
      <c r="T259" s="1">
        <f t="shared" si="50"/>
        <v>4621800248</v>
      </c>
      <c r="U259" s="1">
        <f>IFERROR(MATCH($AC$4&amp;"|7",TAHSILAT!$Q$7:$Q$2503,0),0)</f>
        <v>449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3">
      <c r="A260" s="2"/>
      <c r="B260" s="86" t="str">
        <f t="shared" ca="1" si="43"/>
        <v/>
      </c>
      <c r="C260" s="87" t="str">
        <f t="shared" ca="1" si="44"/>
        <v/>
      </c>
      <c r="D260" s="88" t="str">
        <f t="shared" ca="1" si="45"/>
        <v/>
      </c>
      <c r="E260" s="86" t="str">
        <f t="shared" ca="1" si="46"/>
        <v/>
      </c>
      <c r="F260" s="89" t="str">
        <f t="shared" ca="1" si="47"/>
        <v/>
      </c>
      <c r="G260" s="89" t="str">
        <f t="shared" ca="1" si="48"/>
        <v/>
      </c>
      <c r="H260" s="89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IF($U260=0,"",INDEX(TAHSILAT!$E$7:$E$2503,$U260))</f>
        <v>46249</v>
      </c>
      <c r="O260" s="1" t="str">
        <f>IF($N260="","","Ödeme  –  "&amp;INDEX(TAHSILAT!$H$7:$H$2503,$U260)&amp;"  ("&amp;INDEX(TAHSILAT!$G$7:$G$2503,$U260)&amp;")"&amp;IF(INDEX(TAHSILAT!$J$7:$J$2503,$U260)="",""," / "&amp;INDEX(TAHSILAT!$J$7:$J$2503,$U260)))</f>
        <v>Ödeme  –  Nakit  (ÖMER KARTAL) / NAKİT ÖDENEN</v>
      </c>
      <c r="P260" s="1" t="str">
        <f t="shared" si="57"/>
        <v>ÖDEME</v>
      </c>
      <c r="Q260" s="1"/>
      <c r="R260" s="1">
        <v>0</v>
      </c>
      <c r="S260" s="79">
        <f>IF($N260="",0,INDEX(TAHSILAT!$F$7:$F$2503,$U260))</f>
        <v>3000</v>
      </c>
      <c r="T260" s="1">
        <f t="shared" si="50"/>
        <v>4624900249</v>
      </c>
      <c r="U260" s="1">
        <f>IFERROR(MATCH($AC$4&amp;"|8",TAHSILAT!$Q$7:$Q$2503,0),0)</f>
        <v>525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3">
      <c r="A261" s="2"/>
      <c r="B261" s="86" t="str">
        <f t="shared" ca="1" si="43"/>
        <v/>
      </c>
      <c r="C261" s="87" t="str">
        <f t="shared" ca="1" si="44"/>
        <v/>
      </c>
      <c r="D261" s="88" t="str">
        <f t="shared" ca="1" si="45"/>
        <v/>
      </c>
      <c r="E261" s="86" t="str">
        <f t="shared" ca="1" si="46"/>
        <v/>
      </c>
      <c r="F261" s="89" t="str">
        <f t="shared" ca="1" si="47"/>
        <v/>
      </c>
      <c r="G261" s="89" t="str">
        <f t="shared" ca="1" si="48"/>
        <v/>
      </c>
      <c r="H261" s="89" t="str">
        <f t="shared" ca="1" si="49"/>
        <v/>
      </c>
      <c r="I261" s="2"/>
      <c r="J261" s="2"/>
      <c r="K261" s="1"/>
      <c r="L261" s="1"/>
      <c r="M261" s="1">
        <v>250</v>
      </c>
      <c r="N261" s="71" t="str">
        <f>IF($U261=0,"",INDEX(TAHSILAT!$E$7:$E$2503,$U261))</f>
        <v/>
      </c>
      <c r="O261" s="1" t="str">
        <f>IF($N261="","","Ödeme  –  "&amp;INDEX(TAHSILAT!$H$7:$H$2503,$U261)&amp;"  ("&amp;INDEX(TAHSILAT!$G$7:$G$2503,$U261)&amp;")"&amp;IF(INDEX(TAHSILAT!$J$7:$J$2503,$U261)="",""," / "&amp;INDEX(TAHSILAT!$J$7:$J$2503,$U261)))</f>
        <v/>
      </c>
      <c r="P261" s="1" t="str">
        <f t="shared" si="57"/>
        <v/>
      </c>
      <c r="Q261" s="1"/>
      <c r="R261" s="1">
        <v>0</v>
      </c>
      <c r="S261" s="79">
        <f>IF($N261="",0,INDEX(TAHSILAT!$F$7:$F$2503,$U261))</f>
        <v>0</v>
      </c>
      <c r="T261" s="1">
        <f t="shared" si="50"/>
        <v>10000000000</v>
      </c>
      <c r="U261" s="1">
        <f>IFERROR(MATCH($AC$4&amp;"|9",TAHSILAT!$Q$7:$Q$2503,0),0)</f>
        <v>0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3">
      <c r="A262" s="2"/>
      <c r="B262" s="86" t="str">
        <f t="shared" ca="1" si="43"/>
        <v/>
      </c>
      <c r="C262" s="87" t="str">
        <f t="shared" ca="1" si="44"/>
        <v/>
      </c>
      <c r="D262" s="88" t="str">
        <f t="shared" ca="1" si="45"/>
        <v/>
      </c>
      <c r="E262" s="86" t="str">
        <f t="shared" ca="1" si="46"/>
        <v/>
      </c>
      <c r="F262" s="89" t="str">
        <f t="shared" ca="1" si="47"/>
        <v/>
      </c>
      <c r="G262" s="89" t="str">
        <f t="shared" ca="1" si="48"/>
        <v/>
      </c>
      <c r="H262" s="89" t="str">
        <f t="shared" ca="1" si="49"/>
        <v/>
      </c>
      <c r="I262" s="2"/>
      <c r="J262" s="2"/>
      <c r="K262" s="1"/>
      <c r="L262" s="1"/>
      <c r="M262" s="1">
        <v>251</v>
      </c>
      <c r="N262" s="71" t="str">
        <f>IF($U262=0,"",INDEX(TAHSILAT!$E$7:$E$2503,$U262))</f>
        <v/>
      </c>
      <c r="O262" s="1" t="str">
        <f>IF($N262="","","Ödeme  –  "&amp;INDEX(TAHSILAT!$H$7:$H$2503,$U262)&amp;"  ("&amp;INDEX(TAHSILAT!$G$7:$G$2503,$U262)&amp;")"&amp;IF(INDEX(TAHSILAT!$J$7:$J$2503,$U262)="",""," / "&amp;INDEX(TAHSILAT!$J$7:$J$2503,$U262)))</f>
        <v/>
      </c>
      <c r="P262" s="1" t="str">
        <f t="shared" si="57"/>
        <v/>
      </c>
      <c r="Q262" s="1"/>
      <c r="R262" s="1">
        <v>0</v>
      </c>
      <c r="S262" s="79">
        <f>IF($N262="",0,INDEX(TAHSILAT!$F$7:$F$2503,$U262))</f>
        <v>0</v>
      </c>
      <c r="T262" s="1">
        <f t="shared" si="50"/>
        <v>10000000000</v>
      </c>
      <c r="U262" s="1">
        <f>IFERROR(MATCH($AC$4&amp;"|10",TAHSILAT!$Q$7:$Q$2503,0),0)</f>
        <v>0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3">
      <c r="A263" s="2"/>
      <c r="B263" s="86" t="str">
        <f t="shared" ca="1" si="43"/>
        <v/>
      </c>
      <c r="C263" s="87" t="str">
        <f t="shared" ca="1" si="44"/>
        <v/>
      </c>
      <c r="D263" s="88" t="str">
        <f t="shared" ca="1" si="45"/>
        <v/>
      </c>
      <c r="E263" s="86" t="str">
        <f t="shared" ca="1" si="46"/>
        <v/>
      </c>
      <c r="F263" s="89" t="str">
        <f t="shared" ca="1" si="47"/>
        <v/>
      </c>
      <c r="G263" s="89" t="str">
        <f t="shared" ca="1" si="48"/>
        <v/>
      </c>
      <c r="H263" s="89" t="str">
        <f t="shared" ca="1" si="49"/>
        <v/>
      </c>
      <c r="I263" s="2"/>
      <c r="J263" s="2"/>
      <c r="K263" s="1"/>
      <c r="L263" s="1"/>
      <c r="M263" s="1">
        <v>252</v>
      </c>
      <c r="N263" s="71" t="str">
        <f>IF($U263=0,"",INDEX(TAHSILAT!$E$7:$E$2503,$U263))</f>
        <v/>
      </c>
      <c r="O263" s="1" t="str">
        <f>IF($N263="","","Ödeme  –  "&amp;INDEX(TAHSILAT!$H$7:$H$2503,$U263)&amp;"  ("&amp;INDEX(TAHSILAT!$G$7:$G$2503,$U263)&amp;")"&amp;IF(INDEX(TAHSILAT!$J$7:$J$2503,$U263)="",""," / "&amp;INDEX(TAHSILAT!$J$7:$J$2503,$U263)))</f>
        <v/>
      </c>
      <c r="P263" s="1" t="str">
        <f t="shared" si="57"/>
        <v/>
      </c>
      <c r="Q263" s="1"/>
      <c r="R263" s="1">
        <v>0</v>
      </c>
      <c r="S263" s="79">
        <f>IF($N263="",0,INDEX(TAHSILAT!$F$7:$F$2503,$U263))</f>
        <v>0</v>
      </c>
      <c r="T263" s="1">
        <f t="shared" si="50"/>
        <v>10000000000</v>
      </c>
      <c r="U263" s="1">
        <f>IFERROR(MATCH($AC$4&amp;"|11",TAHSILAT!$Q$7:$Q$2503,0),0)</f>
        <v>0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3">
      <c r="A264" s="2"/>
      <c r="B264" s="86" t="str">
        <f t="shared" ca="1" si="43"/>
        <v/>
      </c>
      <c r="C264" s="87" t="str">
        <f t="shared" ca="1" si="44"/>
        <v/>
      </c>
      <c r="D264" s="88" t="str">
        <f t="shared" ca="1" si="45"/>
        <v/>
      </c>
      <c r="E264" s="86" t="str">
        <f t="shared" ca="1" si="46"/>
        <v/>
      </c>
      <c r="F264" s="89" t="str">
        <f t="shared" ca="1" si="47"/>
        <v/>
      </c>
      <c r="G264" s="89" t="str">
        <f t="shared" ca="1" si="48"/>
        <v/>
      </c>
      <c r="H264" s="89" t="str">
        <f t="shared" ca="1" si="49"/>
        <v/>
      </c>
      <c r="I264" s="2"/>
      <c r="J264" s="2"/>
      <c r="K264" s="1"/>
      <c r="L264" s="1"/>
      <c r="M264" s="1">
        <v>253</v>
      </c>
      <c r="N264" s="71" t="str">
        <f>IF($U264=0,"",INDEX(TAHSILAT!$E$7:$E$2503,$U264))</f>
        <v/>
      </c>
      <c r="O264" s="1" t="str">
        <f>IF($N264="","","Ödeme  –  "&amp;INDEX(TAHSILAT!$H$7:$H$2503,$U264)&amp;"  ("&amp;INDEX(TAHSILAT!$G$7:$G$2503,$U264)&amp;")"&amp;IF(INDEX(TAHSILAT!$J$7:$J$2503,$U264)="",""," / "&amp;INDEX(TAHSILAT!$J$7:$J$2503,$U264)))</f>
        <v/>
      </c>
      <c r="P264" s="1" t="str">
        <f t="shared" si="57"/>
        <v/>
      </c>
      <c r="Q264" s="1"/>
      <c r="R264" s="1">
        <v>0</v>
      </c>
      <c r="S264" s="79">
        <f>IF($N264="",0,INDEX(TAHSILAT!$F$7:$F$2503,$U264))</f>
        <v>0</v>
      </c>
      <c r="T264" s="1">
        <f t="shared" si="50"/>
        <v>10000000000</v>
      </c>
      <c r="U264" s="1">
        <f>IFERROR(MATCH($AC$4&amp;"|12",TAHSILAT!$Q$7:$Q$2503,0),0)</f>
        <v>0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3">
      <c r="A265" s="2"/>
      <c r="B265" s="86" t="str">
        <f t="shared" ca="1" si="43"/>
        <v/>
      </c>
      <c r="C265" s="87" t="str">
        <f t="shared" ca="1" si="44"/>
        <v/>
      </c>
      <c r="D265" s="88" t="str">
        <f t="shared" ca="1" si="45"/>
        <v/>
      </c>
      <c r="E265" s="86" t="str">
        <f t="shared" ca="1" si="46"/>
        <v/>
      </c>
      <c r="F265" s="89" t="str">
        <f t="shared" ca="1" si="47"/>
        <v/>
      </c>
      <c r="G265" s="89" t="str">
        <f t="shared" ca="1" si="48"/>
        <v/>
      </c>
      <c r="H265" s="89" t="str">
        <f t="shared" ca="1" si="49"/>
        <v/>
      </c>
      <c r="I265" s="2"/>
      <c r="J265" s="2"/>
      <c r="K265" s="1"/>
      <c r="L265" s="1"/>
      <c r="M265" s="1">
        <v>254</v>
      </c>
      <c r="N265" s="71" t="str">
        <f>IF($U265=0,"",INDEX(TAHSILAT!$E$7:$E$2503,$U265))</f>
        <v/>
      </c>
      <c r="O265" s="1" t="str">
        <f>IF($N265="","","Ödeme  –  "&amp;INDEX(TAHSILAT!$H$7:$H$2503,$U265)&amp;"  ("&amp;INDEX(TAHSILAT!$G$7:$G$2503,$U265)&amp;")"&amp;IF(INDEX(TAHSILAT!$J$7:$J$2503,$U265)="",""," / "&amp;INDEX(TAHSILAT!$J$7:$J$2503,$U265)))</f>
        <v/>
      </c>
      <c r="P265" s="1" t="str">
        <f t="shared" si="57"/>
        <v/>
      </c>
      <c r="Q265" s="1"/>
      <c r="R265" s="1">
        <v>0</v>
      </c>
      <c r="S265" s="79">
        <f>IF($N265="",0,INDEX(TAHSILAT!$F$7:$F$2503,$U265))</f>
        <v>0</v>
      </c>
      <c r="T265" s="1">
        <f t="shared" si="50"/>
        <v>10000000000</v>
      </c>
      <c r="U265" s="1">
        <f>IFERROR(MATCH($AC$4&amp;"|13",TAHSILAT!$Q$7:$Q$2503,0),0)</f>
        <v>0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3">
      <c r="A266" s="2"/>
      <c r="B266" s="86" t="str">
        <f t="shared" ca="1" si="43"/>
        <v/>
      </c>
      <c r="C266" s="87" t="str">
        <f t="shared" ca="1" si="44"/>
        <v/>
      </c>
      <c r="D266" s="88" t="str">
        <f t="shared" ca="1" si="45"/>
        <v/>
      </c>
      <c r="E266" s="86" t="str">
        <f t="shared" ca="1" si="46"/>
        <v/>
      </c>
      <c r="F266" s="89" t="str">
        <f t="shared" ca="1" si="47"/>
        <v/>
      </c>
      <c r="G266" s="89" t="str">
        <f t="shared" ca="1" si="48"/>
        <v/>
      </c>
      <c r="H266" s="89" t="str">
        <f t="shared" ca="1" si="49"/>
        <v/>
      </c>
      <c r="I266" s="2"/>
      <c r="J266" s="2"/>
      <c r="K266" s="1"/>
      <c r="L266" s="1"/>
      <c r="M266" s="1">
        <v>255</v>
      </c>
      <c r="N266" s="71" t="str">
        <f>IF($U266=0,"",INDEX(TAHSILAT!$E$7:$E$2503,$U266))</f>
        <v/>
      </c>
      <c r="O266" s="1" t="str">
        <f>IF($N266="","","Ödeme  –  "&amp;INDEX(TAHSILAT!$H$7:$H$2503,$U266)&amp;"  ("&amp;INDEX(TAHSILAT!$G$7:$G$2503,$U266)&amp;")"&amp;IF(INDEX(TAHSILAT!$J$7:$J$2503,$U266)="",""," / "&amp;INDEX(TAHSILAT!$J$7:$J$2503,$U266)))</f>
        <v/>
      </c>
      <c r="P266" s="1" t="str">
        <f t="shared" si="57"/>
        <v/>
      </c>
      <c r="Q266" s="1"/>
      <c r="R266" s="1">
        <v>0</v>
      </c>
      <c r="S266" s="79">
        <f>IF($N266="",0,INDEX(TAHSILAT!$F$7:$F$2503,$U266))</f>
        <v>0</v>
      </c>
      <c r="T266" s="1">
        <f t="shared" si="50"/>
        <v>10000000000</v>
      </c>
      <c r="U266" s="1">
        <f>IFERROR(MATCH($AC$4&amp;"|14",TAHSILAT!$Q$7:$Q$2503,0),0)</f>
        <v>0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3">
      <c r="A267" s="2"/>
      <c r="B267" s="86" t="str">
        <f t="shared" ca="1" si="43"/>
        <v/>
      </c>
      <c r="C267" s="87" t="str">
        <f t="shared" ca="1" si="44"/>
        <v/>
      </c>
      <c r="D267" s="88" t="str">
        <f t="shared" ca="1" si="45"/>
        <v/>
      </c>
      <c r="E267" s="86" t="str">
        <f t="shared" ca="1" si="46"/>
        <v/>
      </c>
      <c r="F267" s="89" t="str">
        <f t="shared" ca="1" si="47"/>
        <v/>
      </c>
      <c r="G267" s="89" t="str">
        <f t="shared" ca="1" si="48"/>
        <v/>
      </c>
      <c r="H267" s="89" t="str">
        <f t="shared" ca="1" si="49"/>
        <v/>
      </c>
      <c r="I267" s="2"/>
      <c r="J267" s="2"/>
      <c r="K267" s="1"/>
      <c r="L267" s="1"/>
      <c r="M267" s="1">
        <v>256</v>
      </c>
      <c r="N267" s="71" t="str">
        <f>IF($U267=0,"",INDEX(TAHSILAT!$E$7:$E$2503,$U267))</f>
        <v/>
      </c>
      <c r="O267" s="1" t="str">
        <f>IF($N267="","","Ödeme  –  "&amp;INDEX(TAHSILAT!$H$7:$H$2503,$U267)&amp;"  ("&amp;INDEX(TAHSILAT!$G$7:$G$2503,$U267)&amp;")"&amp;IF(INDEX(TAHSILAT!$J$7:$J$2503,$U267)="",""," / "&amp;INDEX(TAHSILAT!$J$7:$J$2503,$U267)))</f>
        <v/>
      </c>
      <c r="P267" s="1" t="str">
        <f t="shared" si="57"/>
        <v/>
      </c>
      <c r="Q267" s="1"/>
      <c r="R267" s="1">
        <v>0</v>
      </c>
      <c r="S267" s="79">
        <f>IF($N267="",0,INDEX(TAHSILAT!$F$7:$F$2503,$U267))</f>
        <v>0</v>
      </c>
      <c r="T267" s="1">
        <f t="shared" si="50"/>
        <v>10000000000</v>
      </c>
      <c r="U267" s="1">
        <f>IFERROR(MATCH($AC$4&amp;"|15",TAHSILAT!$Q$7:$Q$2503,0),0)</f>
        <v>0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3">
      <c r="A268" s="2"/>
      <c r="B268" s="86" t="str">
        <f t="shared" ref="B268:B311" ca="1" si="58">IF($C268="","",ROW()-11)</f>
        <v/>
      </c>
      <c r="C268" s="87" t="str">
        <f t="shared" ref="C268:C311" ca="1" si="59">IF($Z268="","",IF(INDEX($N$12:$N$432,$Z268)="","",INDEX($N$12:$N$432,$Z268)))</f>
        <v/>
      </c>
      <c r="D268" s="88" t="str">
        <f t="shared" ref="D268:D311" ca="1" si="60">IF($C268="","",INDEX($O$12:$O$432,$Z268))</f>
        <v/>
      </c>
      <c r="E268" s="86" t="str">
        <f t="shared" ref="E268:E311" ca="1" si="61">IF($C268="","",INDEX($P$12:$P$432,$Z268))</f>
        <v/>
      </c>
      <c r="F268" s="89" t="str">
        <f t="shared" ref="F268:F311" ca="1" si="62">IF($C268="","",INDEX($R$12:$R$432,$Z268))</f>
        <v/>
      </c>
      <c r="G268" s="89" t="str">
        <f t="shared" ref="G268:G311" ca="1" si="63">IF($C268="","",INDEX($S$12:$S$432,$Z268))</f>
        <v/>
      </c>
      <c r="H268" s="89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 t="str">
        <f>IF($U268=0,"",INDEX(TAHSILAT!$E$7:$E$2503,$U268))</f>
        <v/>
      </c>
      <c r="O268" s="1" t="str">
        <f>IF($N268="","","Ödeme  –  "&amp;INDEX(TAHSILAT!$H$7:$H$2503,$U268)&amp;"  ("&amp;INDEX(TAHSILAT!$G$7:$G$2503,$U268)&amp;")"&amp;IF(INDEX(TAHSILAT!$J$7:$J$2503,$U268)="",""," / "&amp;INDEX(TAHSILAT!$J$7:$J$2503,$U268)))</f>
        <v/>
      </c>
      <c r="P268" s="1" t="str">
        <f t="shared" si="57"/>
        <v/>
      </c>
      <c r="Q268" s="1"/>
      <c r="R268" s="1">
        <v>0</v>
      </c>
      <c r="S268" s="79">
        <f>IF($N268="",0,INDEX(TAHSILAT!$F$7:$F$2503,$U268))</f>
        <v>0</v>
      </c>
      <c r="T268" s="1">
        <f t="shared" ref="T268:T331" si="65">IF($N268="",10000000000,$N268*100000+$M268)</f>
        <v>10000000000</v>
      </c>
      <c r="U268" s="1">
        <f>IFERROR(MATCH($AC$4&amp;"|16",TAHSILAT!$Q$7:$Q$2503,0),0)</f>
        <v>0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3">
      <c r="A269" s="2"/>
      <c r="B269" s="86" t="str">
        <f t="shared" ca="1" si="58"/>
        <v/>
      </c>
      <c r="C269" s="87" t="str">
        <f t="shared" ca="1" si="59"/>
        <v/>
      </c>
      <c r="D269" s="88" t="str">
        <f t="shared" ca="1" si="60"/>
        <v/>
      </c>
      <c r="E269" s="86" t="str">
        <f t="shared" ca="1" si="61"/>
        <v/>
      </c>
      <c r="F269" s="89" t="str">
        <f t="shared" ca="1" si="62"/>
        <v/>
      </c>
      <c r="G269" s="89" t="str">
        <f t="shared" ca="1" si="63"/>
        <v/>
      </c>
      <c r="H269" s="89" t="str">
        <f t="shared" ca="1" si="64"/>
        <v/>
      </c>
      <c r="I269" s="2"/>
      <c r="J269" s="2"/>
      <c r="K269" s="1"/>
      <c r="L269" s="1"/>
      <c r="M269" s="1">
        <v>258</v>
      </c>
      <c r="N269" s="1" t="str">
        <f>IF($U269=0,"",INDEX(TAHSILAT!$E$7:$E$2503,$U269))</f>
        <v/>
      </c>
      <c r="O269" s="1" t="str">
        <f>IF($N269="","","Ödeme  –  "&amp;INDEX(TAHSILAT!$H$7:$H$2503,$U269)&amp;"  ("&amp;INDEX(TAHSILAT!$G$7:$G$2503,$U269)&amp;")"&amp;IF(INDEX(TAHSILAT!$J$7:$J$2503,$U269)="",""," / "&amp;INDEX(TAHSILAT!$J$7:$J$2503,$U269)))</f>
        <v/>
      </c>
      <c r="P269" s="1" t="str">
        <f t="shared" si="57"/>
        <v/>
      </c>
      <c r="Q269" s="1"/>
      <c r="R269" s="1">
        <v>0</v>
      </c>
      <c r="S269" s="1">
        <f>IF($N269="",0,INDEX(TAHSILAT!$F$7:$F$2503,$U269))</f>
        <v>0</v>
      </c>
      <c r="T269" s="1">
        <f t="shared" si="65"/>
        <v>10000000000</v>
      </c>
      <c r="U269" s="1">
        <f>IFERROR(MATCH($AC$4&amp;"|17",TAHSILAT!$Q$7:$Q$2503,0),0)</f>
        <v>0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3">
      <c r="A270" s="2"/>
      <c r="B270" s="86" t="str">
        <f t="shared" ca="1" si="58"/>
        <v/>
      </c>
      <c r="C270" s="87" t="str">
        <f t="shared" ca="1" si="59"/>
        <v/>
      </c>
      <c r="D270" s="88" t="str">
        <f t="shared" ca="1" si="60"/>
        <v/>
      </c>
      <c r="E270" s="86" t="str">
        <f t="shared" ca="1" si="61"/>
        <v/>
      </c>
      <c r="F270" s="89" t="str">
        <f t="shared" ca="1" si="62"/>
        <v/>
      </c>
      <c r="G270" s="89" t="str">
        <f t="shared" ca="1" si="63"/>
        <v/>
      </c>
      <c r="H270" s="89" t="str">
        <f t="shared" ca="1" si="64"/>
        <v/>
      </c>
      <c r="I270" s="2"/>
      <c r="J270" s="2"/>
      <c r="K270" s="1"/>
      <c r="L270" s="1"/>
      <c r="M270" s="1">
        <v>259</v>
      </c>
      <c r="N270" s="1" t="str">
        <f>IF($U270=0,"",INDEX(TAHSILAT!$E$7:$E$2503,$U270))</f>
        <v/>
      </c>
      <c r="O270" s="1" t="str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" t="str">
        <f t="shared" si="57"/>
        <v/>
      </c>
      <c r="Q270" s="1"/>
      <c r="R270" s="1">
        <v>0</v>
      </c>
      <c r="S270" s="1">
        <f>IF($N270="",0,INDEX(TAHSILAT!$F$7:$F$2503,$U270))</f>
        <v>0</v>
      </c>
      <c r="T270" s="1">
        <f t="shared" si="65"/>
        <v>10000000000</v>
      </c>
      <c r="U270" s="1">
        <f>IFERROR(MATCH($AC$4&amp;"|18",TAHSILAT!$Q$7:$Q$2503,0),0)</f>
        <v>0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3">
      <c r="A271" s="2"/>
      <c r="B271" s="86" t="str">
        <f t="shared" ca="1" si="58"/>
        <v/>
      </c>
      <c r="C271" s="87" t="str">
        <f t="shared" ca="1" si="59"/>
        <v/>
      </c>
      <c r="D271" s="88" t="str">
        <f t="shared" ca="1" si="60"/>
        <v/>
      </c>
      <c r="E271" s="86" t="str">
        <f t="shared" ca="1" si="61"/>
        <v/>
      </c>
      <c r="F271" s="89" t="str">
        <f t="shared" ca="1" si="62"/>
        <v/>
      </c>
      <c r="G271" s="89" t="str">
        <f t="shared" ca="1" si="63"/>
        <v/>
      </c>
      <c r="H271" s="89" t="str">
        <f t="shared" ca="1" si="64"/>
        <v/>
      </c>
      <c r="I271" s="2"/>
      <c r="J271" s="2"/>
      <c r="K271" s="1"/>
      <c r="L271" s="1"/>
      <c r="M271" s="1">
        <v>260</v>
      </c>
      <c r="N271" s="1" t="str">
        <f>IF($U271=0,"",INDEX(TAHSILAT!$E$7:$E$2503,$U271))</f>
        <v/>
      </c>
      <c r="O271" s="1" t="str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" t="str">
        <f t="shared" si="57"/>
        <v/>
      </c>
      <c r="Q271" s="1"/>
      <c r="R271" s="1">
        <v>0</v>
      </c>
      <c r="S271" s="1">
        <f>IF($N271="",0,INDEX(TAHSILAT!$F$7:$F$2503,$U271))</f>
        <v>0</v>
      </c>
      <c r="T271" s="1">
        <f t="shared" si="65"/>
        <v>10000000000</v>
      </c>
      <c r="U271" s="1">
        <f>IFERROR(MATCH($AC$4&amp;"|19",TAHSILAT!$Q$7:$Q$2503,0),0)</f>
        <v>0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3">
      <c r="A272" s="2"/>
      <c r="B272" s="86" t="str">
        <f t="shared" ca="1" si="58"/>
        <v/>
      </c>
      <c r="C272" s="87" t="str">
        <f t="shared" ca="1" si="59"/>
        <v/>
      </c>
      <c r="D272" s="88" t="str">
        <f t="shared" ca="1" si="60"/>
        <v/>
      </c>
      <c r="E272" s="86" t="str">
        <f t="shared" ca="1" si="61"/>
        <v/>
      </c>
      <c r="F272" s="89" t="str">
        <f t="shared" ca="1" si="62"/>
        <v/>
      </c>
      <c r="G272" s="89" t="str">
        <f t="shared" ca="1" si="63"/>
        <v/>
      </c>
      <c r="H272" s="89" t="str">
        <f t="shared" ca="1" si="64"/>
        <v/>
      </c>
      <c r="I272" s="2"/>
      <c r="J272" s="2"/>
      <c r="K272" s="1"/>
      <c r="L272" s="1"/>
      <c r="M272" s="1">
        <v>261</v>
      </c>
      <c r="N272" s="1" t="str">
        <f>IF($U272=0,"",INDEX(TAHSILAT!$E$7:$E$2503,$U272))</f>
        <v/>
      </c>
      <c r="O272" s="1" t="str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" t="str">
        <f t="shared" si="57"/>
        <v/>
      </c>
      <c r="Q272" s="1"/>
      <c r="R272" s="1">
        <v>0</v>
      </c>
      <c r="S272" s="1">
        <f>IF($N272="",0,INDEX(TAHSILAT!$F$7:$F$2503,$U272))</f>
        <v>0</v>
      </c>
      <c r="T272" s="1">
        <f t="shared" si="65"/>
        <v>10000000000</v>
      </c>
      <c r="U272" s="1">
        <f>IFERROR(MATCH($AC$4&amp;"|20",TAHSILAT!$Q$7:$Q$2503,0),0)</f>
        <v>0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3">
      <c r="A273" s="2"/>
      <c r="B273" s="86" t="str">
        <f t="shared" ca="1" si="58"/>
        <v/>
      </c>
      <c r="C273" s="87" t="str">
        <f t="shared" ca="1" si="59"/>
        <v/>
      </c>
      <c r="D273" s="88" t="str">
        <f t="shared" ca="1" si="60"/>
        <v/>
      </c>
      <c r="E273" s="86" t="str">
        <f t="shared" ca="1" si="61"/>
        <v/>
      </c>
      <c r="F273" s="89" t="str">
        <f t="shared" ca="1" si="62"/>
        <v/>
      </c>
      <c r="G273" s="89" t="str">
        <f t="shared" ca="1" si="63"/>
        <v/>
      </c>
      <c r="H273" s="89" t="str">
        <f t="shared" ca="1" si="64"/>
        <v/>
      </c>
      <c r="I273" s="2"/>
      <c r="J273" s="2"/>
      <c r="K273" s="1"/>
      <c r="L273" s="1"/>
      <c r="M273" s="1">
        <v>262</v>
      </c>
      <c r="N273" s="1" t="str">
        <f>IF($U273=0,"",INDEX(TAHSILAT!$E$7:$E$2503,$U273))</f>
        <v/>
      </c>
      <c r="O273" s="1" t="str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" t="str">
        <f t="shared" si="57"/>
        <v/>
      </c>
      <c r="Q273" s="1"/>
      <c r="R273" s="1">
        <v>0</v>
      </c>
      <c r="S273" s="1">
        <f>IF($N273="",0,INDEX(TAHSILAT!$F$7:$F$2503,$U273))</f>
        <v>0</v>
      </c>
      <c r="T273" s="1">
        <f t="shared" si="65"/>
        <v>10000000000</v>
      </c>
      <c r="U273" s="1">
        <f>IFERROR(MATCH($AC$4&amp;"|21",TAHSILAT!$Q$7:$Q$2503,0),0)</f>
        <v>0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3">
      <c r="A274" s="2"/>
      <c r="B274" s="86" t="str">
        <f t="shared" ca="1" si="58"/>
        <v/>
      </c>
      <c r="C274" s="87" t="str">
        <f t="shared" ca="1" si="59"/>
        <v/>
      </c>
      <c r="D274" s="88" t="str">
        <f t="shared" ca="1" si="60"/>
        <v/>
      </c>
      <c r="E274" s="86" t="str">
        <f t="shared" ca="1" si="61"/>
        <v/>
      </c>
      <c r="F274" s="89" t="str">
        <f t="shared" ca="1" si="62"/>
        <v/>
      </c>
      <c r="G274" s="89" t="str">
        <f t="shared" ca="1" si="63"/>
        <v/>
      </c>
      <c r="H274" s="89" t="str">
        <f t="shared" ca="1" si="64"/>
        <v/>
      </c>
      <c r="I274" s="2"/>
      <c r="J274" s="2"/>
      <c r="K274" s="1"/>
      <c r="L274" s="1"/>
      <c r="M274" s="1">
        <v>263</v>
      </c>
      <c r="N274" s="1" t="str">
        <f>IF($U274=0,"",INDEX(TAHSILAT!$E$7:$E$2503,$U274))</f>
        <v/>
      </c>
      <c r="O274" s="1" t="str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" t="str">
        <f t="shared" si="57"/>
        <v/>
      </c>
      <c r="Q274" s="1"/>
      <c r="R274" s="1">
        <v>0</v>
      </c>
      <c r="S274" s="1">
        <f>IF($N274="",0,INDEX(TAHSILAT!$F$7:$F$2503,$U274))</f>
        <v>0</v>
      </c>
      <c r="T274" s="1">
        <f t="shared" si="65"/>
        <v>10000000000</v>
      </c>
      <c r="U274" s="1">
        <f>IFERROR(MATCH($AC$4&amp;"|22",TAHSILAT!$Q$7:$Q$2503,0),0)</f>
        <v>0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3">
      <c r="A275" s="2"/>
      <c r="B275" s="86" t="str">
        <f t="shared" ca="1" si="58"/>
        <v/>
      </c>
      <c r="C275" s="87" t="str">
        <f t="shared" ca="1" si="59"/>
        <v/>
      </c>
      <c r="D275" s="88" t="str">
        <f t="shared" ca="1" si="60"/>
        <v/>
      </c>
      <c r="E275" s="86" t="str">
        <f t="shared" ca="1" si="61"/>
        <v/>
      </c>
      <c r="F275" s="89" t="str">
        <f t="shared" ca="1" si="62"/>
        <v/>
      </c>
      <c r="G275" s="89" t="str">
        <f t="shared" ca="1" si="63"/>
        <v/>
      </c>
      <c r="H275" s="89" t="str">
        <f t="shared" ca="1" si="64"/>
        <v/>
      </c>
      <c r="I275" s="2"/>
      <c r="J275" s="2"/>
      <c r="K275" s="1"/>
      <c r="L275" s="1"/>
      <c r="M275" s="1">
        <v>264</v>
      </c>
      <c r="N275" s="1" t="str">
        <f>IF($U275=0,"",INDEX(TAHSILAT!$E$7:$E$2503,$U275))</f>
        <v/>
      </c>
      <c r="O275" s="1" t="str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" t="str">
        <f t="shared" si="57"/>
        <v/>
      </c>
      <c r="Q275" s="1"/>
      <c r="R275" s="1">
        <v>0</v>
      </c>
      <c r="S275" s="1">
        <f>IF($N275="",0,INDEX(TAHSILAT!$F$7:$F$2503,$U275))</f>
        <v>0</v>
      </c>
      <c r="T275" s="1">
        <f t="shared" si="65"/>
        <v>10000000000</v>
      </c>
      <c r="U275" s="1">
        <f>IFERROR(MATCH($AC$4&amp;"|23",TAHSILAT!$Q$7:$Q$2503,0),0)</f>
        <v>0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3">
      <c r="A276" s="2"/>
      <c r="B276" s="86" t="str">
        <f t="shared" ca="1" si="58"/>
        <v/>
      </c>
      <c r="C276" s="87" t="str">
        <f t="shared" ca="1" si="59"/>
        <v/>
      </c>
      <c r="D276" s="88" t="str">
        <f t="shared" ca="1" si="60"/>
        <v/>
      </c>
      <c r="E276" s="86" t="str">
        <f t="shared" ca="1" si="61"/>
        <v/>
      </c>
      <c r="F276" s="89" t="str">
        <f t="shared" ca="1" si="62"/>
        <v/>
      </c>
      <c r="G276" s="89" t="str">
        <f t="shared" ca="1" si="63"/>
        <v/>
      </c>
      <c r="H276" s="89" t="str">
        <f t="shared" ca="1" si="64"/>
        <v/>
      </c>
      <c r="I276" s="2"/>
      <c r="J276" s="2"/>
      <c r="K276" s="1"/>
      <c r="L276" s="1"/>
      <c r="M276" s="1">
        <v>265</v>
      </c>
      <c r="N276" s="1" t="str">
        <f>IF($U276=0,"",INDEX(TAHSILAT!$E$7:$E$2503,$U276))</f>
        <v/>
      </c>
      <c r="O276" s="1" t="str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" t="str">
        <f t="shared" si="57"/>
        <v/>
      </c>
      <c r="Q276" s="1"/>
      <c r="R276" s="1">
        <v>0</v>
      </c>
      <c r="S276" s="1">
        <f>IF($N276="",0,INDEX(TAHSILAT!$F$7:$F$2503,$U276))</f>
        <v>0</v>
      </c>
      <c r="T276" s="1">
        <f t="shared" si="65"/>
        <v>10000000000</v>
      </c>
      <c r="U276" s="1">
        <f>IFERROR(MATCH($AC$4&amp;"|24",TAHSILAT!$Q$7:$Q$2503,0),0)</f>
        <v>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3">
      <c r="A277" s="2"/>
      <c r="B277" s="86" t="str">
        <f t="shared" ca="1" si="58"/>
        <v/>
      </c>
      <c r="C277" s="87" t="str">
        <f t="shared" ca="1" si="59"/>
        <v/>
      </c>
      <c r="D277" s="88" t="str">
        <f t="shared" ca="1" si="60"/>
        <v/>
      </c>
      <c r="E277" s="86" t="str">
        <f t="shared" ca="1" si="61"/>
        <v/>
      </c>
      <c r="F277" s="89" t="str">
        <f t="shared" ca="1" si="62"/>
        <v/>
      </c>
      <c r="G277" s="89" t="str">
        <f t="shared" ca="1" si="63"/>
        <v/>
      </c>
      <c r="H277" s="89" t="str">
        <f t="shared" ca="1" si="64"/>
        <v/>
      </c>
      <c r="I277" s="2"/>
      <c r="J277" s="2"/>
      <c r="K277" s="1"/>
      <c r="L277" s="1"/>
      <c r="M277" s="1">
        <v>266</v>
      </c>
      <c r="N277" s="1" t="str">
        <f>IF($U277=0,"",INDEX(TAHSILAT!$E$7:$E$2503,$U277))</f>
        <v/>
      </c>
      <c r="O277" s="1" t="str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" t="str">
        <f t="shared" si="57"/>
        <v/>
      </c>
      <c r="Q277" s="1"/>
      <c r="R277" s="1">
        <v>0</v>
      </c>
      <c r="S277" s="1">
        <f>IF($N277="",0,INDEX(TAHSILAT!$F$7:$F$2503,$U277))</f>
        <v>0</v>
      </c>
      <c r="T277" s="1">
        <f t="shared" si="65"/>
        <v>10000000000</v>
      </c>
      <c r="U277" s="1">
        <f>IFERROR(MATCH($AC$4&amp;"|25",TAHSILAT!$Q$7:$Q$2503,0),0)</f>
        <v>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3">
      <c r="A278" s="2"/>
      <c r="B278" s="86" t="str">
        <f t="shared" ca="1" si="58"/>
        <v/>
      </c>
      <c r="C278" s="87" t="str">
        <f t="shared" ca="1" si="59"/>
        <v/>
      </c>
      <c r="D278" s="88" t="str">
        <f t="shared" ca="1" si="60"/>
        <v/>
      </c>
      <c r="E278" s="86" t="str">
        <f t="shared" ca="1" si="61"/>
        <v/>
      </c>
      <c r="F278" s="89" t="str">
        <f t="shared" ca="1" si="62"/>
        <v/>
      </c>
      <c r="G278" s="89" t="str">
        <f t="shared" ca="1" si="63"/>
        <v/>
      </c>
      <c r="H278" s="89" t="str">
        <f t="shared" ca="1" si="64"/>
        <v/>
      </c>
      <c r="I278" s="2"/>
      <c r="J278" s="2"/>
      <c r="K278" s="1"/>
      <c r="L278" s="1"/>
      <c r="M278" s="1">
        <v>267</v>
      </c>
      <c r="N278" s="1" t="str">
        <f>IF($U278=0,"",INDEX(TAHSILAT!$E$7:$E$2503,$U278))</f>
        <v/>
      </c>
      <c r="O278" s="1" t="str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" t="str">
        <f t="shared" si="57"/>
        <v/>
      </c>
      <c r="Q278" s="1"/>
      <c r="R278" s="1">
        <v>0</v>
      </c>
      <c r="S278" s="1">
        <f>IF($N278="",0,INDEX(TAHSILAT!$F$7:$F$2503,$U278))</f>
        <v>0</v>
      </c>
      <c r="T278" s="1">
        <f t="shared" si="65"/>
        <v>10000000000</v>
      </c>
      <c r="U278" s="1">
        <f>IFERROR(MATCH($AC$4&amp;"|26",TAHSILAT!$Q$7:$Q$2503,0),0)</f>
        <v>0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3">
      <c r="A279" s="2"/>
      <c r="B279" s="86" t="str">
        <f t="shared" ca="1" si="58"/>
        <v/>
      </c>
      <c r="C279" s="87" t="str">
        <f t="shared" ca="1" si="59"/>
        <v/>
      </c>
      <c r="D279" s="88" t="str">
        <f t="shared" ca="1" si="60"/>
        <v/>
      </c>
      <c r="E279" s="86" t="str">
        <f t="shared" ca="1" si="61"/>
        <v/>
      </c>
      <c r="F279" s="89" t="str">
        <f t="shared" ca="1" si="62"/>
        <v/>
      </c>
      <c r="G279" s="89" t="str">
        <f t="shared" ca="1" si="63"/>
        <v/>
      </c>
      <c r="H279" s="89" t="str">
        <f t="shared" ca="1" si="64"/>
        <v/>
      </c>
      <c r="I279" s="2"/>
      <c r="J279" s="2"/>
      <c r="K279" s="1"/>
      <c r="L279" s="1"/>
      <c r="M279" s="1">
        <v>268</v>
      </c>
      <c r="N279" s="1" t="str">
        <f>IF($U279=0,"",INDEX(TAHSILAT!$E$7:$E$2503,$U279))</f>
        <v/>
      </c>
      <c r="O279" s="1" t="str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" t="str">
        <f t="shared" si="57"/>
        <v/>
      </c>
      <c r="Q279" s="1"/>
      <c r="R279" s="1">
        <v>0</v>
      </c>
      <c r="S279" s="1">
        <f>IF($N279="",0,INDEX(TAHSILAT!$F$7:$F$2503,$U279))</f>
        <v>0</v>
      </c>
      <c r="T279" s="1">
        <f t="shared" si="65"/>
        <v>10000000000</v>
      </c>
      <c r="U279" s="1">
        <f>IFERROR(MATCH($AC$4&amp;"|27",TAHSILAT!$Q$7:$Q$2503,0),0)</f>
        <v>0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3">
      <c r="A280" s="2"/>
      <c r="B280" s="86" t="str">
        <f t="shared" ca="1" si="58"/>
        <v/>
      </c>
      <c r="C280" s="87" t="str">
        <f t="shared" ca="1" si="59"/>
        <v/>
      </c>
      <c r="D280" s="88" t="str">
        <f t="shared" ca="1" si="60"/>
        <v/>
      </c>
      <c r="E280" s="86" t="str">
        <f t="shared" ca="1" si="61"/>
        <v/>
      </c>
      <c r="F280" s="89" t="str">
        <f t="shared" ca="1" si="62"/>
        <v/>
      </c>
      <c r="G280" s="89" t="str">
        <f t="shared" ca="1" si="63"/>
        <v/>
      </c>
      <c r="H280" s="89" t="str">
        <f t="shared" ca="1" si="64"/>
        <v/>
      </c>
      <c r="I280" s="2"/>
      <c r="J280" s="2"/>
      <c r="K280" s="1"/>
      <c r="L280" s="1"/>
      <c r="M280" s="1">
        <v>269</v>
      </c>
      <c r="N280" s="1" t="str">
        <f>IF($U280=0,"",INDEX(TAHSILAT!$E$7:$E$2503,$U280))</f>
        <v/>
      </c>
      <c r="O280" s="1" t="str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" t="str">
        <f t="shared" si="57"/>
        <v/>
      </c>
      <c r="Q280" s="1"/>
      <c r="R280" s="1">
        <v>0</v>
      </c>
      <c r="S280" s="1">
        <f>IF($N280="",0,INDEX(TAHSILAT!$F$7:$F$2503,$U280))</f>
        <v>0</v>
      </c>
      <c r="T280" s="1">
        <f t="shared" si="65"/>
        <v>10000000000</v>
      </c>
      <c r="U280" s="1">
        <f>IFERROR(MATCH($AC$4&amp;"|28",TAHSILAT!$Q$7:$Q$2503,0),0)</f>
        <v>0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3">
      <c r="A281" s="2"/>
      <c r="B281" s="86" t="str">
        <f t="shared" ca="1" si="58"/>
        <v/>
      </c>
      <c r="C281" s="87" t="str">
        <f t="shared" ca="1" si="59"/>
        <v/>
      </c>
      <c r="D281" s="88" t="str">
        <f t="shared" ca="1" si="60"/>
        <v/>
      </c>
      <c r="E281" s="86" t="str">
        <f t="shared" ca="1" si="61"/>
        <v/>
      </c>
      <c r="F281" s="89" t="str">
        <f t="shared" ca="1" si="62"/>
        <v/>
      </c>
      <c r="G281" s="89" t="str">
        <f t="shared" ca="1" si="63"/>
        <v/>
      </c>
      <c r="H281" s="89" t="str">
        <f t="shared" ca="1" si="64"/>
        <v/>
      </c>
      <c r="I281" s="2"/>
      <c r="J281" s="2"/>
      <c r="K281" s="1"/>
      <c r="L281" s="1"/>
      <c r="M281" s="1">
        <v>270</v>
      </c>
      <c r="N281" s="1" t="str">
        <f>IF($U281=0,"",INDEX(TAHSILAT!$E$7:$E$2503,$U281))</f>
        <v/>
      </c>
      <c r="O281" s="1" t="str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" t="str">
        <f t="shared" si="57"/>
        <v/>
      </c>
      <c r="Q281" s="1"/>
      <c r="R281" s="1">
        <v>0</v>
      </c>
      <c r="S281" s="1">
        <f>IF($N281="",0,INDEX(TAHSILAT!$F$7:$F$2503,$U281))</f>
        <v>0</v>
      </c>
      <c r="T281" s="1">
        <f t="shared" si="65"/>
        <v>10000000000</v>
      </c>
      <c r="U281" s="1">
        <f>IFERROR(MATCH($AC$4&amp;"|29",TAHSILAT!$Q$7:$Q$2503,0),0)</f>
        <v>0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3">
      <c r="A282" s="2"/>
      <c r="B282" s="86" t="str">
        <f t="shared" ca="1" si="58"/>
        <v/>
      </c>
      <c r="C282" s="87" t="str">
        <f t="shared" ca="1" si="59"/>
        <v/>
      </c>
      <c r="D282" s="88" t="str">
        <f t="shared" ca="1" si="60"/>
        <v/>
      </c>
      <c r="E282" s="86" t="str">
        <f t="shared" ca="1" si="61"/>
        <v/>
      </c>
      <c r="F282" s="89" t="str">
        <f t="shared" ca="1" si="62"/>
        <v/>
      </c>
      <c r="G282" s="89" t="str">
        <f t="shared" ca="1" si="63"/>
        <v/>
      </c>
      <c r="H282" s="89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IF($U282=0,"",INDEX(TAHSILAT!$E$7:$E$2503,$U282))</f>
        <v/>
      </c>
      <c r="O282" s="1" t="str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IF($N282="",0,INDEX(TAHSILAT!$F$7:$F$2503,$U282))</f>
        <v>0</v>
      </c>
      <c r="T282" s="1">
        <f t="shared" si="65"/>
        <v>10000000000</v>
      </c>
      <c r="U282" s="1">
        <f>IFERROR(MATCH($AC$4&amp;"|30",TAHSILAT!$Q$7:$Q$2503,0),0)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3">
      <c r="A283" s="2"/>
      <c r="B283" s="86" t="str">
        <f t="shared" ca="1" si="58"/>
        <v/>
      </c>
      <c r="C283" s="87" t="str">
        <f t="shared" ca="1" si="59"/>
        <v/>
      </c>
      <c r="D283" s="88" t="str">
        <f t="shared" ca="1" si="60"/>
        <v/>
      </c>
      <c r="E283" s="86" t="str">
        <f t="shared" ca="1" si="61"/>
        <v/>
      </c>
      <c r="F283" s="89" t="str">
        <f t="shared" ca="1" si="62"/>
        <v/>
      </c>
      <c r="G283" s="89" t="str">
        <f t="shared" ca="1" si="63"/>
        <v/>
      </c>
      <c r="H283" s="89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IF($U283=0,"",INDEX(TAHSILAT!$E$7:$E$2503,$U283))</f>
        <v/>
      </c>
      <c r="O283" s="1" t="str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IF($N283="",0,INDEX(TAHSILAT!$F$7:$F$2503,$U283))</f>
        <v>0</v>
      </c>
      <c r="T283" s="1">
        <f t="shared" si="65"/>
        <v>10000000000</v>
      </c>
      <c r="U283" s="1">
        <f>IFERROR(MATCH($AC$4&amp;"|31",TAHSILAT!$Q$7:$Q$2503,0),0)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3">
      <c r="A284" s="2"/>
      <c r="B284" s="86" t="str">
        <f t="shared" ca="1" si="58"/>
        <v/>
      </c>
      <c r="C284" s="87" t="str">
        <f t="shared" ca="1" si="59"/>
        <v/>
      </c>
      <c r="D284" s="88" t="str">
        <f t="shared" ca="1" si="60"/>
        <v/>
      </c>
      <c r="E284" s="86" t="str">
        <f t="shared" ca="1" si="61"/>
        <v/>
      </c>
      <c r="F284" s="89" t="str">
        <f t="shared" ca="1" si="62"/>
        <v/>
      </c>
      <c r="G284" s="89" t="str">
        <f t="shared" ca="1" si="63"/>
        <v/>
      </c>
      <c r="H284" s="89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IF($U284=0,"",INDEX(TAHSILAT!$E$7:$E$2503,$U284))</f>
        <v/>
      </c>
      <c r="O284" s="1" t="str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IF($N284="",0,INDEX(TAHSILAT!$F$7:$F$2503,$U284))</f>
        <v>0</v>
      </c>
      <c r="T284" s="1">
        <f t="shared" si="65"/>
        <v>10000000000</v>
      </c>
      <c r="U284" s="1">
        <f>IFERROR(MATCH($AC$4&amp;"|32",TAHSILAT!$Q$7:$Q$2503,0),0)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3">
      <c r="A285" s="2"/>
      <c r="B285" s="86" t="str">
        <f t="shared" ca="1" si="58"/>
        <v/>
      </c>
      <c r="C285" s="87" t="str">
        <f t="shared" ca="1" si="59"/>
        <v/>
      </c>
      <c r="D285" s="88" t="str">
        <f t="shared" ca="1" si="60"/>
        <v/>
      </c>
      <c r="E285" s="86" t="str">
        <f t="shared" ca="1" si="61"/>
        <v/>
      </c>
      <c r="F285" s="89" t="str">
        <f t="shared" ca="1" si="62"/>
        <v/>
      </c>
      <c r="G285" s="89" t="str">
        <f t="shared" ca="1" si="63"/>
        <v/>
      </c>
      <c r="H285" s="89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IF($U285=0,"",INDEX(TAHSILAT!$E$7:$E$2503,$U285))</f>
        <v/>
      </c>
      <c r="O285" s="1" t="str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IF($N285="",0,INDEX(TAHSILAT!$F$7:$F$2503,$U285))</f>
        <v>0</v>
      </c>
      <c r="T285" s="1">
        <f t="shared" si="65"/>
        <v>10000000000</v>
      </c>
      <c r="U285" s="1">
        <f>IFERROR(MATCH($AC$4&amp;"|33",TAHSILAT!$Q$7:$Q$2503,0),0)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3">
      <c r="A286" s="2"/>
      <c r="B286" s="86" t="str">
        <f t="shared" ca="1" si="58"/>
        <v/>
      </c>
      <c r="C286" s="87" t="str">
        <f t="shared" ca="1" si="59"/>
        <v/>
      </c>
      <c r="D286" s="88" t="str">
        <f t="shared" ca="1" si="60"/>
        <v/>
      </c>
      <c r="E286" s="86" t="str">
        <f t="shared" ca="1" si="61"/>
        <v/>
      </c>
      <c r="F286" s="89" t="str">
        <f t="shared" ca="1" si="62"/>
        <v/>
      </c>
      <c r="G286" s="89" t="str">
        <f t="shared" ca="1" si="63"/>
        <v/>
      </c>
      <c r="H286" s="89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IF($U286=0,"",INDEX(TAHSILAT!$E$7:$E$2503,$U286))</f>
        <v/>
      </c>
      <c r="O286" s="1" t="str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IF($N286="",0,INDEX(TAHSILAT!$F$7:$F$2503,$U286))</f>
        <v>0</v>
      </c>
      <c r="T286" s="1">
        <f t="shared" si="65"/>
        <v>10000000000</v>
      </c>
      <c r="U286" s="1">
        <f>IFERROR(MATCH($AC$4&amp;"|34",TAHSILAT!$Q$7:$Q$2503,0),0)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3">
      <c r="A287" s="2"/>
      <c r="B287" s="86" t="str">
        <f t="shared" ca="1" si="58"/>
        <v/>
      </c>
      <c r="C287" s="87" t="str">
        <f t="shared" ca="1" si="59"/>
        <v/>
      </c>
      <c r="D287" s="88" t="str">
        <f t="shared" ca="1" si="60"/>
        <v/>
      </c>
      <c r="E287" s="86" t="str">
        <f t="shared" ca="1" si="61"/>
        <v/>
      </c>
      <c r="F287" s="89" t="str">
        <f t="shared" ca="1" si="62"/>
        <v/>
      </c>
      <c r="G287" s="89" t="str">
        <f t="shared" ca="1" si="63"/>
        <v/>
      </c>
      <c r="H287" s="89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IF($U287=0,"",INDEX(TAHSILAT!$E$7:$E$2503,$U287))</f>
        <v/>
      </c>
      <c r="O287" s="1" t="str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IF($N287="",0,INDEX(TAHSILAT!$F$7:$F$2503,$U287))</f>
        <v>0</v>
      </c>
      <c r="T287" s="1">
        <f t="shared" si="65"/>
        <v>10000000000</v>
      </c>
      <c r="U287" s="1">
        <f>IFERROR(MATCH($AC$4&amp;"|35",TAHSILAT!$Q$7:$Q$2503,0),0)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3">
      <c r="A288" s="2"/>
      <c r="B288" s="86" t="str">
        <f t="shared" ca="1" si="58"/>
        <v/>
      </c>
      <c r="C288" s="87" t="str">
        <f t="shared" ca="1" si="59"/>
        <v/>
      </c>
      <c r="D288" s="88" t="str">
        <f t="shared" ca="1" si="60"/>
        <v/>
      </c>
      <c r="E288" s="86" t="str">
        <f t="shared" ca="1" si="61"/>
        <v/>
      </c>
      <c r="F288" s="89" t="str">
        <f t="shared" ca="1" si="62"/>
        <v/>
      </c>
      <c r="G288" s="89" t="str">
        <f t="shared" ca="1" si="63"/>
        <v/>
      </c>
      <c r="H288" s="89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IF($U288=0,"",INDEX(TAHSILAT!$E$7:$E$2503,$U288))</f>
        <v/>
      </c>
      <c r="O288" s="1" t="str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IF($N288="",0,INDEX(TAHSILAT!$F$7:$F$2503,$U288))</f>
        <v>0</v>
      </c>
      <c r="T288" s="1">
        <f t="shared" si="65"/>
        <v>10000000000</v>
      </c>
      <c r="U288" s="1">
        <f>IFERROR(MATCH($AC$4&amp;"|36",TAHSILAT!$Q$7:$Q$2503,0),0)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3">
      <c r="A289" s="2"/>
      <c r="B289" s="86" t="str">
        <f t="shared" ca="1" si="58"/>
        <v/>
      </c>
      <c r="C289" s="87" t="str">
        <f t="shared" ca="1" si="59"/>
        <v/>
      </c>
      <c r="D289" s="88" t="str">
        <f t="shared" ca="1" si="60"/>
        <v/>
      </c>
      <c r="E289" s="86" t="str">
        <f t="shared" ca="1" si="61"/>
        <v/>
      </c>
      <c r="F289" s="89" t="str">
        <f t="shared" ca="1" si="62"/>
        <v/>
      </c>
      <c r="G289" s="89" t="str">
        <f t="shared" ca="1" si="63"/>
        <v/>
      </c>
      <c r="H289" s="89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IF($U289=0,"",INDEX(TAHSILAT!$E$7:$E$2503,$U289))</f>
        <v/>
      </c>
      <c r="O289" s="1" t="str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IF($N289="",0,INDEX(TAHSILAT!$F$7:$F$2503,$U289))</f>
        <v>0</v>
      </c>
      <c r="T289" s="1">
        <f t="shared" si="65"/>
        <v>10000000000</v>
      </c>
      <c r="U289" s="1">
        <f>IFERROR(MATCH($AC$4&amp;"|37",TAHSILAT!$Q$7:$Q$2503,0),0)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3">
      <c r="A290" s="2"/>
      <c r="B290" s="86" t="str">
        <f t="shared" ca="1" si="58"/>
        <v/>
      </c>
      <c r="C290" s="87" t="str">
        <f t="shared" ca="1" si="59"/>
        <v/>
      </c>
      <c r="D290" s="88" t="str">
        <f t="shared" ca="1" si="60"/>
        <v/>
      </c>
      <c r="E290" s="86" t="str">
        <f t="shared" ca="1" si="61"/>
        <v/>
      </c>
      <c r="F290" s="89" t="str">
        <f t="shared" ca="1" si="62"/>
        <v/>
      </c>
      <c r="G290" s="89" t="str">
        <f t="shared" ca="1" si="63"/>
        <v/>
      </c>
      <c r="H290" s="89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IF($U290=0,"",INDEX(TAHSILAT!$E$7:$E$2503,$U290))</f>
        <v/>
      </c>
      <c r="O290" s="1" t="str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IF($N290="",0,INDEX(TAHSILAT!$F$7:$F$2503,$U290))</f>
        <v>0</v>
      </c>
      <c r="T290" s="1">
        <f t="shared" si="65"/>
        <v>10000000000</v>
      </c>
      <c r="U290" s="1">
        <f>IFERROR(MATCH($AC$4&amp;"|38",TAHSILAT!$Q$7:$Q$2503,0),0)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3">
      <c r="A291" s="2"/>
      <c r="B291" s="86" t="str">
        <f t="shared" ca="1" si="58"/>
        <v/>
      </c>
      <c r="C291" s="87" t="str">
        <f t="shared" ca="1" si="59"/>
        <v/>
      </c>
      <c r="D291" s="88" t="str">
        <f t="shared" ca="1" si="60"/>
        <v/>
      </c>
      <c r="E291" s="86" t="str">
        <f t="shared" ca="1" si="61"/>
        <v/>
      </c>
      <c r="F291" s="89" t="str">
        <f t="shared" ca="1" si="62"/>
        <v/>
      </c>
      <c r="G291" s="89" t="str">
        <f t="shared" ca="1" si="63"/>
        <v/>
      </c>
      <c r="H291" s="89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IF($U291=0,"",INDEX(TAHSILAT!$E$7:$E$2503,$U291))</f>
        <v/>
      </c>
      <c r="O291" s="1" t="str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IF($N291="",0,INDEX(TAHSILAT!$F$7:$F$2503,$U291))</f>
        <v>0</v>
      </c>
      <c r="T291" s="1">
        <f t="shared" si="65"/>
        <v>10000000000</v>
      </c>
      <c r="U291" s="1">
        <f>IFERROR(MATCH($AC$4&amp;"|39",TAHSILAT!$Q$7:$Q$2503,0),0)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3">
      <c r="A292" s="2"/>
      <c r="B292" s="86" t="str">
        <f t="shared" ca="1" si="58"/>
        <v/>
      </c>
      <c r="C292" s="87" t="str">
        <f t="shared" ca="1" si="59"/>
        <v/>
      </c>
      <c r="D292" s="88" t="str">
        <f t="shared" ca="1" si="60"/>
        <v/>
      </c>
      <c r="E292" s="86" t="str">
        <f t="shared" ca="1" si="61"/>
        <v/>
      </c>
      <c r="F292" s="89" t="str">
        <f t="shared" ca="1" si="62"/>
        <v/>
      </c>
      <c r="G292" s="89" t="str">
        <f t="shared" ca="1" si="63"/>
        <v/>
      </c>
      <c r="H292" s="89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IF($U292=0,"",INDEX(TAHSILAT!$E$7:$E$2503,$U292))</f>
        <v/>
      </c>
      <c r="O292" s="1" t="str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IF($N292="",0,INDEX(TAHSILAT!$F$7:$F$2503,$U292))</f>
        <v>0</v>
      </c>
      <c r="T292" s="1">
        <f t="shared" si="65"/>
        <v>10000000000</v>
      </c>
      <c r="U292" s="1">
        <f>IFERROR(MATCH($AC$4&amp;"|40",TAHSILAT!$Q$7:$Q$2503,0),0)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3">
      <c r="A293" s="2"/>
      <c r="B293" s="86" t="str">
        <f t="shared" ca="1" si="58"/>
        <v/>
      </c>
      <c r="C293" s="87" t="str">
        <f t="shared" ca="1" si="59"/>
        <v/>
      </c>
      <c r="D293" s="88" t="str">
        <f t="shared" ca="1" si="60"/>
        <v/>
      </c>
      <c r="E293" s="86" t="str">
        <f t="shared" ca="1" si="61"/>
        <v/>
      </c>
      <c r="F293" s="89" t="str">
        <f t="shared" ca="1" si="62"/>
        <v/>
      </c>
      <c r="G293" s="89" t="str">
        <f t="shared" ca="1" si="63"/>
        <v/>
      </c>
      <c r="H293" s="89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IF($U293=0,"",INDEX(TAHSILAT!$E$7:$E$2503,$U293))</f>
        <v/>
      </c>
      <c r="O293" s="1" t="str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IF($N293="",0,INDEX(TAHSILAT!$F$7:$F$2503,$U293))</f>
        <v>0</v>
      </c>
      <c r="T293" s="1">
        <f t="shared" si="65"/>
        <v>10000000000</v>
      </c>
      <c r="U293" s="1">
        <f>IFERROR(MATCH($AC$4&amp;"|41",TAHSILAT!$Q$7:$Q$2503,0),0)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3">
      <c r="A294" s="2"/>
      <c r="B294" s="86" t="str">
        <f t="shared" ca="1" si="58"/>
        <v/>
      </c>
      <c r="C294" s="87" t="str">
        <f t="shared" ca="1" si="59"/>
        <v/>
      </c>
      <c r="D294" s="88" t="str">
        <f t="shared" ca="1" si="60"/>
        <v/>
      </c>
      <c r="E294" s="86" t="str">
        <f t="shared" ca="1" si="61"/>
        <v/>
      </c>
      <c r="F294" s="89" t="str">
        <f t="shared" ca="1" si="62"/>
        <v/>
      </c>
      <c r="G294" s="89" t="str">
        <f t="shared" ca="1" si="63"/>
        <v/>
      </c>
      <c r="H294" s="89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IF($U294=0,"",INDEX(TAHSILAT!$E$7:$E$2503,$U294))</f>
        <v/>
      </c>
      <c r="O294" s="1" t="str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IF($N294="",0,INDEX(TAHSILAT!$F$7:$F$2503,$U294))</f>
        <v>0</v>
      </c>
      <c r="T294" s="1">
        <f t="shared" si="65"/>
        <v>10000000000</v>
      </c>
      <c r="U294" s="1">
        <f>IFERROR(MATCH($AC$4&amp;"|42",TAHSILAT!$Q$7:$Q$2503,0),0)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3">
      <c r="A295" s="2"/>
      <c r="B295" s="86" t="str">
        <f t="shared" ca="1" si="58"/>
        <v/>
      </c>
      <c r="C295" s="87" t="str">
        <f t="shared" ca="1" si="59"/>
        <v/>
      </c>
      <c r="D295" s="88" t="str">
        <f t="shared" ca="1" si="60"/>
        <v/>
      </c>
      <c r="E295" s="86" t="str">
        <f t="shared" ca="1" si="61"/>
        <v/>
      </c>
      <c r="F295" s="89" t="str">
        <f t="shared" ca="1" si="62"/>
        <v/>
      </c>
      <c r="G295" s="89" t="str">
        <f t="shared" ca="1" si="63"/>
        <v/>
      </c>
      <c r="H295" s="89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IF($U295=0,"",INDEX(TAHSILAT!$E$7:$E$2503,$U295))</f>
        <v/>
      </c>
      <c r="O295" s="1" t="str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IF($N295="",0,INDEX(TAHSILAT!$F$7:$F$2503,$U295))</f>
        <v>0</v>
      </c>
      <c r="T295" s="1">
        <f t="shared" si="65"/>
        <v>10000000000</v>
      </c>
      <c r="U295" s="1">
        <f>IFERROR(MATCH($AC$4&amp;"|43",TAHSILAT!$Q$7:$Q$2503,0),0)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3">
      <c r="A296" s="2"/>
      <c r="B296" s="86" t="str">
        <f t="shared" ca="1" si="58"/>
        <v/>
      </c>
      <c r="C296" s="87" t="str">
        <f t="shared" ca="1" si="59"/>
        <v/>
      </c>
      <c r="D296" s="88" t="str">
        <f t="shared" ca="1" si="60"/>
        <v/>
      </c>
      <c r="E296" s="86" t="str">
        <f t="shared" ca="1" si="61"/>
        <v/>
      </c>
      <c r="F296" s="89" t="str">
        <f t="shared" ca="1" si="62"/>
        <v/>
      </c>
      <c r="G296" s="89" t="str">
        <f t="shared" ca="1" si="63"/>
        <v/>
      </c>
      <c r="H296" s="89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IF($U296=0,"",INDEX(TAHSILAT!$E$7:$E$2503,$U296))</f>
        <v/>
      </c>
      <c r="O296" s="1" t="str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IF($N296="",0,INDEX(TAHSILAT!$F$7:$F$2503,$U296))</f>
        <v>0</v>
      </c>
      <c r="T296" s="1">
        <f t="shared" si="65"/>
        <v>10000000000</v>
      </c>
      <c r="U296" s="1">
        <f>IFERROR(MATCH($AC$4&amp;"|44",TAHSILAT!$Q$7:$Q$2503,0),0)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3">
      <c r="A297" s="2"/>
      <c r="B297" s="86" t="str">
        <f t="shared" ca="1" si="58"/>
        <v/>
      </c>
      <c r="C297" s="87" t="str">
        <f t="shared" ca="1" si="59"/>
        <v/>
      </c>
      <c r="D297" s="88" t="str">
        <f t="shared" ca="1" si="60"/>
        <v/>
      </c>
      <c r="E297" s="86" t="str">
        <f t="shared" ca="1" si="61"/>
        <v/>
      </c>
      <c r="F297" s="89" t="str">
        <f t="shared" ca="1" si="62"/>
        <v/>
      </c>
      <c r="G297" s="89" t="str">
        <f t="shared" ca="1" si="63"/>
        <v/>
      </c>
      <c r="H297" s="89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IF($U297=0,"",INDEX(TAHSILAT!$E$7:$E$2503,$U297))</f>
        <v/>
      </c>
      <c r="O297" s="1" t="str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IF($N297="",0,INDEX(TAHSILAT!$F$7:$F$2503,$U297))</f>
        <v>0</v>
      </c>
      <c r="T297" s="1">
        <f t="shared" si="65"/>
        <v>10000000000</v>
      </c>
      <c r="U297" s="1">
        <f>IFERROR(MATCH($AC$4&amp;"|45",TAHSILAT!$Q$7:$Q$2503,0),0)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3">
      <c r="A298" s="2"/>
      <c r="B298" s="86" t="str">
        <f t="shared" ca="1" si="58"/>
        <v/>
      </c>
      <c r="C298" s="87" t="str">
        <f t="shared" ca="1" si="59"/>
        <v/>
      </c>
      <c r="D298" s="88" t="str">
        <f t="shared" ca="1" si="60"/>
        <v/>
      </c>
      <c r="E298" s="86" t="str">
        <f t="shared" ca="1" si="61"/>
        <v/>
      </c>
      <c r="F298" s="89" t="str">
        <f t="shared" ca="1" si="62"/>
        <v/>
      </c>
      <c r="G298" s="89" t="str">
        <f t="shared" ca="1" si="63"/>
        <v/>
      </c>
      <c r="H298" s="89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IF($U298=0,"",INDEX(TAHSILAT!$E$7:$E$2503,$U298))</f>
        <v/>
      </c>
      <c r="O298" s="1" t="str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IF($N298="",0,INDEX(TAHSILAT!$F$7:$F$2503,$U298))</f>
        <v>0</v>
      </c>
      <c r="T298" s="1">
        <f t="shared" si="65"/>
        <v>10000000000</v>
      </c>
      <c r="U298" s="1">
        <f>IFERROR(MATCH($AC$4&amp;"|46",TAHSILAT!$Q$7:$Q$2503,0),0)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3">
      <c r="A299" s="2"/>
      <c r="B299" s="86" t="str">
        <f t="shared" ca="1" si="58"/>
        <v/>
      </c>
      <c r="C299" s="87" t="str">
        <f t="shared" ca="1" si="59"/>
        <v/>
      </c>
      <c r="D299" s="88" t="str">
        <f t="shared" ca="1" si="60"/>
        <v/>
      </c>
      <c r="E299" s="86" t="str">
        <f t="shared" ca="1" si="61"/>
        <v/>
      </c>
      <c r="F299" s="89" t="str">
        <f t="shared" ca="1" si="62"/>
        <v/>
      </c>
      <c r="G299" s="89" t="str">
        <f t="shared" ca="1" si="63"/>
        <v/>
      </c>
      <c r="H299" s="89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IF($U299=0,"",INDEX(TAHSILAT!$E$7:$E$2503,$U299))</f>
        <v/>
      </c>
      <c r="O299" s="1" t="str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IF($N299="",0,INDEX(TAHSILAT!$F$7:$F$2503,$U299))</f>
        <v>0</v>
      </c>
      <c r="T299" s="1">
        <f t="shared" si="65"/>
        <v>10000000000</v>
      </c>
      <c r="U299" s="1">
        <f>IFERROR(MATCH($AC$4&amp;"|47",TAHSILAT!$Q$7:$Q$2503,0),0)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3">
      <c r="A300" s="2"/>
      <c r="B300" s="86" t="str">
        <f t="shared" ca="1" si="58"/>
        <v/>
      </c>
      <c r="C300" s="87" t="str">
        <f t="shared" ca="1" si="59"/>
        <v/>
      </c>
      <c r="D300" s="88" t="str">
        <f t="shared" ca="1" si="60"/>
        <v/>
      </c>
      <c r="E300" s="86" t="str">
        <f t="shared" ca="1" si="61"/>
        <v/>
      </c>
      <c r="F300" s="89" t="str">
        <f t="shared" ca="1" si="62"/>
        <v/>
      </c>
      <c r="G300" s="89" t="str">
        <f t="shared" ca="1" si="63"/>
        <v/>
      </c>
      <c r="H300" s="89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IF($U300=0,"",INDEX(TAHSILAT!$E$7:$E$2503,$U300))</f>
        <v/>
      </c>
      <c r="O300" s="1" t="str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IF($N300="",0,INDEX(TAHSILAT!$F$7:$F$2503,$U300))</f>
        <v>0</v>
      </c>
      <c r="T300" s="1">
        <f t="shared" si="65"/>
        <v>10000000000</v>
      </c>
      <c r="U300" s="1">
        <f>IFERROR(MATCH($AC$4&amp;"|48",TAHSILAT!$Q$7:$Q$2503,0),0)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3">
      <c r="A301" s="2"/>
      <c r="B301" s="86" t="str">
        <f t="shared" ca="1" si="58"/>
        <v/>
      </c>
      <c r="C301" s="87" t="str">
        <f t="shared" ca="1" si="59"/>
        <v/>
      </c>
      <c r="D301" s="88" t="str">
        <f t="shared" ca="1" si="60"/>
        <v/>
      </c>
      <c r="E301" s="86" t="str">
        <f t="shared" ca="1" si="61"/>
        <v/>
      </c>
      <c r="F301" s="89" t="str">
        <f t="shared" ca="1" si="62"/>
        <v/>
      </c>
      <c r="G301" s="89" t="str">
        <f t="shared" ca="1" si="63"/>
        <v/>
      </c>
      <c r="H301" s="89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IF($U301=0,"",INDEX(TAHSILAT!$E$7:$E$2503,$U301))</f>
        <v/>
      </c>
      <c r="O301" s="1" t="str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IF($N301="",0,INDEX(TAHSILAT!$F$7:$F$2503,$U301))</f>
        <v>0</v>
      </c>
      <c r="T301" s="1">
        <f t="shared" si="65"/>
        <v>10000000000</v>
      </c>
      <c r="U301" s="1">
        <f>IFERROR(MATCH($AC$4&amp;"|49",TAHSILAT!$Q$7:$Q$2503,0),0)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3">
      <c r="A302" s="2"/>
      <c r="B302" s="86" t="str">
        <f t="shared" ca="1" si="58"/>
        <v/>
      </c>
      <c r="C302" s="87" t="str">
        <f t="shared" ca="1" si="59"/>
        <v/>
      </c>
      <c r="D302" s="88" t="str">
        <f t="shared" ca="1" si="60"/>
        <v/>
      </c>
      <c r="E302" s="86" t="str">
        <f t="shared" ca="1" si="61"/>
        <v/>
      </c>
      <c r="F302" s="89" t="str">
        <f t="shared" ca="1" si="62"/>
        <v/>
      </c>
      <c r="G302" s="89" t="str">
        <f t="shared" ca="1" si="63"/>
        <v/>
      </c>
      <c r="H302" s="89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IF($U302=0,"",INDEX(TAHSILAT!$E$7:$E$2503,$U302))</f>
        <v/>
      </c>
      <c r="O302" s="1" t="str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IF($N302="",0,INDEX(TAHSILAT!$F$7:$F$2503,$U302))</f>
        <v>0</v>
      </c>
      <c r="T302" s="1">
        <f t="shared" si="65"/>
        <v>10000000000</v>
      </c>
      <c r="U302" s="1">
        <f>IFERROR(MATCH($AC$4&amp;"|50",TAHSILAT!$Q$7:$Q$2503,0),0)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3">
      <c r="A303" s="2"/>
      <c r="B303" s="86" t="str">
        <f t="shared" ca="1" si="58"/>
        <v/>
      </c>
      <c r="C303" s="87" t="str">
        <f t="shared" ca="1" si="59"/>
        <v/>
      </c>
      <c r="D303" s="88" t="str">
        <f t="shared" ca="1" si="60"/>
        <v/>
      </c>
      <c r="E303" s="86" t="str">
        <f t="shared" ca="1" si="61"/>
        <v/>
      </c>
      <c r="F303" s="89" t="str">
        <f t="shared" ca="1" si="62"/>
        <v/>
      </c>
      <c r="G303" s="89" t="str">
        <f t="shared" ca="1" si="63"/>
        <v/>
      </c>
      <c r="H303" s="89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IF($U303=0,"",INDEX(TAHSILAT!$E$7:$E$2503,$U303))</f>
        <v/>
      </c>
      <c r="O303" s="1" t="str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IF($N303="",0,INDEX(TAHSILAT!$F$7:$F$2503,$U303))</f>
        <v>0</v>
      </c>
      <c r="T303" s="1">
        <f t="shared" si="65"/>
        <v>10000000000</v>
      </c>
      <c r="U303" s="1">
        <f>IFERROR(MATCH($AC$4&amp;"|51",TAHSILAT!$Q$7:$Q$2503,0),0)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3">
      <c r="A304" s="2"/>
      <c r="B304" s="86" t="str">
        <f t="shared" ca="1" si="58"/>
        <v/>
      </c>
      <c r="C304" s="87" t="str">
        <f t="shared" ca="1" si="59"/>
        <v/>
      </c>
      <c r="D304" s="88" t="str">
        <f t="shared" ca="1" si="60"/>
        <v/>
      </c>
      <c r="E304" s="86" t="str">
        <f t="shared" ca="1" si="61"/>
        <v/>
      </c>
      <c r="F304" s="89" t="str">
        <f t="shared" ca="1" si="62"/>
        <v/>
      </c>
      <c r="G304" s="89" t="str">
        <f t="shared" ca="1" si="63"/>
        <v/>
      </c>
      <c r="H304" s="89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IF($U304=0,"",INDEX(TAHSILAT!$E$7:$E$2503,$U304))</f>
        <v/>
      </c>
      <c r="O304" s="1" t="str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IF($N304="",0,INDEX(TAHSILAT!$F$7:$F$2503,$U304))</f>
        <v>0</v>
      </c>
      <c r="T304" s="1">
        <f t="shared" si="65"/>
        <v>10000000000</v>
      </c>
      <c r="U304" s="1">
        <f>IFERROR(MATCH($AC$4&amp;"|52",TAHSILAT!$Q$7:$Q$2503,0),0)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3">
      <c r="A305" s="2"/>
      <c r="B305" s="86" t="str">
        <f t="shared" ca="1" si="58"/>
        <v/>
      </c>
      <c r="C305" s="87" t="str">
        <f t="shared" ca="1" si="59"/>
        <v/>
      </c>
      <c r="D305" s="88" t="str">
        <f t="shared" ca="1" si="60"/>
        <v/>
      </c>
      <c r="E305" s="86" t="str">
        <f t="shared" ca="1" si="61"/>
        <v/>
      </c>
      <c r="F305" s="89" t="str">
        <f t="shared" ca="1" si="62"/>
        <v/>
      </c>
      <c r="G305" s="89" t="str">
        <f t="shared" ca="1" si="63"/>
        <v/>
      </c>
      <c r="H305" s="89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IF($U305=0,"",INDEX(TAHSILAT!$E$7:$E$2503,$U305))</f>
        <v/>
      </c>
      <c r="O305" s="1" t="str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IF($N305="",0,INDEX(TAHSILAT!$F$7:$F$2503,$U305))</f>
        <v>0</v>
      </c>
      <c r="T305" s="1">
        <f t="shared" si="65"/>
        <v>10000000000</v>
      </c>
      <c r="U305" s="1">
        <f>IFERROR(MATCH($AC$4&amp;"|53",TAHSILAT!$Q$7:$Q$2503,0),0)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3">
      <c r="A306" s="2"/>
      <c r="B306" s="86" t="str">
        <f t="shared" ca="1" si="58"/>
        <v/>
      </c>
      <c r="C306" s="87" t="str">
        <f t="shared" ca="1" si="59"/>
        <v/>
      </c>
      <c r="D306" s="88" t="str">
        <f t="shared" ca="1" si="60"/>
        <v/>
      </c>
      <c r="E306" s="86" t="str">
        <f t="shared" ca="1" si="61"/>
        <v/>
      </c>
      <c r="F306" s="89" t="str">
        <f t="shared" ca="1" si="62"/>
        <v/>
      </c>
      <c r="G306" s="89" t="str">
        <f t="shared" ca="1" si="63"/>
        <v/>
      </c>
      <c r="H306" s="89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IF($U306=0,"",INDEX(TAHSILAT!$E$7:$E$2503,$U306))</f>
        <v/>
      </c>
      <c r="O306" s="1" t="str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IF($N306="",0,INDEX(TAHSILAT!$F$7:$F$2503,$U306))</f>
        <v>0</v>
      </c>
      <c r="T306" s="1">
        <f t="shared" si="65"/>
        <v>10000000000</v>
      </c>
      <c r="U306" s="1">
        <f>IFERROR(MATCH($AC$4&amp;"|54",TAHSILAT!$Q$7:$Q$2503,0),0)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3">
      <c r="A307" s="2"/>
      <c r="B307" s="86" t="str">
        <f t="shared" ca="1" si="58"/>
        <v/>
      </c>
      <c r="C307" s="87" t="str">
        <f t="shared" ca="1" si="59"/>
        <v/>
      </c>
      <c r="D307" s="88" t="str">
        <f t="shared" ca="1" si="60"/>
        <v/>
      </c>
      <c r="E307" s="86" t="str">
        <f t="shared" ca="1" si="61"/>
        <v/>
      </c>
      <c r="F307" s="89" t="str">
        <f t="shared" ca="1" si="62"/>
        <v/>
      </c>
      <c r="G307" s="89" t="str">
        <f t="shared" ca="1" si="63"/>
        <v/>
      </c>
      <c r="H307" s="89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IF($U307=0,"",INDEX(TAHSILAT!$E$7:$E$2503,$U307))</f>
        <v/>
      </c>
      <c r="O307" s="1" t="str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IF($N307="",0,INDEX(TAHSILAT!$F$7:$F$2503,$U307))</f>
        <v>0</v>
      </c>
      <c r="T307" s="1">
        <f t="shared" si="65"/>
        <v>10000000000</v>
      </c>
      <c r="U307" s="1">
        <f>IFERROR(MATCH($AC$4&amp;"|55",TAHSILAT!$Q$7:$Q$2503,0),0)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3">
      <c r="A308" s="2"/>
      <c r="B308" s="86" t="str">
        <f t="shared" ca="1" si="58"/>
        <v/>
      </c>
      <c r="C308" s="87" t="str">
        <f t="shared" ca="1" si="59"/>
        <v/>
      </c>
      <c r="D308" s="88" t="str">
        <f t="shared" ca="1" si="60"/>
        <v/>
      </c>
      <c r="E308" s="86" t="str">
        <f t="shared" ca="1" si="61"/>
        <v/>
      </c>
      <c r="F308" s="89" t="str">
        <f t="shared" ca="1" si="62"/>
        <v/>
      </c>
      <c r="G308" s="89" t="str">
        <f t="shared" ca="1" si="63"/>
        <v/>
      </c>
      <c r="H308" s="89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IF($U308=0,"",INDEX(TAHSILAT!$E$7:$E$2503,$U308))</f>
        <v/>
      </c>
      <c r="O308" s="1" t="str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IF($N308="",0,INDEX(TAHSILAT!$F$7:$F$2503,$U308))</f>
        <v>0</v>
      </c>
      <c r="T308" s="1">
        <f t="shared" si="65"/>
        <v>10000000000</v>
      </c>
      <c r="U308" s="1">
        <f>IFERROR(MATCH($AC$4&amp;"|56",TAHSILAT!$Q$7:$Q$2503,0),0)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3">
      <c r="A309" s="2"/>
      <c r="B309" s="86" t="str">
        <f t="shared" ca="1" si="58"/>
        <v/>
      </c>
      <c r="C309" s="87" t="str">
        <f t="shared" ca="1" si="59"/>
        <v/>
      </c>
      <c r="D309" s="88" t="str">
        <f t="shared" ca="1" si="60"/>
        <v/>
      </c>
      <c r="E309" s="86" t="str">
        <f t="shared" ca="1" si="61"/>
        <v/>
      </c>
      <c r="F309" s="89" t="str">
        <f t="shared" ca="1" si="62"/>
        <v/>
      </c>
      <c r="G309" s="89" t="str">
        <f t="shared" ca="1" si="63"/>
        <v/>
      </c>
      <c r="H309" s="89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IF($U309=0,"",INDEX(TAHSILAT!$E$7:$E$2503,$U309))</f>
        <v/>
      </c>
      <c r="O309" s="1" t="str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IF($N309="",0,INDEX(TAHSILAT!$F$7:$F$2503,$U309))</f>
        <v>0</v>
      </c>
      <c r="T309" s="1">
        <f t="shared" si="65"/>
        <v>10000000000</v>
      </c>
      <c r="U309" s="1">
        <f>IFERROR(MATCH($AC$4&amp;"|57",TAHSILAT!$Q$7:$Q$2503,0),0)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3">
      <c r="A310" s="2"/>
      <c r="B310" s="86" t="str">
        <f t="shared" ca="1" si="58"/>
        <v/>
      </c>
      <c r="C310" s="87" t="str">
        <f t="shared" ca="1" si="59"/>
        <v/>
      </c>
      <c r="D310" s="88" t="str">
        <f t="shared" ca="1" si="60"/>
        <v/>
      </c>
      <c r="E310" s="86" t="str">
        <f t="shared" ca="1" si="61"/>
        <v/>
      </c>
      <c r="F310" s="89" t="str">
        <f t="shared" ca="1" si="62"/>
        <v/>
      </c>
      <c r="G310" s="89" t="str">
        <f t="shared" ca="1" si="63"/>
        <v/>
      </c>
      <c r="H310" s="89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IF($U310=0,"",INDEX(TAHSILAT!$E$7:$E$2503,$U310))</f>
        <v/>
      </c>
      <c r="O310" s="1" t="str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IF($N310="",0,INDEX(TAHSILAT!$F$7:$F$2503,$U310))</f>
        <v>0</v>
      </c>
      <c r="T310" s="1">
        <f t="shared" si="65"/>
        <v>10000000000</v>
      </c>
      <c r="U310" s="1">
        <f>IFERROR(MATCH($AC$4&amp;"|58",TAHSILAT!$Q$7:$Q$2503,0),0)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3">
      <c r="A311" s="2"/>
      <c r="B311" s="86" t="str">
        <f t="shared" ca="1" si="58"/>
        <v/>
      </c>
      <c r="C311" s="87" t="str">
        <f t="shared" ca="1" si="59"/>
        <v/>
      </c>
      <c r="D311" s="88" t="str">
        <f t="shared" ca="1" si="60"/>
        <v/>
      </c>
      <c r="E311" s="86" t="str">
        <f t="shared" ca="1" si="61"/>
        <v/>
      </c>
      <c r="F311" s="89" t="str">
        <f t="shared" ca="1" si="62"/>
        <v/>
      </c>
      <c r="G311" s="89" t="str">
        <f t="shared" ca="1" si="63"/>
        <v/>
      </c>
      <c r="H311" s="89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IF($U311=0,"",INDEX(TAHSILAT!$E$7:$E$2503,$U311))</f>
        <v/>
      </c>
      <c r="O311" s="1" t="str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IF($N311="",0,INDEX(TAHSILAT!$F$7:$F$2503,$U311))</f>
        <v>0</v>
      </c>
      <c r="T311" s="1">
        <f t="shared" si="65"/>
        <v>10000000000</v>
      </c>
      <c r="U311" s="1">
        <f>IFERROR(MATCH($AC$4&amp;"|59",TAHSILAT!$Q$7:$Q$2503,0),0)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3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IF($U312=0,"",INDEX(TAHSILAT!$E$7:$E$2503,$U312))</f>
        <v/>
      </c>
      <c r="O312" s="1" t="str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IF($N312="",0,INDEX(TAHSILAT!$F$7:$F$2503,$U312))</f>
        <v>0</v>
      </c>
      <c r="T312" s="1">
        <f t="shared" si="65"/>
        <v>10000000000</v>
      </c>
      <c r="U312" s="1">
        <f>IFERROR(MATCH($AC$4&amp;"|60",TAHSILAT!$Q$7:$Q$2503,0),0)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3">
      <c r="A313" s="2"/>
      <c r="B313" s="225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26.08.2026 tarihi itibarıyla KILIÇ MUHASEBE kayıtlarından otomatik olarak üretilmiştir. Mutabakatsızlık halinde 7 gün içinde yazılı bildirilmesi rica olunur.</v>
      </c>
      <c r="C313" s="226"/>
      <c r="D313" s="226"/>
      <c r="E313" s="226"/>
      <c r="F313" s="226"/>
      <c r="G313" s="226"/>
      <c r="H313" s="226"/>
      <c r="I313" s="2"/>
      <c r="J313" s="2"/>
      <c r="K313" s="1"/>
      <c r="L313" s="1"/>
      <c r="M313" s="1">
        <v>302</v>
      </c>
      <c r="N313" s="1" t="str">
        <f>IF($U313=0,"",INDEX(TAHSILAT!$E$7:$E$2503,$U313))</f>
        <v/>
      </c>
      <c r="O313" s="1" t="str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IF($N313="",0,INDEX(TAHSILAT!$F$7:$F$2503,$U313))</f>
        <v>0</v>
      </c>
      <c r="T313" s="1">
        <f t="shared" si="65"/>
        <v>10000000000</v>
      </c>
      <c r="U313" s="1">
        <f>IFERROR(MATCH($AC$4&amp;"|61",TAHSILAT!$Q$7:$Q$2503,0),0)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IF($U314=0,"",INDEX(TAHSILAT!$E$7:$E$2503,$U314))</f>
        <v/>
      </c>
      <c r="O314" s="1" t="str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IF($N314="",0,INDEX(TAHSILAT!$F$7:$F$2503,$U314))</f>
        <v>0</v>
      </c>
      <c r="T314" s="1">
        <f t="shared" si="65"/>
        <v>10000000000</v>
      </c>
      <c r="U314" s="1">
        <f>IFERROR(MATCH($AC$4&amp;"|62",TAHSILAT!$Q$7:$Q$2503,0),0)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3">
      <c r="A315" s="2"/>
      <c r="B315" s="223" t="s">
        <v>1025</v>
      </c>
      <c r="C315" s="224"/>
      <c r="D315" s="224"/>
      <c r="E315" s="1"/>
      <c r="F315" s="223" t="s">
        <v>1026</v>
      </c>
      <c r="G315" s="224"/>
      <c r="H315" s="224"/>
      <c r="I315" s="2"/>
      <c r="J315" s="2"/>
      <c r="K315" s="1"/>
      <c r="L315" s="1"/>
      <c r="M315" s="1">
        <v>304</v>
      </c>
      <c r="N315" s="1" t="str">
        <f>IF($U315=0,"",INDEX(TAHSILAT!$E$7:$E$2503,$U315))</f>
        <v/>
      </c>
      <c r="O315" s="1" t="str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IF($N315="",0,INDEX(TAHSILAT!$F$7:$F$2503,$U315))</f>
        <v>0</v>
      </c>
      <c r="T315" s="1">
        <f t="shared" si="65"/>
        <v>10000000000</v>
      </c>
      <c r="U315" s="1">
        <f>IFERROR(MATCH($AC$4&amp;"|63",TAHSILAT!$Q$7:$Q$2503,0),0)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3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IF($U316=0,"",INDEX(TAHSILAT!$E$7:$E$2503,$U316))</f>
        <v/>
      </c>
      <c r="O316" s="1" t="str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IF($N316="",0,INDEX(TAHSILAT!$F$7:$F$2503,$U316))</f>
        <v>0</v>
      </c>
      <c r="T316" s="1">
        <f t="shared" si="65"/>
        <v>10000000000</v>
      </c>
      <c r="U316" s="1">
        <f>IFERROR(MATCH($AC$4&amp;"|64",TAHSILAT!$Q$7:$Q$2503,0),0)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IF($U317=0,"",INDEX(TAHSILAT!$E$7:$E$2503,$U317))</f>
        <v/>
      </c>
      <c r="O317" s="1" t="str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IF($N317="",0,INDEX(TAHSILAT!$F$7:$F$2503,$U317))</f>
        <v>0</v>
      </c>
      <c r="T317" s="1">
        <f t="shared" si="65"/>
        <v>10000000000</v>
      </c>
      <c r="U317" s="1">
        <f>IFERROR(MATCH($AC$4&amp;"|65",TAHSILAT!$Q$7:$Q$2503,0),0)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IF($U318=0,"",INDEX(TAHSILAT!$E$7:$E$2503,$U318))</f>
        <v/>
      </c>
      <c r="O318" s="1" t="str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IF($N318="",0,INDEX(TAHSILAT!$F$7:$F$2503,$U318))</f>
        <v>0</v>
      </c>
      <c r="T318" s="1">
        <f t="shared" si="65"/>
        <v>10000000000</v>
      </c>
      <c r="U318" s="1">
        <f>IFERROR(MATCH($AC$4&amp;"|66",TAHSILAT!$Q$7:$Q$2503,0),0)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IF($U319=0,"",INDEX(TAHSILAT!$E$7:$E$2503,$U319))</f>
        <v/>
      </c>
      <c r="O319" s="1" t="str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IF($N319="",0,INDEX(TAHSILAT!$F$7:$F$2503,$U319))</f>
        <v>0</v>
      </c>
      <c r="T319" s="1">
        <f t="shared" si="65"/>
        <v>10000000000</v>
      </c>
      <c r="U319" s="1">
        <f>IFERROR(MATCH($AC$4&amp;"|67",TAHSILAT!$Q$7:$Q$2503,0),0)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IF($U320=0,"",INDEX(TAHSILAT!$E$7:$E$2503,$U320))</f>
        <v/>
      </c>
      <c r="O320" s="1" t="str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IF($N320="",0,INDEX(TAHSILAT!$F$7:$F$2503,$U320))</f>
        <v>0</v>
      </c>
      <c r="T320" s="1">
        <f t="shared" si="65"/>
        <v>10000000000</v>
      </c>
      <c r="U320" s="1">
        <f>IFERROR(MATCH($AC$4&amp;"|68",TAHSILAT!$Q$7:$Q$2503,0),0)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IF($U321=0,"",INDEX(TAHSILAT!$E$7:$E$2503,$U321))</f>
        <v/>
      </c>
      <c r="O321" s="1" t="str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IF($N321="",0,INDEX(TAHSILAT!$F$7:$F$2503,$U321))</f>
        <v>0</v>
      </c>
      <c r="T321" s="1">
        <f t="shared" si="65"/>
        <v>10000000000</v>
      </c>
      <c r="U321" s="1">
        <f>IFERROR(MATCH($AC$4&amp;"|69",TAHSILAT!$Q$7:$Q$2503,0),0)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IF($U322=0,"",INDEX(TAHSILAT!$E$7:$E$2503,$U322))</f>
        <v/>
      </c>
      <c r="O322" s="1" t="str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IF($N322="",0,INDEX(TAHSILAT!$F$7:$F$2503,$U322))</f>
        <v>0</v>
      </c>
      <c r="T322" s="1">
        <f t="shared" si="65"/>
        <v>10000000000</v>
      </c>
      <c r="U322" s="1">
        <f>IFERROR(MATCH($AC$4&amp;"|70",TAHSILAT!$Q$7:$Q$2503,0),0)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IF($U323=0,"",INDEX(TAHSILAT!$E$7:$E$2503,$U323))</f>
        <v/>
      </c>
      <c r="O323" s="1" t="str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IF($N323="",0,INDEX(TAHSILAT!$F$7:$F$2503,$U323))</f>
        <v>0</v>
      </c>
      <c r="T323" s="1">
        <f t="shared" si="65"/>
        <v>10000000000</v>
      </c>
      <c r="U323" s="1">
        <f>IFERROR(MATCH($AC$4&amp;"|71",TAHSILAT!$Q$7:$Q$2503,0),0)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IF($U324=0,"",INDEX(TAHSILAT!$E$7:$E$2503,$U324))</f>
        <v/>
      </c>
      <c r="O324" s="1" t="str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IF($N324="",0,INDEX(TAHSILAT!$F$7:$F$2503,$U324))</f>
        <v>0</v>
      </c>
      <c r="T324" s="1">
        <f t="shared" si="65"/>
        <v>10000000000</v>
      </c>
      <c r="U324" s="1">
        <f>IFERROR(MATCH($AC$4&amp;"|72",TAHSILAT!$Q$7:$Q$2503,0),0)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IF($U325=0,"",INDEX(TAHSILAT!$E$7:$E$2503,$U325))</f>
        <v/>
      </c>
      <c r="O325" s="1" t="str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IF($N325="",0,INDEX(TAHSILAT!$F$7:$F$2503,$U325))</f>
        <v>0</v>
      </c>
      <c r="T325" s="1">
        <f t="shared" si="65"/>
        <v>10000000000</v>
      </c>
      <c r="U325" s="1">
        <f>IFERROR(MATCH($AC$4&amp;"|73",TAHSILAT!$Q$7:$Q$2503,0),0)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IF($U326=0,"",INDEX(TAHSILAT!$E$7:$E$2503,$U326))</f>
        <v/>
      </c>
      <c r="O326" s="1" t="str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IF($N326="",0,INDEX(TAHSILAT!$F$7:$F$2503,$U326))</f>
        <v>0</v>
      </c>
      <c r="T326" s="1">
        <f t="shared" si="65"/>
        <v>10000000000</v>
      </c>
      <c r="U326" s="1">
        <f>IFERROR(MATCH($AC$4&amp;"|74",TAHSILAT!$Q$7:$Q$2503,0),0)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IF($U327=0,"",INDEX(TAHSILAT!$E$7:$E$2503,$U327))</f>
        <v/>
      </c>
      <c r="O327" s="1" t="str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IF($N327="",0,INDEX(TAHSILAT!$F$7:$F$2503,$U327))</f>
        <v>0</v>
      </c>
      <c r="T327" s="1">
        <f t="shared" si="65"/>
        <v>10000000000</v>
      </c>
      <c r="U327" s="1">
        <f>IFERROR(MATCH($AC$4&amp;"|75",TAHSILAT!$Q$7:$Q$2503,0),0)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IF($U328=0,"",INDEX(TAHSILAT!$E$7:$E$2503,$U328))</f>
        <v/>
      </c>
      <c r="O328" s="1" t="str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IF($N328="",0,INDEX(TAHSILAT!$F$7:$F$2503,$U328))</f>
        <v>0</v>
      </c>
      <c r="T328" s="1">
        <f t="shared" si="65"/>
        <v>10000000000</v>
      </c>
      <c r="U328" s="1">
        <f>IFERROR(MATCH($AC$4&amp;"|76",TAHSILAT!$Q$7:$Q$2503,0),0)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IF($U329=0,"",INDEX(TAHSILAT!$E$7:$E$2503,$U329))</f>
        <v/>
      </c>
      <c r="O329" s="1" t="str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IF($N329="",0,INDEX(TAHSILAT!$F$7:$F$2503,$U329))</f>
        <v>0</v>
      </c>
      <c r="T329" s="1">
        <f t="shared" si="65"/>
        <v>10000000000</v>
      </c>
      <c r="U329" s="1">
        <f>IFERROR(MATCH($AC$4&amp;"|77",TAHSILAT!$Q$7:$Q$2503,0),0)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IF($U330=0,"",INDEX(TAHSILAT!$E$7:$E$2503,$U330))</f>
        <v/>
      </c>
      <c r="O330" s="1" t="str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IF($N330="",0,INDEX(TAHSILAT!$F$7:$F$2503,$U330))</f>
        <v>0</v>
      </c>
      <c r="T330" s="1">
        <f t="shared" si="65"/>
        <v>10000000000</v>
      </c>
      <c r="U330" s="1">
        <f>IFERROR(MATCH($AC$4&amp;"|78",TAHSILAT!$Q$7:$Q$2503,0),0)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IF($U331=0,"",INDEX(TAHSILAT!$E$7:$E$2503,$U331))</f>
        <v/>
      </c>
      <c r="O331" s="1" t="str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IF($N331="",0,INDEX(TAHSILAT!$F$7:$F$2503,$U331))</f>
        <v>0</v>
      </c>
      <c r="T331" s="1">
        <f t="shared" si="65"/>
        <v>10000000000</v>
      </c>
      <c r="U331" s="1">
        <f>IFERROR(MATCH($AC$4&amp;"|79",TAHSILAT!$Q$7:$Q$2503,0),0)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IF($U332=0,"",INDEX(TAHSILAT!$E$7:$E$2503,$U332))</f>
        <v/>
      </c>
      <c r="O332" s="1" t="str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IF($N332="",0,INDEX(TAHSILAT!$F$7:$F$2503,$U332))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IFERROR(MATCH($AC$4&amp;"|80",TAHSILAT!$Q$7:$Q$2503,0),0)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IF($U333=0,"",INDEX(TAHSILAT!$E$7:$E$2503,$U333))</f>
        <v/>
      </c>
      <c r="O333" s="1" t="str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IF($N333="",0,INDEX(TAHSILAT!$F$7:$F$2503,$U333))</f>
        <v>0</v>
      </c>
      <c r="T333" s="1">
        <f t="shared" si="70"/>
        <v>10000000000</v>
      </c>
      <c r="U333" s="1">
        <f>IFERROR(MATCH($AC$4&amp;"|81",TAHSILAT!$Q$7:$Q$2503,0),0)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IF($U334=0,"",INDEX(TAHSILAT!$E$7:$E$2503,$U334))</f>
        <v/>
      </c>
      <c r="O334" s="1" t="str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IF($N334="",0,INDEX(TAHSILAT!$F$7:$F$2503,$U334))</f>
        <v>0</v>
      </c>
      <c r="T334" s="1">
        <f t="shared" si="70"/>
        <v>10000000000</v>
      </c>
      <c r="U334" s="1">
        <f>IFERROR(MATCH($AC$4&amp;"|82",TAHSILAT!$Q$7:$Q$2503,0),0)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IF($U335=0,"",INDEX(TAHSILAT!$E$7:$E$2503,$U335))</f>
        <v/>
      </c>
      <c r="O335" s="1" t="str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IF($N335="",0,INDEX(TAHSILAT!$F$7:$F$2503,$U335))</f>
        <v>0</v>
      </c>
      <c r="T335" s="1">
        <f t="shared" si="70"/>
        <v>10000000000</v>
      </c>
      <c r="U335" s="1">
        <f>IFERROR(MATCH($AC$4&amp;"|83",TAHSILAT!$Q$7:$Q$2503,0),0)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IF($U336=0,"",INDEX(TAHSILAT!$E$7:$E$2503,$U336))</f>
        <v/>
      </c>
      <c r="O336" s="1" t="str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IF($N336="",0,INDEX(TAHSILAT!$F$7:$F$2503,$U336))</f>
        <v>0</v>
      </c>
      <c r="T336" s="1">
        <f t="shared" si="70"/>
        <v>10000000000</v>
      </c>
      <c r="U336" s="1">
        <f>IFERROR(MATCH($AC$4&amp;"|84",TAHSILAT!$Q$7:$Q$2503,0),0)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IF($U337=0,"",INDEX(TAHSILAT!$E$7:$E$2503,$U337))</f>
        <v/>
      </c>
      <c r="O337" s="1" t="str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IF($N337="",0,INDEX(TAHSILAT!$F$7:$F$2503,$U337))</f>
        <v>0</v>
      </c>
      <c r="T337" s="1">
        <f t="shared" si="70"/>
        <v>10000000000</v>
      </c>
      <c r="U337" s="1">
        <f>IFERROR(MATCH($AC$4&amp;"|85",TAHSILAT!$Q$7:$Q$2503,0),0)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IF($U338=0,"",INDEX(TAHSILAT!$E$7:$E$2503,$U338))</f>
        <v/>
      </c>
      <c r="O338" s="1" t="str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IF($N338="",0,INDEX(TAHSILAT!$F$7:$F$2503,$U338))</f>
        <v>0</v>
      </c>
      <c r="T338" s="1">
        <f t="shared" si="70"/>
        <v>10000000000</v>
      </c>
      <c r="U338" s="1">
        <f>IFERROR(MATCH($AC$4&amp;"|86",TAHSILAT!$Q$7:$Q$2503,0),0)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IF($U339=0,"",INDEX(TAHSILAT!$E$7:$E$2503,$U339))</f>
        <v/>
      </c>
      <c r="O339" s="1" t="str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IF($N339="",0,INDEX(TAHSILAT!$F$7:$F$2503,$U339))</f>
        <v>0</v>
      </c>
      <c r="T339" s="1">
        <f t="shared" si="70"/>
        <v>10000000000</v>
      </c>
      <c r="U339" s="1">
        <f>IFERROR(MATCH($AC$4&amp;"|87",TAHSILAT!$Q$7:$Q$2503,0),0)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IF($U340=0,"",INDEX(TAHSILAT!$E$7:$E$2503,$U340))</f>
        <v/>
      </c>
      <c r="O340" s="1" t="str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IF($N340="",0,INDEX(TAHSILAT!$F$7:$F$2503,$U340))</f>
        <v>0</v>
      </c>
      <c r="T340" s="1">
        <f t="shared" si="70"/>
        <v>10000000000</v>
      </c>
      <c r="U340" s="1">
        <f>IFERROR(MATCH($AC$4&amp;"|88",TAHSILAT!$Q$7:$Q$2503,0),0)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IF($U341=0,"",INDEX(TAHSILAT!$E$7:$E$2503,$U341))</f>
        <v/>
      </c>
      <c r="O341" s="1" t="str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IF($N341="",0,INDEX(TAHSILAT!$F$7:$F$2503,$U341))</f>
        <v>0</v>
      </c>
      <c r="T341" s="1">
        <f t="shared" si="70"/>
        <v>10000000000</v>
      </c>
      <c r="U341" s="1">
        <f>IFERROR(MATCH($AC$4&amp;"|89",TAHSILAT!$Q$7:$Q$2503,0),0)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IF($U342=0,"",INDEX(TAHSILAT!$E$7:$E$2503,$U342))</f>
        <v/>
      </c>
      <c r="O342" s="1" t="str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IF($N342="",0,INDEX(TAHSILAT!$F$7:$F$2503,$U342))</f>
        <v>0</v>
      </c>
      <c r="T342" s="1">
        <f t="shared" si="70"/>
        <v>10000000000</v>
      </c>
      <c r="U342" s="1">
        <f>IFERROR(MATCH($AC$4&amp;"|90",TAHSILAT!$Q$7:$Q$2503,0),0)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IF($U343=0,"",INDEX(TAHSILAT!$E$7:$E$2503,$U343))</f>
        <v/>
      </c>
      <c r="O343" s="1" t="str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IF($N343="",0,INDEX(TAHSILAT!$F$7:$F$2503,$U343))</f>
        <v>0</v>
      </c>
      <c r="T343" s="1">
        <f t="shared" si="70"/>
        <v>10000000000</v>
      </c>
      <c r="U343" s="1">
        <f>IFERROR(MATCH($AC$4&amp;"|91",TAHSILAT!$Q$7:$Q$2503,0),0)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IF($U344=0,"",INDEX(TAHSILAT!$E$7:$E$2503,$U344))</f>
        <v/>
      </c>
      <c r="O344" s="1" t="str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IF($N344="",0,INDEX(TAHSILAT!$F$7:$F$2503,$U344))</f>
        <v>0</v>
      </c>
      <c r="T344" s="1">
        <f t="shared" si="70"/>
        <v>10000000000</v>
      </c>
      <c r="U344" s="1">
        <f>IFERROR(MATCH($AC$4&amp;"|92",TAHSILAT!$Q$7:$Q$2503,0),0)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IF($U345=0,"",INDEX(TAHSILAT!$E$7:$E$2503,$U345))</f>
        <v/>
      </c>
      <c r="O345" s="1" t="str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IF($N345="",0,INDEX(TAHSILAT!$F$7:$F$2503,$U345))</f>
        <v>0</v>
      </c>
      <c r="T345" s="1">
        <f t="shared" si="70"/>
        <v>10000000000</v>
      </c>
      <c r="U345" s="1">
        <f>IFERROR(MATCH($AC$4&amp;"|93",TAHSILAT!$Q$7:$Q$2503,0),0)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IF($U346=0,"",INDEX(TAHSILAT!$E$7:$E$2503,$U346))</f>
        <v/>
      </c>
      <c r="O346" s="1" t="str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IF($N346="",0,INDEX(TAHSILAT!$F$7:$F$2503,$U346))</f>
        <v>0</v>
      </c>
      <c r="T346" s="1">
        <f t="shared" si="70"/>
        <v>10000000000</v>
      </c>
      <c r="U346" s="1">
        <f>IFERROR(MATCH($AC$4&amp;"|94",TAHSILAT!$Q$7:$Q$2503,0),0)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IF($U347=0,"",INDEX(TAHSILAT!$E$7:$E$2503,$U347))</f>
        <v/>
      </c>
      <c r="O347" s="1" t="str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IF($N347="",0,INDEX(TAHSILAT!$F$7:$F$2503,$U347))</f>
        <v>0</v>
      </c>
      <c r="T347" s="1">
        <f t="shared" si="70"/>
        <v>10000000000</v>
      </c>
      <c r="U347" s="1">
        <f>IFERROR(MATCH($AC$4&amp;"|95",TAHSILAT!$Q$7:$Q$2503,0),0)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IF($U348=0,"",INDEX(TAHSILAT!$E$7:$E$2503,$U348))</f>
        <v/>
      </c>
      <c r="O348" s="1" t="str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IF($N348="",0,INDEX(TAHSILAT!$F$7:$F$2503,$U348))</f>
        <v>0</v>
      </c>
      <c r="T348" s="1">
        <f t="shared" si="70"/>
        <v>10000000000</v>
      </c>
      <c r="U348" s="1">
        <f>IFERROR(MATCH($AC$4&amp;"|96",TAHSILAT!$Q$7:$Q$2503,0),0)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IF($U349=0,"",INDEX(TAHSILAT!$E$7:$E$2503,$U349))</f>
        <v/>
      </c>
      <c r="O349" s="1" t="str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IF($N349="",0,INDEX(TAHSILAT!$F$7:$F$2503,$U349))</f>
        <v>0</v>
      </c>
      <c r="T349" s="1">
        <f t="shared" si="70"/>
        <v>10000000000</v>
      </c>
      <c r="U349" s="1">
        <f>IFERROR(MATCH($AC$4&amp;"|97",TAHSILAT!$Q$7:$Q$2503,0),0)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IF($U350=0,"",INDEX(TAHSILAT!$E$7:$E$2503,$U350))</f>
        <v/>
      </c>
      <c r="O350" s="1" t="str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IF($N350="",0,INDEX(TAHSILAT!$F$7:$F$2503,$U350))</f>
        <v>0</v>
      </c>
      <c r="T350" s="1">
        <f t="shared" si="70"/>
        <v>10000000000</v>
      </c>
      <c r="U350" s="1">
        <f>IFERROR(MATCH($AC$4&amp;"|98",TAHSILAT!$Q$7:$Q$2503,0),0)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IF($U351=0,"",INDEX(TAHSILAT!$E$7:$E$2503,$U351))</f>
        <v/>
      </c>
      <c r="O351" s="1" t="str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IF($N351="",0,INDEX(TAHSILAT!$F$7:$F$2503,$U351))</f>
        <v>0</v>
      </c>
      <c r="T351" s="1">
        <f t="shared" si="70"/>
        <v>10000000000</v>
      </c>
      <c r="U351" s="1">
        <f>IFERROR(MATCH($AC$4&amp;"|99",TAHSILAT!$Q$7:$Q$2503,0),0)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IF($U352=0,"",INDEX(TAHSILAT!$E$7:$E$2503,$U352))</f>
        <v/>
      </c>
      <c r="O352" s="1" t="str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IF($N352="",0,INDEX(TAHSILAT!$F$7:$F$2503,$U352))</f>
        <v>0</v>
      </c>
      <c r="T352" s="1">
        <f t="shared" si="70"/>
        <v>10000000000</v>
      </c>
      <c r="U352" s="1">
        <f>IFERROR(MATCH($AC$4&amp;"|100",TAHSILAT!$Q$7:$Q$2503,0),0)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IF($U353=0,"",INDEX(TAHSILAT!$E$7:$E$2503,$U353))</f>
        <v/>
      </c>
      <c r="O353" s="1" t="str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IF($N353="",0,INDEX(TAHSILAT!$F$7:$F$2503,$U353))</f>
        <v>0</v>
      </c>
      <c r="T353" s="1">
        <f t="shared" si="70"/>
        <v>10000000000</v>
      </c>
      <c r="U353" s="1">
        <f>IFERROR(MATCH($AC$4&amp;"|101",TAHSILAT!$Q$7:$Q$2503,0),0)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IF($U354=0,"",INDEX(TAHSILAT!$E$7:$E$2503,$U354))</f>
        <v/>
      </c>
      <c r="O354" s="1" t="str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IF($N354="",0,INDEX(TAHSILAT!$F$7:$F$2503,$U354))</f>
        <v>0</v>
      </c>
      <c r="T354" s="1">
        <f t="shared" si="70"/>
        <v>10000000000</v>
      </c>
      <c r="U354" s="1">
        <f>IFERROR(MATCH($AC$4&amp;"|102",TAHSILAT!$Q$7:$Q$2503,0),0)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IF($U355=0,"",INDEX(TAHSILAT!$E$7:$E$2503,$U355))</f>
        <v/>
      </c>
      <c r="O355" s="1" t="str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IF($N355="",0,INDEX(TAHSILAT!$F$7:$F$2503,$U355))</f>
        <v>0</v>
      </c>
      <c r="T355" s="1">
        <f t="shared" si="70"/>
        <v>10000000000</v>
      </c>
      <c r="U355" s="1">
        <f>IFERROR(MATCH($AC$4&amp;"|103",TAHSILAT!$Q$7:$Q$2503,0),0)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IF($U356=0,"",INDEX(TAHSILAT!$E$7:$E$2503,$U356))</f>
        <v/>
      </c>
      <c r="O356" s="1" t="str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IF($N356="",0,INDEX(TAHSILAT!$F$7:$F$2503,$U356))</f>
        <v>0</v>
      </c>
      <c r="T356" s="1">
        <f t="shared" si="70"/>
        <v>10000000000</v>
      </c>
      <c r="U356" s="1">
        <f>IFERROR(MATCH($AC$4&amp;"|104",TAHSILAT!$Q$7:$Q$2503,0),0)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IF($U357=0,"",INDEX(TAHSILAT!$E$7:$E$2503,$U357))</f>
        <v/>
      </c>
      <c r="O357" s="1" t="str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IF($N357="",0,INDEX(TAHSILAT!$F$7:$F$2503,$U357))</f>
        <v>0</v>
      </c>
      <c r="T357" s="1">
        <f t="shared" si="70"/>
        <v>10000000000</v>
      </c>
      <c r="U357" s="1">
        <f>IFERROR(MATCH($AC$4&amp;"|105",TAHSILAT!$Q$7:$Q$2503,0),0)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IF($U358=0,"",INDEX(TAHSILAT!$E$7:$E$2503,$U358))</f>
        <v/>
      </c>
      <c r="O358" s="1" t="str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IF($N358="",0,INDEX(TAHSILAT!$F$7:$F$2503,$U358))</f>
        <v>0</v>
      </c>
      <c r="T358" s="1">
        <f t="shared" si="70"/>
        <v>10000000000</v>
      </c>
      <c r="U358" s="1">
        <f>IFERROR(MATCH($AC$4&amp;"|106",TAHSILAT!$Q$7:$Q$2503,0),0)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IF($U359=0,"",INDEX(TAHSILAT!$E$7:$E$2503,$U359))</f>
        <v/>
      </c>
      <c r="O359" s="1" t="str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IF($N359="",0,INDEX(TAHSILAT!$F$7:$F$2503,$U359))</f>
        <v>0</v>
      </c>
      <c r="T359" s="1">
        <f t="shared" si="70"/>
        <v>10000000000</v>
      </c>
      <c r="U359" s="1">
        <f>IFERROR(MATCH($AC$4&amp;"|107",TAHSILAT!$Q$7:$Q$2503,0),0)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IF($U360=0,"",INDEX(TAHSILAT!$E$7:$E$2503,$U360))</f>
        <v/>
      </c>
      <c r="O360" s="1" t="str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IF($N360="",0,INDEX(TAHSILAT!$F$7:$F$2503,$U360))</f>
        <v>0</v>
      </c>
      <c r="T360" s="1">
        <f t="shared" si="70"/>
        <v>10000000000</v>
      </c>
      <c r="U360" s="1">
        <f>IFERROR(MATCH($AC$4&amp;"|108",TAHSILAT!$Q$7:$Q$2503,0),0)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IF($U361=0,"",INDEX(TAHSILAT!$E$7:$E$2503,$U361))</f>
        <v/>
      </c>
      <c r="O361" s="1" t="str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IF($N361="",0,INDEX(TAHSILAT!$F$7:$F$2503,$U361))</f>
        <v>0</v>
      </c>
      <c r="T361" s="1">
        <f t="shared" si="70"/>
        <v>10000000000</v>
      </c>
      <c r="U361" s="1">
        <f>IFERROR(MATCH($AC$4&amp;"|109",TAHSILAT!$Q$7:$Q$2503,0),0)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IF($U362=0,"",INDEX(TAHSILAT!$E$7:$E$2503,$U362))</f>
        <v/>
      </c>
      <c r="O362" s="1" t="str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IF($N362="",0,INDEX(TAHSILAT!$F$7:$F$2503,$U362))</f>
        <v>0</v>
      </c>
      <c r="T362" s="1">
        <f t="shared" si="70"/>
        <v>10000000000</v>
      </c>
      <c r="U362" s="1">
        <f>IFERROR(MATCH($AC$4&amp;"|110",TAHSILAT!$Q$7:$Q$2503,0),0)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IF($U363=0,"",INDEX(TAHSILAT!$E$7:$E$2503,$U363))</f>
        <v/>
      </c>
      <c r="O363" s="1" t="str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IF($N363="",0,INDEX(TAHSILAT!$F$7:$F$2503,$U363))</f>
        <v>0</v>
      </c>
      <c r="T363" s="1">
        <f t="shared" si="70"/>
        <v>10000000000</v>
      </c>
      <c r="U363" s="1">
        <f>IFERROR(MATCH($AC$4&amp;"|111",TAHSILAT!$Q$7:$Q$2503,0),0)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IF($U364=0,"",INDEX(TAHSILAT!$E$7:$E$2503,$U364))</f>
        <v/>
      </c>
      <c r="O364" s="1" t="str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IF($N364="",0,INDEX(TAHSILAT!$F$7:$F$2503,$U364))</f>
        <v>0</v>
      </c>
      <c r="T364" s="1">
        <f t="shared" si="70"/>
        <v>10000000000</v>
      </c>
      <c r="U364" s="1">
        <f>IFERROR(MATCH($AC$4&amp;"|112",TAHSILAT!$Q$7:$Q$2503,0),0)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IF($U365=0,"",INDEX(TAHSILAT!$E$7:$E$2503,$U365))</f>
        <v/>
      </c>
      <c r="O365" s="1" t="str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IF($N365="",0,INDEX(TAHSILAT!$F$7:$F$2503,$U365))</f>
        <v>0</v>
      </c>
      <c r="T365" s="1">
        <f t="shared" si="70"/>
        <v>10000000000</v>
      </c>
      <c r="U365" s="1">
        <f>IFERROR(MATCH($AC$4&amp;"|113",TAHSILAT!$Q$7:$Q$2503,0),0)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IF($U366=0,"",INDEX(TAHSILAT!$E$7:$E$2503,$U366))</f>
        <v/>
      </c>
      <c r="O366" s="1" t="str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IF($N366="",0,INDEX(TAHSILAT!$F$7:$F$2503,$U366))</f>
        <v>0</v>
      </c>
      <c r="T366" s="1">
        <f t="shared" si="70"/>
        <v>10000000000</v>
      </c>
      <c r="U366" s="1">
        <f>IFERROR(MATCH($AC$4&amp;"|114",TAHSILAT!$Q$7:$Q$2503,0),0)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IF($U367=0,"",INDEX(TAHSILAT!$E$7:$E$2503,$U367))</f>
        <v/>
      </c>
      <c r="O367" s="1" t="str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IF($N367="",0,INDEX(TAHSILAT!$F$7:$F$2503,$U367))</f>
        <v>0</v>
      </c>
      <c r="T367" s="1">
        <f t="shared" si="70"/>
        <v>10000000000</v>
      </c>
      <c r="U367" s="1">
        <f>IFERROR(MATCH($AC$4&amp;"|115",TAHSILAT!$Q$7:$Q$2503,0),0)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IF($U368=0,"",INDEX(TAHSILAT!$E$7:$E$2503,$U368))</f>
        <v/>
      </c>
      <c r="O368" s="1" t="str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IF($N368="",0,INDEX(TAHSILAT!$F$7:$F$2503,$U368))</f>
        <v>0</v>
      </c>
      <c r="T368" s="1">
        <f t="shared" si="70"/>
        <v>10000000000</v>
      </c>
      <c r="U368" s="1">
        <f>IFERROR(MATCH($AC$4&amp;"|116",TAHSILAT!$Q$7:$Q$2503,0),0)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IF($U369=0,"",INDEX(TAHSILAT!$E$7:$E$2503,$U369))</f>
        <v/>
      </c>
      <c r="O369" s="1" t="str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IF($N369="",0,INDEX(TAHSILAT!$F$7:$F$2503,$U369))</f>
        <v>0</v>
      </c>
      <c r="T369" s="1">
        <f t="shared" si="70"/>
        <v>10000000000</v>
      </c>
      <c r="U369" s="1">
        <f>IFERROR(MATCH($AC$4&amp;"|117",TAHSILAT!$Q$7:$Q$2503,0),0)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IF($U370=0,"",INDEX(TAHSILAT!$E$7:$E$2503,$U370))</f>
        <v/>
      </c>
      <c r="O370" s="1" t="str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IF($N370="",0,INDEX(TAHSILAT!$F$7:$F$2503,$U370))</f>
        <v>0</v>
      </c>
      <c r="T370" s="1">
        <f t="shared" si="70"/>
        <v>10000000000</v>
      </c>
      <c r="U370" s="1">
        <f>IFERROR(MATCH($AC$4&amp;"|118",TAHSILAT!$Q$7:$Q$2503,0),0)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IF($U371=0,"",INDEX(TAHSILAT!$E$7:$E$2503,$U371))</f>
        <v/>
      </c>
      <c r="O371" s="1" t="str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IF($N371="",0,INDEX(TAHSILAT!$F$7:$F$2503,$U371))</f>
        <v>0</v>
      </c>
      <c r="T371" s="1">
        <f t="shared" si="70"/>
        <v>10000000000</v>
      </c>
      <c r="U371" s="1">
        <f>IFERROR(MATCH($AC$4&amp;"|119",TAHSILAT!$Q$7:$Q$2503,0),0)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IF($U372=0,"",INDEX(TAHSILAT!$E$7:$E$2503,$U372))</f>
        <v/>
      </c>
      <c r="O372" s="1" t="str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IF($N372="",0,INDEX(TAHSILAT!$F$7:$F$2503,$U372))</f>
        <v>0</v>
      </c>
      <c r="T372" s="1">
        <f t="shared" si="70"/>
        <v>10000000000</v>
      </c>
      <c r="U372" s="1">
        <f>IFERROR(MATCH($AC$4&amp;"|120",TAHSILAT!$Q$7:$Q$2503,0),0)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 t="str">
        <f>IF($U373=0,"",INDEX(GELIR_GIDER!$C$7:$C$3001,$U373))</f>
        <v/>
      </c>
      <c r="O373" s="1" t="str">
        <f>IF($N373="","",INDEX(GELIR_GIDER!$E$7:$E$3001,$U373)&amp;IF(INDEX(GELIR_GIDER!$F$7:$F$3001,$U373)="",""," – "&amp;INDEX(GELIR_GIDER!$F$7:$F$3001,$U373)))</f>
        <v/>
      </c>
      <c r="P373" s="1" t="str">
        <f t="shared" ref="P373:P404" si="72">IF($N373="","","EK HİZMET")</f>
        <v/>
      </c>
      <c r="Q373" s="1"/>
      <c r="R373" s="1">
        <f>IF($N373="",0,INDEX(GELIR_GIDER!$G$7:$G$3001,$U373))</f>
        <v>0</v>
      </c>
      <c r="S373" s="1">
        <v>0</v>
      </c>
      <c r="T373" s="1">
        <f t="shared" si="70"/>
        <v>10000000000</v>
      </c>
      <c r="U373" s="1">
        <f>IFERROR(MATCH($AC$4&amp;"|1",GELIR_GIDER!$U$7:$U$3001,0),0)</f>
        <v>0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 t="str">
        <f>IF($U374=0,"",INDEX(GELIR_GIDER!$C$7:$C$3001,$U374))</f>
        <v/>
      </c>
      <c r="O374" s="1" t="str">
        <f>IF($N374="","",INDEX(GELIR_GIDER!$E$7:$E$3001,$U374)&amp;IF(INDEX(GELIR_GIDER!$F$7:$F$3001,$U374)="",""," – "&amp;INDEX(GELIR_GIDER!$F$7:$F$3001,$U374)))</f>
        <v/>
      </c>
      <c r="P374" s="1" t="str">
        <f t="shared" si="72"/>
        <v/>
      </c>
      <c r="Q374" s="1"/>
      <c r="R374" s="1">
        <f>IF($N374="",0,INDEX(GELIR_GIDER!$G$7:$G$3001,$U374))</f>
        <v>0</v>
      </c>
      <c r="S374" s="1">
        <v>0</v>
      </c>
      <c r="T374" s="1">
        <f t="shared" si="70"/>
        <v>10000000000</v>
      </c>
      <c r="U374" s="1">
        <f>IFERROR(MATCH($AC$4&amp;"|2",GELIR_GIDER!$U$7:$U$3001,0),0)</f>
        <v>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IF($U375=0,"",INDEX(GELIR_GIDER!$C$7:$C$3001,$U375))</f>
        <v/>
      </c>
      <c r="O375" s="1" t="str">
        <f>IF($N375="","",INDEX(GELIR_GIDER!$E$7:$E$3001,$U375)&amp;IF(INDEX(GELIR_GIDER!$F$7:$F$3001,$U375)="",""," – "&amp;INDEX(GELIR_GIDER!$F$7:$F$3001,$U375)))</f>
        <v/>
      </c>
      <c r="P375" s="1" t="str">
        <f t="shared" si="72"/>
        <v/>
      </c>
      <c r="Q375" s="1"/>
      <c r="R375" s="1">
        <f>IF($N375="",0,INDEX(GELIR_GIDER!$G$7:$G$3001,$U375))</f>
        <v>0</v>
      </c>
      <c r="S375" s="1">
        <v>0</v>
      </c>
      <c r="T375" s="1">
        <f t="shared" si="70"/>
        <v>10000000000</v>
      </c>
      <c r="U375" s="1">
        <f>IFERROR(MATCH($AC$4&amp;"|3",GELIR_GIDER!$U$7:$U$3001,0),0)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IF($U376=0,"",INDEX(GELIR_GIDER!$C$7:$C$3001,$U376))</f>
        <v/>
      </c>
      <c r="O376" s="1" t="str">
        <f>IF($N376="","",INDEX(GELIR_GIDER!$E$7:$E$3001,$U376)&amp;IF(INDEX(GELIR_GIDER!$F$7:$F$3001,$U376)="",""," – "&amp;INDEX(GELIR_GIDER!$F$7:$F$3001,$U376)))</f>
        <v/>
      </c>
      <c r="P376" s="1" t="str">
        <f t="shared" si="72"/>
        <v/>
      </c>
      <c r="Q376" s="1"/>
      <c r="R376" s="1">
        <f>IF($N376="",0,INDEX(GELIR_GIDER!$G$7:$G$3001,$U376))</f>
        <v>0</v>
      </c>
      <c r="S376" s="1">
        <v>0</v>
      </c>
      <c r="T376" s="1">
        <f t="shared" si="70"/>
        <v>10000000000</v>
      </c>
      <c r="U376" s="1">
        <f>IFERROR(MATCH($AC$4&amp;"|4",GELIR_GIDER!$U$7:$U$3001,0),0)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IF($U377=0,"",INDEX(GELIR_GIDER!$C$7:$C$3001,$U377))</f>
        <v/>
      </c>
      <c r="O377" s="1" t="str">
        <f>IF($N377="","",INDEX(GELIR_GIDER!$E$7:$E$3001,$U377)&amp;IF(INDEX(GELIR_GIDER!$F$7:$F$3001,$U377)="",""," – "&amp;INDEX(GELIR_GIDER!$F$7:$F$3001,$U377)))</f>
        <v/>
      </c>
      <c r="P377" s="1" t="str">
        <f t="shared" si="72"/>
        <v/>
      </c>
      <c r="Q377" s="1"/>
      <c r="R377" s="1">
        <f>IF($N377="",0,INDEX(GELIR_GIDER!$G$7:$G$3001,$U377))</f>
        <v>0</v>
      </c>
      <c r="S377" s="1">
        <v>0</v>
      </c>
      <c r="T377" s="1">
        <f t="shared" si="70"/>
        <v>10000000000</v>
      </c>
      <c r="U377" s="1">
        <f>IFERROR(MATCH($AC$4&amp;"|5",GELIR_GIDER!$U$7:$U$3001,0),0)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IF($U378=0,"",INDEX(GELIR_GIDER!$C$7:$C$3001,$U378))</f>
        <v/>
      </c>
      <c r="O378" s="1" t="str">
        <f>IF($N378="","",INDEX(GELIR_GIDER!$E$7:$E$3001,$U378)&amp;IF(INDEX(GELIR_GIDER!$F$7:$F$3001,$U378)="",""," – "&amp;INDEX(GELIR_GIDER!$F$7:$F$3001,$U378)))</f>
        <v/>
      </c>
      <c r="P378" s="1" t="str">
        <f t="shared" si="72"/>
        <v/>
      </c>
      <c r="Q378" s="1"/>
      <c r="R378" s="1">
        <f>IF($N378="",0,INDEX(GELIR_GIDER!$G$7:$G$3001,$U378))</f>
        <v>0</v>
      </c>
      <c r="S378" s="1">
        <v>0</v>
      </c>
      <c r="T378" s="1">
        <f t="shared" si="70"/>
        <v>10000000000</v>
      </c>
      <c r="U378" s="1">
        <f>IFERROR(MATCH($AC$4&amp;"|6",GELIR_GIDER!$U$7:$U$3001,0),0)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IF($U379=0,"",INDEX(GELIR_GIDER!$C$7:$C$3001,$U379))</f>
        <v/>
      </c>
      <c r="O379" s="1" t="str">
        <f>IF($N379="","",INDEX(GELIR_GIDER!$E$7:$E$3001,$U379)&amp;IF(INDEX(GELIR_GIDER!$F$7:$F$3001,$U379)="",""," – "&amp;INDEX(GELIR_GIDER!$F$7:$F$3001,$U379)))</f>
        <v/>
      </c>
      <c r="P379" s="1" t="str">
        <f t="shared" si="72"/>
        <v/>
      </c>
      <c r="Q379" s="1"/>
      <c r="R379" s="1">
        <f>IF($N379="",0,INDEX(GELIR_GIDER!$G$7:$G$3001,$U379))</f>
        <v>0</v>
      </c>
      <c r="S379" s="1">
        <v>0</v>
      </c>
      <c r="T379" s="1">
        <f t="shared" si="70"/>
        <v>10000000000</v>
      </c>
      <c r="U379" s="1">
        <f>IFERROR(MATCH($AC$4&amp;"|7",GELIR_GIDER!$U$7:$U$3001,0),0)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IF($U380=0,"",INDEX(GELIR_GIDER!$C$7:$C$3001,$U380))</f>
        <v/>
      </c>
      <c r="O380" s="1" t="str">
        <f>IF($N380="","",INDEX(GELIR_GIDER!$E$7:$E$3001,$U380)&amp;IF(INDEX(GELIR_GIDER!$F$7:$F$3001,$U380)="",""," – "&amp;INDEX(GELIR_GIDER!$F$7:$F$3001,$U380)))</f>
        <v/>
      </c>
      <c r="P380" s="1" t="str">
        <f t="shared" si="72"/>
        <v/>
      </c>
      <c r="Q380" s="1"/>
      <c r="R380" s="1">
        <f>IF($N380="",0,INDEX(GELIR_GIDER!$G$7:$G$3001,$U380))</f>
        <v>0</v>
      </c>
      <c r="S380" s="1">
        <v>0</v>
      </c>
      <c r="T380" s="1">
        <f t="shared" si="70"/>
        <v>10000000000</v>
      </c>
      <c r="U380" s="1">
        <f>IFERROR(MATCH($AC$4&amp;"|8",GELIR_GIDER!$U$7:$U$3001,0),0)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IF($U381=0,"",INDEX(GELIR_GIDER!$C$7:$C$3001,$U381))</f>
        <v/>
      </c>
      <c r="O381" s="1" t="str">
        <f>IF($N381="","",INDEX(GELIR_GIDER!$E$7:$E$3001,$U381)&amp;IF(INDEX(GELIR_GIDER!$F$7:$F$3001,$U381)="",""," – "&amp;INDEX(GELIR_GIDER!$F$7:$F$3001,$U381)))</f>
        <v/>
      </c>
      <c r="P381" s="1" t="str">
        <f t="shared" si="72"/>
        <v/>
      </c>
      <c r="Q381" s="1"/>
      <c r="R381" s="1">
        <f>IF($N381="",0,INDEX(GELIR_GIDER!$G$7:$G$3001,$U381))</f>
        <v>0</v>
      </c>
      <c r="S381" s="1">
        <v>0</v>
      </c>
      <c r="T381" s="1">
        <f t="shared" si="70"/>
        <v>10000000000</v>
      </c>
      <c r="U381" s="1">
        <f>IFERROR(MATCH($AC$4&amp;"|9",GELIR_GIDER!$U$7:$U$3001,0),0)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IF($U382=0,"",INDEX(GELIR_GIDER!$C$7:$C$3001,$U382))</f>
        <v/>
      </c>
      <c r="O382" s="1" t="str">
        <f>IF($N382="","",INDEX(GELIR_GIDER!$E$7:$E$3001,$U382)&amp;IF(INDEX(GELIR_GIDER!$F$7:$F$3001,$U382)="",""," – "&amp;INDEX(GELIR_GIDER!$F$7:$F$3001,$U382)))</f>
        <v/>
      </c>
      <c r="P382" s="1" t="str">
        <f t="shared" si="72"/>
        <v/>
      </c>
      <c r="Q382" s="1"/>
      <c r="R382" s="1">
        <f>IF($N382="",0,INDEX(GELIR_GIDER!$G$7:$G$3001,$U382))</f>
        <v>0</v>
      </c>
      <c r="S382" s="1">
        <v>0</v>
      </c>
      <c r="T382" s="1">
        <f t="shared" si="70"/>
        <v>10000000000</v>
      </c>
      <c r="U382" s="1">
        <f>IFERROR(MATCH($AC$4&amp;"|10",GELIR_GIDER!$U$7:$U$3001,0),0)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IF($U383=0,"",INDEX(GELIR_GIDER!$C$7:$C$3001,$U383))</f>
        <v/>
      </c>
      <c r="O383" s="1" t="str">
        <f>IF($N383="","",INDEX(GELIR_GIDER!$E$7:$E$3001,$U383)&amp;IF(INDEX(GELIR_GIDER!$F$7:$F$3001,$U383)="",""," – "&amp;INDEX(GELIR_GIDER!$F$7:$F$3001,$U383)))</f>
        <v/>
      </c>
      <c r="P383" s="1" t="str">
        <f t="shared" si="72"/>
        <v/>
      </c>
      <c r="Q383" s="1"/>
      <c r="R383" s="1">
        <f>IF($N383="",0,INDEX(GELIR_GIDER!$G$7:$G$3001,$U383))</f>
        <v>0</v>
      </c>
      <c r="S383" s="1">
        <v>0</v>
      </c>
      <c r="T383" s="1">
        <f t="shared" si="70"/>
        <v>10000000000</v>
      </c>
      <c r="U383" s="1">
        <f>IFERROR(MATCH($AC$4&amp;"|11",GELIR_GIDER!$U$7:$U$3001,0),0)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IF($U384=0,"",INDEX(GELIR_GIDER!$C$7:$C$3001,$U384))</f>
        <v/>
      </c>
      <c r="O384" s="1" t="str">
        <f>IF($N384="","",INDEX(GELIR_GIDER!$E$7:$E$3001,$U384)&amp;IF(INDEX(GELIR_GIDER!$F$7:$F$3001,$U384)="",""," – "&amp;INDEX(GELIR_GIDER!$F$7:$F$3001,$U384)))</f>
        <v/>
      </c>
      <c r="P384" s="1" t="str">
        <f t="shared" si="72"/>
        <v/>
      </c>
      <c r="Q384" s="1"/>
      <c r="R384" s="1">
        <f>IF($N384="",0,INDEX(GELIR_GIDER!$G$7:$G$3001,$U384))</f>
        <v>0</v>
      </c>
      <c r="S384" s="1">
        <v>0</v>
      </c>
      <c r="T384" s="1">
        <f t="shared" si="70"/>
        <v>10000000000</v>
      </c>
      <c r="U384" s="1">
        <f>IFERROR(MATCH($AC$4&amp;"|12",GELIR_GIDER!$U$7:$U$3001,0),0)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IF($U385=0,"",INDEX(GELIR_GIDER!$C$7:$C$3001,$U385))</f>
        <v/>
      </c>
      <c r="O385" s="1" t="str">
        <f>IF($N385="","",INDEX(GELIR_GIDER!$E$7:$E$3001,$U385)&amp;IF(INDEX(GELIR_GIDER!$F$7:$F$3001,$U385)="",""," – "&amp;INDEX(GELIR_GIDER!$F$7:$F$3001,$U385)))</f>
        <v/>
      </c>
      <c r="P385" s="1" t="str">
        <f t="shared" si="72"/>
        <v/>
      </c>
      <c r="Q385" s="1"/>
      <c r="R385" s="1">
        <f>IF($N385="",0,INDEX(GELIR_GIDER!$G$7:$G$3001,$U385))</f>
        <v>0</v>
      </c>
      <c r="S385" s="1">
        <v>0</v>
      </c>
      <c r="T385" s="1">
        <f t="shared" si="70"/>
        <v>10000000000</v>
      </c>
      <c r="U385" s="1">
        <f>IFERROR(MATCH($AC$4&amp;"|13",GELIR_GIDER!$U$7:$U$3001,0),0)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IF($U386=0,"",INDEX(GELIR_GIDER!$C$7:$C$3001,$U386))</f>
        <v/>
      </c>
      <c r="O386" s="1" t="str">
        <f>IF($N386="","",INDEX(GELIR_GIDER!$E$7:$E$3001,$U386)&amp;IF(INDEX(GELIR_GIDER!$F$7:$F$3001,$U386)="",""," – "&amp;INDEX(GELIR_GIDER!$F$7:$F$3001,$U386)))</f>
        <v/>
      </c>
      <c r="P386" s="1" t="str">
        <f t="shared" si="72"/>
        <v/>
      </c>
      <c r="Q386" s="1"/>
      <c r="R386" s="1">
        <f>IF($N386="",0,INDEX(GELIR_GIDER!$G$7:$G$3001,$U386))</f>
        <v>0</v>
      </c>
      <c r="S386" s="1">
        <v>0</v>
      </c>
      <c r="T386" s="1">
        <f t="shared" si="70"/>
        <v>10000000000</v>
      </c>
      <c r="U386" s="1">
        <f>IFERROR(MATCH($AC$4&amp;"|14",GELIR_GIDER!$U$7:$U$3001,0),0)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IF($U387=0,"",INDEX(GELIR_GIDER!$C$7:$C$3001,$U387))</f>
        <v/>
      </c>
      <c r="O387" s="1" t="str">
        <f>IF($N387="","",INDEX(GELIR_GIDER!$E$7:$E$3001,$U387)&amp;IF(INDEX(GELIR_GIDER!$F$7:$F$3001,$U387)="",""," – "&amp;INDEX(GELIR_GIDER!$F$7:$F$3001,$U387)))</f>
        <v/>
      </c>
      <c r="P387" s="1" t="str">
        <f t="shared" si="72"/>
        <v/>
      </c>
      <c r="Q387" s="1"/>
      <c r="R387" s="1">
        <f>IF($N387="",0,INDEX(GELIR_GIDER!$G$7:$G$3001,$U387))</f>
        <v>0</v>
      </c>
      <c r="S387" s="1">
        <v>0</v>
      </c>
      <c r="T387" s="1">
        <f t="shared" si="70"/>
        <v>10000000000</v>
      </c>
      <c r="U387" s="1">
        <f>IFERROR(MATCH($AC$4&amp;"|15",GELIR_GIDER!$U$7:$U$3001,0),0)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IF($U388=0,"",INDEX(GELIR_GIDER!$C$7:$C$3001,$U388))</f>
        <v/>
      </c>
      <c r="O388" s="1" t="str">
        <f>IF($N388="","",INDEX(GELIR_GIDER!$E$7:$E$3001,$U388)&amp;IF(INDEX(GELIR_GIDER!$F$7:$F$3001,$U388)="",""," – "&amp;INDEX(GELIR_GIDER!$F$7:$F$3001,$U388)))</f>
        <v/>
      </c>
      <c r="P388" s="1" t="str">
        <f t="shared" si="72"/>
        <v/>
      </c>
      <c r="Q388" s="1"/>
      <c r="R388" s="1">
        <f>IF($N388="",0,INDEX(GELIR_GIDER!$G$7:$G$3001,$U388))</f>
        <v>0</v>
      </c>
      <c r="S388" s="1">
        <v>0</v>
      </c>
      <c r="T388" s="1">
        <f t="shared" si="70"/>
        <v>10000000000</v>
      </c>
      <c r="U388" s="1">
        <f>IFERROR(MATCH($AC$4&amp;"|16",GELIR_GIDER!$U$7:$U$3001,0),0)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IF($U389=0,"",INDEX(GELIR_GIDER!$C$7:$C$3001,$U389))</f>
        <v/>
      </c>
      <c r="O389" s="1" t="str">
        <f>IF($N389="","",INDEX(GELIR_GIDER!$E$7:$E$3001,$U389)&amp;IF(INDEX(GELIR_GIDER!$F$7:$F$3001,$U389)="",""," – "&amp;INDEX(GELIR_GIDER!$F$7:$F$3001,$U389)))</f>
        <v/>
      </c>
      <c r="P389" s="1" t="str">
        <f t="shared" si="72"/>
        <v/>
      </c>
      <c r="Q389" s="1"/>
      <c r="R389" s="1">
        <f>IF($N389="",0,INDEX(GELIR_GIDER!$G$7:$G$3001,$U389))</f>
        <v>0</v>
      </c>
      <c r="S389" s="1">
        <v>0</v>
      </c>
      <c r="T389" s="1">
        <f t="shared" si="70"/>
        <v>10000000000</v>
      </c>
      <c r="U389" s="1">
        <f>IFERROR(MATCH($AC$4&amp;"|17",GELIR_GIDER!$U$7:$U$3001,0),0)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IF($U390=0,"",INDEX(GELIR_GIDER!$C$7:$C$3001,$U390))</f>
        <v/>
      </c>
      <c r="O390" s="1" t="str">
        <f>IF($N390="","",INDEX(GELIR_GIDER!$E$7:$E$3001,$U390)&amp;IF(INDEX(GELIR_GIDER!$F$7:$F$3001,$U390)="",""," – "&amp;INDEX(GELIR_GIDER!$F$7:$F$3001,$U390)))</f>
        <v/>
      </c>
      <c r="P390" s="1" t="str">
        <f t="shared" si="72"/>
        <v/>
      </c>
      <c r="Q390" s="1"/>
      <c r="R390" s="1">
        <f>IF($N390="",0,INDEX(GELIR_GIDER!$G$7:$G$3001,$U390))</f>
        <v>0</v>
      </c>
      <c r="S390" s="1">
        <v>0</v>
      </c>
      <c r="T390" s="1">
        <f t="shared" si="70"/>
        <v>10000000000</v>
      </c>
      <c r="U390" s="1">
        <f>IFERROR(MATCH($AC$4&amp;"|18",GELIR_GIDER!$U$7:$U$3001,0),0)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IF($U391=0,"",INDEX(GELIR_GIDER!$C$7:$C$3001,$U391))</f>
        <v/>
      </c>
      <c r="O391" s="1" t="str">
        <f>IF($N391="","",INDEX(GELIR_GIDER!$E$7:$E$3001,$U391)&amp;IF(INDEX(GELIR_GIDER!$F$7:$F$3001,$U391)="",""," – "&amp;INDEX(GELIR_GIDER!$F$7:$F$3001,$U391)))</f>
        <v/>
      </c>
      <c r="P391" s="1" t="str">
        <f t="shared" si="72"/>
        <v/>
      </c>
      <c r="Q391" s="1"/>
      <c r="R391" s="1">
        <f>IF($N391="",0,INDEX(GELIR_GIDER!$G$7:$G$3001,$U391))</f>
        <v>0</v>
      </c>
      <c r="S391" s="1">
        <v>0</v>
      </c>
      <c r="T391" s="1">
        <f t="shared" si="70"/>
        <v>10000000000</v>
      </c>
      <c r="U391" s="1">
        <f>IFERROR(MATCH($AC$4&amp;"|19",GELIR_GIDER!$U$7:$U$3001,0),0)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IF($U392=0,"",INDEX(GELIR_GIDER!$C$7:$C$3001,$U392))</f>
        <v/>
      </c>
      <c r="O392" s="1" t="str">
        <f>IF($N392="","",INDEX(GELIR_GIDER!$E$7:$E$3001,$U392)&amp;IF(INDEX(GELIR_GIDER!$F$7:$F$3001,$U392)="",""," – "&amp;INDEX(GELIR_GIDER!$F$7:$F$3001,$U392)))</f>
        <v/>
      </c>
      <c r="P392" s="1" t="str">
        <f t="shared" si="72"/>
        <v/>
      </c>
      <c r="Q392" s="1"/>
      <c r="R392" s="1">
        <f>IF($N392="",0,INDEX(GELIR_GIDER!$G$7:$G$3001,$U392))</f>
        <v>0</v>
      </c>
      <c r="S392" s="1">
        <v>0</v>
      </c>
      <c r="T392" s="1">
        <f t="shared" si="70"/>
        <v>10000000000</v>
      </c>
      <c r="U392" s="1">
        <f>IFERROR(MATCH($AC$4&amp;"|20",GELIR_GIDER!$U$7:$U$3001,0),0)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IF($U393=0,"",INDEX(GELIR_GIDER!$C$7:$C$3001,$U393))</f>
        <v/>
      </c>
      <c r="O393" s="1" t="str">
        <f>IF($N393="","",INDEX(GELIR_GIDER!$E$7:$E$3001,$U393)&amp;IF(INDEX(GELIR_GIDER!$F$7:$F$3001,$U393)="",""," – "&amp;INDEX(GELIR_GIDER!$F$7:$F$3001,$U393)))</f>
        <v/>
      </c>
      <c r="P393" s="1" t="str">
        <f t="shared" si="72"/>
        <v/>
      </c>
      <c r="Q393" s="1"/>
      <c r="R393" s="1">
        <f>IF($N393="",0,INDEX(GELIR_GIDER!$G$7:$G$3001,$U393))</f>
        <v>0</v>
      </c>
      <c r="S393" s="1">
        <v>0</v>
      </c>
      <c r="T393" s="1">
        <f t="shared" si="70"/>
        <v>10000000000</v>
      </c>
      <c r="U393" s="1">
        <f>IFERROR(MATCH($AC$4&amp;"|21",GELIR_GIDER!$U$7:$U$3001,0),0)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IF($U394=0,"",INDEX(GELIR_GIDER!$C$7:$C$3001,$U394))</f>
        <v/>
      </c>
      <c r="O394" s="1" t="str">
        <f>IF($N394="","",INDEX(GELIR_GIDER!$E$7:$E$3001,$U394)&amp;IF(INDEX(GELIR_GIDER!$F$7:$F$3001,$U394)="",""," – "&amp;INDEX(GELIR_GIDER!$F$7:$F$3001,$U394)))</f>
        <v/>
      </c>
      <c r="P394" s="1" t="str">
        <f t="shared" si="72"/>
        <v/>
      </c>
      <c r="Q394" s="1"/>
      <c r="R394" s="1">
        <f>IF($N394="",0,INDEX(GELIR_GIDER!$G$7:$G$3001,$U394))</f>
        <v>0</v>
      </c>
      <c r="S394" s="1">
        <v>0</v>
      </c>
      <c r="T394" s="1">
        <f t="shared" si="70"/>
        <v>10000000000</v>
      </c>
      <c r="U394" s="1">
        <f>IFERROR(MATCH($AC$4&amp;"|22",GELIR_GIDER!$U$7:$U$3001,0),0)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IF($U395=0,"",INDEX(GELIR_GIDER!$C$7:$C$3001,$U395))</f>
        <v/>
      </c>
      <c r="O395" s="1" t="str">
        <f>IF($N395="","",INDEX(GELIR_GIDER!$E$7:$E$3001,$U395)&amp;IF(INDEX(GELIR_GIDER!$F$7:$F$3001,$U395)="",""," – "&amp;INDEX(GELIR_GIDER!$F$7:$F$3001,$U395)))</f>
        <v/>
      </c>
      <c r="P395" s="1" t="str">
        <f t="shared" si="72"/>
        <v/>
      </c>
      <c r="Q395" s="1"/>
      <c r="R395" s="1">
        <f>IF($N395="",0,INDEX(GELIR_GIDER!$G$7:$G$3001,$U395))</f>
        <v>0</v>
      </c>
      <c r="S395" s="1">
        <v>0</v>
      </c>
      <c r="T395" s="1">
        <f t="shared" si="70"/>
        <v>10000000000</v>
      </c>
      <c r="U395" s="1">
        <f>IFERROR(MATCH($AC$4&amp;"|23",GELIR_GIDER!$U$7:$U$3001,0),0)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IF($U396=0,"",INDEX(GELIR_GIDER!$C$7:$C$3001,$U396))</f>
        <v/>
      </c>
      <c r="O396" s="1" t="str">
        <f>IF($N396="","",INDEX(GELIR_GIDER!$E$7:$E$3001,$U396)&amp;IF(INDEX(GELIR_GIDER!$F$7:$F$3001,$U396)="",""," – "&amp;INDEX(GELIR_GIDER!$F$7:$F$3001,$U396)))</f>
        <v/>
      </c>
      <c r="P396" s="1" t="str">
        <f t="shared" si="72"/>
        <v/>
      </c>
      <c r="Q396" s="1"/>
      <c r="R396" s="1">
        <f>IF($N396="",0,INDEX(GELIR_GIDER!$G$7:$G$3001,$U396))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IFERROR(MATCH($AC$4&amp;"|24",GELIR_GIDER!$U$7:$U$3001,0),0)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IF($U397=0,"",INDEX(GELIR_GIDER!$C$7:$C$3001,$U397))</f>
        <v/>
      </c>
      <c r="O397" s="1" t="str">
        <f>IF($N397="","",INDEX(GELIR_GIDER!$E$7:$E$3001,$U397)&amp;IF(INDEX(GELIR_GIDER!$F$7:$F$3001,$U397)="",""," – "&amp;INDEX(GELIR_GIDER!$F$7:$F$3001,$U397)))</f>
        <v/>
      </c>
      <c r="P397" s="1" t="str">
        <f t="shared" si="72"/>
        <v/>
      </c>
      <c r="Q397" s="1"/>
      <c r="R397" s="1">
        <f>IF($N397="",0,INDEX(GELIR_GIDER!$G$7:$G$3001,$U397))</f>
        <v>0</v>
      </c>
      <c r="S397" s="1">
        <v>0</v>
      </c>
      <c r="T397" s="1">
        <f t="shared" si="73"/>
        <v>10000000000</v>
      </c>
      <c r="U397" s="1">
        <f>IFERROR(MATCH($AC$4&amp;"|25",GELIR_GIDER!$U$7:$U$3001,0),0)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IF($U398=0,"",INDEX(GELIR_GIDER!$C$7:$C$3001,$U398))</f>
        <v/>
      </c>
      <c r="O398" s="1" t="str">
        <f>IF($N398="","",INDEX(GELIR_GIDER!$E$7:$E$3001,$U398)&amp;IF(INDEX(GELIR_GIDER!$F$7:$F$3001,$U398)="",""," – "&amp;INDEX(GELIR_GIDER!$F$7:$F$3001,$U398)))</f>
        <v/>
      </c>
      <c r="P398" s="1" t="str">
        <f t="shared" si="72"/>
        <v/>
      </c>
      <c r="Q398" s="1"/>
      <c r="R398" s="1">
        <f>IF($N398="",0,INDEX(GELIR_GIDER!$G$7:$G$3001,$U398))</f>
        <v>0</v>
      </c>
      <c r="S398" s="1">
        <v>0</v>
      </c>
      <c r="T398" s="1">
        <f t="shared" si="73"/>
        <v>10000000000</v>
      </c>
      <c r="U398" s="1">
        <f>IFERROR(MATCH($AC$4&amp;"|26",GELIR_GIDER!$U$7:$U$3001,0),0)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IF($U399=0,"",INDEX(GELIR_GIDER!$C$7:$C$3001,$U399))</f>
        <v/>
      </c>
      <c r="O399" s="1" t="str">
        <f>IF($N399="","",INDEX(GELIR_GIDER!$E$7:$E$3001,$U399)&amp;IF(INDEX(GELIR_GIDER!$F$7:$F$3001,$U399)="",""," – "&amp;INDEX(GELIR_GIDER!$F$7:$F$3001,$U399)))</f>
        <v/>
      </c>
      <c r="P399" s="1" t="str">
        <f t="shared" si="72"/>
        <v/>
      </c>
      <c r="Q399" s="1"/>
      <c r="R399" s="1">
        <f>IF($N399="",0,INDEX(GELIR_GIDER!$G$7:$G$3001,$U399))</f>
        <v>0</v>
      </c>
      <c r="S399" s="1">
        <v>0</v>
      </c>
      <c r="T399" s="1">
        <f t="shared" si="73"/>
        <v>10000000000</v>
      </c>
      <c r="U399" s="1">
        <f>IFERROR(MATCH($AC$4&amp;"|27",GELIR_GIDER!$U$7:$U$3001,0),0)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IF($U400=0,"",INDEX(GELIR_GIDER!$C$7:$C$3001,$U400))</f>
        <v/>
      </c>
      <c r="O400" s="1" t="str">
        <f>IF($N400="","",INDEX(GELIR_GIDER!$E$7:$E$3001,$U400)&amp;IF(INDEX(GELIR_GIDER!$F$7:$F$3001,$U400)="",""," – "&amp;INDEX(GELIR_GIDER!$F$7:$F$3001,$U400)))</f>
        <v/>
      </c>
      <c r="P400" s="1" t="str">
        <f t="shared" si="72"/>
        <v/>
      </c>
      <c r="Q400" s="1"/>
      <c r="R400" s="1">
        <f>IF($N400="",0,INDEX(GELIR_GIDER!$G$7:$G$3001,$U400))</f>
        <v>0</v>
      </c>
      <c r="S400" s="1">
        <v>0</v>
      </c>
      <c r="T400" s="1">
        <f t="shared" si="73"/>
        <v>10000000000</v>
      </c>
      <c r="U400" s="1">
        <f>IFERROR(MATCH($AC$4&amp;"|28",GELIR_GIDER!$U$7:$U$3001,0),0)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IF($U401=0,"",INDEX(GELIR_GIDER!$C$7:$C$3001,$U401))</f>
        <v/>
      </c>
      <c r="O401" s="1" t="str">
        <f>IF($N401="","",INDEX(GELIR_GIDER!$E$7:$E$3001,$U401)&amp;IF(INDEX(GELIR_GIDER!$F$7:$F$3001,$U401)="",""," – "&amp;INDEX(GELIR_GIDER!$F$7:$F$3001,$U401)))</f>
        <v/>
      </c>
      <c r="P401" s="1" t="str">
        <f t="shared" si="72"/>
        <v/>
      </c>
      <c r="Q401" s="1"/>
      <c r="R401" s="1">
        <f>IF($N401="",0,INDEX(GELIR_GIDER!$G$7:$G$3001,$U401))</f>
        <v>0</v>
      </c>
      <c r="S401" s="1">
        <v>0</v>
      </c>
      <c r="T401" s="1">
        <f t="shared" si="73"/>
        <v>10000000000</v>
      </c>
      <c r="U401" s="1">
        <f>IFERROR(MATCH($AC$4&amp;"|29",GELIR_GIDER!$U$7:$U$3001,0),0)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IF($U402=0,"",INDEX(GELIR_GIDER!$C$7:$C$3001,$U402))</f>
        <v/>
      </c>
      <c r="O402" s="1" t="str">
        <f>IF($N402="","",INDEX(GELIR_GIDER!$E$7:$E$3001,$U402)&amp;IF(INDEX(GELIR_GIDER!$F$7:$F$3001,$U402)="",""," – "&amp;INDEX(GELIR_GIDER!$F$7:$F$3001,$U402)))</f>
        <v/>
      </c>
      <c r="P402" s="1" t="str">
        <f t="shared" si="72"/>
        <v/>
      </c>
      <c r="Q402" s="1"/>
      <c r="R402" s="1">
        <f>IF($N402="",0,INDEX(GELIR_GIDER!$G$7:$G$3001,$U402))</f>
        <v>0</v>
      </c>
      <c r="S402" s="1">
        <v>0</v>
      </c>
      <c r="T402" s="1">
        <f t="shared" si="73"/>
        <v>10000000000</v>
      </c>
      <c r="U402" s="1">
        <f>IFERROR(MATCH($AC$4&amp;"|30",GELIR_GIDER!$U$7:$U$3001,0),0)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IF($U403=0,"",INDEX(GELIR_GIDER!$C$7:$C$3001,$U403))</f>
        <v/>
      </c>
      <c r="O403" s="1" t="str">
        <f>IF($N403="","",INDEX(GELIR_GIDER!$E$7:$E$3001,$U403)&amp;IF(INDEX(GELIR_GIDER!$F$7:$F$3001,$U403)="",""," – "&amp;INDEX(GELIR_GIDER!$F$7:$F$3001,$U403)))</f>
        <v/>
      </c>
      <c r="P403" s="1" t="str">
        <f t="shared" si="72"/>
        <v/>
      </c>
      <c r="Q403" s="1"/>
      <c r="R403" s="1">
        <f>IF($N403="",0,INDEX(GELIR_GIDER!$G$7:$G$3001,$U403))</f>
        <v>0</v>
      </c>
      <c r="S403" s="1">
        <v>0</v>
      </c>
      <c r="T403" s="1">
        <f t="shared" si="73"/>
        <v>10000000000</v>
      </c>
      <c r="U403" s="1">
        <f>IFERROR(MATCH($AC$4&amp;"|31",GELIR_GIDER!$U$7:$U$3001,0),0)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IF($U404=0,"",INDEX(GELIR_GIDER!$C$7:$C$3001,$U404))</f>
        <v/>
      </c>
      <c r="O404" s="1" t="str">
        <f>IF($N404="","",INDEX(GELIR_GIDER!$E$7:$E$3001,$U404)&amp;IF(INDEX(GELIR_GIDER!$F$7:$F$3001,$U404)="",""," – "&amp;INDEX(GELIR_GIDER!$F$7:$F$3001,$U404)))</f>
        <v/>
      </c>
      <c r="P404" s="1" t="str">
        <f t="shared" si="72"/>
        <v/>
      </c>
      <c r="Q404" s="1"/>
      <c r="R404" s="1">
        <f>IF($N404="",0,INDEX(GELIR_GIDER!$G$7:$G$3001,$U404))</f>
        <v>0</v>
      </c>
      <c r="S404" s="1">
        <v>0</v>
      </c>
      <c r="T404" s="1">
        <f t="shared" si="73"/>
        <v>10000000000</v>
      </c>
      <c r="U404" s="1">
        <f>IFERROR(MATCH($AC$4&amp;"|32",GELIR_GIDER!$U$7:$U$3001,0),0)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IF($U405=0,"",INDEX(GELIR_GIDER!$C$7:$C$3001,$U405))</f>
        <v/>
      </c>
      <c r="O405" s="1" t="str">
        <f>IF($N405="","",INDEX(GELIR_GIDER!$E$7:$E$3001,$U405)&amp;IF(INDEX(GELIR_GIDER!$F$7:$F$3001,$U405)="",""," – "&amp;INDEX(GELIR_GIDER!$F$7:$F$3001,$U405)))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IF($N405="",0,INDEX(GELIR_GIDER!$G$7:$G$3001,$U405))</f>
        <v>0</v>
      </c>
      <c r="S405" s="1">
        <v>0</v>
      </c>
      <c r="T405" s="1">
        <f t="shared" si="73"/>
        <v>10000000000</v>
      </c>
      <c r="U405" s="1">
        <f>IFERROR(MATCH($AC$4&amp;"|33",GELIR_GIDER!$U$7:$U$3001,0),0)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IF($U406=0,"",INDEX(GELIR_GIDER!$C$7:$C$3001,$U406))</f>
        <v/>
      </c>
      <c r="O406" s="1" t="str">
        <f>IF($N406="","",INDEX(GELIR_GIDER!$E$7:$E$3001,$U406)&amp;IF(INDEX(GELIR_GIDER!$F$7:$F$3001,$U406)="",""," – "&amp;INDEX(GELIR_GIDER!$F$7:$F$3001,$U406)))</f>
        <v/>
      </c>
      <c r="P406" s="1" t="str">
        <f t="shared" si="74"/>
        <v/>
      </c>
      <c r="Q406" s="1"/>
      <c r="R406" s="1">
        <f>IF($N406="",0,INDEX(GELIR_GIDER!$G$7:$G$3001,$U406))</f>
        <v>0</v>
      </c>
      <c r="S406" s="1">
        <v>0</v>
      </c>
      <c r="T406" s="1">
        <f t="shared" si="73"/>
        <v>10000000000</v>
      </c>
      <c r="U406" s="1">
        <f>IFERROR(MATCH($AC$4&amp;"|34",GELIR_GIDER!$U$7:$U$3001,0),0)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IF($U407=0,"",INDEX(GELIR_GIDER!$C$7:$C$3001,$U407))</f>
        <v/>
      </c>
      <c r="O407" s="1" t="str">
        <f>IF($N407="","",INDEX(GELIR_GIDER!$E$7:$E$3001,$U407)&amp;IF(INDEX(GELIR_GIDER!$F$7:$F$3001,$U407)="",""," – "&amp;INDEX(GELIR_GIDER!$F$7:$F$3001,$U407)))</f>
        <v/>
      </c>
      <c r="P407" s="1" t="str">
        <f t="shared" si="74"/>
        <v/>
      </c>
      <c r="Q407" s="1"/>
      <c r="R407" s="1">
        <f>IF($N407="",0,INDEX(GELIR_GIDER!$G$7:$G$3001,$U407))</f>
        <v>0</v>
      </c>
      <c r="S407" s="1">
        <v>0</v>
      </c>
      <c r="T407" s="1">
        <f t="shared" si="73"/>
        <v>10000000000</v>
      </c>
      <c r="U407" s="1">
        <f>IFERROR(MATCH($AC$4&amp;"|35",GELIR_GIDER!$U$7:$U$3001,0),0)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IF($U408=0,"",INDEX(GELIR_GIDER!$C$7:$C$3001,$U408))</f>
        <v/>
      </c>
      <c r="O408" s="1" t="str">
        <f>IF($N408="","",INDEX(GELIR_GIDER!$E$7:$E$3001,$U408)&amp;IF(INDEX(GELIR_GIDER!$F$7:$F$3001,$U408)="",""," – "&amp;INDEX(GELIR_GIDER!$F$7:$F$3001,$U408)))</f>
        <v/>
      </c>
      <c r="P408" s="1" t="str">
        <f t="shared" si="74"/>
        <v/>
      </c>
      <c r="Q408" s="1"/>
      <c r="R408" s="1">
        <f>IF($N408="",0,INDEX(GELIR_GIDER!$G$7:$G$3001,$U408))</f>
        <v>0</v>
      </c>
      <c r="S408" s="1">
        <v>0</v>
      </c>
      <c r="T408" s="1">
        <f t="shared" si="73"/>
        <v>10000000000</v>
      </c>
      <c r="U408" s="1">
        <f>IFERROR(MATCH($AC$4&amp;"|36",GELIR_GIDER!$U$7:$U$3001,0),0)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IF($U409=0,"",INDEX(GELIR_GIDER!$C$7:$C$3001,$U409))</f>
        <v/>
      </c>
      <c r="O409" s="1" t="str">
        <f>IF($N409="","",INDEX(GELIR_GIDER!$E$7:$E$3001,$U409)&amp;IF(INDEX(GELIR_GIDER!$F$7:$F$3001,$U409)="",""," – "&amp;INDEX(GELIR_GIDER!$F$7:$F$3001,$U409)))</f>
        <v/>
      </c>
      <c r="P409" s="1" t="str">
        <f t="shared" si="74"/>
        <v/>
      </c>
      <c r="Q409" s="1"/>
      <c r="R409" s="1">
        <f>IF($N409="",0,INDEX(GELIR_GIDER!$G$7:$G$3001,$U409))</f>
        <v>0</v>
      </c>
      <c r="S409" s="1">
        <v>0</v>
      </c>
      <c r="T409" s="1">
        <f t="shared" si="73"/>
        <v>10000000000</v>
      </c>
      <c r="U409" s="1">
        <f>IFERROR(MATCH($AC$4&amp;"|37",GELIR_GIDER!$U$7:$U$3001,0),0)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IF($U410=0,"",INDEX(GELIR_GIDER!$C$7:$C$3001,$U410))</f>
        <v/>
      </c>
      <c r="O410" s="1" t="str">
        <f>IF($N410="","",INDEX(GELIR_GIDER!$E$7:$E$3001,$U410)&amp;IF(INDEX(GELIR_GIDER!$F$7:$F$3001,$U410)="",""," – "&amp;INDEX(GELIR_GIDER!$F$7:$F$3001,$U410)))</f>
        <v/>
      </c>
      <c r="P410" s="1" t="str">
        <f t="shared" si="74"/>
        <v/>
      </c>
      <c r="Q410" s="1"/>
      <c r="R410" s="1">
        <f>IF($N410="",0,INDEX(GELIR_GIDER!$G$7:$G$3001,$U410))</f>
        <v>0</v>
      </c>
      <c r="S410" s="1">
        <v>0</v>
      </c>
      <c r="T410" s="1">
        <f t="shared" si="73"/>
        <v>10000000000</v>
      </c>
      <c r="U410" s="1">
        <f>IFERROR(MATCH($AC$4&amp;"|38",GELIR_GIDER!$U$7:$U$3001,0),0)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IF($U411=0,"",INDEX(GELIR_GIDER!$C$7:$C$3001,$U411))</f>
        <v/>
      </c>
      <c r="O411" s="1" t="str">
        <f>IF($N411="","",INDEX(GELIR_GIDER!$E$7:$E$3001,$U411)&amp;IF(INDEX(GELIR_GIDER!$F$7:$F$3001,$U411)="",""," – "&amp;INDEX(GELIR_GIDER!$F$7:$F$3001,$U411)))</f>
        <v/>
      </c>
      <c r="P411" s="1" t="str">
        <f t="shared" si="74"/>
        <v/>
      </c>
      <c r="Q411" s="1"/>
      <c r="R411" s="1">
        <f>IF($N411="",0,INDEX(GELIR_GIDER!$G$7:$G$3001,$U411))</f>
        <v>0</v>
      </c>
      <c r="S411" s="1">
        <v>0</v>
      </c>
      <c r="T411" s="1">
        <f t="shared" si="73"/>
        <v>10000000000</v>
      </c>
      <c r="U411" s="1">
        <f>IFERROR(MATCH($AC$4&amp;"|39",GELIR_GIDER!$U$7:$U$3001,0),0)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IF($U412=0,"",INDEX(GELIR_GIDER!$C$7:$C$3001,$U412))</f>
        <v/>
      </c>
      <c r="O412" s="1" t="str">
        <f>IF($N412="","",INDEX(GELIR_GIDER!$E$7:$E$3001,$U412)&amp;IF(INDEX(GELIR_GIDER!$F$7:$F$3001,$U412)="",""," – "&amp;INDEX(GELIR_GIDER!$F$7:$F$3001,$U412)))</f>
        <v/>
      </c>
      <c r="P412" s="1" t="str">
        <f t="shared" si="74"/>
        <v/>
      </c>
      <c r="Q412" s="1"/>
      <c r="R412" s="1">
        <f>IF($N412="",0,INDEX(GELIR_GIDER!$G$7:$G$3001,$U412))</f>
        <v>0</v>
      </c>
      <c r="S412" s="1">
        <v>0</v>
      </c>
      <c r="T412" s="1">
        <f t="shared" si="73"/>
        <v>10000000000</v>
      </c>
      <c r="U412" s="1">
        <f>IFERROR(MATCH($AC$4&amp;"|40",GELIR_GIDER!$U$7:$U$3001,0),0)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IF($U413=0,"",INDEX(GELIR_GIDER!$C$7:$C$3001,$U413))</f>
        <v/>
      </c>
      <c r="O413" s="1" t="str">
        <f>IF($N413="","",INDEX(GELIR_GIDER!$E$7:$E$3001,$U413)&amp;IF(INDEX(GELIR_GIDER!$F$7:$F$3001,$U413)="",""," – "&amp;INDEX(GELIR_GIDER!$F$7:$F$3001,$U413)))</f>
        <v/>
      </c>
      <c r="P413" s="1" t="str">
        <f t="shared" si="74"/>
        <v/>
      </c>
      <c r="Q413" s="1"/>
      <c r="R413" s="1">
        <f>IF($N413="",0,INDEX(GELIR_GIDER!$G$7:$G$3001,$U413))</f>
        <v>0</v>
      </c>
      <c r="S413" s="1">
        <v>0</v>
      </c>
      <c r="T413" s="1">
        <f t="shared" si="73"/>
        <v>10000000000</v>
      </c>
      <c r="U413" s="1">
        <f>IFERROR(MATCH($AC$4&amp;"|41",GELIR_GIDER!$U$7:$U$3001,0),0)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IF($U414=0,"",INDEX(GELIR_GIDER!$C$7:$C$3001,$U414))</f>
        <v/>
      </c>
      <c r="O414" s="1" t="str">
        <f>IF($N414="","",INDEX(GELIR_GIDER!$E$7:$E$3001,$U414)&amp;IF(INDEX(GELIR_GIDER!$F$7:$F$3001,$U414)="",""," – "&amp;INDEX(GELIR_GIDER!$F$7:$F$3001,$U414)))</f>
        <v/>
      </c>
      <c r="P414" s="1" t="str">
        <f t="shared" si="74"/>
        <v/>
      </c>
      <c r="Q414" s="1"/>
      <c r="R414" s="1">
        <f>IF($N414="",0,INDEX(GELIR_GIDER!$G$7:$G$3001,$U414))</f>
        <v>0</v>
      </c>
      <c r="S414" s="1">
        <v>0</v>
      </c>
      <c r="T414" s="1">
        <f t="shared" si="73"/>
        <v>10000000000</v>
      </c>
      <c r="U414" s="1">
        <f>IFERROR(MATCH($AC$4&amp;"|42",GELIR_GIDER!$U$7:$U$3001,0),0)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IF($U415=0,"",INDEX(GELIR_GIDER!$C$7:$C$3001,$U415))</f>
        <v/>
      </c>
      <c r="O415" s="1" t="str">
        <f>IF($N415="","",INDEX(GELIR_GIDER!$E$7:$E$3001,$U415)&amp;IF(INDEX(GELIR_GIDER!$F$7:$F$3001,$U415)="",""," – "&amp;INDEX(GELIR_GIDER!$F$7:$F$3001,$U415)))</f>
        <v/>
      </c>
      <c r="P415" s="1" t="str">
        <f t="shared" si="74"/>
        <v/>
      </c>
      <c r="Q415" s="1"/>
      <c r="R415" s="1">
        <f>IF($N415="",0,INDEX(GELIR_GIDER!$G$7:$G$3001,$U415))</f>
        <v>0</v>
      </c>
      <c r="S415" s="1">
        <v>0</v>
      </c>
      <c r="T415" s="1">
        <f t="shared" si="73"/>
        <v>10000000000</v>
      </c>
      <c r="U415" s="1">
        <f>IFERROR(MATCH($AC$4&amp;"|43",GELIR_GIDER!$U$7:$U$3001,0),0)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IF($U416=0,"",INDEX(GELIR_GIDER!$C$7:$C$3001,$U416))</f>
        <v/>
      </c>
      <c r="O416" s="1" t="str">
        <f>IF($N416="","",INDEX(GELIR_GIDER!$E$7:$E$3001,$U416)&amp;IF(INDEX(GELIR_GIDER!$F$7:$F$3001,$U416)="",""," – "&amp;INDEX(GELIR_GIDER!$F$7:$F$3001,$U416)))</f>
        <v/>
      </c>
      <c r="P416" s="1" t="str">
        <f t="shared" si="74"/>
        <v/>
      </c>
      <c r="Q416" s="1"/>
      <c r="R416" s="1">
        <f>IF($N416="",0,INDEX(GELIR_GIDER!$G$7:$G$3001,$U416))</f>
        <v>0</v>
      </c>
      <c r="S416" s="1">
        <v>0</v>
      </c>
      <c r="T416" s="1">
        <f t="shared" si="73"/>
        <v>10000000000</v>
      </c>
      <c r="U416" s="1">
        <f>IFERROR(MATCH($AC$4&amp;"|44",GELIR_GIDER!$U$7:$U$3001,0),0)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IF($U417=0,"",INDEX(GELIR_GIDER!$C$7:$C$3001,$U417))</f>
        <v/>
      </c>
      <c r="O417" s="1" t="str">
        <f>IF($N417="","",INDEX(GELIR_GIDER!$E$7:$E$3001,$U417)&amp;IF(INDEX(GELIR_GIDER!$F$7:$F$3001,$U417)="",""," – "&amp;INDEX(GELIR_GIDER!$F$7:$F$3001,$U417)))</f>
        <v/>
      </c>
      <c r="P417" s="1" t="str">
        <f t="shared" si="74"/>
        <v/>
      </c>
      <c r="Q417" s="1"/>
      <c r="R417" s="1">
        <f>IF($N417="",0,INDEX(GELIR_GIDER!$G$7:$G$3001,$U417))</f>
        <v>0</v>
      </c>
      <c r="S417" s="1">
        <v>0</v>
      </c>
      <c r="T417" s="1">
        <f t="shared" si="73"/>
        <v>10000000000</v>
      </c>
      <c r="U417" s="1">
        <f>IFERROR(MATCH($AC$4&amp;"|45",GELIR_GIDER!$U$7:$U$3001,0),0)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IF($U418=0,"",INDEX(GELIR_GIDER!$C$7:$C$3001,$U418))</f>
        <v/>
      </c>
      <c r="O418" s="1" t="str">
        <f>IF($N418="","",INDEX(GELIR_GIDER!$E$7:$E$3001,$U418)&amp;IF(INDEX(GELIR_GIDER!$F$7:$F$3001,$U418)="",""," – "&amp;INDEX(GELIR_GIDER!$F$7:$F$3001,$U418)))</f>
        <v/>
      </c>
      <c r="P418" s="1" t="str">
        <f t="shared" si="74"/>
        <v/>
      </c>
      <c r="Q418" s="1"/>
      <c r="R418" s="1">
        <f>IF($N418="",0,INDEX(GELIR_GIDER!$G$7:$G$3001,$U418))</f>
        <v>0</v>
      </c>
      <c r="S418" s="1">
        <v>0</v>
      </c>
      <c r="T418" s="1">
        <f t="shared" si="73"/>
        <v>10000000000</v>
      </c>
      <c r="U418" s="1">
        <f>IFERROR(MATCH($AC$4&amp;"|46",GELIR_GIDER!$U$7:$U$3001,0),0)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IF($U419=0,"",INDEX(GELIR_GIDER!$C$7:$C$3001,$U419))</f>
        <v/>
      </c>
      <c r="O419" s="1" t="str">
        <f>IF($N419="","",INDEX(GELIR_GIDER!$E$7:$E$3001,$U419)&amp;IF(INDEX(GELIR_GIDER!$F$7:$F$3001,$U419)="",""," – "&amp;INDEX(GELIR_GIDER!$F$7:$F$3001,$U419)))</f>
        <v/>
      </c>
      <c r="P419" s="1" t="str">
        <f t="shared" si="74"/>
        <v/>
      </c>
      <c r="Q419" s="1"/>
      <c r="R419" s="1">
        <f>IF($N419="",0,INDEX(GELIR_GIDER!$G$7:$G$3001,$U419))</f>
        <v>0</v>
      </c>
      <c r="S419" s="1">
        <v>0</v>
      </c>
      <c r="T419" s="1">
        <f t="shared" si="73"/>
        <v>10000000000</v>
      </c>
      <c r="U419" s="1">
        <f>IFERROR(MATCH($AC$4&amp;"|47",GELIR_GIDER!$U$7:$U$3001,0),0)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IF($U420=0,"",INDEX(GELIR_GIDER!$C$7:$C$3001,$U420))</f>
        <v/>
      </c>
      <c r="O420" s="1" t="str">
        <f>IF($N420="","",INDEX(GELIR_GIDER!$E$7:$E$3001,$U420)&amp;IF(INDEX(GELIR_GIDER!$F$7:$F$3001,$U420)="",""," – "&amp;INDEX(GELIR_GIDER!$F$7:$F$3001,$U420)))</f>
        <v/>
      </c>
      <c r="P420" s="1" t="str">
        <f t="shared" si="74"/>
        <v/>
      </c>
      <c r="Q420" s="1"/>
      <c r="R420" s="1">
        <f>IF($N420="",0,INDEX(GELIR_GIDER!$G$7:$G$3001,$U420))</f>
        <v>0</v>
      </c>
      <c r="S420" s="1">
        <v>0</v>
      </c>
      <c r="T420" s="1">
        <f t="shared" si="73"/>
        <v>10000000000</v>
      </c>
      <c r="U420" s="1">
        <f>IFERROR(MATCH($AC$4&amp;"|48",GELIR_GIDER!$U$7:$U$3001,0),0)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IF($U421=0,"",INDEX(GELIR_GIDER!$C$7:$C$3001,$U421))</f>
        <v/>
      </c>
      <c r="O421" s="1" t="str">
        <f>IF($N421="","",INDEX(GELIR_GIDER!$E$7:$E$3001,$U421)&amp;IF(INDEX(GELIR_GIDER!$F$7:$F$3001,$U421)="",""," – "&amp;INDEX(GELIR_GIDER!$F$7:$F$3001,$U421)))</f>
        <v/>
      </c>
      <c r="P421" s="1" t="str">
        <f t="shared" si="74"/>
        <v/>
      </c>
      <c r="Q421" s="1"/>
      <c r="R421" s="1">
        <f>IF($N421="",0,INDEX(GELIR_GIDER!$G$7:$G$3001,$U421))</f>
        <v>0</v>
      </c>
      <c r="S421" s="1">
        <v>0</v>
      </c>
      <c r="T421" s="1">
        <f t="shared" si="73"/>
        <v>10000000000</v>
      </c>
      <c r="U421" s="1">
        <f>IFERROR(MATCH($AC$4&amp;"|49",GELIR_GIDER!$U$7:$U$3001,0),0)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IF($U422=0,"",INDEX(GELIR_GIDER!$C$7:$C$3001,$U422))</f>
        <v/>
      </c>
      <c r="O422" s="1" t="str">
        <f>IF($N422="","",INDEX(GELIR_GIDER!$E$7:$E$3001,$U422)&amp;IF(INDEX(GELIR_GIDER!$F$7:$F$3001,$U422)="",""," – "&amp;INDEX(GELIR_GIDER!$F$7:$F$3001,$U422)))</f>
        <v/>
      </c>
      <c r="P422" s="1" t="str">
        <f t="shared" si="74"/>
        <v/>
      </c>
      <c r="Q422" s="1"/>
      <c r="R422" s="1">
        <f>IF($N422="",0,INDEX(GELIR_GIDER!$G$7:$G$3001,$U422))</f>
        <v>0</v>
      </c>
      <c r="S422" s="1">
        <v>0</v>
      </c>
      <c r="T422" s="1">
        <f t="shared" si="73"/>
        <v>10000000000</v>
      </c>
      <c r="U422" s="1">
        <f>IFERROR(MATCH($AC$4&amp;"|50",GELIR_GIDER!$U$7:$U$3001,0),0)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IF($U423=0,"",INDEX(GELIR_GIDER!$C$7:$C$3001,$U423))</f>
        <v/>
      </c>
      <c r="O423" s="1" t="str">
        <f>IF($N423="","",INDEX(GELIR_GIDER!$E$7:$E$3001,$U423)&amp;IF(INDEX(GELIR_GIDER!$F$7:$F$3001,$U423)="",""," – "&amp;INDEX(GELIR_GIDER!$F$7:$F$3001,$U423)))</f>
        <v/>
      </c>
      <c r="P423" s="1" t="str">
        <f t="shared" si="74"/>
        <v/>
      </c>
      <c r="Q423" s="1"/>
      <c r="R423" s="1">
        <f>IF($N423="",0,INDEX(GELIR_GIDER!$G$7:$G$3001,$U423))</f>
        <v>0</v>
      </c>
      <c r="S423" s="1">
        <v>0</v>
      </c>
      <c r="T423" s="1">
        <f t="shared" si="73"/>
        <v>10000000000</v>
      </c>
      <c r="U423" s="1">
        <f>IFERROR(MATCH($AC$4&amp;"|51",GELIR_GIDER!$U$7:$U$3001,0),0)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IF($U424=0,"",INDEX(GELIR_GIDER!$C$7:$C$3001,$U424))</f>
        <v/>
      </c>
      <c r="O424" s="1" t="str">
        <f>IF($N424="","",INDEX(GELIR_GIDER!$E$7:$E$3001,$U424)&amp;IF(INDEX(GELIR_GIDER!$F$7:$F$3001,$U424)="",""," – "&amp;INDEX(GELIR_GIDER!$F$7:$F$3001,$U424)))</f>
        <v/>
      </c>
      <c r="P424" s="1" t="str">
        <f t="shared" si="74"/>
        <v/>
      </c>
      <c r="Q424" s="1"/>
      <c r="R424" s="1">
        <f>IF($N424="",0,INDEX(GELIR_GIDER!$G$7:$G$3001,$U424))</f>
        <v>0</v>
      </c>
      <c r="S424" s="1">
        <v>0</v>
      </c>
      <c r="T424" s="1">
        <f t="shared" si="73"/>
        <v>10000000000</v>
      </c>
      <c r="U424" s="1">
        <f>IFERROR(MATCH($AC$4&amp;"|52",GELIR_GIDER!$U$7:$U$3001,0),0)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IF($U425=0,"",INDEX(GELIR_GIDER!$C$7:$C$3001,$U425))</f>
        <v/>
      </c>
      <c r="O425" s="1" t="str">
        <f>IF($N425="","",INDEX(GELIR_GIDER!$E$7:$E$3001,$U425)&amp;IF(INDEX(GELIR_GIDER!$F$7:$F$3001,$U425)="",""," – "&amp;INDEX(GELIR_GIDER!$F$7:$F$3001,$U425)))</f>
        <v/>
      </c>
      <c r="P425" s="1" t="str">
        <f t="shared" si="74"/>
        <v/>
      </c>
      <c r="Q425" s="1"/>
      <c r="R425" s="1">
        <f>IF($N425="",0,INDEX(GELIR_GIDER!$G$7:$G$3001,$U425))</f>
        <v>0</v>
      </c>
      <c r="S425" s="1">
        <v>0</v>
      </c>
      <c r="T425" s="1">
        <f t="shared" si="73"/>
        <v>10000000000</v>
      </c>
      <c r="U425" s="1">
        <f>IFERROR(MATCH($AC$4&amp;"|53",GELIR_GIDER!$U$7:$U$3001,0),0)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IF($U426=0,"",INDEX(GELIR_GIDER!$C$7:$C$3001,$U426))</f>
        <v/>
      </c>
      <c r="O426" s="1" t="str">
        <f>IF($N426="","",INDEX(GELIR_GIDER!$E$7:$E$3001,$U426)&amp;IF(INDEX(GELIR_GIDER!$F$7:$F$3001,$U426)="",""," – "&amp;INDEX(GELIR_GIDER!$F$7:$F$3001,$U426)))</f>
        <v/>
      </c>
      <c r="P426" s="1" t="str">
        <f t="shared" si="74"/>
        <v/>
      </c>
      <c r="Q426" s="1"/>
      <c r="R426" s="1">
        <f>IF($N426="",0,INDEX(GELIR_GIDER!$G$7:$G$3001,$U426))</f>
        <v>0</v>
      </c>
      <c r="S426" s="1">
        <v>0</v>
      </c>
      <c r="T426" s="1">
        <f t="shared" si="73"/>
        <v>10000000000</v>
      </c>
      <c r="U426" s="1">
        <f>IFERROR(MATCH($AC$4&amp;"|54",GELIR_GIDER!$U$7:$U$3001,0),0)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IF($U427=0,"",INDEX(GELIR_GIDER!$C$7:$C$3001,$U427))</f>
        <v/>
      </c>
      <c r="O427" s="1" t="str">
        <f>IF($N427="","",INDEX(GELIR_GIDER!$E$7:$E$3001,$U427)&amp;IF(INDEX(GELIR_GIDER!$F$7:$F$3001,$U427)="",""," – "&amp;INDEX(GELIR_GIDER!$F$7:$F$3001,$U427)))</f>
        <v/>
      </c>
      <c r="P427" s="1" t="str">
        <f t="shared" si="74"/>
        <v/>
      </c>
      <c r="Q427" s="1"/>
      <c r="R427" s="1">
        <f>IF($N427="",0,INDEX(GELIR_GIDER!$G$7:$G$3001,$U427))</f>
        <v>0</v>
      </c>
      <c r="S427" s="1">
        <v>0</v>
      </c>
      <c r="T427" s="1">
        <f t="shared" si="73"/>
        <v>10000000000</v>
      </c>
      <c r="U427" s="1">
        <f>IFERROR(MATCH($AC$4&amp;"|55",GELIR_GIDER!$U$7:$U$3001,0),0)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IF($U428=0,"",INDEX(GELIR_GIDER!$C$7:$C$3001,$U428))</f>
        <v/>
      </c>
      <c r="O428" s="1" t="str">
        <f>IF($N428="","",INDEX(GELIR_GIDER!$E$7:$E$3001,$U428)&amp;IF(INDEX(GELIR_GIDER!$F$7:$F$3001,$U428)="",""," – "&amp;INDEX(GELIR_GIDER!$F$7:$F$3001,$U428)))</f>
        <v/>
      </c>
      <c r="P428" s="1" t="str">
        <f t="shared" si="74"/>
        <v/>
      </c>
      <c r="Q428" s="1"/>
      <c r="R428" s="1">
        <f>IF($N428="",0,INDEX(GELIR_GIDER!$G$7:$G$3001,$U428))</f>
        <v>0</v>
      </c>
      <c r="S428" s="1">
        <v>0</v>
      </c>
      <c r="T428" s="1">
        <f t="shared" si="73"/>
        <v>10000000000</v>
      </c>
      <c r="U428" s="1">
        <f>IFERROR(MATCH($AC$4&amp;"|56",GELIR_GIDER!$U$7:$U$3001,0),0)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IF($U429=0,"",INDEX(GELIR_GIDER!$C$7:$C$3001,$U429))</f>
        <v/>
      </c>
      <c r="O429" s="1" t="str">
        <f>IF($N429="","",INDEX(GELIR_GIDER!$E$7:$E$3001,$U429)&amp;IF(INDEX(GELIR_GIDER!$F$7:$F$3001,$U429)="",""," – "&amp;INDEX(GELIR_GIDER!$F$7:$F$3001,$U429)))</f>
        <v/>
      </c>
      <c r="P429" s="1" t="str">
        <f t="shared" si="74"/>
        <v/>
      </c>
      <c r="Q429" s="1"/>
      <c r="R429" s="1">
        <f>IF($N429="",0,INDEX(GELIR_GIDER!$G$7:$G$3001,$U429))</f>
        <v>0</v>
      </c>
      <c r="S429" s="1">
        <v>0</v>
      </c>
      <c r="T429" s="1">
        <f t="shared" si="73"/>
        <v>10000000000</v>
      </c>
      <c r="U429" s="1">
        <f>IFERROR(MATCH($AC$4&amp;"|57",GELIR_GIDER!$U$7:$U$3001,0),0)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IF($U430=0,"",INDEX(GELIR_GIDER!$C$7:$C$3001,$U430))</f>
        <v/>
      </c>
      <c r="O430" s="1" t="str">
        <f>IF($N430="","",INDEX(GELIR_GIDER!$E$7:$E$3001,$U430)&amp;IF(INDEX(GELIR_GIDER!$F$7:$F$3001,$U430)="",""," – "&amp;INDEX(GELIR_GIDER!$F$7:$F$3001,$U430)))</f>
        <v/>
      </c>
      <c r="P430" s="1" t="str">
        <f t="shared" si="74"/>
        <v/>
      </c>
      <c r="Q430" s="1"/>
      <c r="R430" s="1">
        <f>IF($N430="",0,INDEX(GELIR_GIDER!$G$7:$G$3001,$U430))</f>
        <v>0</v>
      </c>
      <c r="S430" s="1">
        <v>0</v>
      </c>
      <c r="T430" s="1">
        <f t="shared" si="73"/>
        <v>10000000000</v>
      </c>
      <c r="U430" s="1">
        <f>IFERROR(MATCH($AC$4&amp;"|58",GELIR_GIDER!$U$7:$U$3001,0),0)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IF($U431=0,"",INDEX(GELIR_GIDER!$C$7:$C$3001,$U431))</f>
        <v/>
      </c>
      <c r="O431" s="1" t="str">
        <f>IF($N431="","",INDEX(GELIR_GIDER!$E$7:$E$3001,$U431)&amp;IF(INDEX(GELIR_GIDER!$F$7:$F$3001,$U431)="",""," – "&amp;INDEX(GELIR_GIDER!$F$7:$F$3001,$U431)))</f>
        <v/>
      </c>
      <c r="P431" s="1" t="str">
        <f t="shared" si="74"/>
        <v/>
      </c>
      <c r="Q431" s="1"/>
      <c r="R431" s="1">
        <f>IF($N431="",0,INDEX(GELIR_GIDER!$G$7:$G$3001,$U431))</f>
        <v>0</v>
      </c>
      <c r="S431" s="1">
        <v>0</v>
      </c>
      <c r="T431" s="1">
        <f t="shared" si="73"/>
        <v>10000000000</v>
      </c>
      <c r="U431" s="1">
        <f>IFERROR(MATCH($AC$4&amp;"|59",GELIR_GIDER!$U$7:$U$3001,0),0)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IF($U432=0,"",INDEX(GELIR_GIDER!$C$7:$C$3001,$U432))</f>
        <v/>
      </c>
      <c r="O432" s="1" t="str">
        <f>IF($N432="","",INDEX(GELIR_GIDER!$E$7:$E$3001,$U432)&amp;IF(INDEX(GELIR_GIDER!$F$7:$F$3001,$U432)="",""," – "&amp;INDEX(GELIR_GIDER!$F$7:$F$3001,$U432)))</f>
        <v/>
      </c>
      <c r="P432" s="1" t="str">
        <f t="shared" si="74"/>
        <v/>
      </c>
      <c r="Q432" s="1"/>
      <c r="R432" s="1">
        <f>IF($N432="",0,INDEX(GELIR_GIDER!$G$7:$G$3001,$U432))</f>
        <v>0</v>
      </c>
      <c r="S432" s="1">
        <v>0</v>
      </c>
      <c r="T432" s="1">
        <f t="shared" si="73"/>
        <v>10000000000</v>
      </c>
      <c r="U432" s="1">
        <f>IFERROR(MATCH($AC$4&amp;"|60",GELIR_GIDER!$U$7:$U$3001,0),0)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9:C9"/>
    <mergeCell ref="D9:E9"/>
    <mergeCell ref="E10:H10"/>
    <mergeCell ref="D8:E8"/>
    <mergeCell ref="E6:H6"/>
    <mergeCell ref="E4:G4"/>
    <mergeCell ref="F8:H8"/>
    <mergeCell ref="F315:H315"/>
    <mergeCell ref="B315:D315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22B2B"/>
    <pageSetUpPr fitToPage="1"/>
  </sheetPr>
  <dimension ref="A1:AG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5" width="13" customWidth="1"/>
    <col min="6" max="6" width="13.85546875" customWidth="1"/>
    <col min="7" max="7" width="15.140625" bestFit="1" customWidth="1"/>
    <col min="8" max="10" width="14.85546875" customWidth="1"/>
    <col min="11" max="13" width="13" customWidth="1"/>
    <col min="14" max="14" width="16.42578125" bestFit="1" customWidth="1"/>
    <col min="15" max="16" width="12" customWidth="1"/>
    <col min="17" max="17" width="15.7109375" customWidth="1"/>
    <col min="18" max="18" width="31.5703125" customWidth="1"/>
    <col min="19" max="19" width="10.140625" customWidth="1"/>
    <col min="20" max="21" width="12" customWidth="1"/>
    <col min="22" max="22" width="14.85546875" customWidth="1"/>
    <col min="23" max="23" width="11.140625" customWidth="1"/>
    <col min="24" max="25" width="2.28515625" hidden="1" customWidth="1"/>
    <col min="26" max="32" width="11.140625" hidden="1" customWidth="1"/>
    <col min="33" max="33" width="12" hidden="1" customWidth="1"/>
  </cols>
  <sheetData>
    <row r="1" spans="1:33" ht="37.5" customHeight="1" x14ac:dyDescent="0.3">
      <c r="A1" s="170" t="s">
        <v>0</v>
      </c>
      <c r="B1" s="171"/>
      <c r="C1" s="171"/>
      <c r="D1" s="171"/>
      <c r="E1" s="171"/>
      <c r="F1" s="173" t="s">
        <v>1027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3">
      <c r="A2" s="172" t="s">
        <v>1028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3">
      <c r="A3" s="2"/>
      <c r="B3" s="50" t="s">
        <v>1029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1030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3">
      <c r="A5" s="2"/>
      <c r="B5" s="53"/>
      <c r="C5" s="54" t="s">
        <v>1031</v>
      </c>
      <c r="D5" s="56">
        <f t="shared" ref="D5:N5" ca="1" si="0">SUM(D7:D156)</f>
        <v>79750</v>
      </c>
      <c r="E5" s="56">
        <f t="shared" ca="1" si="0"/>
        <v>131001</v>
      </c>
      <c r="F5" s="56">
        <f t="shared" ca="1" si="0"/>
        <v>0</v>
      </c>
      <c r="G5" s="56">
        <f t="shared" ca="1" si="0"/>
        <v>3298007</v>
      </c>
      <c r="H5" s="56">
        <f t="shared" ca="1" si="0"/>
        <v>3298007</v>
      </c>
      <c r="I5" s="56">
        <f t="shared" ca="1" si="0"/>
        <v>2299500</v>
      </c>
      <c r="J5" s="56">
        <f t="shared" ca="1" si="0"/>
        <v>1105507</v>
      </c>
      <c r="K5" s="56">
        <f t="shared" ca="1" si="0"/>
        <v>33500</v>
      </c>
      <c r="L5" s="56">
        <f t="shared" ca="1" si="0"/>
        <v>33500</v>
      </c>
      <c r="M5" s="56">
        <f t="shared" ca="1" si="0"/>
        <v>160001</v>
      </c>
      <c r="N5" s="56">
        <f t="shared" ca="1" si="0"/>
        <v>878506</v>
      </c>
      <c r="O5" s="91">
        <f ca="1">IFERROR($I$5/$H$5,0)</f>
        <v>0.69723927208159353</v>
      </c>
      <c r="P5" s="53"/>
      <c r="Q5" s="53"/>
      <c r="R5" s="53"/>
      <c r="S5" s="53"/>
      <c r="T5" s="53"/>
      <c r="U5" s="53"/>
      <c r="V5" s="56">
        <f ca="1">SUM(V7:V156)</f>
        <v>107000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3">
      <c r="A6" s="2"/>
      <c r="B6" s="57" t="s">
        <v>19</v>
      </c>
      <c r="C6" s="58" t="s">
        <v>1032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1033</v>
      </c>
      <c r="T6" s="57" t="s">
        <v>1034</v>
      </c>
      <c r="U6" s="57" t="s">
        <v>1035</v>
      </c>
      <c r="V6" s="59" t="s">
        <v>1036</v>
      </c>
      <c r="W6" s="57" t="s">
        <v>164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3">
      <c r="A7" s="2"/>
      <c r="B7" s="65" t="str">
        <f ca="1">IF($AF7="","",INDEX(MUSTERILER!$B$7:$B$156,$AF7))</f>
        <v>M050</v>
      </c>
      <c r="C7" s="74" t="str">
        <f ca="1">IF($AF7="","",INDEX(MUSTERILER!$C$7:$C$156,$AF7))</f>
        <v>TANAK LTD.ŞTİ.</v>
      </c>
      <c r="D7" s="68">
        <f ca="1">IF($B7="","",SUMIFS(UCRETLER!$G$7:$G$606,UCRETLER!$B$7:$B$606,$B7,UCRETLER!$F$7:$F$606,"Haftalık",UCRETLER!$H$7:$H$606,"Aktif"))</f>
        <v>4000</v>
      </c>
      <c r="E7" s="68">
        <f ca="1">IF($B7="","",SUMIFS(UCRETLER!$G$7:$G$606,UCRETLER!$B$7:$B$606,$B7,UCRETLER!$F$7:$F$606,"Aylık",UCRETLER!$H$7:$H$606,"Aktif"))</f>
        <v>0</v>
      </c>
      <c r="F7" s="68">
        <f ca="1">IF($B7="","",SUMIFS(MUSTERILER!$J$7:$J$156,MUSTERILER!$B$7:$B$156,$B7))</f>
        <v>0</v>
      </c>
      <c r="G7" s="68">
        <f ca="1">IF($B7="","",SUMIFS(UCRETLER!$I$7:$I$606,UCRETLER!$B$7:$B$606,$B7)+SUMIFS(GELIR_GIDER!$G$7:$G$3001,GELIR_GIDER!$T$7:$T$3001,$B7))</f>
        <v>136000</v>
      </c>
      <c r="H7" s="68">
        <f t="shared" ref="H7:H38" ca="1" si="1">IF($B7="","",$F7+$G7)</f>
        <v>136000</v>
      </c>
      <c r="I7" s="68">
        <f ca="1">IF($B7="","",SUMIFS(TAHSILAT!$F$7:$F$2503,TAHSILAT!$C$7:$C$2503,$B7))</f>
        <v>0</v>
      </c>
      <c r="J7" s="68">
        <f t="shared" ref="J7:J38" ca="1" si="2">IF($B7="","",MAX(0,$H7-$I7))</f>
        <v>136000</v>
      </c>
      <c r="K7" s="68">
        <f t="shared" ref="K7:K38" ca="1" si="3">IF($B7="","",MAX(0,$J7-$L7-$M7-$N7))</f>
        <v>4000</v>
      </c>
      <c r="L7" s="68">
        <f t="shared" ref="L7:L38" ca="1" si="4">IF($B7="","",($AC7-$AD7)+IF(AND($AB7&gt;0,$T7&lt;&gt;"",$U7&gt;=8,$U7&lt;15),$AB7,0))</f>
        <v>4000</v>
      </c>
      <c r="M7" s="68">
        <f t="shared" ref="M7:M38" ca="1" si="5">IF($B7="","",($AD7-$AE7)+IF(AND($AB7&gt;0,$T7&lt;&gt;"",$U7&gt;=15,$U7&lt;29),$AB7,0))</f>
        <v>8000</v>
      </c>
      <c r="N7" s="68">
        <f t="shared" ref="N7:N38" ca="1" si="6">IF($B7="","",$AE7+IF(AND($AB7&gt;0,OR($T7="",$U7&gt;=29)),$AB7,0))</f>
        <v>120000</v>
      </c>
      <c r="O7" s="92">
        <f t="shared" ref="O7:O38" ca="1" si="7">IF($B7="","",IFERROR($I7/$H7,0))</f>
        <v>0</v>
      </c>
      <c r="P7" s="70" t="str">
        <f ca="1">IF($B7="","",IFERROR(LOOKUP(2,1/(TAHSILAT!$C$7:$C$2503=$B7),TAHSILAT!$E$7:$E$2503),""))</f>
        <v/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93">
        <f t="shared" ref="S7:S38" ca="1" si="10">IF($B7="","",0)</f>
        <v>0</v>
      </c>
      <c r="T7" s="70" t="str">
        <f ca="1">IF(OR($B7="",$AF7=""),"",IF(INDEX(MUSTERILER!$K$7:$K$156,$AF7)="","",INDEX(MUSTERILER!$K$7:$K$156,$AF7)))</f>
        <v/>
      </c>
      <c r="U7" s="93" t="str">
        <f t="shared" ref="U7:U38" ca="1" si="11">IF(OR($B7="",$T7=""),"",TODAY()-$T7)</f>
        <v/>
      </c>
      <c r="V7" s="68">
        <f t="shared" ref="V7:V38" ca="1" si="12">IF($B7="","",MAX(0,$I7-$H7))</f>
        <v>0</v>
      </c>
      <c r="W7" s="65" t="str">
        <f t="shared" ref="W7:W38" ca="1" si="13">IF($B7="","",IF(AND(ABS($J7-($K7+$L7+$M7+$N7))&lt;0.01,ABS(($J7-$V7)-($H7-$I7))&lt;0.01),"UYGUN","İNCELE"))</f>
        <v>UYGUN</v>
      </c>
      <c r="X7" s="2">
        <f ca="1">IF($B7="",0,SUMIFS(UCRETLER!$J$7:$J$606,UCRETLER!$B$7:$B$606,$B7))</f>
        <v>132000</v>
      </c>
      <c r="Y7" s="2">
        <f ca="1">IF($B7="",0,SUMIFS(UCRETLER!$K$7:$K$606,UCRETLER!$B$7:$B$606,$B7))</f>
        <v>128000</v>
      </c>
      <c r="Z7" s="1">
        <f ca="1">IF($B7="",0,SUMIFS(UCRETLER!$L$7:$L$606,UCRETLER!$B$7:$B$606,$B7))</f>
        <v>120000</v>
      </c>
      <c r="AA7" s="1">
        <f t="shared" ref="AA7:AA38" ca="1" si="14">IF($B7="",0,MAX(0,$I7-$F7))</f>
        <v>0</v>
      </c>
      <c r="AB7" s="1">
        <f t="shared" ref="AB7:AB38" ca="1" si="15">IF($B7="",0,MAX(0,$F7-$I7))</f>
        <v>0</v>
      </c>
      <c r="AC7" s="1">
        <f t="shared" ref="AC7:AC38" ca="1" si="16">IF($B7="",0,MAX(0,$X7-$AA7))</f>
        <v>132000</v>
      </c>
      <c r="AD7" s="1">
        <f t="shared" ref="AD7:AD38" ca="1" si="17">IF($B7="",0,MAX(0,$Y7-$AA7))</f>
        <v>128000</v>
      </c>
      <c r="AE7" s="1">
        <f t="shared" ref="AE7:AE38" ca="1" si="18">IF($B7="",0,MAX(0,$Z7-$AA7))</f>
        <v>120000</v>
      </c>
      <c r="AF7" s="1">
        <f ca="1">IFERROR(MATCH(ROW()-6,MUSTERILER!$U$7:$U$156,0),"")</f>
        <v>47</v>
      </c>
      <c r="AG7" s="1">
        <f ca="1">IF($B7="",0,SUMIFS(GELIR_GIDER!$G$7:$G$3001,GELIR_GIDER!$T$7:$T$3001,$B7))</f>
        <v>0</v>
      </c>
    </row>
    <row r="8" spans="1:33" ht="18" customHeight="1" x14ac:dyDescent="0.3">
      <c r="A8" s="2"/>
      <c r="B8" s="65" t="str">
        <f ca="1">IF($AF8="","",INDEX(MUSTERILER!$B$7:$B$156,$AF8))</f>
        <v>M002</v>
      </c>
      <c r="C8" s="74" t="str">
        <f ca="1">IF($AF8="","",INDEX(MUSTERILER!$C$7:$C$156,$AF8))</f>
        <v>ESERLİ LTD.ŞTİ.</v>
      </c>
      <c r="D8" s="68">
        <f ca="1">IF($B8="","",SUMIFS(UCRETLER!$G$7:$G$606,UCRETLER!$B$7:$B$606,$B8,UCRETLER!$F$7:$F$606,"Haftalık",UCRETLER!$H$7:$H$606,"Aktif"))</f>
        <v>3500</v>
      </c>
      <c r="E8" s="68">
        <f ca="1">IF($B8="","",SUMIFS(UCRETLER!$G$7:$G$606,UCRETLER!$B$7:$B$606,$B8,UCRETLER!$F$7:$F$606,"Aylık",UCRETLER!$H$7:$H$606,"Aktif"))</f>
        <v>0</v>
      </c>
      <c r="F8" s="68">
        <f ca="1">IF($B8="","",SUMIFS(MUSTERILER!$J$7:$J$156,MUSTERILER!$B$7:$B$156,$B8))</f>
        <v>0</v>
      </c>
      <c r="G8" s="68">
        <f ca="1">IF($B8="","",SUMIFS(UCRETLER!$I$7:$I$606,UCRETLER!$B$7:$B$606,$B8)+SUMIFS(GELIR_GIDER!$G$7:$G$3001,GELIR_GIDER!$T$7:$T$3001,$B8))</f>
        <v>119000</v>
      </c>
      <c r="H8" s="68">
        <f t="shared" ca="1" si="1"/>
        <v>119000</v>
      </c>
      <c r="I8" s="68">
        <f ca="1">IF($B8="","",SUMIFS(TAHSILAT!$F$7:$F$2503,TAHSILAT!$C$7:$C$2503,$B8))</f>
        <v>10500</v>
      </c>
      <c r="J8" s="68">
        <f t="shared" ca="1" si="2"/>
        <v>108500</v>
      </c>
      <c r="K8" s="68">
        <f t="shared" ca="1" si="3"/>
        <v>3500</v>
      </c>
      <c r="L8" s="68">
        <f t="shared" ca="1" si="4"/>
        <v>3500</v>
      </c>
      <c r="M8" s="68">
        <f t="shared" ca="1" si="5"/>
        <v>7000</v>
      </c>
      <c r="N8" s="68">
        <f t="shared" ca="1" si="6"/>
        <v>94500</v>
      </c>
      <c r="O8" s="92">
        <f t="shared" ca="1" si="7"/>
        <v>8.8235294117647065E-2</v>
      </c>
      <c r="P8" s="70">
        <f ca="1">IF($B8="","",IFERROR(LOOKUP(2,1/(TAHSILAT!$C$7:$C$2503=$B8),TAHSILAT!$E$7:$E$2503),""))</f>
        <v>46116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93">
        <f t="shared" ca="1" si="10"/>
        <v>0</v>
      </c>
      <c r="T8" s="70" t="str">
        <f ca="1">IF(OR($B8="",$AF8=""),"",IF(INDEX(MUSTERILER!$K$7:$K$156,$AF8)="","",INDEX(MUSTERILER!$K$7:$K$156,$AF8)))</f>
        <v/>
      </c>
      <c r="U8" s="93" t="str">
        <f t="shared" ca="1" si="11"/>
        <v/>
      </c>
      <c r="V8" s="68">
        <f t="shared" ca="1" si="12"/>
        <v>0</v>
      </c>
      <c r="W8" s="65" t="str">
        <f t="shared" ca="1" si="13"/>
        <v>UYGUN</v>
      </c>
      <c r="X8" s="2">
        <f ca="1">IF($B8="",0,SUMIFS(UCRETLER!$J$7:$J$606,UCRETLER!$B$7:$B$606,$B8))</f>
        <v>115500</v>
      </c>
      <c r="Y8" s="2">
        <f ca="1">IF($B8="",0,SUMIFS(UCRETLER!$K$7:$K$606,UCRETLER!$B$7:$B$606,$B8))</f>
        <v>112000</v>
      </c>
      <c r="Z8" s="1">
        <f ca="1">IF($B8="",0,SUMIFS(UCRETLER!$L$7:$L$606,UCRETLER!$B$7:$B$606,$B8))</f>
        <v>105000</v>
      </c>
      <c r="AA8" s="1">
        <f t="shared" ca="1" si="14"/>
        <v>10500</v>
      </c>
      <c r="AB8" s="1">
        <f t="shared" ca="1" si="15"/>
        <v>0</v>
      </c>
      <c r="AC8" s="1">
        <f t="shared" ca="1" si="16"/>
        <v>105000</v>
      </c>
      <c r="AD8" s="1">
        <f t="shared" ca="1" si="17"/>
        <v>101500</v>
      </c>
      <c r="AE8" s="1">
        <f t="shared" ca="1" si="18"/>
        <v>94500</v>
      </c>
      <c r="AF8" s="1">
        <f ca="1">IFERROR(MATCH(ROW()-6,MUSTERILER!$U$7:$U$156,0),"")</f>
        <v>16</v>
      </c>
      <c r="AG8" s="1">
        <f ca="1">IF($B8="",0,SUMIFS(GELIR_GIDER!$G$7:$G$3001,GELIR_GIDER!$T$7:$T$3001,$B8))</f>
        <v>0</v>
      </c>
    </row>
    <row r="9" spans="1:33" ht="18" customHeight="1" x14ac:dyDescent="0.3">
      <c r="A9" s="2"/>
      <c r="B9" s="65" t="str">
        <f ca="1">IF($AF9="","",INDEX(MUSTERILER!$B$7:$B$156,$AF9))</f>
        <v>M010</v>
      </c>
      <c r="C9" s="74" t="str">
        <f ca="1">IF($AF9="","",INDEX(MUSTERILER!$C$7:$C$156,$AF9))</f>
        <v>ÖZFİDANLAR LTD.ŞTİ.</v>
      </c>
      <c r="D9" s="68">
        <f ca="1">IF($B9="","",SUMIFS(UCRETLER!$G$7:$G$606,UCRETLER!$B$7:$B$606,$B9,UCRETLER!$F$7:$F$606,"Haftalık",UCRETLER!$H$7:$H$606,"Aktif"))</f>
        <v>4000</v>
      </c>
      <c r="E9" s="68">
        <f ca="1">IF($B9="","",SUMIFS(UCRETLER!$G$7:$G$606,UCRETLER!$B$7:$B$606,$B9,UCRETLER!$F$7:$F$606,"Aylık",UCRETLER!$H$7:$H$606,"Aktif"))</f>
        <v>0</v>
      </c>
      <c r="F9" s="68">
        <f ca="1">IF($B9="","",SUMIFS(MUSTERILER!$J$7:$J$156,MUSTERILER!$B$7:$B$156,$B9))</f>
        <v>0</v>
      </c>
      <c r="G9" s="68">
        <f ca="1">IF($B9="","",SUMIFS(UCRETLER!$I$7:$I$606,UCRETLER!$B$7:$B$606,$B9)+SUMIFS(GELIR_GIDER!$G$7:$G$3001,GELIR_GIDER!$T$7:$T$3001,$B9))</f>
        <v>136000</v>
      </c>
      <c r="H9" s="68">
        <f t="shared" ca="1" si="1"/>
        <v>136000</v>
      </c>
      <c r="I9" s="68">
        <f ca="1">IF($B9="","",SUMIFS(TAHSILAT!$F$7:$F$2503,TAHSILAT!$C$7:$C$2503,$B9))</f>
        <v>28000</v>
      </c>
      <c r="J9" s="68">
        <f t="shared" ca="1" si="2"/>
        <v>108000</v>
      </c>
      <c r="K9" s="68">
        <f t="shared" ca="1" si="3"/>
        <v>4000</v>
      </c>
      <c r="L9" s="68">
        <f t="shared" ca="1" si="4"/>
        <v>4000</v>
      </c>
      <c r="M9" s="68">
        <f t="shared" ca="1" si="5"/>
        <v>8000</v>
      </c>
      <c r="N9" s="68">
        <f t="shared" ca="1" si="6"/>
        <v>92000</v>
      </c>
      <c r="O9" s="92">
        <f t="shared" ca="1" si="7"/>
        <v>0.20588235294117646</v>
      </c>
      <c r="P9" s="70">
        <f ca="1">IF($B9="","",IFERROR(LOOKUP(2,1/(TAHSILAT!$C$7:$C$2503=$B9),TAHSILAT!$E$7:$E$2503),""))</f>
        <v>46088</v>
      </c>
      <c r="Q9" s="65" t="str">
        <f t="shared" ca="1" si="8"/>
        <v>KRİTİK</v>
      </c>
      <c r="R9" s="74" t="str">
        <f t="shared" ca="1" si="9"/>
        <v>Acil tahsilat görüşmesi ve cari mutabakat</v>
      </c>
      <c r="S9" s="93">
        <f t="shared" ca="1" si="10"/>
        <v>0</v>
      </c>
      <c r="T9" s="70" t="str">
        <f ca="1">IF(OR($B9="",$AF9=""),"",IF(INDEX(MUSTERILER!$K$7:$K$156,$AF9)="","",INDEX(MUSTERILER!$K$7:$K$156,$AF9)))</f>
        <v/>
      </c>
      <c r="U9" s="93" t="str">
        <f t="shared" ca="1" si="11"/>
        <v/>
      </c>
      <c r="V9" s="68">
        <f t="shared" ca="1" si="12"/>
        <v>0</v>
      </c>
      <c r="W9" s="65" t="str">
        <f t="shared" ca="1" si="13"/>
        <v>UYGUN</v>
      </c>
      <c r="X9" s="2">
        <f ca="1">IF($B9="",0,SUMIFS(UCRETLER!$J$7:$J$606,UCRETLER!$B$7:$B$606,$B9))</f>
        <v>132000</v>
      </c>
      <c r="Y9" s="2">
        <f ca="1">IF($B9="",0,SUMIFS(UCRETLER!$K$7:$K$606,UCRETLER!$B$7:$B$606,$B9))</f>
        <v>128000</v>
      </c>
      <c r="Z9" s="1">
        <f ca="1">IF($B9="",0,SUMIFS(UCRETLER!$L$7:$L$606,UCRETLER!$B$7:$B$606,$B9))</f>
        <v>120000</v>
      </c>
      <c r="AA9" s="1">
        <f t="shared" ca="1" si="14"/>
        <v>28000</v>
      </c>
      <c r="AB9" s="1">
        <f t="shared" ca="1" si="15"/>
        <v>0</v>
      </c>
      <c r="AC9" s="1">
        <f t="shared" ca="1" si="16"/>
        <v>104000</v>
      </c>
      <c r="AD9" s="1">
        <f t="shared" ca="1" si="17"/>
        <v>100000</v>
      </c>
      <c r="AE9" s="1">
        <f t="shared" ca="1" si="18"/>
        <v>92000</v>
      </c>
      <c r="AF9" s="1">
        <f ca="1">IFERROR(MATCH(ROW()-6,MUSTERILER!$U$7:$U$156,0),"")</f>
        <v>40</v>
      </c>
      <c r="AG9" s="1">
        <f ca="1">IF($B9="",0,SUMIFS(GELIR_GIDER!$G$7:$G$3001,GELIR_GIDER!$T$7:$T$3001,$B9))</f>
        <v>0</v>
      </c>
    </row>
    <row r="10" spans="1:33" ht="18" customHeight="1" x14ac:dyDescent="0.3">
      <c r="A10" s="2"/>
      <c r="B10" s="65" t="str">
        <f ca="1">IF($AF10="","",INDEX(MUSTERILER!$B$7:$B$156,$AF10))</f>
        <v>M003</v>
      </c>
      <c r="C10" s="74" t="str">
        <f ca="1">IF($AF10="","",INDEX(MUSTERILER!$C$7:$C$156,$AF10))</f>
        <v>TYANA LTD.ŞTİ.</v>
      </c>
      <c r="D10" s="68">
        <f ca="1">IF($B10="","",SUMIFS(UCRETLER!$G$7:$G$606,UCRETLER!$B$7:$B$606,$B10,UCRETLER!$F$7:$F$606,"Haftalık",UCRETLER!$H$7:$H$606,"Aktif"))</f>
        <v>4000</v>
      </c>
      <c r="E10" s="68">
        <f ca="1">IF($B10="","",SUMIFS(UCRETLER!$G$7:$G$606,UCRETLER!$B$7:$B$606,$B10,UCRETLER!$F$7:$F$606,"Aylık",UCRETLER!$H$7:$H$606,"Aktif"))</f>
        <v>0</v>
      </c>
      <c r="F10" s="68">
        <f ca="1">IF($B10="","",SUMIFS(MUSTERILER!$J$7:$J$156,MUSTERILER!$B$7:$B$156,$B10))</f>
        <v>0</v>
      </c>
      <c r="G10" s="68">
        <f ca="1">IF($B10="","",SUMIFS(UCRETLER!$I$7:$I$606,UCRETLER!$B$7:$B$606,$B10)+SUMIFS(GELIR_GIDER!$G$7:$G$3001,GELIR_GIDER!$T$7:$T$3001,$B10))</f>
        <v>136000</v>
      </c>
      <c r="H10" s="68">
        <f t="shared" ca="1" si="1"/>
        <v>136000</v>
      </c>
      <c r="I10" s="68">
        <f ca="1">IF($B10="","",SUMIFS(TAHSILAT!$F$7:$F$2503,TAHSILAT!$C$7:$C$2503,$B10))</f>
        <v>37000</v>
      </c>
      <c r="J10" s="68">
        <f t="shared" ca="1" si="2"/>
        <v>99000</v>
      </c>
      <c r="K10" s="68">
        <f t="shared" ca="1" si="3"/>
        <v>4000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83000</v>
      </c>
      <c r="O10" s="92">
        <f t="shared" ca="1" si="7"/>
        <v>0.27205882352941174</v>
      </c>
      <c r="P10" s="70">
        <f ca="1">IF($B10="","",IFERROR(LOOKUP(2,1/(TAHSILAT!$C$7:$C$2503=$B10),TAHSILAT!$E$7:$E$2503),""))</f>
        <v>46243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93">
        <f t="shared" ca="1" si="10"/>
        <v>0</v>
      </c>
      <c r="T10" s="70" t="str">
        <f ca="1">IF(OR($B10="",$AF10=""),"",IF(INDEX(MUSTERILER!$K$7:$K$156,$AF10)="","",INDEX(MUSTERILER!$K$7:$K$156,$AF10)))</f>
        <v/>
      </c>
      <c r="U10" s="93" t="str">
        <f t="shared" ca="1" si="11"/>
        <v/>
      </c>
      <c r="V10" s="68">
        <f t="shared" ca="1" si="12"/>
        <v>0</v>
      </c>
      <c r="W10" s="65" t="str">
        <f t="shared" ca="1" si="13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ca="1" si="14"/>
        <v>37000</v>
      </c>
      <c r="AB10" s="1">
        <f t="shared" ca="1" si="15"/>
        <v>0</v>
      </c>
      <c r="AC10" s="1">
        <f t="shared" ca="1" si="16"/>
        <v>95000</v>
      </c>
      <c r="AD10" s="1">
        <f t="shared" ca="1" si="17"/>
        <v>91000</v>
      </c>
      <c r="AE10" s="1">
        <f t="shared" ca="1" si="18"/>
        <v>83000</v>
      </c>
      <c r="AF10" s="1">
        <f ca="1">IFERROR(MATCH(ROW()-6,MUSTERILER!$U$7:$U$156,0),"")</f>
        <v>48</v>
      </c>
      <c r="AG10" s="1">
        <f ca="1">IF($B10="",0,SUMIFS(GELIR_GIDER!$G$7:$G$3001,GELIR_GIDER!$T$7:$T$3001,$B10))</f>
        <v>0</v>
      </c>
    </row>
    <row r="11" spans="1:33" ht="18" customHeight="1" x14ac:dyDescent="0.3">
      <c r="A11" s="2"/>
      <c r="B11" s="65" t="str">
        <f ca="1">IF($AF11="","",INDEX(MUSTERILER!$B$7:$B$156,$AF11))</f>
        <v>M008</v>
      </c>
      <c r="C11" s="74" t="str">
        <f ca="1">IF($AF11="","",INDEX(MUSTERILER!$C$7:$C$156,$AF11))</f>
        <v>KÖŞK YÜKSELEN LTD.ŞTİ.</v>
      </c>
      <c r="D11" s="68">
        <f ca="1">IF($B11="","",SUMIFS(UCRETLER!$G$7:$G$606,UCRETLER!$B$7:$B$606,$B11,UCRETLER!$F$7:$F$606,"Haftalık",UCRETLER!$H$7:$H$606,"Aktif"))</f>
        <v>2500</v>
      </c>
      <c r="E11" s="68">
        <f ca="1">IF($B11="","",SUMIFS(UCRETLER!$G$7:$G$606,UCRETLER!$B$7:$B$606,$B11,UCRETLER!$F$7:$F$606,"Aylık",UCRETLER!$H$7:$H$606,"Aktif"))</f>
        <v>0</v>
      </c>
      <c r="F11" s="68">
        <f ca="1">IF($B11="","",SUMIFS(MUSTERILER!$J$7:$J$156,MUSTERILER!$B$7:$B$156,$B11))</f>
        <v>0</v>
      </c>
      <c r="G11" s="68">
        <f ca="1">IF($B11="","",SUMIFS(UCRETLER!$I$7:$I$606,UCRETLER!$B$7:$B$606,$B11)+SUMIFS(GELIR_GIDER!$G$7:$G$3001,GELIR_GIDER!$T$7:$T$3001,$B11))</f>
        <v>85000</v>
      </c>
      <c r="H11" s="68">
        <f t="shared" ca="1" si="1"/>
        <v>85000</v>
      </c>
      <c r="I11" s="68">
        <f ca="1">IF($B11="","",SUMIFS(TAHSILAT!$F$7:$F$2503,TAHSILAT!$C$7:$C$2503,$B11))</f>
        <v>6000</v>
      </c>
      <c r="J11" s="68">
        <f t="shared" ca="1" si="2"/>
        <v>79000</v>
      </c>
      <c r="K11" s="68">
        <f t="shared" ca="1" si="3"/>
        <v>2500</v>
      </c>
      <c r="L11" s="68">
        <f t="shared" ca="1" si="4"/>
        <v>2500</v>
      </c>
      <c r="M11" s="68">
        <f t="shared" ca="1" si="5"/>
        <v>5000</v>
      </c>
      <c r="N11" s="68">
        <f t="shared" ca="1" si="6"/>
        <v>69000</v>
      </c>
      <c r="O11" s="92">
        <f t="shared" ca="1" si="7"/>
        <v>7.0588235294117646E-2</v>
      </c>
      <c r="P11" s="70">
        <f ca="1">IF($B11="","",IFERROR(LOOKUP(2,1/(TAHSILAT!$C$7:$C$2503=$B11),TAHSILAT!$E$7:$E$2503),""))</f>
        <v>46046</v>
      </c>
      <c r="Q11" s="65" t="str">
        <f t="shared" ca="1" si="8"/>
        <v>KRİTİK</v>
      </c>
      <c r="R11" s="74" t="str">
        <f t="shared" ca="1" si="9"/>
        <v>Acil tahsilat görüşmesi ve cari mutabakat</v>
      </c>
      <c r="S11" s="93">
        <f t="shared" ca="1" si="10"/>
        <v>0</v>
      </c>
      <c r="T11" s="70" t="str">
        <f ca="1">IF(OR($B11="",$AF11=""),"",IF(INDEX(MUSTERILER!$K$7:$K$156,$AF11)="","",INDEX(MUSTERILER!$K$7:$K$156,$AF11)))</f>
        <v/>
      </c>
      <c r="U11" s="93" t="str">
        <f t="shared" ca="1" si="11"/>
        <v/>
      </c>
      <c r="V11" s="68">
        <f t="shared" ca="1" si="12"/>
        <v>0</v>
      </c>
      <c r="W11" s="65" t="str">
        <f t="shared" ca="1" si="13"/>
        <v>UYGUN</v>
      </c>
      <c r="X11" s="2">
        <f ca="1">IF($B11="",0,SUMIFS(UCRETLER!$J$7:$J$606,UCRETLER!$B$7:$B$606,$B11))</f>
        <v>82500</v>
      </c>
      <c r="Y11" s="2">
        <f ca="1">IF($B11="",0,SUMIFS(UCRETLER!$K$7:$K$606,UCRETLER!$B$7:$B$606,$B11))</f>
        <v>80000</v>
      </c>
      <c r="Z11" s="1">
        <f ca="1">IF($B11="",0,SUMIFS(UCRETLER!$L$7:$L$606,UCRETLER!$B$7:$B$606,$B11))</f>
        <v>75000</v>
      </c>
      <c r="AA11" s="1">
        <f t="shared" ca="1" si="14"/>
        <v>6000</v>
      </c>
      <c r="AB11" s="1">
        <f t="shared" ca="1" si="15"/>
        <v>0</v>
      </c>
      <c r="AC11" s="1">
        <f t="shared" ca="1" si="16"/>
        <v>76500</v>
      </c>
      <c r="AD11" s="1">
        <f t="shared" ca="1" si="17"/>
        <v>74000</v>
      </c>
      <c r="AE11" s="1">
        <f t="shared" ca="1" si="18"/>
        <v>69000</v>
      </c>
      <c r="AF11" s="1">
        <f ca="1">IFERROR(MATCH(ROW()-6,MUSTERILER!$U$7:$U$156,0),"")</f>
        <v>26</v>
      </c>
      <c r="AG11" s="1">
        <f ca="1">IF($B11="",0,SUMIFS(GELIR_GIDER!$G$7:$G$3001,GELIR_GIDER!$T$7:$T$3001,$B11))</f>
        <v>0</v>
      </c>
    </row>
    <row r="12" spans="1:33" ht="18" customHeight="1" x14ac:dyDescent="0.3">
      <c r="A12" s="2"/>
      <c r="B12" s="65" t="str">
        <f ca="1">IF($AF12="","",INDEX(MUSTERILER!$B$7:$B$156,$AF12))</f>
        <v>M028</v>
      </c>
      <c r="C12" s="74" t="str">
        <f ca="1">IF($AF12="","",INDEX(MUSTERILER!$C$7:$C$156,$AF12))</f>
        <v>DERVİŞHAN LTD.ŞTİ.</v>
      </c>
      <c r="D12" s="68">
        <f ca="1">IF($B12="","",SUMIFS(UCRETLER!$G$7:$G$606,UCRETLER!$B$7:$B$606,$B12,UCRETLER!$F$7:$F$606,"Haftalık",UCRETLER!$H$7:$H$606,"Aktif"))</f>
        <v>0</v>
      </c>
      <c r="E12" s="68">
        <f ca="1">IF($B12="","",SUMIFS(UCRETLER!$G$7:$G$606,UCRETLER!$B$7:$B$606,$B12,UCRETLER!$F$7:$F$606,"Aylık",UCRETLER!$H$7:$H$606,"Aktif"))</f>
        <v>10000</v>
      </c>
      <c r="F12" s="68">
        <f ca="1">IF($B12="","",SUMIFS(MUSTERILER!$J$7:$J$156,MUSTERILER!$B$7:$B$156,$B12))</f>
        <v>0</v>
      </c>
      <c r="G12" s="68">
        <f ca="1">IF($B12="","",SUMIFS(UCRETLER!$I$7:$I$606,UCRETLER!$B$7:$B$606,$B12)+SUMIFS(GELIR_GIDER!$G$7:$G$3001,GELIR_GIDER!$T$7:$T$3001,$B12))</f>
        <v>70000</v>
      </c>
      <c r="H12" s="68">
        <f t="shared" ca="1" si="1"/>
        <v>70000</v>
      </c>
      <c r="I12" s="68">
        <f ca="1">IF($B12="","",SUMIFS(TAHSILAT!$F$7:$F$2503,TAHSILAT!$C$7:$C$2503,$B12))</f>
        <v>0</v>
      </c>
      <c r="J12" s="68">
        <f t="shared" ca="1" si="2"/>
        <v>70000</v>
      </c>
      <c r="K12" s="68">
        <f t="shared" ca="1" si="3"/>
        <v>0</v>
      </c>
      <c r="L12" s="68">
        <f t="shared" ca="1" si="4"/>
        <v>0</v>
      </c>
      <c r="M12" s="68">
        <f t="shared" ca="1" si="5"/>
        <v>10000</v>
      </c>
      <c r="N12" s="68">
        <f t="shared" ca="1" si="6"/>
        <v>60000</v>
      </c>
      <c r="O12" s="92">
        <f t="shared" ca="1" si="7"/>
        <v>0</v>
      </c>
      <c r="P12" s="70" t="str">
        <f ca="1">IF($B12="","",IFERROR(LOOKUP(2,1/(TAHSILAT!$C$7:$C$2503=$B12),TAHSILAT!$E$7:$E$2503),""))</f>
        <v/>
      </c>
      <c r="Q12" s="65" t="str">
        <f t="shared" ca="1" si="8"/>
        <v>KRİTİK</v>
      </c>
      <c r="R12" s="74" t="str">
        <f t="shared" ca="1" si="9"/>
        <v>Acil tahsilat görüşmesi ve cari mutabakat</v>
      </c>
      <c r="S12" s="93">
        <f t="shared" ca="1" si="10"/>
        <v>0</v>
      </c>
      <c r="T12" s="70" t="str">
        <f ca="1">IF(OR($B12="",$AF12=""),"",IF(INDEX(MUSTERILER!$K$7:$K$156,$AF12)="","",INDEX(MUSTERILER!$K$7:$K$156,$AF12)))</f>
        <v/>
      </c>
      <c r="U12" s="93" t="str">
        <f t="shared" ca="1" si="11"/>
        <v/>
      </c>
      <c r="V12" s="68">
        <f t="shared" ca="1" si="12"/>
        <v>0</v>
      </c>
      <c r="W12" s="65" t="str">
        <f t="shared" ca="1" si="13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ca="1" si="14"/>
        <v>0</v>
      </c>
      <c r="AB12" s="1">
        <f t="shared" ca="1" si="15"/>
        <v>0</v>
      </c>
      <c r="AC12" s="1">
        <f t="shared" ca="1" si="16"/>
        <v>70000</v>
      </c>
      <c r="AD12" s="1">
        <f t="shared" ca="1" si="17"/>
        <v>70000</v>
      </c>
      <c r="AE12" s="1">
        <f t="shared" ca="1" si="18"/>
        <v>60000</v>
      </c>
      <c r="AF12" s="1">
        <f ca="1">IFERROR(MATCH(ROW()-6,MUSTERILER!$U$7:$U$156,0),"")</f>
        <v>13</v>
      </c>
      <c r="AG12" s="1">
        <f ca="1">IF($B12="",0,SUMIFS(GELIR_GIDER!$G$7:$G$3001,GELIR_GIDER!$T$7:$T$3001,$B12))</f>
        <v>0</v>
      </c>
    </row>
    <row r="13" spans="1:33" ht="18" customHeight="1" x14ac:dyDescent="0.3">
      <c r="A13" s="2"/>
      <c r="B13" s="65" t="str">
        <f ca="1">IF($AF13="","",INDEX(MUSTERILER!$B$7:$B$156,$AF13))</f>
        <v>M034</v>
      </c>
      <c r="C13" s="74" t="str">
        <f ca="1">IF($AF13="","",INDEX(MUSTERILER!$C$7:$C$156,$AF13))</f>
        <v>İBRAHİM MALDAN</v>
      </c>
      <c r="D13" s="68">
        <f ca="1">IF($B13="","",SUMIFS(UCRETLER!$G$7:$G$606,UCRETLER!$B$7:$B$606,$B13,UCRETLER!$F$7:$F$606,"Haftalık",UCRETLER!$H$7:$H$606,"Aktif"))</f>
        <v>4000</v>
      </c>
      <c r="E13" s="68">
        <f ca="1">IF($B13="","",SUMIFS(UCRETLER!$G$7:$G$606,UCRETLER!$B$7:$B$606,$B13,UCRETLER!$F$7:$F$606,"Aylık",UCRETLER!$H$7:$H$606,"Aktif"))</f>
        <v>0</v>
      </c>
      <c r="F13" s="68">
        <f ca="1">IF($B13="","",SUMIFS(MUSTERILER!$J$7:$J$156,MUSTERILER!$B$7:$B$156,$B13))</f>
        <v>0</v>
      </c>
      <c r="G13" s="68">
        <f ca="1">IF($B13="","",SUMIFS(UCRETLER!$I$7:$I$606,UCRETLER!$B$7:$B$606,$B13)+SUMIFS(GELIR_GIDER!$G$7:$G$3001,GELIR_GIDER!$T$7:$T$3001,$B13))</f>
        <v>113500</v>
      </c>
      <c r="H13" s="68">
        <f t="shared" ca="1" si="1"/>
        <v>113500</v>
      </c>
      <c r="I13" s="68">
        <f ca="1">IF($B13="","",SUMIFS(TAHSILAT!$F$7:$F$2503,TAHSILAT!$C$7:$C$2503,$B13))</f>
        <v>46500</v>
      </c>
      <c r="J13" s="68">
        <f t="shared" ca="1" si="2"/>
        <v>67000</v>
      </c>
      <c r="K13" s="68">
        <f t="shared" ca="1" si="3"/>
        <v>4000</v>
      </c>
      <c r="L13" s="68">
        <f t="shared" ca="1" si="4"/>
        <v>4000</v>
      </c>
      <c r="M13" s="68">
        <f t="shared" ca="1" si="5"/>
        <v>8000</v>
      </c>
      <c r="N13" s="68">
        <f t="shared" ca="1" si="6"/>
        <v>51000</v>
      </c>
      <c r="O13" s="92">
        <f t="shared" ca="1" si="7"/>
        <v>0.40969162995594716</v>
      </c>
      <c r="P13" s="70">
        <f ca="1">IF($B13="","",IFERROR(LOOKUP(2,1/(TAHSILAT!$C$7:$C$2503=$B13),TAHSILAT!$E$7:$E$2503),""))</f>
        <v>46158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93">
        <f t="shared" ca="1" si="10"/>
        <v>0</v>
      </c>
      <c r="T13" s="70" t="str">
        <f ca="1">IF(OR($B13="",$AF13=""),"",IF(INDEX(MUSTERILER!$K$7:$K$156,$AF13)="","",INDEX(MUSTERILER!$K$7:$K$156,$AF13)))</f>
        <v/>
      </c>
      <c r="U13" s="93" t="str">
        <f t="shared" ca="1" si="11"/>
        <v/>
      </c>
      <c r="V13" s="68">
        <f t="shared" ca="1" si="12"/>
        <v>0</v>
      </c>
      <c r="W13" s="65" t="str">
        <f t="shared" ca="1" si="13"/>
        <v>UYGUN</v>
      </c>
      <c r="X13" s="2">
        <f ca="1">IF($B13="",0,SUMIFS(UCRETLER!$J$7:$J$606,UCRETLER!$B$7:$B$606,$B13))</f>
        <v>109500</v>
      </c>
      <c r="Y13" s="2">
        <f ca="1">IF($B13="",0,SUMIFS(UCRETLER!$K$7:$K$606,UCRETLER!$B$7:$B$606,$B13))</f>
        <v>105500</v>
      </c>
      <c r="Z13" s="1">
        <f ca="1">IF($B13="",0,SUMIFS(UCRETLER!$L$7:$L$606,UCRETLER!$B$7:$B$606,$B13))</f>
        <v>97500</v>
      </c>
      <c r="AA13" s="1">
        <f t="shared" ca="1" si="14"/>
        <v>46500</v>
      </c>
      <c r="AB13" s="1">
        <f t="shared" ca="1" si="15"/>
        <v>0</v>
      </c>
      <c r="AC13" s="1">
        <f t="shared" ca="1" si="16"/>
        <v>63000</v>
      </c>
      <c r="AD13" s="1">
        <f t="shared" ca="1" si="17"/>
        <v>59000</v>
      </c>
      <c r="AE13" s="1">
        <f t="shared" ca="1" si="18"/>
        <v>51000</v>
      </c>
      <c r="AF13" s="1">
        <f ca="1">IFERROR(MATCH(ROW()-6,MUSTERILER!$U$7:$U$156,0),"")</f>
        <v>21</v>
      </c>
      <c r="AG13" s="1">
        <f ca="1">IF($B13="",0,SUMIFS(GELIR_GIDER!$G$7:$G$3001,GELIR_GIDER!$T$7:$T$3001,$B13))</f>
        <v>0</v>
      </c>
    </row>
    <row r="14" spans="1:33" ht="18" customHeight="1" x14ac:dyDescent="0.3">
      <c r="A14" s="2"/>
      <c r="B14" s="65" t="str">
        <f ca="1">IF($AF14="","",INDEX(MUSTERILER!$B$7:$B$156,$AF14))</f>
        <v>M004</v>
      </c>
      <c r="C14" s="74" t="str">
        <f ca="1">IF($AF14="","",INDEX(MUSTERILER!$C$7:$C$156,$AF14))</f>
        <v>ZÜMRÜT EĞLENCE LTD.ŞTİ.</v>
      </c>
      <c r="D14" s="68">
        <f ca="1">IF($B14="","",SUMIFS(UCRETLER!$G$7:$G$606,UCRETLER!$B$7:$B$606,$B14,UCRETLER!$F$7:$F$606,"Haftalık",UCRETLER!$H$7:$H$606,"Aktif"))</f>
        <v>3000</v>
      </c>
      <c r="E14" s="68">
        <f ca="1">IF($B14="","",SUMIFS(UCRETLER!$G$7:$G$606,UCRETLER!$B$7:$B$606,$B14,UCRETLER!$F$7:$F$606,"Aylık",UCRETLER!$H$7:$H$606,"Aktif"))</f>
        <v>0</v>
      </c>
      <c r="F14" s="68">
        <f ca="1">IF($B14="","",SUMIFS(MUSTERILER!$J$7:$J$156,MUSTERILER!$B$7:$B$156,$B14))</f>
        <v>0</v>
      </c>
      <c r="G14" s="68">
        <f ca="1">IF($B14="","",SUMIFS(UCRETLER!$I$7:$I$606,UCRETLER!$B$7:$B$606,$B14)+SUMIFS(GELIR_GIDER!$G$7:$G$3001,GELIR_GIDER!$T$7:$T$3001,$B14))</f>
        <v>102000</v>
      </c>
      <c r="H14" s="68">
        <f t="shared" ca="1" si="1"/>
        <v>102000</v>
      </c>
      <c r="I14" s="68">
        <f ca="1">IF($B14="","",SUMIFS(TAHSILAT!$F$7:$F$2503,TAHSILAT!$C$7:$C$2503,$B14))</f>
        <v>36000</v>
      </c>
      <c r="J14" s="68">
        <f t="shared" ca="1" si="2"/>
        <v>66000</v>
      </c>
      <c r="K14" s="68">
        <f t="shared" ca="1" si="3"/>
        <v>3000</v>
      </c>
      <c r="L14" s="68">
        <f t="shared" ca="1" si="4"/>
        <v>3000</v>
      </c>
      <c r="M14" s="68">
        <f t="shared" ca="1" si="5"/>
        <v>6000</v>
      </c>
      <c r="N14" s="68">
        <f t="shared" ca="1" si="6"/>
        <v>54000</v>
      </c>
      <c r="O14" s="92">
        <f t="shared" ca="1" si="7"/>
        <v>0.35294117647058826</v>
      </c>
      <c r="P14" s="70">
        <f ca="1">IF($B14="","",IFERROR(LOOKUP(2,1/(TAHSILAT!$C$7:$C$2503=$B14),TAHSILAT!$E$7:$E$2503),""))</f>
        <v>46137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93">
        <f t="shared" ca="1" si="10"/>
        <v>0</v>
      </c>
      <c r="T14" s="70" t="str">
        <f ca="1">IF(OR($B14="",$AF14=""),"",IF(INDEX(MUSTERILER!$K$7:$K$156,$AF14)="","",INDEX(MUSTERILER!$K$7:$K$156,$AF14)))</f>
        <v/>
      </c>
      <c r="U14" s="93" t="str">
        <f t="shared" ca="1" si="11"/>
        <v/>
      </c>
      <c r="V14" s="68">
        <f t="shared" ca="1" si="12"/>
        <v>0</v>
      </c>
      <c r="W14" s="65" t="str">
        <f t="shared" ca="1" si="13"/>
        <v>UYGUN</v>
      </c>
      <c r="X14" s="2">
        <f ca="1">IF($B14="",0,SUMIFS(UCRETLER!$J$7:$J$606,UCRETLER!$B$7:$B$606,$B14))</f>
        <v>99000</v>
      </c>
      <c r="Y14" s="2">
        <f ca="1">IF($B14="",0,SUMIFS(UCRETLER!$K$7:$K$606,UCRETLER!$B$7:$B$606,$B14))</f>
        <v>96000</v>
      </c>
      <c r="Z14" s="1">
        <f ca="1">IF($B14="",0,SUMIFS(UCRETLER!$L$7:$L$606,UCRETLER!$B$7:$B$606,$B14))</f>
        <v>90000</v>
      </c>
      <c r="AA14" s="1">
        <f t="shared" ca="1" si="14"/>
        <v>36000</v>
      </c>
      <c r="AB14" s="1">
        <f t="shared" ca="1" si="15"/>
        <v>0</v>
      </c>
      <c r="AC14" s="1">
        <f t="shared" ca="1" si="16"/>
        <v>63000</v>
      </c>
      <c r="AD14" s="1">
        <f t="shared" ca="1" si="17"/>
        <v>60000</v>
      </c>
      <c r="AE14" s="1">
        <f t="shared" ca="1" si="18"/>
        <v>54000</v>
      </c>
      <c r="AF14" s="1">
        <f ca="1">IFERROR(MATCH(ROW()-6,MUSTERILER!$U$7:$U$156,0),"")</f>
        <v>54</v>
      </c>
      <c r="AG14" s="1">
        <f ca="1">IF($B14="",0,SUMIFS(GELIR_GIDER!$G$7:$G$3001,GELIR_GIDER!$T$7:$T$3001,$B14))</f>
        <v>0</v>
      </c>
    </row>
    <row r="15" spans="1:33" ht="18" customHeight="1" x14ac:dyDescent="0.3">
      <c r="A15" s="2"/>
      <c r="B15" s="65" t="str">
        <f ca="1">IF($AF15="","",INDEX(MUSTERILER!$B$7:$B$156,$AF15))</f>
        <v>M026</v>
      </c>
      <c r="C15" s="74" t="str">
        <f ca="1">IF($AF15="","",INDEX(MUSTERILER!$C$7:$C$156,$AF15))</f>
        <v>AYDES LTD.ŞTİ.</v>
      </c>
      <c r="D15" s="68">
        <f ca="1">IF($B15="","",SUMIFS(UCRETLER!$G$7:$G$606,UCRETLER!$B$7:$B$606,$B15,UCRETLER!$F$7:$F$606,"Haftalık",UCRETLER!$H$7:$H$606,"Aktif"))</f>
        <v>0</v>
      </c>
      <c r="E15" s="68">
        <f ca="1">IF($B15="","",SUMIFS(UCRETLER!$G$7:$G$606,UCRETLER!$B$7:$B$606,$B15,UCRETLER!$F$7:$F$606,"Aylık",UCRETLER!$H$7:$H$606,"Aktif"))</f>
        <v>7500</v>
      </c>
      <c r="F15" s="68">
        <f ca="1">IF($B15="","",SUMIFS(MUSTERILER!$J$7:$J$156,MUSTERILER!$B$7:$B$156,$B15))</f>
        <v>0</v>
      </c>
      <c r="G15" s="68">
        <f ca="1">IF($B15="","",SUMIFS(UCRETLER!$I$7:$I$606,UCRETLER!$B$7:$B$606,$B15)+SUMIFS(GELIR_GIDER!$G$7:$G$3001,GELIR_GIDER!$T$7:$T$3001,$B15))</f>
        <v>52500</v>
      </c>
      <c r="H15" s="68">
        <f t="shared" ca="1" si="1"/>
        <v>52500</v>
      </c>
      <c r="I15" s="68">
        <f ca="1">IF($B15="","",SUMIFS(TAHSILAT!$F$7:$F$2503,TAHSILAT!$C$7:$C$2503,$B15))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92">
        <f t="shared" ca="1" si="7"/>
        <v>0</v>
      </c>
      <c r="P15" s="70" t="str">
        <f ca="1">IF($B15="","",IFERROR(LOOKUP(2,1/(TAHSILAT!$C$7:$C$2503=$B15),TAHSILAT!$E$7:$E$2503),""))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93">
        <f t="shared" ca="1" si="10"/>
        <v>0</v>
      </c>
      <c r="T15" s="70" t="str">
        <f ca="1">IF(OR($B15="",$AF15=""),"",IF(INDEX(MUSTERILER!$K$7:$K$156,$AF15)="","",INDEX(MUSTERILER!$K$7:$K$156,$AF15)))</f>
        <v/>
      </c>
      <c r="U15" s="93" t="str">
        <f t="shared" ca="1" si="11"/>
        <v/>
      </c>
      <c r="V15" s="68">
        <f t="shared" ca="1" si="12"/>
        <v>0</v>
      </c>
      <c r="W15" s="65" t="str">
        <f t="shared" ca="1" si="13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ca="1" si="14"/>
        <v>0</v>
      </c>
      <c r="AB15" s="1">
        <f t="shared" ca="1" si="15"/>
        <v>0</v>
      </c>
      <c r="AC15" s="1">
        <f t="shared" ca="1" si="16"/>
        <v>52500</v>
      </c>
      <c r="AD15" s="1">
        <f t="shared" ca="1" si="17"/>
        <v>52500</v>
      </c>
      <c r="AE15" s="1">
        <f t="shared" ca="1" si="18"/>
        <v>45000</v>
      </c>
      <c r="AF15" s="1">
        <f ca="1">IFERROR(MATCH(ROW()-6,MUSTERILER!$U$7:$U$156,0),"")</f>
        <v>9</v>
      </c>
      <c r="AG15" s="1">
        <f ca="1">IF($B15="",0,SUMIFS(GELIR_GIDER!$G$7:$G$3001,GELIR_GIDER!$T$7:$T$3001,$B15))</f>
        <v>0</v>
      </c>
    </row>
    <row r="16" spans="1:33" ht="18" customHeight="1" x14ac:dyDescent="0.3">
      <c r="A16" s="2"/>
      <c r="B16" s="65" t="str">
        <f ca="1">IF($AF16="","",INDEX(MUSTERILER!$B$7:$B$156,$AF16))</f>
        <v>M033</v>
      </c>
      <c r="C16" s="74" t="str">
        <f ca="1">IF($AF16="","",INDEX(MUSTERILER!$C$7:$C$156,$AF16))</f>
        <v>IŞIL GRUP LTD.ŞTİ.</v>
      </c>
      <c r="D16" s="68">
        <f ca="1">IF($B16="","",SUMIFS(UCRETLER!$G$7:$G$606,UCRETLER!$B$7:$B$606,$B16,UCRETLER!$F$7:$F$606,"Haftalık",UCRETLER!$H$7:$H$606,"Aktif"))</f>
        <v>0</v>
      </c>
      <c r="E16" s="68">
        <f ca="1">IF($B16="","",SUMIFS(UCRETLER!$G$7:$G$606,UCRETLER!$B$7:$B$606,$B16,UCRETLER!$F$7:$F$606,"Aylık",UCRETLER!$H$7:$H$606,"Aktif"))</f>
        <v>7500</v>
      </c>
      <c r="F16" s="68">
        <f ca="1">IF($B16="","",SUMIFS(MUSTERILER!$J$7:$J$156,MUSTERILER!$B$7:$B$156,$B16))</f>
        <v>0</v>
      </c>
      <c r="G16" s="68">
        <f ca="1">IF($B16="","",SUMIFS(UCRETLER!$I$7:$I$606,UCRETLER!$B$7:$B$606,$B16)+SUMIFS(GELIR_GIDER!$G$7:$G$3001,GELIR_GIDER!$T$7:$T$3001,$B16))</f>
        <v>52500</v>
      </c>
      <c r="H16" s="68">
        <f t="shared" ca="1" si="1"/>
        <v>52500</v>
      </c>
      <c r="I16" s="68">
        <f ca="1">IF($B16="","",SUMIFS(TAHSILAT!$F$7:$F$2503,TAHSILAT!$C$7:$C$2503,$B16))</f>
        <v>5000</v>
      </c>
      <c r="J16" s="68">
        <f t="shared" ca="1" si="2"/>
        <v>47500</v>
      </c>
      <c r="K16" s="68">
        <f t="shared" ca="1" si="3"/>
        <v>0</v>
      </c>
      <c r="L16" s="68">
        <f t="shared" ca="1" si="4"/>
        <v>0</v>
      </c>
      <c r="M16" s="68">
        <f t="shared" ca="1" si="5"/>
        <v>7500</v>
      </c>
      <c r="N16" s="68">
        <f t="shared" ca="1" si="6"/>
        <v>40000</v>
      </c>
      <c r="O16" s="92">
        <f t="shared" ca="1" si="7"/>
        <v>9.5238095238095233E-2</v>
      </c>
      <c r="P16" s="70">
        <f ca="1">IF($B16="","",IFERROR(LOOKUP(2,1/(TAHSILAT!$C$7:$C$2503=$B16),TAHSILAT!$E$7:$E$2503),""))</f>
        <v>46081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93">
        <f t="shared" ca="1" si="10"/>
        <v>0</v>
      </c>
      <c r="T16" s="70" t="str">
        <f ca="1">IF(OR($B16="",$AF16=""),"",IF(INDEX(MUSTERILER!$K$7:$K$156,$AF16)="","",INDEX(MUSTERILER!$K$7:$K$156,$AF16)))</f>
        <v/>
      </c>
      <c r="U16" s="93" t="str">
        <f t="shared" ca="1" si="11"/>
        <v/>
      </c>
      <c r="V16" s="68">
        <f t="shared" ca="1" si="12"/>
        <v>0</v>
      </c>
      <c r="W16" s="65" t="str">
        <f t="shared" ca="1" si="13"/>
        <v>UYGUN</v>
      </c>
      <c r="X16" s="2">
        <f ca="1">IF($B16="",0,SUMIFS(UCRETLER!$J$7:$J$606,UCRETLER!$B$7:$B$606,$B16))</f>
        <v>52500</v>
      </c>
      <c r="Y16" s="2">
        <f ca="1">IF($B16="",0,SUMIFS(UCRETLER!$K$7:$K$606,UCRETLER!$B$7:$B$606,$B16))</f>
        <v>52500</v>
      </c>
      <c r="Z16" s="1">
        <f ca="1">IF($B16="",0,SUMIFS(UCRETLER!$L$7:$L$606,UCRETLER!$B$7:$B$606,$B16))</f>
        <v>45000</v>
      </c>
      <c r="AA16" s="1">
        <f t="shared" ca="1" si="14"/>
        <v>5000</v>
      </c>
      <c r="AB16" s="1">
        <f t="shared" ca="1" si="15"/>
        <v>0</v>
      </c>
      <c r="AC16" s="1">
        <f t="shared" ca="1" si="16"/>
        <v>47500</v>
      </c>
      <c r="AD16" s="1">
        <f t="shared" ca="1" si="17"/>
        <v>47500</v>
      </c>
      <c r="AE16" s="1">
        <f t="shared" ca="1" si="18"/>
        <v>40000</v>
      </c>
      <c r="AF16" s="1">
        <f ca="1">IFERROR(MATCH(ROW()-6,MUSTERILER!$U$7:$U$156,0),"")</f>
        <v>24</v>
      </c>
      <c r="AG16" s="1">
        <f ca="1">IF($B16="",0,SUMIFS(GELIR_GIDER!$G$7:$G$3001,GELIR_GIDER!$T$7:$T$3001,$B16))</f>
        <v>0</v>
      </c>
    </row>
    <row r="17" spans="1:33" ht="18" customHeight="1" x14ac:dyDescent="0.3">
      <c r="A17" s="2"/>
      <c r="B17" s="65" t="str">
        <f ca="1">IF($AF17="","",INDEX(MUSTERILER!$B$7:$B$156,$AF17))</f>
        <v>M045</v>
      </c>
      <c r="C17" s="74" t="str">
        <f ca="1">IF($AF17="","",INDEX(MUSTERILER!$C$7:$C$156,$AF17))</f>
        <v>NERO E TİCARET LTD.ŞTİ.</v>
      </c>
      <c r="D17" s="68">
        <f ca="1">IF($B17="","",SUMIFS(UCRETLER!$G$7:$G$606,UCRETLER!$B$7:$B$606,$B17,UCRETLER!$F$7:$F$606,"Haftalık",UCRETLER!$H$7:$H$606,"Aktif"))</f>
        <v>0</v>
      </c>
      <c r="E17" s="68">
        <f ca="1">IF($B17="","",SUMIFS(UCRETLER!$G$7:$G$606,UCRETLER!$B$7:$B$606,$B17,UCRETLER!$F$7:$F$606,"Aylık",UCRETLER!$H$7:$H$606,"Aktif"))</f>
        <v>7500</v>
      </c>
      <c r="F17" s="68">
        <f ca="1">IF($B17="","",SUMIFS(MUSTERILER!$J$7:$J$156,MUSTERILER!$B$7:$B$156,$B17))</f>
        <v>0</v>
      </c>
      <c r="G17" s="68">
        <f ca="1">IF($B17="","",SUMIFS(UCRETLER!$I$7:$I$606,UCRETLER!$B$7:$B$606,$B17)+SUMIFS(GELIR_GIDER!$G$7:$G$3001,GELIR_GIDER!$T$7:$T$3001,$B17))</f>
        <v>52500</v>
      </c>
      <c r="H17" s="68">
        <f t="shared" ca="1" si="1"/>
        <v>52500</v>
      </c>
      <c r="I17" s="68">
        <f ca="1">IF($B17="","",SUMIFS(TAHSILAT!$F$7:$F$2503,TAHSILAT!$C$7:$C$2503,$B17))</f>
        <v>7500</v>
      </c>
      <c r="J17" s="68">
        <f t="shared" ca="1" si="2"/>
        <v>45000</v>
      </c>
      <c r="K17" s="68">
        <f t="shared" ca="1" si="3"/>
        <v>0</v>
      </c>
      <c r="L17" s="68">
        <f t="shared" ca="1" si="4"/>
        <v>0</v>
      </c>
      <c r="M17" s="68">
        <f t="shared" ca="1" si="5"/>
        <v>7500</v>
      </c>
      <c r="N17" s="68">
        <f t="shared" ca="1" si="6"/>
        <v>37500</v>
      </c>
      <c r="O17" s="92">
        <f t="shared" ca="1" si="7"/>
        <v>0.14285714285714285</v>
      </c>
      <c r="P17" s="70">
        <f ca="1">IF($B17="","",IFERROR(LOOKUP(2,1/(TAHSILAT!$C$7:$C$2503=$B17),TAHSILAT!$E$7:$E$2503),""))</f>
        <v>46069</v>
      </c>
      <c r="Q17" s="65" t="str">
        <f t="shared" ca="1" si="8"/>
        <v>KRİTİK</v>
      </c>
      <c r="R17" s="74" t="str">
        <f t="shared" ca="1" si="9"/>
        <v>Acil tahsilat görüşmesi ve cari mutabakat</v>
      </c>
      <c r="S17" s="93">
        <f t="shared" ca="1" si="10"/>
        <v>0</v>
      </c>
      <c r="T17" s="70" t="str">
        <f ca="1">IF(OR($B17="",$AF17=""),"",IF(INDEX(MUSTERILER!$K$7:$K$156,$AF17)="","",INDEX(MUSTERILER!$K$7:$K$156,$AF17)))</f>
        <v/>
      </c>
      <c r="U17" s="93" t="str">
        <f t="shared" ca="1" si="11"/>
        <v/>
      </c>
      <c r="V17" s="68">
        <f t="shared" ca="1" si="12"/>
        <v>0</v>
      </c>
      <c r="W17" s="65" t="str">
        <f t="shared" ca="1" si="13"/>
        <v>UYGUN</v>
      </c>
      <c r="X17" s="2">
        <f ca="1">IF($B17="",0,SUMIFS(UCRETLER!$J$7:$J$606,UCRETLER!$B$7:$B$606,$B17))</f>
        <v>52500</v>
      </c>
      <c r="Y17" s="2">
        <f ca="1">IF($B17="",0,SUMIFS(UCRETLER!$K$7:$K$606,UCRETLER!$B$7:$B$606,$B17))</f>
        <v>52500</v>
      </c>
      <c r="Z17" s="1">
        <f ca="1">IF($B17="",0,SUMIFS(UCRETLER!$L$7:$L$606,UCRETLER!$B$7:$B$606,$B17))</f>
        <v>45000</v>
      </c>
      <c r="AA17" s="1">
        <f t="shared" ca="1" si="14"/>
        <v>7500</v>
      </c>
      <c r="AB17" s="1">
        <f t="shared" ca="1" si="15"/>
        <v>0</v>
      </c>
      <c r="AC17" s="1">
        <f t="shared" ca="1" si="16"/>
        <v>45000</v>
      </c>
      <c r="AD17" s="1">
        <f t="shared" ca="1" si="17"/>
        <v>45000</v>
      </c>
      <c r="AE17" s="1">
        <f t="shared" ca="1" si="18"/>
        <v>37500</v>
      </c>
      <c r="AF17" s="1">
        <f ca="1">IFERROR(MATCH(ROW()-6,MUSTERILER!$U$7:$U$156,0),"")</f>
        <v>38</v>
      </c>
      <c r="AG17" s="1">
        <f ca="1">IF($B17="",0,SUMIFS(GELIR_GIDER!$G$7:$G$3001,GELIR_GIDER!$T$7:$T$3001,$B17))</f>
        <v>0</v>
      </c>
    </row>
    <row r="18" spans="1:33" ht="18" customHeight="1" x14ac:dyDescent="0.3">
      <c r="A18" s="2"/>
      <c r="B18" s="65" t="str">
        <f ca="1">IF($AF18="","",INDEX(MUSTERILER!$B$7:$B$156,$AF18))</f>
        <v>M007</v>
      </c>
      <c r="C18" s="74" t="str">
        <f ca="1">IF($AF18="","",INDEX(MUSTERILER!$C$7:$C$156,$AF18))</f>
        <v>MONAMOUR LTD.ŞTİ.</v>
      </c>
      <c r="D18" s="68">
        <f ca="1">IF($B18="","",SUMIFS(UCRETLER!$G$7:$G$606,UCRETLER!$B$7:$B$606,$B18,UCRETLER!$F$7:$F$606,"Haftalık",UCRETLER!$H$7:$H$606,"Aktif"))</f>
        <v>3500</v>
      </c>
      <c r="E18" s="68">
        <f ca="1">IF($B18="","",SUMIFS(UCRETLER!$G$7:$G$606,UCRETLER!$B$7:$B$606,$B18,UCRETLER!$F$7:$F$606,"Aylık",UCRETLER!$H$7:$H$606,"Aktif"))</f>
        <v>0</v>
      </c>
      <c r="F18" s="68">
        <f ca="1">IF($B18="","",SUMIFS(MUSTERILER!$J$7:$J$156,MUSTERILER!$B$7:$B$156,$B18))</f>
        <v>0</v>
      </c>
      <c r="G18" s="68">
        <f ca="1">IF($B18="","",SUMIFS(UCRETLER!$I$7:$I$606,UCRETLER!$B$7:$B$606,$B18)+SUMIFS(GELIR_GIDER!$G$7:$G$3001,GELIR_GIDER!$T$7:$T$3001,$B18))</f>
        <v>119000</v>
      </c>
      <c r="H18" s="68">
        <f t="shared" ca="1" si="1"/>
        <v>119000</v>
      </c>
      <c r="I18" s="68">
        <f ca="1">IF($B18="","",SUMIFS(TAHSILAT!$F$7:$F$2503,TAHSILAT!$C$7:$C$2503,$B18))</f>
        <v>89500</v>
      </c>
      <c r="J18" s="68">
        <f t="shared" ca="1" si="2"/>
        <v>29500</v>
      </c>
      <c r="K18" s="68">
        <f t="shared" ca="1" si="3"/>
        <v>3500</v>
      </c>
      <c r="L18" s="68">
        <f t="shared" ca="1" si="4"/>
        <v>3500</v>
      </c>
      <c r="M18" s="68">
        <f t="shared" ca="1" si="5"/>
        <v>7000</v>
      </c>
      <c r="N18" s="68">
        <f t="shared" ca="1" si="6"/>
        <v>15500</v>
      </c>
      <c r="O18" s="92">
        <f t="shared" ca="1" si="7"/>
        <v>0.75210084033613445</v>
      </c>
      <c r="P18" s="70">
        <f ca="1">IF($B18="","",IFERROR(LOOKUP(2,1/(TAHSILAT!$C$7:$C$2503=$B18),TAHSILAT!$E$7:$E$2503),""))</f>
        <v>46256</v>
      </c>
      <c r="Q18" s="65" t="str">
        <f t="shared" ca="1" si="8"/>
        <v>KRİTİK</v>
      </c>
      <c r="R18" s="74" t="str">
        <f t="shared" ca="1" si="9"/>
        <v>Acil tahsilat görüşmesi ve cari mutabakat</v>
      </c>
      <c r="S18" s="93">
        <f t="shared" ca="1" si="10"/>
        <v>0</v>
      </c>
      <c r="T18" s="70" t="str">
        <f ca="1">IF(OR($B18="",$AF18=""),"",IF(INDEX(MUSTERILER!$K$7:$K$156,$AF18)="","",INDEX(MUSTERILER!$K$7:$K$156,$AF18)))</f>
        <v/>
      </c>
      <c r="U18" s="93" t="str">
        <f t="shared" ca="1" si="11"/>
        <v/>
      </c>
      <c r="V18" s="68">
        <f t="shared" ca="1" si="12"/>
        <v>0</v>
      </c>
      <c r="W18" s="65" t="str">
        <f t="shared" ca="1" si="13"/>
        <v>UYGUN</v>
      </c>
      <c r="X18" s="2">
        <f ca="1">IF($B18="",0,SUMIFS(UCRETLER!$J$7:$J$606,UCRETLER!$B$7:$B$606,$B18))</f>
        <v>115500</v>
      </c>
      <c r="Y18" s="2">
        <f ca="1">IF($B18="",0,SUMIFS(UCRETLER!$K$7:$K$606,UCRETLER!$B$7:$B$606,$B18))</f>
        <v>112000</v>
      </c>
      <c r="Z18" s="1">
        <f ca="1">IF($B18="",0,SUMIFS(UCRETLER!$L$7:$L$606,UCRETLER!$B$7:$B$606,$B18))</f>
        <v>105000</v>
      </c>
      <c r="AA18" s="1">
        <f t="shared" ca="1" si="14"/>
        <v>89500</v>
      </c>
      <c r="AB18" s="1">
        <f t="shared" ca="1" si="15"/>
        <v>0</v>
      </c>
      <c r="AC18" s="1">
        <f t="shared" ca="1" si="16"/>
        <v>26000</v>
      </c>
      <c r="AD18" s="1">
        <f t="shared" ca="1" si="17"/>
        <v>22500</v>
      </c>
      <c r="AE18" s="1">
        <f t="shared" ca="1" si="18"/>
        <v>15500</v>
      </c>
      <c r="AF18" s="1">
        <f ca="1">IFERROR(MATCH(ROW()-6,MUSTERILER!$U$7:$U$156,0),"")</f>
        <v>33</v>
      </c>
      <c r="AG18" s="1">
        <f ca="1">IF($B18="",0,SUMIFS(GELIR_GIDER!$G$7:$G$3001,GELIR_GIDER!$T$7:$T$3001,$B18))</f>
        <v>0</v>
      </c>
    </row>
    <row r="19" spans="1:33" ht="18" customHeight="1" x14ac:dyDescent="0.3">
      <c r="A19" s="2"/>
      <c r="B19" s="65" t="str">
        <f ca="1">IF($AF19="","",INDEX(MUSTERILER!$B$7:$B$156,$AF19))</f>
        <v>M053</v>
      </c>
      <c r="C19" s="74" t="str">
        <f ca="1">IF($AF19="","",INDEX(MUSTERILER!$C$7:$C$156,$AF19))</f>
        <v>YEDİYİRMİDÖRT LTD.ŞTİ.</v>
      </c>
      <c r="D19" s="68">
        <f ca="1">IF($B19="","",SUMIFS(UCRETLER!$G$7:$G$606,UCRETLER!$B$7:$B$606,$B19,UCRETLER!$F$7:$F$606,"Haftalık",UCRETLER!$H$7:$H$606,"Aktif"))</f>
        <v>0</v>
      </c>
      <c r="E19" s="68">
        <f ca="1">IF($B19="","",SUMIFS(UCRETLER!$G$7:$G$606,UCRETLER!$B$7:$B$606,$B19,UCRETLER!$F$7:$F$606,"Aylık",UCRETLER!$H$7:$H$606,"Aktif"))</f>
        <v>10000</v>
      </c>
      <c r="F19" s="68">
        <f ca="1">IF($B19="","",SUMIFS(MUSTERILER!$J$7:$J$156,MUSTERILER!$B$7:$B$156,$B19))</f>
        <v>0</v>
      </c>
      <c r="G19" s="68">
        <f ca="1">IF($B19="","",SUMIFS(UCRETLER!$I$7:$I$606,UCRETLER!$B$7:$B$606,$B19)+SUMIFS(GELIR_GIDER!$G$7:$G$3001,GELIR_GIDER!$T$7:$T$3001,$B19))</f>
        <v>70000</v>
      </c>
      <c r="H19" s="68">
        <f t="shared" ca="1" si="1"/>
        <v>70000</v>
      </c>
      <c r="I19" s="68">
        <f ca="1">IF($B19="","",SUMIFS(TAHSILAT!$F$7:$F$2503,TAHSILAT!$C$7:$C$2503,$B19))</f>
        <v>46000</v>
      </c>
      <c r="J19" s="68">
        <f t="shared" ca="1" si="2"/>
        <v>24000</v>
      </c>
      <c r="K19" s="68">
        <f t="shared" ca="1" si="3"/>
        <v>0</v>
      </c>
      <c r="L19" s="68">
        <f t="shared" ca="1" si="4"/>
        <v>0</v>
      </c>
      <c r="M19" s="68">
        <f t="shared" ca="1" si="5"/>
        <v>10000</v>
      </c>
      <c r="N19" s="68">
        <f t="shared" ca="1" si="6"/>
        <v>14000</v>
      </c>
      <c r="O19" s="92">
        <f t="shared" ca="1" si="7"/>
        <v>0.65714285714285714</v>
      </c>
      <c r="P19" s="70">
        <f ca="1">IF($B19="","",IFERROR(LOOKUP(2,1/(TAHSILAT!$C$7:$C$2503=$B19),TAHSILAT!$E$7:$E$2503),""))</f>
        <v>46203</v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93">
        <f t="shared" ca="1" si="10"/>
        <v>0</v>
      </c>
      <c r="T19" s="70" t="str">
        <f ca="1">IF(OR($B19="",$AF19=""),"",IF(INDEX(MUSTERILER!$K$7:$K$156,$AF19)="","",INDEX(MUSTERILER!$K$7:$K$156,$AF19)))</f>
        <v/>
      </c>
      <c r="U19" s="93" t="str">
        <f t="shared" ca="1" si="11"/>
        <v/>
      </c>
      <c r="V19" s="68">
        <f t="shared" ca="1" si="12"/>
        <v>0</v>
      </c>
      <c r="W19" s="65" t="str">
        <f t="shared" ca="1" si="13"/>
        <v>UYGUN</v>
      </c>
      <c r="X19" s="2">
        <f ca="1">IF($B19="",0,SUMIFS(UCRETLER!$J$7:$J$606,UCRETLER!$B$7:$B$606,$B19))</f>
        <v>70000</v>
      </c>
      <c r="Y19" s="2">
        <f ca="1">IF($B19="",0,SUMIFS(UCRETLER!$K$7:$K$606,UCRETLER!$B$7:$B$606,$B19))</f>
        <v>70000</v>
      </c>
      <c r="Z19" s="1">
        <f ca="1">IF($B19="",0,SUMIFS(UCRETLER!$L$7:$L$606,UCRETLER!$B$7:$B$606,$B19))</f>
        <v>60000</v>
      </c>
      <c r="AA19" s="1">
        <f t="shared" ca="1" si="14"/>
        <v>46000</v>
      </c>
      <c r="AB19" s="1">
        <f t="shared" ca="1" si="15"/>
        <v>0</v>
      </c>
      <c r="AC19" s="1">
        <f t="shared" ca="1" si="16"/>
        <v>24000</v>
      </c>
      <c r="AD19" s="1">
        <f t="shared" ca="1" si="17"/>
        <v>24000</v>
      </c>
      <c r="AE19" s="1">
        <f t="shared" ca="1" si="18"/>
        <v>14000</v>
      </c>
      <c r="AF19" s="1">
        <f ca="1">IFERROR(MATCH(ROW()-6,MUSTERILER!$U$7:$U$156,0),"")</f>
        <v>53</v>
      </c>
      <c r="AG19" s="1">
        <f ca="1">IF($B19="",0,SUMIFS(GELIR_GIDER!$G$7:$G$3001,GELIR_GIDER!$T$7:$T$3001,$B19))</f>
        <v>0</v>
      </c>
    </row>
    <row r="20" spans="1:33" ht="18" customHeight="1" x14ac:dyDescent="0.3">
      <c r="A20" s="2"/>
      <c r="B20" s="65" t="str">
        <f ca="1">IF($AF20="","",INDEX(MUSTERILER!$B$7:$B$156,$AF20))</f>
        <v>M039</v>
      </c>
      <c r="C20" s="74" t="str">
        <f ca="1">IF($AF20="","",INDEX(MUSTERILER!$C$7:$C$156,$AF20))</f>
        <v>MELİSA BEDİR</v>
      </c>
      <c r="D20" s="68">
        <f ca="1">IF($B20="","",SUMIFS(UCRETLER!$G$7:$G$606,UCRETLER!$B$7:$B$606,$B20,UCRETLER!$F$7:$F$606,"Haftalık",UCRETLER!$H$7:$H$606,"Aktif"))</f>
        <v>0</v>
      </c>
      <c r="E20" s="68">
        <f ca="1">IF($B20="","",SUMIFS(UCRETLER!$G$7:$G$606,UCRETLER!$B$7:$B$606,$B20,UCRETLER!$F$7:$F$606,"Aylık",UCRETLER!$H$7:$H$606,"Aktif"))</f>
        <v>3000</v>
      </c>
      <c r="F20" s="68">
        <f ca="1">IF($B20="","",SUMIFS(MUSTERILER!$J$7:$J$156,MUSTERILER!$B$7:$B$156,$B20))</f>
        <v>0</v>
      </c>
      <c r="G20" s="68">
        <f ca="1">IF($B20="","",SUMIFS(UCRETLER!$I$7:$I$606,UCRETLER!$B$7:$B$606,$B20)+SUMIFS(GELIR_GIDER!$G$7:$G$3001,GELIR_GIDER!$T$7:$T$3001,$B20))</f>
        <v>21000</v>
      </c>
      <c r="H20" s="68">
        <f t="shared" ca="1" si="1"/>
        <v>21000</v>
      </c>
      <c r="I20" s="68">
        <f ca="1">IF($B20="","",SUMIFS(TAHSILAT!$F$7:$F$2503,TAHSILAT!$C$7:$C$2503,$B20))</f>
        <v>0</v>
      </c>
      <c r="J20" s="68">
        <f t="shared" ca="1" si="2"/>
        <v>21000</v>
      </c>
      <c r="K20" s="68">
        <f t="shared" ca="1" si="3"/>
        <v>0</v>
      </c>
      <c r="L20" s="68">
        <f t="shared" ca="1" si="4"/>
        <v>0</v>
      </c>
      <c r="M20" s="68">
        <f t="shared" ca="1" si="5"/>
        <v>3000</v>
      </c>
      <c r="N20" s="68">
        <f t="shared" ca="1" si="6"/>
        <v>18000</v>
      </c>
      <c r="O20" s="92">
        <f t="shared" ca="1" si="7"/>
        <v>0</v>
      </c>
      <c r="P20" s="70" t="str">
        <f ca="1">IF($B20="","",IFERROR(LOOKUP(2,1/(TAHSILAT!$C$7:$C$2503=$B20),TAHSILAT!$E$7:$E$2503),""))</f>
        <v/>
      </c>
      <c r="Q20" s="65" t="str">
        <f t="shared" ca="1" si="8"/>
        <v>KRİTİK</v>
      </c>
      <c r="R20" s="74" t="str">
        <f t="shared" ca="1" si="9"/>
        <v>Acil tahsilat görüşmesi ve cari mutabakat</v>
      </c>
      <c r="S20" s="93">
        <f t="shared" ca="1" si="10"/>
        <v>0</v>
      </c>
      <c r="T20" s="70" t="str">
        <f ca="1">IF(OR($B20="",$AF20=""),"",IF(INDEX(MUSTERILER!$K$7:$K$156,$AF20)="","",INDEX(MUSTERILER!$K$7:$K$156,$AF20)))</f>
        <v/>
      </c>
      <c r="U20" s="93" t="str">
        <f t="shared" ca="1" si="11"/>
        <v/>
      </c>
      <c r="V20" s="68">
        <f t="shared" ca="1" si="12"/>
        <v>0</v>
      </c>
      <c r="W20" s="65" t="str">
        <f t="shared" ca="1" si="13"/>
        <v>UYGUN</v>
      </c>
      <c r="X20" s="2">
        <f ca="1">IF($B20="",0,SUMIFS(UCRETLER!$J$7:$J$606,UCRETLER!$B$7:$B$606,$B20))</f>
        <v>21000</v>
      </c>
      <c r="Y20" s="2">
        <f ca="1">IF($B20="",0,SUMIFS(UCRETLER!$K$7:$K$606,UCRETLER!$B$7:$B$606,$B20))</f>
        <v>21000</v>
      </c>
      <c r="Z20" s="1">
        <f ca="1">IF($B20="",0,SUMIFS(UCRETLER!$L$7:$L$606,UCRETLER!$B$7:$B$606,$B20))</f>
        <v>18000</v>
      </c>
      <c r="AA20" s="1">
        <f t="shared" ca="1" si="14"/>
        <v>0</v>
      </c>
      <c r="AB20" s="1">
        <f t="shared" ca="1" si="15"/>
        <v>0</v>
      </c>
      <c r="AC20" s="1">
        <f t="shared" ca="1" si="16"/>
        <v>21000</v>
      </c>
      <c r="AD20" s="1">
        <f t="shared" ca="1" si="17"/>
        <v>21000</v>
      </c>
      <c r="AE20" s="1">
        <f t="shared" ca="1" si="18"/>
        <v>18000</v>
      </c>
      <c r="AF20" s="1">
        <f ca="1">IFERROR(MATCH(ROW()-6,MUSTERILER!$U$7:$U$156,0),"")</f>
        <v>30</v>
      </c>
      <c r="AG20" s="1">
        <f ca="1">IF($B20="",0,SUMIFS(GELIR_GIDER!$G$7:$G$3001,GELIR_GIDER!$T$7:$T$3001,$B20))</f>
        <v>0</v>
      </c>
    </row>
    <row r="21" spans="1:33" ht="18" customHeight="1" x14ac:dyDescent="0.3">
      <c r="A21" s="2"/>
      <c r="B21" s="65" t="str">
        <f ca="1">IF($AF21="","",INDEX(MUSTERILER!$B$7:$B$156,$AF21))</f>
        <v>M001</v>
      </c>
      <c r="C21" s="74" t="str">
        <f ca="1">IF($AF21="","",INDEX(MUSTERILER!$C$7:$C$156,$AF21))</f>
        <v>ANKARA HAVANA LTD.ŞTİ.</v>
      </c>
      <c r="D21" s="68">
        <f ca="1">IF($B21="","",SUMIFS(UCRETLER!$G$7:$G$606,UCRETLER!$B$7:$B$606,$B21,UCRETLER!$F$7:$F$606,"Haftalık",UCRETLER!$H$7:$H$606,"Aktif"))</f>
        <v>4000</v>
      </c>
      <c r="E21" s="68">
        <f ca="1">IF($B21="","",SUMIFS(UCRETLER!$G$7:$G$606,UCRETLER!$B$7:$B$606,$B21,UCRETLER!$F$7:$F$606,"Aylık",UCRETLER!$H$7:$H$606,"Aktif"))</f>
        <v>0</v>
      </c>
      <c r="F21" s="68">
        <f ca="1">IF($B21="","",SUMIFS(MUSTERILER!$J$7:$J$156,MUSTERILER!$B$7:$B$156,$B21))</f>
        <v>0</v>
      </c>
      <c r="G21" s="68">
        <f ca="1">IF($B21="","",SUMIFS(UCRETLER!$I$7:$I$606,UCRETLER!$B$7:$B$606,$B21)+SUMIFS(GELIR_GIDER!$G$7:$G$3001,GELIR_GIDER!$T$7:$T$3001,$B21))</f>
        <v>136000</v>
      </c>
      <c r="H21" s="68">
        <f t="shared" ca="1" si="1"/>
        <v>136000</v>
      </c>
      <c r="I21" s="68">
        <f ca="1">IF($B21="","",SUMIFS(TAHSILAT!$F$7:$F$2503,TAHSILAT!$C$7:$C$2503,$B21))</f>
        <v>116000</v>
      </c>
      <c r="J21" s="68">
        <f t="shared" ca="1" si="2"/>
        <v>20000</v>
      </c>
      <c r="K21" s="68">
        <f t="shared" ca="1" si="3"/>
        <v>4000</v>
      </c>
      <c r="L21" s="68">
        <f t="shared" ca="1" si="4"/>
        <v>4000</v>
      </c>
      <c r="M21" s="68">
        <f t="shared" ca="1" si="5"/>
        <v>8000</v>
      </c>
      <c r="N21" s="68">
        <f t="shared" ca="1" si="6"/>
        <v>4000</v>
      </c>
      <c r="O21" s="92">
        <f t="shared" ca="1" si="7"/>
        <v>0.8529411764705882</v>
      </c>
      <c r="P21" s="70">
        <f ca="1">IF($B21="","",IFERROR(LOOKUP(2,1/(TAHSILAT!$C$7:$C$2503=$B21),TAHSILAT!$E$7:$E$2503),""))</f>
        <v>46256</v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93">
        <f t="shared" ca="1" si="10"/>
        <v>0</v>
      </c>
      <c r="T21" s="70" t="str">
        <f ca="1">IF(OR($B21="",$AF21=""),"",IF(INDEX(MUSTERILER!$K$7:$K$156,$AF21)="","",INDEX(MUSTERILER!$K$7:$K$156,$AF21)))</f>
        <v/>
      </c>
      <c r="U21" s="93" t="str">
        <f t="shared" ca="1" si="11"/>
        <v/>
      </c>
      <c r="V21" s="68">
        <f t="shared" ca="1" si="12"/>
        <v>0</v>
      </c>
      <c r="W21" s="65" t="str">
        <f t="shared" ca="1" si="13"/>
        <v>UYGUN</v>
      </c>
      <c r="X21" s="2">
        <f ca="1">IF($B21="",0,SUMIFS(UCRETLER!$J$7:$J$606,UCRETLER!$B$7:$B$606,$B21))</f>
        <v>132000</v>
      </c>
      <c r="Y21" s="2">
        <f ca="1">IF($B21="",0,SUMIFS(UCRETLER!$K$7:$K$606,UCRETLER!$B$7:$B$606,$B21))</f>
        <v>128000</v>
      </c>
      <c r="Z21" s="1">
        <f ca="1">IF($B21="",0,SUMIFS(UCRETLER!$L$7:$L$606,UCRETLER!$B$7:$B$606,$B21))</f>
        <v>120000</v>
      </c>
      <c r="AA21" s="1">
        <f t="shared" ca="1" si="14"/>
        <v>116000</v>
      </c>
      <c r="AB21" s="1">
        <f t="shared" ca="1" si="15"/>
        <v>0</v>
      </c>
      <c r="AC21" s="1">
        <f t="shared" ca="1" si="16"/>
        <v>16000</v>
      </c>
      <c r="AD21" s="1">
        <f t="shared" ca="1" si="17"/>
        <v>12000</v>
      </c>
      <c r="AE21" s="1">
        <f t="shared" ca="1" si="18"/>
        <v>4000</v>
      </c>
      <c r="AF21" s="1">
        <f ca="1">IFERROR(MATCH(ROW()-6,MUSTERILER!$U$7:$U$156,0),"")</f>
        <v>4</v>
      </c>
      <c r="AG21" s="1">
        <f ca="1">IF($B21="",0,SUMIFS(GELIR_GIDER!$G$7:$G$3001,GELIR_GIDER!$T$7:$T$3001,$B21))</f>
        <v>0</v>
      </c>
    </row>
    <row r="22" spans="1:33" ht="18" customHeight="1" x14ac:dyDescent="0.3">
      <c r="A22" s="2"/>
      <c r="B22" s="65" t="str">
        <f ca="1">IF($AF22="","",INDEX(MUSTERILER!$B$7:$B$156,$AF22))</f>
        <v>M006</v>
      </c>
      <c r="C22" s="74" t="str">
        <f ca="1">IF($AF22="","",INDEX(MUSTERILER!$C$7:$C$156,$AF22))</f>
        <v>VOLKAN AÇIK</v>
      </c>
      <c r="D22" s="68">
        <f ca="1">IF($B22="","",SUMIFS(UCRETLER!$G$7:$G$606,UCRETLER!$B$7:$B$606,$B22,UCRETLER!$F$7:$F$606,"Haftalık",UCRETLER!$H$7:$H$606,"Aktif"))</f>
        <v>1000</v>
      </c>
      <c r="E22" s="68">
        <f ca="1">IF($B22="","",SUMIFS(UCRETLER!$G$7:$G$606,UCRETLER!$B$7:$B$606,$B22,UCRETLER!$F$7:$F$606,"Aylık",UCRETLER!$H$7:$H$606,"Aktif"))</f>
        <v>0</v>
      </c>
      <c r="F22" s="68">
        <f ca="1">IF($B22="","",SUMIFS(MUSTERILER!$J$7:$J$156,MUSTERILER!$B$7:$B$156,$B22))</f>
        <v>0</v>
      </c>
      <c r="G22" s="68">
        <f ca="1">IF($B22="","",SUMIFS(UCRETLER!$I$7:$I$606,UCRETLER!$B$7:$B$606,$B22)+SUMIFS(GELIR_GIDER!$G$7:$G$3001,GELIR_GIDER!$T$7:$T$3001,$B22))</f>
        <v>34000</v>
      </c>
      <c r="H22" s="68">
        <f t="shared" ca="1" si="1"/>
        <v>34000</v>
      </c>
      <c r="I22" s="68">
        <f ca="1">IF($B22="","",SUMIFS(TAHSILAT!$F$7:$F$2503,TAHSILAT!$C$7:$C$2503,$B22))</f>
        <v>15000</v>
      </c>
      <c r="J22" s="68">
        <f t="shared" ca="1" si="2"/>
        <v>19000</v>
      </c>
      <c r="K22" s="68">
        <f t="shared" ca="1" si="3"/>
        <v>1000</v>
      </c>
      <c r="L22" s="68">
        <f t="shared" ca="1" si="4"/>
        <v>1000</v>
      </c>
      <c r="M22" s="68">
        <f t="shared" ca="1" si="5"/>
        <v>2000</v>
      </c>
      <c r="N22" s="68">
        <f t="shared" ca="1" si="6"/>
        <v>15000</v>
      </c>
      <c r="O22" s="92">
        <f t="shared" ca="1" si="7"/>
        <v>0.44117647058823528</v>
      </c>
      <c r="P22" s="70">
        <f ca="1">IF($B22="","",IFERROR(LOOKUP(2,1/(TAHSILAT!$C$7:$C$2503=$B22),TAHSILAT!$E$7:$E$2503),""))</f>
        <v>46260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93">
        <f t="shared" ca="1" si="10"/>
        <v>0</v>
      </c>
      <c r="T22" s="70" t="str">
        <f ca="1">IF(OR($B22="",$AF22=""),"",IF(INDEX(MUSTERILER!$K$7:$K$156,$AF22)="","",INDEX(MUSTERILER!$K$7:$K$156,$AF22)))</f>
        <v/>
      </c>
      <c r="U22" s="93" t="str">
        <f t="shared" ca="1" si="11"/>
        <v/>
      </c>
      <c r="V22" s="68">
        <f t="shared" ca="1" si="12"/>
        <v>0</v>
      </c>
      <c r="W22" s="65" t="str">
        <f t="shared" ca="1" si="13"/>
        <v>UYGUN</v>
      </c>
      <c r="X22" s="2">
        <f ca="1">IF($B22="",0,SUMIFS(UCRETLER!$J$7:$J$606,UCRETLER!$B$7:$B$606,$B22))</f>
        <v>33000</v>
      </c>
      <c r="Y22" s="2">
        <f ca="1">IF($B22="",0,SUMIFS(UCRETLER!$K$7:$K$606,UCRETLER!$B$7:$B$606,$B22))</f>
        <v>32000</v>
      </c>
      <c r="Z22" s="1">
        <f ca="1">IF($B22="",0,SUMIFS(UCRETLER!$L$7:$L$606,UCRETLER!$B$7:$B$606,$B22))</f>
        <v>30000</v>
      </c>
      <c r="AA22" s="1">
        <f t="shared" ca="1" si="14"/>
        <v>15000</v>
      </c>
      <c r="AB22" s="1">
        <f t="shared" ca="1" si="15"/>
        <v>0</v>
      </c>
      <c r="AC22" s="1">
        <f t="shared" ca="1" si="16"/>
        <v>18000</v>
      </c>
      <c r="AD22" s="1">
        <f t="shared" ca="1" si="17"/>
        <v>17000</v>
      </c>
      <c r="AE22" s="1">
        <f t="shared" ca="1" si="18"/>
        <v>15000</v>
      </c>
      <c r="AF22" s="1">
        <f ca="1">IFERROR(MATCH(ROW()-6,MUSTERILER!$U$7:$U$156,0),"")</f>
        <v>51</v>
      </c>
      <c r="AG22" s="1">
        <f ca="1">IF($B22="",0,SUMIFS(GELIR_GIDER!$G$7:$G$3001,GELIR_GIDER!$T$7:$T$3001,$B22))</f>
        <v>0</v>
      </c>
    </row>
    <row r="23" spans="1:33" ht="18" customHeight="1" x14ac:dyDescent="0.3">
      <c r="A23" s="2"/>
      <c r="B23" s="65" t="str">
        <f ca="1">IF($AF23="","",INDEX(MUSTERILER!$B$7:$B$156,$AF23))</f>
        <v>M022</v>
      </c>
      <c r="C23" s="74" t="str">
        <f ca="1">IF($AF23="","",INDEX(MUSTERILER!$C$7:$C$156,$AF23))</f>
        <v>ADEM KARABENLİ</v>
      </c>
      <c r="D23" s="68">
        <f ca="1">IF($B23="","",SUMIFS(UCRETLER!$G$7:$G$606,UCRETLER!$B$7:$B$606,$B23,UCRETLER!$F$7:$F$606,"Haftalık",UCRETLER!$H$7:$H$606,"Aktif"))</f>
        <v>0</v>
      </c>
      <c r="E23" s="68">
        <f ca="1">IF($B23="","",SUMIFS(UCRETLER!$G$7:$G$606,UCRETLER!$B$7:$B$606,$B23,UCRETLER!$F$7:$F$606,"Aylık",UCRETLER!$H$7:$H$606,"Aktif"))</f>
        <v>3000</v>
      </c>
      <c r="F23" s="68">
        <f ca="1">IF($B23="","",SUMIFS(MUSTERILER!$J$7:$J$156,MUSTERILER!$B$7:$B$156,$B23))</f>
        <v>0</v>
      </c>
      <c r="G23" s="68">
        <f ca="1">IF($B23="","",SUMIFS(UCRETLER!$I$7:$I$606,UCRETLER!$B$7:$B$606,$B23)+SUMIFS(GELIR_GIDER!$G$7:$G$3001,GELIR_GIDER!$T$7:$T$3001,$B23))</f>
        <v>21000</v>
      </c>
      <c r="H23" s="68">
        <f t="shared" ca="1" si="1"/>
        <v>21000</v>
      </c>
      <c r="I23" s="68">
        <f ca="1">IF($B23="","",SUMIFS(TAHSILAT!$F$7:$F$2503,TAHSILAT!$C$7:$C$2503,$B23))</f>
        <v>3000</v>
      </c>
      <c r="J23" s="68">
        <f t="shared" ca="1" si="2"/>
        <v>18000</v>
      </c>
      <c r="K23" s="68">
        <f t="shared" ca="1" si="3"/>
        <v>0</v>
      </c>
      <c r="L23" s="68">
        <f t="shared" ca="1" si="4"/>
        <v>0</v>
      </c>
      <c r="M23" s="68">
        <f t="shared" ca="1" si="5"/>
        <v>3000</v>
      </c>
      <c r="N23" s="68">
        <f t="shared" ca="1" si="6"/>
        <v>15000</v>
      </c>
      <c r="O23" s="92">
        <f t="shared" ca="1" si="7"/>
        <v>0.14285714285714285</v>
      </c>
      <c r="P23" s="70">
        <f ca="1">IF($B23="","",IFERROR(LOOKUP(2,1/(TAHSILAT!$C$7:$C$2503=$B23),TAHSILAT!$E$7:$E$2503),""))</f>
        <v>46254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93">
        <f t="shared" ca="1" si="10"/>
        <v>0</v>
      </c>
      <c r="T23" s="70" t="str">
        <f ca="1">IF(OR($B23="",$AF23=""),"",IF(INDEX(MUSTERILER!$K$7:$K$156,$AF23)="","",INDEX(MUSTERILER!$K$7:$K$156,$AF23)))</f>
        <v/>
      </c>
      <c r="U23" s="93" t="str">
        <f t="shared" ca="1" si="11"/>
        <v/>
      </c>
      <c r="V23" s="68">
        <f t="shared" ca="1" si="12"/>
        <v>0</v>
      </c>
      <c r="W23" s="65" t="str">
        <f t="shared" ca="1" si="13"/>
        <v>UYGUN</v>
      </c>
      <c r="X23" s="2">
        <f ca="1">IF($B23="",0,SUMIFS(UCRETLER!$J$7:$J$606,UCRETLER!$B$7:$B$606,$B23))</f>
        <v>21000</v>
      </c>
      <c r="Y23" s="2">
        <f ca="1">IF($B23="",0,SUMIFS(UCRETLER!$K$7:$K$606,UCRETLER!$B$7:$B$606,$B23))</f>
        <v>21000</v>
      </c>
      <c r="Z23" s="1">
        <f ca="1">IF($B23="",0,SUMIFS(UCRETLER!$L$7:$L$606,UCRETLER!$B$7:$B$606,$B23))</f>
        <v>18000</v>
      </c>
      <c r="AA23" s="1">
        <f t="shared" ca="1" si="14"/>
        <v>3000</v>
      </c>
      <c r="AB23" s="1">
        <f t="shared" ca="1" si="15"/>
        <v>0</v>
      </c>
      <c r="AC23" s="1">
        <f t="shared" ca="1" si="16"/>
        <v>18000</v>
      </c>
      <c r="AD23" s="1">
        <f t="shared" ca="1" si="17"/>
        <v>18000</v>
      </c>
      <c r="AE23" s="1">
        <f t="shared" ca="1" si="18"/>
        <v>15000</v>
      </c>
      <c r="AF23" s="1">
        <f ca="1">IFERROR(MATCH(ROW()-6,MUSTERILER!$U$7:$U$156,0),"")</f>
        <v>2</v>
      </c>
      <c r="AG23" s="1">
        <f ca="1">IF($B23="",0,SUMIFS(GELIR_GIDER!$G$7:$G$3001,GELIR_GIDER!$T$7:$T$3001,$B23))</f>
        <v>0</v>
      </c>
    </row>
    <row r="24" spans="1:33" ht="18" customHeight="1" x14ac:dyDescent="0.3">
      <c r="A24" s="2"/>
      <c r="B24" s="65" t="str">
        <f ca="1">IF($AF24="","",INDEX(MUSTERILER!$B$7:$B$156,$AF24))</f>
        <v>M036</v>
      </c>
      <c r="C24" s="74" t="str">
        <f ca="1">IF($AF24="","",INDEX(MUSTERILER!$C$7:$C$156,$AF24))</f>
        <v>İSMAİL AKPINAR</v>
      </c>
      <c r="D24" s="68">
        <f ca="1">IF($B24="","",SUMIFS(UCRETLER!$G$7:$G$606,UCRETLER!$B$7:$B$606,$B24,UCRETLER!$F$7:$F$606,"Haftalık",UCRETLER!$H$7:$H$606,"Aktif"))</f>
        <v>0</v>
      </c>
      <c r="E24" s="68">
        <f ca="1">IF($B24="","",SUMIFS(UCRETLER!$G$7:$G$606,UCRETLER!$B$7:$B$606,$B24,UCRETLER!$F$7:$F$606,"Aylık",UCRETLER!$H$7:$H$606,"Aktif"))</f>
        <v>4000</v>
      </c>
      <c r="F24" s="68">
        <f ca="1">IF($B24="","",SUMIFS(MUSTERILER!$J$7:$J$156,MUSTERILER!$B$7:$B$156,$B24))</f>
        <v>0</v>
      </c>
      <c r="G24" s="68">
        <f ca="1">IF($B24="","",SUMIFS(UCRETLER!$I$7:$I$606,UCRETLER!$B$7:$B$606,$B24)+SUMIFS(GELIR_GIDER!$G$7:$G$3001,GELIR_GIDER!$T$7:$T$3001,$B24))</f>
        <v>28000</v>
      </c>
      <c r="H24" s="68">
        <f t="shared" ca="1" si="1"/>
        <v>28000</v>
      </c>
      <c r="I24" s="68">
        <f ca="1">IF($B24="","",SUMIFS(TAHSILAT!$F$7:$F$2503,TAHSILAT!$C$7:$C$2503,$B24))</f>
        <v>10000</v>
      </c>
      <c r="J24" s="68">
        <f t="shared" ca="1" si="2"/>
        <v>18000</v>
      </c>
      <c r="K24" s="68">
        <f t="shared" ca="1" si="3"/>
        <v>0</v>
      </c>
      <c r="L24" s="68">
        <f t="shared" ca="1" si="4"/>
        <v>0</v>
      </c>
      <c r="M24" s="68">
        <f t="shared" ca="1" si="5"/>
        <v>4000</v>
      </c>
      <c r="N24" s="68">
        <f t="shared" ca="1" si="6"/>
        <v>14000</v>
      </c>
      <c r="O24" s="92">
        <f t="shared" ca="1" si="7"/>
        <v>0.35714285714285715</v>
      </c>
      <c r="P24" s="70">
        <f ca="1">IF($B24="","",IFERROR(LOOKUP(2,1/(TAHSILAT!$C$7:$C$2503=$B24),TAHSILAT!$E$7:$E$2503),""))</f>
        <v>46253</v>
      </c>
      <c r="Q24" s="65" t="str">
        <f t="shared" ca="1" si="8"/>
        <v>KRİTİK</v>
      </c>
      <c r="R24" s="74" t="str">
        <f t="shared" ca="1" si="9"/>
        <v>Acil tahsilat görüşmesi ve cari mutabakat</v>
      </c>
      <c r="S24" s="93">
        <f t="shared" ca="1" si="10"/>
        <v>0</v>
      </c>
      <c r="T24" s="70" t="str">
        <f ca="1">IF(OR($B24="",$AF24=""),"",IF(INDEX(MUSTERILER!$K$7:$K$156,$AF24)="","",INDEX(MUSTERILER!$K$7:$K$156,$AF24)))</f>
        <v/>
      </c>
      <c r="U24" s="93" t="str">
        <f t="shared" ca="1" si="11"/>
        <v/>
      </c>
      <c r="V24" s="68">
        <f t="shared" ca="1" si="12"/>
        <v>0</v>
      </c>
      <c r="W24" s="65" t="str">
        <f t="shared" ca="1" si="13"/>
        <v>UYGUN</v>
      </c>
      <c r="X24" s="2">
        <f ca="1">IF($B24="",0,SUMIFS(UCRETLER!$J$7:$J$606,UCRETLER!$B$7:$B$606,$B24))</f>
        <v>28000</v>
      </c>
      <c r="Y24" s="2">
        <f ca="1">IF($B24="",0,SUMIFS(UCRETLER!$K$7:$K$606,UCRETLER!$B$7:$B$606,$B24))</f>
        <v>28000</v>
      </c>
      <c r="Z24" s="1">
        <f ca="1">IF($B24="",0,SUMIFS(UCRETLER!$L$7:$L$606,UCRETLER!$B$7:$B$606,$B24))</f>
        <v>24000</v>
      </c>
      <c r="AA24" s="1">
        <f t="shared" ca="1" si="14"/>
        <v>10000</v>
      </c>
      <c r="AB24" s="1">
        <f t="shared" ca="1" si="15"/>
        <v>0</v>
      </c>
      <c r="AC24" s="1">
        <f t="shared" ca="1" si="16"/>
        <v>18000</v>
      </c>
      <c r="AD24" s="1">
        <f t="shared" ca="1" si="17"/>
        <v>18000</v>
      </c>
      <c r="AE24" s="1">
        <f t="shared" ca="1" si="18"/>
        <v>14000</v>
      </c>
      <c r="AF24" s="1">
        <f ca="1">IFERROR(MATCH(ROW()-6,MUSTERILER!$U$7:$U$156,0),"")</f>
        <v>25</v>
      </c>
      <c r="AG24" s="1">
        <f ca="1">IF($B24="",0,SUMIFS(GELIR_GIDER!$G$7:$G$3001,GELIR_GIDER!$T$7:$T$3001,$B24))</f>
        <v>0</v>
      </c>
    </row>
    <row r="25" spans="1:33" ht="18" customHeight="1" x14ac:dyDescent="0.3">
      <c r="A25" s="2"/>
      <c r="B25" s="65" t="str">
        <f ca="1">IF($AF25="","",INDEX(MUSTERILER!$B$7:$B$156,$AF25))</f>
        <v>M019</v>
      </c>
      <c r="C25" s="74" t="str">
        <f ca="1">IF($AF25="","",INDEX(MUSTERILER!$C$7:$C$156,$AF25))</f>
        <v>AC OTEL LTD.ŞTİ.</v>
      </c>
      <c r="D25" s="68">
        <f ca="1">IF($B25="","",SUMIFS(UCRETLER!$G$7:$G$606,UCRETLER!$B$7:$B$606,$B25,UCRETLER!$F$7:$F$606,"Haftalık",UCRETLER!$H$7:$H$606,"Aktif"))</f>
        <v>0</v>
      </c>
      <c r="E25" s="68">
        <f ca="1">IF($B25="","",SUMIFS(UCRETLER!$G$7:$G$606,UCRETLER!$B$7:$B$606,$B25,UCRETLER!$F$7:$F$606,"Aylık",UCRETLER!$H$7:$H$606,"Aktif"))</f>
        <v>4000</v>
      </c>
      <c r="F25" s="68">
        <f ca="1">IF($B25="","",SUMIFS(MUSTERILER!$J$7:$J$156,MUSTERILER!$B$7:$B$156,$B25))</f>
        <v>0</v>
      </c>
      <c r="G25" s="68">
        <f ca="1">IF($B25="","",SUMIFS(UCRETLER!$I$7:$I$606,UCRETLER!$B$7:$B$606,$B25)+SUMIFS(GELIR_GIDER!$G$7:$G$3001,GELIR_GIDER!$T$7:$T$3001,$B25))</f>
        <v>28000</v>
      </c>
      <c r="H25" s="68">
        <f t="shared" ca="1" si="1"/>
        <v>28000</v>
      </c>
      <c r="I25" s="68">
        <f ca="1">IF($B25="","",SUMIFS(TAHSILAT!$F$7:$F$2503,TAHSILAT!$C$7:$C$2503,$B25))</f>
        <v>18000</v>
      </c>
      <c r="J25" s="68">
        <f t="shared" ca="1" si="2"/>
        <v>10000</v>
      </c>
      <c r="K25" s="68">
        <f t="shared" ca="1" si="3"/>
        <v>0</v>
      </c>
      <c r="L25" s="68">
        <f t="shared" ca="1" si="4"/>
        <v>0</v>
      </c>
      <c r="M25" s="68">
        <f t="shared" ca="1" si="5"/>
        <v>4000</v>
      </c>
      <c r="N25" s="68">
        <f t="shared" ca="1" si="6"/>
        <v>6000</v>
      </c>
      <c r="O25" s="92">
        <f t="shared" ca="1" si="7"/>
        <v>0.6428571428571429</v>
      </c>
      <c r="P25" s="70">
        <f ca="1">IF($B25="","",IFERROR(LOOKUP(2,1/(TAHSILAT!$C$7:$C$2503=$B25),TAHSILAT!$E$7:$E$2503),""))</f>
        <v>46249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93">
        <f t="shared" ca="1" si="10"/>
        <v>0</v>
      </c>
      <c r="T25" s="70" t="str">
        <f ca="1">IF(OR($B25="",$AF25=""),"",IF(INDEX(MUSTERILER!$K$7:$K$156,$AF25)="","",INDEX(MUSTERILER!$K$7:$K$156,$AF25)))</f>
        <v/>
      </c>
      <c r="U25" s="93" t="str">
        <f t="shared" ca="1" si="11"/>
        <v/>
      </c>
      <c r="V25" s="68">
        <f t="shared" ca="1" si="12"/>
        <v>0</v>
      </c>
      <c r="W25" s="65" t="str">
        <f t="shared" ca="1" si="13"/>
        <v>UYGUN</v>
      </c>
      <c r="X25" s="2">
        <f ca="1">IF($B25="",0,SUMIFS(UCRETLER!$J$7:$J$606,UCRETLER!$B$7:$B$606,$B25))</f>
        <v>28000</v>
      </c>
      <c r="Y25" s="2">
        <f ca="1">IF($B25="",0,SUMIFS(UCRETLER!$K$7:$K$606,UCRETLER!$B$7:$B$606,$B25))</f>
        <v>28000</v>
      </c>
      <c r="Z25" s="1">
        <f ca="1">IF($B25="",0,SUMIFS(UCRETLER!$L$7:$L$606,UCRETLER!$B$7:$B$606,$B25))</f>
        <v>24000</v>
      </c>
      <c r="AA25" s="1">
        <f t="shared" ca="1" si="14"/>
        <v>18000</v>
      </c>
      <c r="AB25" s="1">
        <f t="shared" ca="1" si="15"/>
        <v>0</v>
      </c>
      <c r="AC25" s="1">
        <f t="shared" ca="1" si="16"/>
        <v>10000</v>
      </c>
      <c r="AD25" s="1">
        <f t="shared" ca="1" si="17"/>
        <v>10000</v>
      </c>
      <c r="AE25" s="1">
        <f t="shared" ca="1" si="18"/>
        <v>6000</v>
      </c>
      <c r="AF25" s="1">
        <f ca="1">IFERROR(MATCH(ROW()-6,MUSTERILER!$U$7:$U$156,0),"")</f>
        <v>1</v>
      </c>
      <c r="AG25" s="1">
        <f ca="1">IF($B25="",0,SUMIFS(GELIR_GIDER!$G$7:$G$3001,GELIR_GIDER!$T$7:$T$3001,$B25))</f>
        <v>0</v>
      </c>
    </row>
    <row r="26" spans="1:33" ht="18" customHeight="1" x14ac:dyDescent="0.3">
      <c r="A26" s="2"/>
      <c r="B26" s="65" t="str">
        <f ca="1">IF($AF26="","",INDEX(MUSTERILER!$B$7:$B$156,$AF26))</f>
        <v>M052</v>
      </c>
      <c r="C26" s="74" t="str">
        <f ca="1">IF($AF26="","",INDEX(MUSTERILER!$C$7:$C$156,$AF26))</f>
        <v>VANOLYA SU LTD.ŞTİ.</v>
      </c>
      <c r="D26" s="68">
        <f ca="1">IF($B26="","",SUMIFS(UCRETLER!$G$7:$G$606,UCRETLER!$B$7:$B$606,$B26,UCRETLER!$F$7:$F$606,"Haftalık",UCRETLER!$H$7:$H$606,"Aktif"))</f>
        <v>0</v>
      </c>
      <c r="E26" s="68">
        <f ca="1">IF($B26="","",SUMIFS(UCRETLER!$G$7:$G$606,UCRETLER!$B$7:$B$606,$B26,UCRETLER!$F$7:$F$606,"Aylık",UCRETLER!$H$7:$H$606,"Aktif"))</f>
        <v>10000</v>
      </c>
      <c r="F26" s="68">
        <f ca="1">IF($B26="","",SUMIFS(MUSTERILER!$J$7:$J$156,MUSTERILER!$B$7:$B$156,$B26))</f>
        <v>0</v>
      </c>
      <c r="G26" s="68">
        <f ca="1">IF($B26="","",SUMIFS(UCRETLER!$I$7:$I$606,UCRETLER!$B$7:$B$606,$B26)+SUMIFS(GELIR_GIDER!$G$7:$G$3001,GELIR_GIDER!$T$7:$T$3001,$B26))</f>
        <v>10000</v>
      </c>
      <c r="H26" s="68">
        <f t="shared" ca="1" si="1"/>
        <v>10000</v>
      </c>
      <c r="I26" s="68">
        <f ca="1">IF($B26="","",SUMIFS(TAHSILAT!$F$7:$F$2503,TAHSILAT!$C$7:$C$2503,$B26))</f>
        <v>0</v>
      </c>
      <c r="J26" s="68">
        <f t="shared" ca="1" si="2"/>
        <v>10000</v>
      </c>
      <c r="K26" s="68">
        <f t="shared" ca="1" si="3"/>
        <v>0</v>
      </c>
      <c r="L26" s="68">
        <f t="shared" ca="1" si="4"/>
        <v>0</v>
      </c>
      <c r="M26" s="68">
        <f t="shared" ca="1" si="5"/>
        <v>10000</v>
      </c>
      <c r="N26" s="68">
        <f t="shared" ca="1" si="6"/>
        <v>0</v>
      </c>
      <c r="O26" s="92">
        <f t="shared" ca="1" si="7"/>
        <v>0</v>
      </c>
      <c r="P26" s="70" t="str">
        <f ca="1">IF($B26="","",IFERROR(LOOKUP(2,1/(TAHSILAT!$C$7:$C$2503=$B26),TAHSILAT!$E$7:$E$2503),""))</f>
        <v/>
      </c>
      <c r="Q26" s="65" t="str">
        <f t="shared" ca="1" si="8"/>
        <v>YÜKSEK</v>
      </c>
      <c r="R26" s="74" t="str">
        <f t="shared" ca="1" si="9"/>
        <v>Bu hafta tahsilat takibi</v>
      </c>
      <c r="S26" s="93">
        <f t="shared" ca="1" si="10"/>
        <v>0</v>
      </c>
      <c r="T26" s="70" t="str">
        <f ca="1">IF(OR($B26="",$AF26=""),"",IF(INDEX(MUSTERILER!$K$7:$K$156,$AF26)="","",INDEX(MUSTERILER!$K$7:$K$156,$AF26)))</f>
        <v/>
      </c>
      <c r="U26" s="93" t="str">
        <f t="shared" ca="1" si="11"/>
        <v/>
      </c>
      <c r="V26" s="68">
        <f t="shared" ca="1" si="12"/>
        <v>0</v>
      </c>
      <c r="W26" s="65" t="str">
        <f t="shared" ca="1" si="13"/>
        <v>UYGUN</v>
      </c>
      <c r="X26" s="2">
        <f ca="1">IF($B26="",0,SUMIFS(UCRETLER!$J$7:$J$606,UCRETLER!$B$7:$B$606,$B26))</f>
        <v>10000</v>
      </c>
      <c r="Y26" s="2">
        <f ca="1">IF($B26="",0,SUMIFS(UCRETLER!$K$7:$K$606,UCRETLER!$B$7:$B$606,$B26))</f>
        <v>10000</v>
      </c>
      <c r="Z26" s="1">
        <f ca="1">IF($B26="",0,SUMIFS(UCRETLER!$L$7:$L$606,UCRETLER!$B$7:$B$606,$B26))</f>
        <v>0</v>
      </c>
      <c r="AA26" s="1">
        <f t="shared" ca="1" si="14"/>
        <v>0</v>
      </c>
      <c r="AB26" s="1">
        <f t="shared" ca="1" si="15"/>
        <v>0</v>
      </c>
      <c r="AC26" s="1">
        <f t="shared" ca="1" si="16"/>
        <v>10000</v>
      </c>
      <c r="AD26" s="1">
        <f t="shared" ca="1" si="17"/>
        <v>10000</v>
      </c>
      <c r="AE26" s="1">
        <f t="shared" ca="1" si="18"/>
        <v>0</v>
      </c>
      <c r="AF26" s="1">
        <f ca="1">IFERROR(MATCH(ROW()-6,MUSTERILER!$U$7:$U$156,0),"")</f>
        <v>50</v>
      </c>
      <c r="AG26" s="1">
        <f ca="1">IF($B26="",0,SUMIFS(GELIR_GIDER!$G$7:$G$3001,GELIR_GIDER!$T$7:$T$3001,$B26))</f>
        <v>0</v>
      </c>
    </row>
    <row r="27" spans="1:33" ht="18" customHeight="1" x14ac:dyDescent="0.3">
      <c r="A27" s="2"/>
      <c r="B27" s="65" t="str">
        <f ca="1">IF($AF27="","",INDEX(MUSTERILER!$B$7:$B$156,$AF27))</f>
        <v>M027</v>
      </c>
      <c r="C27" s="74" t="str">
        <f ca="1">IF($AF27="","",INDEX(MUSTERILER!$C$7:$C$156,$AF27))</f>
        <v>CEREN DEMİRCİ</v>
      </c>
      <c r="D27" s="68">
        <f ca="1">IF($B27="","",SUMIFS(UCRETLER!$G$7:$G$606,UCRETLER!$B$7:$B$606,$B27,UCRETLER!$F$7:$F$606,"Haftalık",UCRETLER!$H$7:$H$606,"Aktif"))</f>
        <v>0</v>
      </c>
      <c r="E27" s="68">
        <f ca="1">IF($B27="","",SUMIFS(UCRETLER!$G$7:$G$606,UCRETLER!$B$7:$B$606,$B27,UCRETLER!$F$7:$F$606,"Aylık",UCRETLER!$H$7:$H$606,"Aktif"))</f>
        <v>4000</v>
      </c>
      <c r="F27" s="68">
        <f ca="1">IF($B27="","",SUMIFS(MUSTERILER!$J$7:$J$156,MUSTERILER!$B$7:$B$156,$B27))</f>
        <v>0</v>
      </c>
      <c r="G27" s="68">
        <f ca="1">IF($B27="","",SUMIFS(UCRETLER!$I$7:$I$606,UCRETLER!$B$7:$B$606,$B27)+SUMIFS(GELIR_GIDER!$G$7:$G$3001,GELIR_GIDER!$T$7:$T$3001,$B27))</f>
        <v>28000</v>
      </c>
      <c r="H27" s="68">
        <f t="shared" ca="1" si="1"/>
        <v>28000</v>
      </c>
      <c r="I27" s="68">
        <f ca="1">IF($B27="","",SUMIFS(TAHSILAT!$F$7:$F$2503,TAHSILAT!$C$7:$C$2503,$B27))</f>
        <v>20000</v>
      </c>
      <c r="J27" s="68">
        <f t="shared" ca="1" si="2"/>
        <v>8000</v>
      </c>
      <c r="K27" s="68">
        <f t="shared" ca="1" si="3"/>
        <v>0</v>
      </c>
      <c r="L27" s="68">
        <f t="shared" ca="1" si="4"/>
        <v>0</v>
      </c>
      <c r="M27" s="68">
        <f t="shared" ca="1" si="5"/>
        <v>4000</v>
      </c>
      <c r="N27" s="68">
        <f t="shared" ca="1" si="6"/>
        <v>4000</v>
      </c>
      <c r="O27" s="92">
        <f t="shared" ca="1" si="7"/>
        <v>0.7142857142857143</v>
      </c>
      <c r="P27" s="70">
        <f ca="1">IF($B27="","",IFERROR(LOOKUP(2,1/(TAHSILAT!$C$7:$C$2503=$B27),TAHSILAT!$E$7:$E$2503),""))</f>
        <v>46235</v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93">
        <f t="shared" ca="1" si="10"/>
        <v>0</v>
      </c>
      <c r="T27" s="70" t="str">
        <f ca="1">IF(OR($B27="",$AF27=""),"",IF(INDEX(MUSTERILER!$K$7:$K$156,$AF27)="","",INDEX(MUSTERILER!$K$7:$K$156,$AF27)))</f>
        <v/>
      </c>
      <c r="U27" s="93" t="str">
        <f t="shared" ca="1" si="11"/>
        <v/>
      </c>
      <c r="V27" s="68">
        <f t="shared" ca="1" si="12"/>
        <v>0</v>
      </c>
      <c r="W27" s="65" t="str">
        <f t="shared" ca="1" si="13"/>
        <v>UYGUN</v>
      </c>
      <c r="X27" s="2">
        <f ca="1">IF($B27="",0,SUMIFS(UCRETLER!$J$7:$J$606,UCRETLER!$B$7:$B$606,$B27))</f>
        <v>28000</v>
      </c>
      <c r="Y27" s="2">
        <f ca="1">IF($B27="",0,SUMIFS(UCRETLER!$K$7:$K$606,UCRETLER!$B$7:$B$606,$B27))</f>
        <v>28000</v>
      </c>
      <c r="Z27" s="1">
        <f ca="1">IF($B27="",0,SUMIFS(UCRETLER!$L$7:$L$606,UCRETLER!$B$7:$B$606,$B27))</f>
        <v>24000</v>
      </c>
      <c r="AA27" s="1">
        <f t="shared" ca="1" si="14"/>
        <v>20000</v>
      </c>
      <c r="AB27" s="1">
        <f t="shared" ca="1" si="15"/>
        <v>0</v>
      </c>
      <c r="AC27" s="1">
        <f t="shared" ca="1" si="16"/>
        <v>8000</v>
      </c>
      <c r="AD27" s="1">
        <f t="shared" ca="1" si="17"/>
        <v>8000</v>
      </c>
      <c r="AE27" s="1">
        <f t="shared" ca="1" si="18"/>
        <v>4000</v>
      </c>
      <c r="AF27" s="1">
        <f ca="1">IFERROR(MATCH(ROW()-6,MUSTERILER!$U$7:$U$156,0),"")</f>
        <v>11</v>
      </c>
      <c r="AG27" s="1">
        <f ca="1">IF($B27="",0,SUMIFS(GELIR_GIDER!$G$7:$G$3001,GELIR_GIDER!$T$7:$T$3001,$B27))</f>
        <v>0</v>
      </c>
    </row>
    <row r="28" spans="1:33" ht="18" customHeight="1" x14ac:dyDescent="0.3">
      <c r="A28" s="2"/>
      <c r="B28" s="65" t="str">
        <f ca="1">IF($AF28="","",INDEX(MUSTERILER!$B$7:$B$156,$AF28))</f>
        <v>M029</v>
      </c>
      <c r="C28" s="74" t="str">
        <f ca="1">IF($AF28="","",INDEX(MUSTERILER!$C$7:$C$156,$AF28))</f>
        <v>EMRAH SAVURKAN</v>
      </c>
      <c r="D28" s="68">
        <f ca="1">IF($B28="","",SUMIFS(UCRETLER!$G$7:$G$606,UCRETLER!$B$7:$B$606,$B28,UCRETLER!$F$7:$F$606,"Haftalık",UCRETLER!$H$7:$H$606,"Aktif"))</f>
        <v>0</v>
      </c>
      <c r="E28" s="68">
        <f ca="1">IF($B28="","",SUMIFS(UCRETLER!$G$7:$G$606,UCRETLER!$B$7:$B$606,$B28,UCRETLER!$F$7:$F$606,"Aylık",UCRETLER!$H$7:$H$606,"Aktif"))</f>
        <v>2000</v>
      </c>
      <c r="F28" s="68">
        <f ca="1">IF($B28="","",SUMIFS(MUSTERILER!$J$7:$J$156,MUSTERILER!$B$7:$B$156,$B28))</f>
        <v>0</v>
      </c>
      <c r="G28" s="68">
        <f ca="1">IF($B28="","",SUMIFS(UCRETLER!$I$7:$I$606,UCRETLER!$B$7:$B$606,$B28)+SUMIFS(GELIR_GIDER!$G$7:$G$3001,GELIR_GIDER!$T$7:$T$3001,$B28))</f>
        <v>14000</v>
      </c>
      <c r="H28" s="68">
        <f t="shared" ca="1" si="1"/>
        <v>14000</v>
      </c>
      <c r="I28" s="68">
        <f ca="1">IF($B28="","",SUMIFS(TAHSILAT!$F$7:$F$2503,TAHSILAT!$C$7:$C$2503,$B28))</f>
        <v>6000</v>
      </c>
      <c r="J28" s="68">
        <f t="shared" ca="1" si="2"/>
        <v>8000</v>
      </c>
      <c r="K28" s="68">
        <f t="shared" ca="1" si="3"/>
        <v>0</v>
      </c>
      <c r="L28" s="68">
        <f t="shared" ca="1" si="4"/>
        <v>0</v>
      </c>
      <c r="M28" s="68">
        <f t="shared" ca="1" si="5"/>
        <v>2000</v>
      </c>
      <c r="N28" s="68">
        <f t="shared" ca="1" si="6"/>
        <v>6000</v>
      </c>
      <c r="O28" s="92">
        <f t="shared" ca="1" si="7"/>
        <v>0.42857142857142855</v>
      </c>
      <c r="P28" s="70">
        <f ca="1">IF($B28="","",IFERROR(LOOKUP(2,1/(TAHSILAT!$C$7:$C$2503=$B28),TAHSILAT!$E$7:$E$2503),""))</f>
        <v>46252</v>
      </c>
      <c r="Q28" s="65" t="str">
        <f t="shared" ca="1" si="8"/>
        <v>KRİTİK</v>
      </c>
      <c r="R28" s="74" t="str">
        <f t="shared" ca="1" si="9"/>
        <v>Acil tahsilat görüşmesi ve cari mutabakat</v>
      </c>
      <c r="S28" s="93">
        <f t="shared" ca="1" si="10"/>
        <v>0</v>
      </c>
      <c r="T28" s="70" t="str">
        <f ca="1">IF(OR($B28="",$AF28=""),"",IF(INDEX(MUSTERILER!$K$7:$K$156,$AF28)="","",INDEX(MUSTERILER!$K$7:$K$156,$AF28)))</f>
        <v/>
      </c>
      <c r="U28" s="93" t="str">
        <f t="shared" ca="1" si="11"/>
        <v/>
      </c>
      <c r="V28" s="68">
        <f t="shared" ca="1" si="12"/>
        <v>0</v>
      </c>
      <c r="W28" s="65" t="str">
        <f t="shared" ca="1" si="13"/>
        <v>UYGUN</v>
      </c>
      <c r="X28" s="2">
        <f ca="1">IF($B28="",0,SUMIFS(UCRETLER!$J$7:$J$606,UCRETLER!$B$7:$B$606,$B28))</f>
        <v>14000</v>
      </c>
      <c r="Y28" s="2">
        <f ca="1">IF($B28="",0,SUMIFS(UCRETLER!$K$7:$K$606,UCRETLER!$B$7:$B$606,$B28))</f>
        <v>14000</v>
      </c>
      <c r="Z28" s="1">
        <f ca="1">IF($B28="",0,SUMIFS(UCRETLER!$L$7:$L$606,UCRETLER!$B$7:$B$606,$B28))</f>
        <v>12000</v>
      </c>
      <c r="AA28" s="1">
        <f t="shared" ca="1" si="14"/>
        <v>6000</v>
      </c>
      <c r="AB28" s="1">
        <f t="shared" ca="1" si="15"/>
        <v>0</v>
      </c>
      <c r="AC28" s="1">
        <f t="shared" ca="1" si="16"/>
        <v>8000</v>
      </c>
      <c r="AD28" s="1">
        <f t="shared" ca="1" si="17"/>
        <v>8000</v>
      </c>
      <c r="AE28" s="1">
        <f t="shared" ca="1" si="18"/>
        <v>6000</v>
      </c>
      <c r="AF28" s="1">
        <f ca="1">IFERROR(MATCH(ROW()-6,MUSTERILER!$U$7:$U$156,0),"")</f>
        <v>15</v>
      </c>
      <c r="AG28" s="1">
        <f ca="1">IF($B28="",0,SUMIFS(GELIR_GIDER!$G$7:$G$3001,GELIR_GIDER!$T$7:$T$3001,$B28))</f>
        <v>0</v>
      </c>
    </row>
    <row r="29" spans="1:33" ht="18" customHeight="1" x14ac:dyDescent="0.3">
      <c r="A29" s="2"/>
      <c r="B29" s="65" t="str">
        <f ca="1">IF($AF29="","",INDEX(MUSTERILER!$B$7:$B$156,$AF29))</f>
        <v>M043</v>
      </c>
      <c r="C29" s="74" t="str">
        <f ca="1">IF($AF29="","",INDEX(MUSTERILER!$C$7:$C$156,$AF29))</f>
        <v>MUSTAFA UMUT KOYUN</v>
      </c>
      <c r="D29" s="68">
        <f ca="1">IF($B29="","",SUMIFS(UCRETLER!$G$7:$G$606,UCRETLER!$B$7:$B$606,$B29,UCRETLER!$F$7:$F$606,"Haftalık",UCRETLER!$H$7:$H$606,"Aktif"))</f>
        <v>0</v>
      </c>
      <c r="E29" s="68">
        <f ca="1">IF($B29="","",SUMIFS(UCRETLER!$G$7:$G$606,UCRETLER!$B$7:$B$606,$B29,UCRETLER!$F$7:$F$606,"Aylık",UCRETLER!$H$7:$H$606,"Aktif"))</f>
        <v>2000</v>
      </c>
      <c r="F29" s="68">
        <f ca="1">IF($B29="","",SUMIFS(MUSTERILER!$J$7:$J$156,MUSTERILER!$B$7:$B$156,$B29))</f>
        <v>0</v>
      </c>
      <c r="G29" s="68">
        <f ca="1">IF($B29="","",SUMIFS(UCRETLER!$I$7:$I$606,UCRETLER!$B$7:$B$606,$B29)+SUMIFS(GELIR_GIDER!$G$7:$G$3001,GELIR_GIDER!$T$7:$T$3001,$B29))</f>
        <v>14000</v>
      </c>
      <c r="H29" s="68">
        <f t="shared" ca="1" si="1"/>
        <v>14000</v>
      </c>
      <c r="I29" s="68">
        <f ca="1">IF($B29="","",SUMIFS(TAHSILAT!$F$7:$F$2503,TAHSILAT!$C$7:$C$2503,$B29))</f>
        <v>6000</v>
      </c>
      <c r="J29" s="68">
        <f t="shared" ca="1" si="2"/>
        <v>8000</v>
      </c>
      <c r="K29" s="68">
        <f t="shared" ca="1" si="3"/>
        <v>0</v>
      </c>
      <c r="L29" s="68">
        <f t="shared" ca="1" si="4"/>
        <v>0</v>
      </c>
      <c r="M29" s="68">
        <f t="shared" ca="1" si="5"/>
        <v>2000</v>
      </c>
      <c r="N29" s="68">
        <f t="shared" ca="1" si="6"/>
        <v>6000</v>
      </c>
      <c r="O29" s="92">
        <f t="shared" ca="1" si="7"/>
        <v>0.42857142857142855</v>
      </c>
      <c r="P29" s="70">
        <f ca="1">IF($B29="","",IFERROR(LOOKUP(2,1/(TAHSILAT!$C$7:$C$2503=$B29),TAHSILAT!$E$7:$E$2503),""))</f>
        <v>46141</v>
      </c>
      <c r="Q29" s="65" t="str">
        <f t="shared" ca="1" si="8"/>
        <v>KRİTİK</v>
      </c>
      <c r="R29" s="74" t="str">
        <f t="shared" ca="1" si="9"/>
        <v>Acil tahsilat görüşmesi ve cari mutabakat</v>
      </c>
      <c r="S29" s="93">
        <f t="shared" ca="1" si="10"/>
        <v>0</v>
      </c>
      <c r="T29" s="70" t="str">
        <f ca="1">IF(OR($B29="",$AF29=""),"",IF(INDEX(MUSTERILER!$K$7:$K$156,$AF29)="","",INDEX(MUSTERILER!$K$7:$K$156,$AF29)))</f>
        <v/>
      </c>
      <c r="U29" s="93" t="str">
        <f t="shared" ca="1" si="11"/>
        <v/>
      </c>
      <c r="V29" s="68">
        <f t="shared" ca="1" si="12"/>
        <v>0</v>
      </c>
      <c r="W29" s="65" t="str">
        <f t="shared" ca="1" si="13"/>
        <v>UYGUN</v>
      </c>
      <c r="X29" s="2">
        <f ca="1">IF($B29="",0,SUMIFS(UCRETLER!$J$7:$J$606,UCRETLER!$B$7:$B$606,$B29))</f>
        <v>14000</v>
      </c>
      <c r="Y29" s="2">
        <f ca="1">IF($B29="",0,SUMIFS(UCRETLER!$K$7:$K$606,UCRETLER!$B$7:$B$606,$B29))</f>
        <v>14000</v>
      </c>
      <c r="Z29" s="1">
        <f ca="1">IF($B29="",0,SUMIFS(UCRETLER!$L$7:$L$606,UCRETLER!$B$7:$B$606,$B29))</f>
        <v>12000</v>
      </c>
      <c r="AA29" s="1">
        <f t="shared" ca="1" si="14"/>
        <v>6000</v>
      </c>
      <c r="AB29" s="1">
        <f t="shared" ca="1" si="15"/>
        <v>0</v>
      </c>
      <c r="AC29" s="1">
        <f t="shared" ca="1" si="16"/>
        <v>8000</v>
      </c>
      <c r="AD29" s="1">
        <f t="shared" ca="1" si="17"/>
        <v>8000</v>
      </c>
      <c r="AE29" s="1">
        <f t="shared" ca="1" si="18"/>
        <v>6000</v>
      </c>
      <c r="AF29" s="1">
        <f ca="1">IFERROR(MATCH(ROW()-6,MUSTERILER!$U$7:$U$156,0),"")</f>
        <v>36</v>
      </c>
      <c r="AG29" s="1">
        <f ca="1">IF($B29="",0,SUMIFS(GELIR_GIDER!$G$7:$G$3001,GELIR_GIDER!$T$7:$T$3001,$B29))</f>
        <v>0</v>
      </c>
    </row>
    <row r="30" spans="1:33" ht="18" customHeight="1" x14ac:dyDescent="0.3">
      <c r="A30" s="2"/>
      <c r="B30" s="65" t="str">
        <f ca="1">IF($AF30="","",INDEX(MUSTERILER!$B$7:$B$156,$AF30))</f>
        <v>M032</v>
      </c>
      <c r="C30" s="74" t="str">
        <f ca="1">IF($AF30="","",INDEX(MUSTERILER!$C$7:$C$156,$AF30))</f>
        <v>HAYDAR KAYA</v>
      </c>
      <c r="D30" s="68">
        <f ca="1">IF($B30="","",SUMIFS(UCRETLER!$G$7:$G$606,UCRETLER!$B$7:$B$606,$B30,UCRETLER!$F$7:$F$606,"Haftalık",UCRETLER!$H$7:$H$606,"Aktif"))</f>
        <v>0</v>
      </c>
      <c r="E30" s="68">
        <f ca="1">IF($B30="","",SUMIFS(UCRETLER!$G$7:$G$606,UCRETLER!$B$7:$B$606,$B30,UCRETLER!$F$7:$F$606,"Aylık",UCRETLER!$H$7:$H$606,"Aktif"))</f>
        <v>1000</v>
      </c>
      <c r="F30" s="68">
        <f ca="1">IF($B30="","",SUMIFS(MUSTERILER!$J$7:$J$156,MUSTERILER!$B$7:$B$156,$B30))</f>
        <v>0</v>
      </c>
      <c r="G30" s="68">
        <f ca="1">IF($B30="","",SUMIFS(UCRETLER!$I$7:$I$606,UCRETLER!$B$7:$B$606,$B30)+SUMIFS(GELIR_GIDER!$G$7:$G$3001,GELIR_GIDER!$T$7:$T$3001,$B30))</f>
        <v>7000</v>
      </c>
      <c r="H30" s="68">
        <f t="shared" ca="1" si="1"/>
        <v>7000</v>
      </c>
      <c r="I30" s="68">
        <f ca="1">IF($B30="","",SUMIFS(TAHSILAT!$F$7:$F$2503,TAHSILAT!$C$7:$C$2503,$B30))</f>
        <v>0</v>
      </c>
      <c r="J30" s="68">
        <f t="shared" ca="1" si="2"/>
        <v>7000</v>
      </c>
      <c r="K30" s="68">
        <f t="shared" ca="1" si="3"/>
        <v>0</v>
      </c>
      <c r="L30" s="68">
        <f t="shared" ca="1" si="4"/>
        <v>0</v>
      </c>
      <c r="M30" s="68">
        <f t="shared" ca="1" si="5"/>
        <v>1000</v>
      </c>
      <c r="N30" s="68">
        <f t="shared" ca="1" si="6"/>
        <v>6000</v>
      </c>
      <c r="O30" s="92">
        <f t="shared" ca="1" si="7"/>
        <v>0</v>
      </c>
      <c r="P30" s="70" t="str">
        <f ca="1">IF($B30="","",IFERROR(LOOKUP(2,1/(TAHSILAT!$C$7:$C$2503=$B30),TAHSILAT!$E$7:$E$2503),""))</f>
        <v/>
      </c>
      <c r="Q30" s="65" t="str">
        <f t="shared" ca="1" si="8"/>
        <v>KRİTİK</v>
      </c>
      <c r="R30" s="74" t="str">
        <f t="shared" ca="1" si="9"/>
        <v>Acil tahsilat görüşmesi ve cari mutabakat</v>
      </c>
      <c r="S30" s="93">
        <f t="shared" ca="1" si="10"/>
        <v>0</v>
      </c>
      <c r="T30" s="70" t="str">
        <f ca="1">IF(OR($B30="",$AF30=""),"",IF(INDEX(MUSTERILER!$K$7:$K$156,$AF30)="","",INDEX(MUSTERILER!$K$7:$K$156,$AF30)))</f>
        <v/>
      </c>
      <c r="U30" s="93" t="str">
        <f t="shared" ca="1" si="11"/>
        <v/>
      </c>
      <c r="V30" s="68">
        <f t="shared" ca="1" si="12"/>
        <v>0</v>
      </c>
      <c r="W30" s="65" t="str">
        <f t="shared" ca="1" si="13"/>
        <v>UYGUN</v>
      </c>
      <c r="X30" s="2">
        <f ca="1">IF($B30="",0,SUMIFS(UCRETLER!$J$7:$J$606,UCRETLER!$B$7:$B$606,$B30))</f>
        <v>7000</v>
      </c>
      <c r="Y30" s="2">
        <f ca="1">IF($B30="",0,SUMIFS(UCRETLER!$K$7:$K$606,UCRETLER!$B$7:$B$606,$B30))</f>
        <v>7000</v>
      </c>
      <c r="Z30" s="1">
        <f ca="1">IF($B30="",0,SUMIFS(UCRETLER!$L$7:$L$606,UCRETLER!$B$7:$B$606,$B30))</f>
        <v>6000</v>
      </c>
      <c r="AA30" s="1">
        <f t="shared" ca="1" si="14"/>
        <v>0</v>
      </c>
      <c r="AB30" s="1">
        <f t="shared" ca="1" si="15"/>
        <v>0</v>
      </c>
      <c r="AC30" s="1">
        <f t="shared" ca="1" si="16"/>
        <v>7000</v>
      </c>
      <c r="AD30" s="1">
        <f t="shared" ca="1" si="17"/>
        <v>7000</v>
      </c>
      <c r="AE30" s="1">
        <f t="shared" ca="1" si="18"/>
        <v>6000</v>
      </c>
      <c r="AF30" s="1">
        <f ca="1">IFERROR(MATCH(ROW()-6,MUSTERILER!$U$7:$U$156,0),"")</f>
        <v>20</v>
      </c>
      <c r="AG30" s="1">
        <f ca="1">IF($B30="",0,SUMIFS(GELIR_GIDER!$G$7:$G$3001,GELIR_GIDER!$T$7:$T$3001,$B30))</f>
        <v>0</v>
      </c>
    </row>
    <row r="31" spans="1:33" ht="18" customHeight="1" x14ac:dyDescent="0.3">
      <c r="A31" s="2"/>
      <c r="B31" s="65" t="str">
        <f ca="1">IF($AF31="","",INDEX(MUSTERILER!$B$7:$B$156,$AF31))</f>
        <v>M030</v>
      </c>
      <c r="C31" s="74" t="str">
        <f ca="1">IF($AF31="","",INDEX(MUSTERILER!$C$7:$C$156,$AF31))</f>
        <v>FARUK DEMİRCİ</v>
      </c>
      <c r="D31" s="68">
        <f ca="1">IF($B31="","",SUMIFS(UCRETLER!$G$7:$G$606,UCRETLER!$B$7:$B$606,$B31,UCRETLER!$F$7:$F$606,"Haftalık",UCRETLER!$H$7:$H$606,"Aktif"))</f>
        <v>0</v>
      </c>
      <c r="E31" s="68">
        <f ca="1">IF($B31="","",SUMIFS(UCRETLER!$G$7:$G$606,UCRETLER!$B$7:$B$606,$B31,UCRETLER!$F$7:$F$606,"Aylık",UCRETLER!$H$7:$H$606,"Aktif"))</f>
        <v>2000</v>
      </c>
      <c r="F31" s="68">
        <f ca="1">IF($B31="","",SUMIFS(MUSTERILER!$J$7:$J$156,MUSTERILER!$B$7:$B$156,$B31))</f>
        <v>0</v>
      </c>
      <c r="G31" s="68">
        <f ca="1">IF($B31="","",SUMIFS(UCRETLER!$I$7:$I$606,UCRETLER!$B$7:$B$606,$B31)+SUMIFS(GELIR_GIDER!$G$7:$G$3001,GELIR_GIDER!$T$7:$T$3001,$B31))</f>
        <v>14000</v>
      </c>
      <c r="H31" s="68">
        <f t="shared" ca="1" si="1"/>
        <v>14000</v>
      </c>
      <c r="I31" s="68">
        <f ca="1">IF($B31="","",SUMIFS(TAHSILAT!$F$7:$F$2503,TAHSILAT!$C$7:$C$2503,$B31))</f>
        <v>8000</v>
      </c>
      <c r="J31" s="68">
        <f t="shared" ca="1" si="2"/>
        <v>6000</v>
      </c>
      <c r="K31" s="68">
        <f t="shared" ca="1" si="3"/>
        <v>0</v>
      </c>
      <c r="L31" s="68">
        <f t="shared" ca="1" si="4"/>
        <v>0</v>
      </c>
      <c r="M31" s="68">
        <f t="shared" ca="1" si="5"/>
        <v>2000</v>
      </c>
      <c r="N31" s="68">
        <f t="shared" ca="1" si="6"/>
        <v>4000</v>
      </c>
      <c r="O31" s="92">
        <f t="shared" ca="1" si="7"/>
        <v>0.5714285714285714</v>
      </c>
      <c r="P31" s="70">
        <f ca="1">IF($B31="","",IFERROR(LOOKUP(2,1/(TAHSILAT!$C$7:$C$2503=$B31),TAHSILAT!$E$7:$E$2503),""))</f>
        <v>46225</v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93">
        <f t="shared" ca="1" si="10"/>
        <v>0</v>
      </c>
      <c r="T31" s="70" t="str">
        <f ca="1">IF(OR($B31="",$AF31=""),"",IF(INDEX(MUSTERILER!$K$7:$K$156,$AF31)="","",INDEX(MUSTERILER!$K$7:$K$156,$AF31)))</f>
        <v/>
      </c>
      <c r="U31" s="93" t="str">
        <f t="shared" ca="1" si="11"/>
        <v/>
      </c>
      <c r="V31" s="68">
        <f t="shared" ca="1" si="12"/>
        <v>0</v>
      </c>
      <c r="W31" s="65" t="str">
        <f t="shared" ca="1" si="13"/>
        <v>UYGUN</v>
      </c>
      <c r="X31" s="2">
        <f ca="1">IF($B31="",0,SUMIFS(UCRETLER!$J$7:$J$606,UCRETLER!$B$7:$B$606,$B31))</f>
        <v>14000</v>
      </c>
      <c r="Y31" s="2">
        <f ca="1">IF($B31="",0,SUMIFS(UCRETLER!$K$7:$K$606,UCRETLER!$B$7:$B$606,$B31))</f>
        <v>14000</v>
      </c>
      <c r="Z31" s="1">
        <f ca="1">IF($B31="",0,SUMIFS(UCRETLER!$L$7:$L$606,UCRETLER!$B$7:$B$606,$B31))</f>
        <v>12000</v>
      </c>
      <c r="AA31" s="1">
        <f t="shared" ca="1" si="14"/>
        <v>8000</v>
      </c>
      <c r="AB31" s="1">
        <f t="shared" ca="1" si="15"/>
        <v>0</v>
      </c>
      <c r="AC31" s="1">
        <f t="shared" ca="1" si="16"/>
        <v>6000</v>
      </c>
      <c r="AD31" s="1">
        <f t="shared" ca="1" si="17"/>
        <v>6000</v>
      </c>
      <c r="AE31" s="1">
        <f t="shared" ca="1" si="18"/>
        <v>4000</v>
      </c>
      <c r="AF31" s="1">
        <f ca="1">IFERROR(MATCH(ROW()-6,MUSTERILER!$U$7:$U$156,0),"")</f>
        <v>17</v>
      </c>
      <c r="AG31" s="1">
        <f ca="1">IF($B31="",0,SUMIFS(GELIR_GIDER!$G$7:$G$3001,GELIR_GIDER!$T$7:$T$3001,$B31))</f>
        <v>0</v>
      </c>
    </row>
    <row r="32" spans="1:33" ht="18" customHeight="1" x14ac:dyDescent="0.3">
      <c r="A32" s="2"/>
      <c r="B32" s="65" t="str">
        <f ca="1">IF($AF32="","",INDEX(MUSTERILER!$B$7:$B$156,$AF32))</f>
        <v>M044</v>
      </c>
      <c r="C32" s="74" t="str">
        <f ca="1">IF($AF32="","",INDEX(MUSTERILER!$C$7:$C$156,$AF32))</f>
        <v>MUSTAFA KOLBAŞI</v>
      </c>
      <c r="D32" s="68">
        <f ca="1">IF($B32="","",SUMIFS(UCRETLER!$G$7:$G$606,UCRETLER!$B$7:$B$606,$B32,UCRETLER!$F$7:$F$606,"Haftalık",UCRETLER!$H$7:$H$606,"Aktif"))</f>
        <v>0</v>
      </c>
      <c r="E32" s="68">
        <f ca="1">IF($B32="","",SUMIFS(UCRETLER!$G$7:$G$606,UCRETLER!$B$7:$B$606,$B32,UCRETLER!$F$7:$F$606,"Aylık",UCRETLER!$H$7:$H$606,"Aktif"))</f>
        <v>3000</v>
      </c>
      <c r="F32" s="68">
        <f ca="1">IF($B32="","",SUMIFS(MUSTERILER!$J$7:$J$156,MUSTERILER!$B$7:$B$156,$B32))</f>
        <v>0</v>
      </c>
      <c r="G32" s="68">
        <f ca="1">IF($B32="","",SUMIFS(UCRETLER!$I$7:$I$606,UCRETLER!$B$7:$B$606,$B32)+SUMIFS(GELIR_GIDER!$G$7:$G$3001,GELIR_GIDER!$T$7:$T$3001,$B32))</f>
        <v>21000</v>
      </c>
      <c r="H32" s="68">
        <f t="shared" ca="1" si="1"/>
        <v>21000</v>
      </c>
      <c r="I32" s="68">
        <f ca="1">IF($B32="","",SUMIFS(TAHSILAT!$F$7:$F$2503,TAHSILAT!$C$7:$C$2503,$B32))</f>
        <v>15000</v>
      </c>
      <c r="J32" s="68">
        <f t="shared" ca="1" si="2"/>
        <v>6000</v>
      </c>
      <c r="K32" s="68">
        <f t="shared" ca="1" si="3"/>
        <v>0</v>
      </c>
      <c r="L32" s="68">
        <f t="shared" ca="1" si="4"/>
        <v>0</v>
      </c>
      <c r="M32" s="68">
        <f t="shared" ca="1" si="5"/>
        <v>3000</v>
      </c>
      <c r="N32" s="68">
        <f t="shared" ca="1" si="6"/>
        <v>3000</v>
      </c>
      <c r="O32" s="92">
        <f t="shared" ca="1" si="7"/>
        <v>0.7142857142857143</v>
      </c>
      <c r="P32" s="70">
        <f ca="1">IF($B32="","",IFERROR(LOOKUP(2,1/(TAHSILAT!$C$7:$C$2503=$B32),TAHSILAT!$E$7:$E$2503),""))</f>
        <v>46252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93">
        <f t="shared" ca="1" si="10"/>
        <v>0</v>
      </c>
      <c r="T32" s="70" t="str">
        <f ca="1">IF(OR($B32="",$AF32=""),"",IF(INDEX(MUSTERILER!$K$7:$K$156,$AF32)="","",INDEX(MUSTERILER!$K$7:$K$156,$AF32)))</f>
        <v/>
      </c>
      <c r="U32" s="93" t="str">
        <f t="shared" ca="1" si="11"/>
        <v/>
      </c>
      <c r="V32" s="68">
        <f t="shared" ca="1" si="12"/>
        <v>0</v>
      </c>
      <c r="W32" s="65" t="str">
        <f t="shared" ca="1" si="13"/>
        <v>UYGUN</v>
      </c>
      <c r="X32" s="2">
        <f ca="1">IF($B32="",0,SUMIFS(UCRETLER!$J$7:$J$606,UCRETLER!$B$7:$B$606,$B32))</f>
        <v>21000</v>
      </c>
      <c r="Y32" s="2">
        <f ca="1">IF($B32="",0,SUMIFS(UCRETLER!$K$7:$K$606,UCRETLER!$B$7:$B$606,$B32))</f>
        <v>21000</v>
      </c>
      <c r="Z32" s="1">
        <f ca="1">IF($B32="",0,SUMIFS(UCRETLER!$L$7:$L$606,UCRETLER!$B$7:$B$606,$B32))</f>
        <v>18000</v>
      </c>
      <c r="AA32" s="1">
        <f t="shared" ca="1" si="14"/>
        <v>15000</v>
      </c>
      <c r="AB32" s="1">
        <f t="shared" ca="1" si="15"/>
        <v>0</v>
      </c>
      <c r="AC32" s="1">
        <f t="shared" ca="1" si="16"/>
        <v>6000</v>
      </c>
      <c r="AD32" s="1">
        <f t="shared" ca="1" si="17"/>
        <v>6000</v>
      </c>
      <c r="AE32" s="1">
        <f t="shared" ca="1" si="18"/>
        <v>3000</v>
      </c>
      <c r="AF32" s="1">
        <f ca="1">IFERROR(MATCH(ROW()-6,MUSTERILER!$U$7:$U$156,0),"")</f>
        <v>35</v>
      </c>
      <c r="AG32" s="1">
        <f ca="1">IF($B32="",0,SUMIFS(GELIR_GIDER!$G$7:$G$3001,GELIR_GIDER!$T$7:$T$3001,$B32))</f>
        <v>0</v>
      </c>
    </row>
    <row r="33" spans="1:33" ht="18" customHeight="1" x14ac:dyDescent="0.3">
      <c r="A33" s="2"/>
      <c r="B33" s="65" t="str">
        <f ca="1">IF($AF33="","",INDEX(MUSTERILER!$B$7:$B$156,$AF33))</f>
        <v>M048</v>
      </c>
      <c r="C33" s="74" t="str">
        <f ca="1">IF($AF33="","",INDEX(MUSTERILER!$C$7:$C$156,$AF33))</f>
        <v>RASİM DEMİRCİ</v>
      </c>
      <c r="D33" s="68">
        <f ca="1">IF($B33="","",SUMIFS(UCRETLER!$G$7:$G$606,UCRETLER!$B$7:$B$606,$B33,UCRETLER!$F$7:$F$606,"Haftalık",UCRETLER!$H$7:$H$606,"Aktif"))</f>
        <v>0</v>
      </c>
      <c r="E33" s="68">
        <f ca="1">IF($B33="","",SUMIFS(UCRETLER!$G$7:$G$606,UCRETLER!$B$7:$B$606,$B33,UCRETLER!$F$7:$F$606,"Aylık",UCRETLER!$H$7:$H$606,"Aktif"))</f>
        <v>3000</v>
      </c>
      <c r="F33" s="68">
        <f ca="1">IF($B33="","",SUMIFS(MUSTERILER!$J$7:$J$156,MUSTERILER!$B$7:$B$156,$B33))</f>
        <v>0</v>
      </c>
      <c r="G33" s="68">
        <f ca="1">IF($B33="","",SUMIFS(UCRETLER!$I$7:$I$606,UCRETLER!$B$7:$B$606,$B33)+SUMIFS(GELIR_GIDER!$G$7:$G$3001,GELIR_GIDER!$T$7:$T$3001,$B33))</f>
        <v>21000</v>
      </c>
      <c r="H33" s="68">
        <f t="shared" ca="1" si="1"/>
        <v>21000</v>
      </c>
      <c r="I33" s="68">
        <f ca="1">IF($B33="","",SUMIFS(TAHSILAT!$F$7:$F$2503,TAHSILAT!$C$7:$C$2503,$B33))</f>
        <v>16000</v>
      </c>
      <c r="J33" s="68">
        <f t="shared" ca="1" si="2"/>
        <v>5000</v>
      </c>
      <c r="K33" s="68">
        <f t="shared" ca="1" si="3"/>
        <v>0</v>
      </c>
      <c r="L33" s="68">
        <f t="shared" ca="1" si="4"/>
        <v>0</v>
      </c>
      <c r="M33" s="68">
        <f t="shared" ca="1" si="5"/>
        <v>3000</v>
      </c>
      <c r="N33" s="68">
        <f t="shared" ca="1" si="6"/>
        <v>2000</v>
      </c>
      <c r="O33" s="92">
        <f t="shared" ca="1" si="7"/>
        <v>0.76190476190476186</v>
      </c>
      <c r="P33" s="70">
        <f ca="1">IF($B33="","",IFERROR(LOOKUP(2,1/(TAHSILAT!$C$7:$C$2503=$B33),TAHSILAT!$E$7:$E$2503),""))</f>
        <v>46226</v>
      </c>
      <c r="Q33" s="65" t="str">
        <f t="shared" ca="1" si="8"/>
        <v>KRİTİK</v>
      </c>
      <c r="R33" s="74" t="str">
        <f t="shared" ca="1" si="9"/>
        <v>Acil tahsilat görüşmesi ve cari mutabakat</v>
      </c>
      <c r="S33" s="93">
        <f t="shared" ca="1" si="10"/>
        <v>0</v>
      </c>
      <c r="T33" s="70" t="str">
        <f ca="1">IF(OR($B33="",$AF33=""),"",IF(INDEX(MUSTERILER!$K$7:$K$156,$AF33)="","",INDEX(MUSTERILER!$K$7:$K$156,$AF33)))</f>
        <v/>
      </c>
      <c r="U33" s="93" t="str">
        <f t="shared" ca="1" si="11"/>
        <v/>
      </c>
      <c r="V33" s="68">
        <f t="shared" ca="1" si="12"/>
        <v>0</v>
      </c>
      <c r="W33" s="65" t="str">
        <f t="shared" ca="1" si="13"/>
        <v>UYGUN</v>
      </c>
      <c r="X33" s="2">
        <f ca="1">IF($B33="",0,SUMIFS(UCRETLER!$J$7:$J$606,UCRETLER!$B$7:$B$606,$B33))</f>
        <v>21000</v>
      </c>
      <c r="Y33" s="2">
        <f ca="1">IF($B33="",0,SUMIFS(UCRETLER!$K$7:$K$606,UCRETLER!$B$7:$B$606,$B33))</f>
        <v>21000</v>
      </c>
      <c r="Z33" s="1">
        <f ca="1">IF($B33="",0,SUMIFS(UCRETLER!$L$7:$L$606,UCRETLER!$B$7:$B$606,$B33))</f>
        <v>18000</v>
      </c>
      <c r="AA33" s="1">
        <f t="shared" ca="1" si="14"/>
        <v>16000</v>
      </c>
      <c r="AB33" s="1">
        <f t="shared" ca="1" si="15"/>
        <v>0</v>
      </c>
      <c r="AC33" s="1">
        <f t="shared" ca="1" si="16"/>
        <v>5000</v>
      </c>
      <c r="AD33" s="1">
        <f t="shared" ca="1" si="17"/>
        <v>5000</v>
      </c>
      <c r="AE33" s="1">
        <f t="shared" ca="1" si="18"/>
        <v>2000</v>
      </c>
      <c r="AF33" s="1">
        <f ca="1">IFERROR(MATCH(ROW()-6,MUSTERILER!$U$7:$U$156,0),"")</f>
        <v>43</v>
      </c>
      <c r="AG33" s="1">
        <f ca="1">IF($B33="",0,SUMIFS(GELIR_GIDER!$G$7:$G$3001,GELIR_GIDER!$T$7:$T$3001,$B33))</f>
        <v>0</v>
      </c>
    </row>
    <row r="34" spans="1:33" ht="18" customHeight="1" x14ac:dyDescent="0.3">
      <c r="A34" s="2"/>
      <c r="B34" s="65" t="str">
        <f ca="1">IF($AF34="","",INDEX(MUSTERILER!$B$7:$B$156,$AF34))</f>
        <v>M046</v>
      </c>
      <c r="C34" s="74" t="str">
        <f ca="1">IF($AF34="","",INDEX(MUSTERILER!$C$7:$C$156,$AF34))</f>
        <v>ÖMER DEMİRCİ</v>
      </c>
      <c r="D34" s="68">
        <f ca="1">IF($B34="","",SUMIFS(UCRETLER!$G$7:$G$606,UCRETLER!$B$7:$B$606,$B34,UCRETLER!$F$7:$F$606,"Haftalık",UCRETLER!$H$7:$H$606,"Aktif"))</f>
        <v>0</v>
      </c>
      <c r="E34" s="68">
        <f ca="1">IF($B34="","",SUMIFS(UCRETLER!$G$7:$G$606,UCRETLER!$B$7:$B$606,$B34,UCRETLER!$F$7:$F$606,"Aylık",UCRETLER!$H$7:$H$606,"Aktif"))</f>
        <v>3500</v>
      </c>
      <c r="F34" s="68">
        <f ca="1">IF($B34="","",SUMIFS(MUSTERILER!$J$7:$J$156,MUSTERILER!$B$7:$B$156,$B34))</f>
        <v>0</v>
      </c>
      <c r="G34" s="68">
        <f ca="1">IF($B34="","",SUMIFS(UCRETLER!$I$7:$I$606,UCRETLER!$B$7:$B$606,$B34)+SUMIFS(GELIR_GIDER!$G$7:$G$3001,GELIR_GIDER!$T$7:$T$3001,$B34))</f>
        <v>10500</v>
      </c>
      <c r="H34" s="68">
        <f t="shared" ca="1" si="1"/>
        <v>10500</v>
      </c>
      <c r="I34" s="68">
        <f ca="1">IF($B34="","",SUMIFS(TAHSILAT!$F$7:$F$2503,TAHSILAT!$C$7:$C$2503,$B34))</f>
        <v>7000</v>
      </c>
      <c r="J34" s="68">
        <f t="shared" ca="1" si="2"/>
        <v>3500</v>
      </c>
      <c r="K34" s="68">
        <f t="shared" ca="1" si="3"/>
        <v>0</v>
      </c>
      <c r="L34" s="68">
        <f t="shared" ca="1" si="4"/>
        <v>0</v>
      </c>
      <c r="M34" s="68">
        <f t="shared" ca="1" si="5"/>
        <v>3500</v>
      </c>
      <c r="N34" s="68">
        <f t="shared" ca="1" si="6"/>
        <v>0</v>
      </c>
      <c r="O34" s="92">
        <f t="shared" ca="1" si="7"/>
        <v>0.66666666666666663</v>
      </c>
      <c r="P34" s="70">
        <f ca="1">IF($B34="","",IFERROR(LOOKUP(2,1/(TAHSILAT!$C$7:$C$2503=$B34),TAHSILAT!$E$7:$E$2503),""))</f>
        <v>46221</v>
      </c>
      <c r="Q34" s="65" t="str">
        <f t="shared" ca="1" si="8"/>
        <v>YÜKSEK</v>
      </c>
      <c r="R34" s="74" t="str">
        <f t="shared" ca="1" si="9"/>
        <v>Bu hafta tahsilat takibi</v>
      </c>
      <c r="S34" s="93">
        <f t="shared" ca="1" si="10"/>
        <v>0</v>
      </c>
      <c r="T34" s="70" t="str">
        <f ca="1">IF(OR($B34="",$AF34=""),"",IF(INDEX(MUSTERILER!$K$7:$K$156,$AF34)="","",INDEX(MUSTERILER!$K$7:$K$156,$AF34)))</f>
        <v/>
      </c>
      <c r="U34" s="93" t="str">
        <f t="shared" ca="1" si="11"/>
        <v/>
      </c>
      <c r="V34" s="68">
        <f t="shared" ca="1" si="12"/>
        <v>0</v>
      </c>
      <c r="W34" s="65" t="str">
        <f t="shared" ca="1" si="13"/>
        <v>UYGUN</v>
      </c>
      <c r="X34" s="2">
        <f ca="1">IF($B34="",0,SUMIFS(UCRETLER!$J$7:$J$606,UCRETLER!$B$7:$B$606,$B34))</f>
        <v>10500</v>
      </c>
      <c r="Y34" s="2">
        <f ca="1">IF($B34="",0,SUMIFS(UCRETLER!$K$7:$K$606,UCRETLER!$B$7:$B$606,$B34))</f>
        <v>10500</v>
      </c>
      <c r="Z34" s="1">
        <f ca="1">IF($B34="",0,SUMIFS(UCRETLER!$L$7:$L$606,UCRETLER!$B$7:$B$606,$B34))</f>
        <v>7000</v>
      </c>
      <c r="AA34" s="1">
        <f t="shared" ca="1" si="14"/>
        <v>7000</v>
      </c>
      <c r="AB34" s="1">
        <f t="shared" ca="1" si="15"/>
        <v>0</v>
      </c>
      <c r="AC34" s="1">
        <f t="shared" ca="1" si="16"/>
        <v>3500</v>
      </c>
      <c r="AD34" s="1">
        <f t="shared" ca="1" si="17"/>
        <v>3500</v>
      </c>
      <c r="AE34" s="1">
        <f t="shared" ca="1" si="18"/>
        <v>0</v>
      </c>
      <c r="AF34" s="1">
        <f ca="1">IFERROR(MATCH(ROW()-6,MUSTERILER!$U$7:$U$156,0),"")</f>
        <v>39</v>
      </c>
      <c r="AG34" s="1">
        <f ca="1">IF($B34="",0,SUMIFS(GELIR_GIDER!$G$7:$G$3001,GELIR_GIDER!$T$7:$T$3001,$B34))</f>
        <v>0</v>
      </c>
    </row>
    <row r="35" spans="1:33" ht="18" customHeight="1" x14ac:dyDescent="0.3">
      <c r="A35" s="2"/>
      <c r="B35" s="65" t="str">
        <f ca="1">IF($AF35="","",INDEX(MUSTERILER!$B$7:$B$156,$AF35))</f>
        <v>M031</v>
      </c>
      <c r="C35" s="74" t="str">
        <f ca="1">IF($AF35="","",INDEX(MUSTERILER!$C$7:$C$156,$AF35))</f>
        <v>HALİL AVŞAR</v>
      </c>
      <c r="D35" s="68">
        <f ca="1">IF($B35="","",SUMIFS(UCRETLER!$G$7:$G$606,UCRETLER!$B$7:$B$606,$B35,UCRETLER!$F$7:$F$606,"Haftalık",UCRETLER!$H$7:$H$606,"Aktif"))</f>
        <v>0</v>
      </c>
      <c r="E35" s="68">
        <f ca="1">IF($B35="","",SUMIFS(UCRETLER!$G$7:$G$606,UCRETLER!$B$7:$B$606,$B35,UCRETLER!$F$7:$F$606,"Aylık",UCRETLER!$H$7:$H$606,"Aktif"))</f>
        <v>3000</v>
      </c>
      <c r="F35" s="68">
        <f ca="1">IF($B35="","",SUMIFS(MUSTERILER!$J$7:$J$156,MUSTERILER!$B$7:$B$156,$B35))</f>
        <v>0</v>
      </c>
      <c r="G35" s="68">
        <f ca="1">IF($B35="","",SUMIFS(UCRETLER!$I$7:$I$606,UCRETLER!$B$7:$B$606,$B35)+SUMIFS(GELIR_GIDER!$G$7:$G$3001,GELIR_GIDER!$T$7:$T$3001,$B35))</f>
        <v>21000</v>
      </c>
      <c r="H35" s="68">
        <f t="shared" ca="1" si="1"/>
        <v>21000</v>
      </c>
      <c r="I35" s="68">
        <f ca="1">IF($B35="","",SUMIFS(TAHSILAT!$F$7:$F$2503,TAHSILAT!$C$7:$C$2503,$B35))</f>
        <v>18000</v>
      </c>
      <c r="J35" s="68">
        <f t="shared" ca="1" si="2"/>
        <v>3000</v>
      </c>
      <c r="K35" s="68">
        <f t="shared" ca="1" si="3"/>
        <v>0</v>
      </c>
      <c r="L35" s="68">
        <f t="shared" ca="1" si="4"/>
        <v>0</v>
      </c>
      <c r="M35" s="68">
        <f t="shared" ca="1" si="5"/>
        <v>3000</v>
      </c>
      <c r="N35" s="68">
        <f t="shared" ca="1" si="6"/>
        <v>0</v>
      </c>
      <c r="O35" s="92">
        <f t="shared" ca="1" si="7"/>
        <v>0.8571428571428571</v>
      </c>
      <c r="P35" s="70">
        <f ca="1">IF($B35="","",IFERROR(LOOKUP(2,1/(TAHSILAT!$C$7:$C$2503=$B35),TAHSILAT!$E$7:$E$2503),""))</f>
        <v>46254</v>
      </c>
      <c r="Q35" s="65" t="str">
        <f t="shared" ca="1" si="8"/>
        <v>YÜKSEK</v>
      </c>
      <c r="R35" s="74" t="str">
        <f t="shared" ca="1" si="9"/>
        <v>Bu hafta tahsilat takibi</v>
      </c>
      <c r="S35" s="93">
        <f t="shared" ca="1" si="10"/>
        <v>0</v>
      </c>
      <c r="T35" s="70" t="str">
        <f ca="1">IF(OR($B35="",$AF35=""),"",IF(INDEX(MUSTERILER!$K$7:$K$156,$AF35)="","",INDEX(MUSTERILER!$K$7:$K$156,$AF35)))</f>
        <v/>
      </c>
      <c r="U35" s="93" t="str">
        <f t="shared" ca="1" si="11"/>
        <v/>
      </c>
      <c r="V35" s="68">
        <f t="shared" ca="1" si="12"/>
        <v>0</v>
      </c>
      <c r="W35" s="65" t="str">
        <f t="shared" ca="1" si="13"/>
        <v>UYGUN</v>
      </c>
      <c r="X35" s="2">
        <f ca="1">IF($B35="",0,SUMIFS(UCRETLER!$J$7:$J$606,UCRETLER!$B$7:$B$606,$B35))</f>
        <v>21000</v>
      </c>
      <c r="Y35" s="2">
        <f ca="1">IF($B35="",0,SUMIFS(UCRETLER!$K$7:$K$606,UCRETLER!$B$7:$B$606,$B35))</f>
        <v>21000</v>
      </c>
      <c r="Z35" s="1">
        <f ca="1">IF($B35="",0,SUMIFS(UCRETLER!$L$7:$L$606,UCRETLER!$B$7:$B$606,$B35))</f>
        <v>18000</v>
      </c>
      <c r="AA35" s="1">
        <f t="shared" ca="1" si="14"/>
        <v>18000</v>
      </c>
      <c r="AB35" s="1">
        <f t="shared" ca="1" si="15"/>
        <v>0</v>
      </c>
      <c r="AC35" s="1">
        <f t="shared" ca="1" si="16"/>
        <v>3000</v>
      </c>
      <c r="AD35" s="1">
        <f t="shared" ca="1" si="17"/>
        <v>3000</v>
      </c>
      <c r="AE35" s="1">
        <f t="shared" ca="1" si="18"/>
        <v>0</v>
      </c>
      <c r="AF35" s="1">
        <f ca="1">IFERROR(MATCH(ROW()-6,MUSTERILER!$U$7:$U$156,0),"")</f>
        <v>19</v>
      </c>
      <c r="AG35" s="1">
        <f ca="1">IF($B35="",0,SUMIFS(GELIR_GIDER!$G$7:$G$3001,GELIR_GIDER!$T$7:$T$3001,$B35))</f>
        <v>0</v>
      </c>
    </row>
    <row r="36" spans="1:33" ht="18" customHeight="1" x14ac:dyDescent="0.3">
      <c r="A36" s="2"/>
      <c r="B36" s="65" t="str">
        <f ca="1">IF($AF36="","",INDEX(MUSTERILER!$B$7:$B$156,$AF36))</f>
        <v>M038</v>
      </c>
      <c r="C36" s="74" t="str">
        <f ca="1">IF($AF36="","",INDEX(MUSTERILER!$C$7:$C$156,$AF36))</f>
        <v>MELEK GÜLER</v>
      </c>
      <c r="D36" s="68">
        <f ca="1">IF($B36="","",SUMIFS(UCRETLER!$G$7:$G$606,UCRETLER!$B$7:$B$606,$B36,UCRETLER!$F$7:$F$606,"Haftalık",UCRETLER!$H$7:$H$606,"Aktif"))</f>
        <v>0</v>
      </c>
      <c r="E36" s="68">
        <f ca="1">IF($B36="","",SUMIFS(UCRETLER!$G$7:$G$606,UCRETLER!$B$7:$B$606,$B36,UCRETLER!$F$7:$F$606,"Aylık",UCRETLER!$H$7:$H$606,"Aktif"))</f>
        <v>3000</v>
      </c>
      <c r="F36" s="68">
        <f ca="1">IF($B36="","",SUMIFS(MUSTERILER!$J$7:$J$156,MUSTERILER!$B$7:$B$156,$B36))</f>
        <v>0</v>
      </c>
      <c r="G36" s="68">
        <f ca="1">IF($B36="","",SUMIFS(UCRETLER!$I$7:$I$606,UCRETLER!$B$7:$B$606,$B36)+SUMIFS(GELIR_GIDER!$G$7:$G$3001,GELIR_GIDER!$T$7:$T$3001,$B36))</f>
        <v>21000</v>
      </c>
      <c r="H36" s="68">
        <f t="shared" ca="1" si="1"/>
        <v>21000</v>
      </c>
      <c r="I36" s="68">
        <f ca="1">IF($B36="","",SUMIFS(TAHSILAT!$F$7:$F$2503,TAHSILAT!$C$7:$C$2503,$B36))</f>
        <v>18000</v>
      </c>
      <c r="J36" s="68">
        <f t="shared" ca="1" si="2"/>
        <v>3000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0</v>
      </c>
      <c r="O36" s="92">
        <f t="shared" ca="1" si="7"/>
        <v>0.8571428571428571</v>
      </c>
      <c r="P36" s="70">
        <f ca="1">IF($B36="","",IFERROR(LOOKUP(2,1/(TAHSILAT!$C$7:$C$2503=$B36),TAHSILAT!$E$7:$E$2503),""))</f>
        <v>46254</v>
      </c>
      <c r="Q36" s="65" t="str">
        <f t="shared" ca="1" si="8"/>
        <v>YÜKSEK</v>
      </c>
      <c r="R36" s="74" t="str">
        <f t="shared" ca="1" si="9"/>
        <v>Bu hafta tahsilat takibi</v>
      </c>
      <c r="S36" s="93">
        <f t="shared" ca="1" si="10"/>
        <v>0</v>
      </c>
      <c r="T36" s="70" t="str">
        <f ca="1">IF(OR($B36="",$AF36=""),"",IF(INDEX(MUSTERILER!$K$7:$K$156,$AF36)="","",INDEX(MUSTERILER!$K$7:$K$156,$AF36)))</f>
        <v/>
      </c>
      <c r="U36" s="93" t="str">
        <f t="shared" ca="1" si="11"/>
        <v/>
      </c>
      <c r="V36" s="68">
        <f t="shared" ca="1" si="12"/>
        <v>0</v>
      </c>
      <c r="W36" s="65" t="str">
        <f t="shared" ca="1" si="13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ca="1" si="14"/>
        <v>18000</v>
      </c>
      <c r="AB36" s="1">
        <f t="shared" ca="1" si="15"/>
        <v>0</v>
      </c>
      <c r="AC36" s="1">
        <f t="shared" ca="1" si="16"/>
        <v>3000</v>
      </c>
      <c r="AD36" s="1">
        <f t="shared" ca="1" si="17"/>
        <v>3000</v>
      </c>
      <c r="AE36" s="1">
        <f t="shared" ca="1" si="18"/>
        <v>0</v>
      </c>
      <c r="AF36" s="1">
        <f ca="1">IFERROR(MATCH(ROW()-6,MUSTERILER!$U$7:$U$156,0),"")</f>
        <v>29</v>
      </c>
      <c r="AG36" s="1">
        <f ca="1">IF($B36="",0,SUMIFS(GELIR_GIDER!$G$7:$G$3001,GELIR_GIDER!$T$7:$T$3001,$B36))</f>
        <v>0</v>
      </c>
    </row>
    <row r="37" spans="1:33" ht="18" customHeight="1" x14ac:dyDescent="0.3">
      <c r="A37" s="2"/>
      <c r="B37" s="65" t="str">
        <f ca="1">IF($AF37="","",INDEX(MUSTERILER!$B$7:$B$156,$AF37))</f>
        <v>M042</v>
      </c>
      <c r="C37" s="74" t="str">
        <f ca="1">IF($AF37="","",INDEX(MUSTERILER!$C$7:$C$156,$AF37))</f>
        <v>MS TOPTAN LTD.ŞTİ.</v>
      </c>
      <c r="D37" s="68">
        <f ca="1">IF($B37="","",SUMIFS(UCRETLER!$G$7:$G$606,UCRETLER!$B$7:$B$606,$B37,UCRETLER!$F$7:$F$606,"Haftalık",UCRETLER!$H$7:$H$606,"Aktif"))</f>
        <v>0</v>
      </c>
      <c r="E37" s="68">
        <f ca="1">IF($B37="","",SUMIFS(UCRETLER!$G$7:$G$606,UCRETLER!$B$7:$B$606,$B37,UCRETLER!$F$7:$F$606,"Aylık",UCRETLER!$H$7:$H$606,"Aktif"))</f>
        <v>1</v>
      </c>
      <c r="F37" s="68">
        <f ca="1">IF($B37="","",SUMIFS(MUSTERILER!$J$7:$J$156,MUSTERILER!$B$7:$B$156,$B37))</f>
        <v>0</v>
      </c>
      <c r="G37" s="68">
        <f ca="1">IF($B37="","",SUMIFS(UCRETLER!$I$7:$I$606,UCRETLER!$B$7:$B$606,$B37)+SUMIFS(GELIR_GIDER!$G$7:$G$3001,GELIR_GIDER!$T$7:$T$3001,$B37))</f>
        <v>7</v>
      </c>
      <c r="H37" s="68">
        <f t="shared" ca="1" si="1"/>
        <v>7</v>
      </c>
      <c r="I37" s="68">
        <f ca="1">IF($B37="","",SUMIFS(TAHSILAT!$F$7:$F$2503,TAHSILAT!$C$7:$C$2503,$B37))</f>
        <v>0</v>
      </c>
      <c r="J37" s="68">
        <f t="shared" ca="1" si="2"/>
        <v>7</v>
      </c>
      <c r="K37" s="68">
        <f t="shared" ca="1" si="3"/>
        <v>0</v>
      </c>
      <c r="L37" s="68">
        <f t="shared" ca="1" si="4"/>
        <v>0</v>
      </c>
      <c r="M37" s="68">
        <f t="shared" ca="1" si="5"/>
        <v>1</v>
      </c>
      <c r="N37" s="68">
        <f t="shared" ca="1" si="6"/>
        <v>6</v>
      </c>
      <c r="O37" s="92">
        <f t="shared" ca="1" si="7"/>
        <v>0</v>
      </c>
      <c r="P37" s="70" t="str">
        <f ca="1">IF($B37="","",IFERROR(LOOKUP(2,1/(TAHSILAT!$C$7:$C$2503=$B37),TAHSILAT!$E$7:$E$2503),""))</f>
        <v/>
      </c>
      <c r="Q37" s="65" t="str">
        <f t="shared" ca="1" si="8"/>
        <v>KRİTİK</v>
      </c>
      <c r="R37" s="74" t="str">
        <f t="shared" ca="1" si="9"/>
        <v>Acil tahsilat görüşmesi ve cari mutabakat</v>
      </c>
      <c r="S37" s="93">
        <f t="shared" ca="1" si="10"/>
        <v>0</v>
      </c>
      <c r="T37" s="70" t="str">
        <f ca="1">IF(OR($B37="",$AF37=""),"",IF(INDEX(MUSTERILER!$K$7:$K$156,$AF37)="","",INDEX(MUSTERILER!$K$7:$K$156,$AF37)))</f>
        <v/>
      </c>
      <c r="U37" s="93" t="str">
        <f t="shared" ca="1" si="11"/>
        <v/>
      </c>
      <c r="V37" s="68">
        <f t="shared" ca="1" si="12"/>
        <v>0</v>
      </c>
      <c r="W37" s="65" t="str">
        <f t="shared" ca="1" si="13"/>
        <v>UYGUN</v>
      </c>
      <c r="X37" s="2">
        <f ca="1">IF($B37="",0,SUMIFS(UCRETLER!$J$7:$J$606,UCRETLER!$B$7:$B$606,$B37))</f>
        <v>7</v>
      </c>
      <c r="Y37" s="2">
        <f ca="1">IF($B37="",0,SUMIFS(UCRETLER!$K$7:$K$606,UCRETLER!$B$7:$B$606,$B37))</f>
        <v>7</v>
      </c>
      <c r="Z37" s="1">
        <f ca="1">IF($B37="",0,SUMIFS(UCRETLER!$L$7:$L$606,UCRETLER!$B$7:$B$606,$B37))</f>
        <v>6</v>
      </c>
      <c r="AA37" s="1">
        <f t="shared" ca="1" si="14"/>
        <v>0</v>
      </c>
      <c r="AB37" s="1">
        <f t="shared" ca="1" si="15"/>
        <v>0</v>
      </c>
      <c r="AC37" s="1">
        <f t="shared" ca="1" si="16"/>
        <v>7</v>
      </c>
      <c r="AD37" s="1">
        <f t="shared" ca="1" si="17"/>
        <v>7</v>
      </c>
      <c r="AE37" s="1">
        <f t="shared" ca="1" si="18"/>
        <v>6</v>
      </c>
      <c r="AF37" s="1">
        <f ca="1">IFERROR(MATCH(ROW()-6,MUSTERILER!$U$7:$U$156,0),"")</f>
        <v>34</v>
      </c>
      <c r="AG37" s="1">
        <f ca="1">IF($B37="",0,SUMIFS(GELIR_GIDER!$G$7:$G$3001,GELIR_GIDER!$T$7:$T$3001,$B37))</f>
        <v>0</v>
      </c>
    </row>
    <row r="38" spans="1:33" ht="18" customHeight="1" x14ac:dyDescent="0.3">
      <c r="A38" s="2"/>
      <c r="B38" s="65" t="str">
        <f ca="1">IF($AF38="","",INDEX(MUSTERILER!$B$7:$B$156,$AF38))</f>
        <v>M023</v>
      </c>
      <c r="C38" s="74" t="str">
        <f ca="1">IF($AF38="","",INDEX(MUSTERILER!$C$7:$C$156,$AF38))</f>
        <v>ALTINEL LTD.ŞTİ.</v>
      </c>
      <c r="D38" s="68">
        <f ca="1">IF($B38="","",SUMIFS(UCRETLER!$G$7:$G$606,UCRETLER!$B$7:$B$606,$B38,UCRETLER!$F$7:$F$606,"Haftalık",UCRETLER!$H$7:$H$606,"Aktif"))</f>
        <v>0</v>
      </c>
      <c r="E38" s="68">
        <f ca="1">IF($B38="","",SUMIFS(UCRETLER!$G$7:$G$606,UCRETLER!$B$7:$B$606,$B38,UCRETLER!$F$7:$F$606,"Aylık",UCRETLER!$H$7:$H$606,"Aktif"))</f>
        <v>10000</v>
      </c>
      <c r="F38" s="68">
        <f ca="1">IF($B38="","",SUMIFS(MUSTERILER!$J$7:$J$156,MUSTERILER!$B$7:$B$156,$B38))</f>
        <v>0</v>
      </c>
      <c r="G38" s="68">
        <f ca="1">IF($B38="","",SUMIFS(UCRETLER!$I$7:$I$606,UCRETLER!$B$7:$B$606,$B38)+SUMIFS(GELIR_GIDER!$G$7:$G$3001,GELIR_GIDER!$T$7:$T$3001,$B38))</f>
        <v>0</v>
      </c>
      <c r="H38" s="68">
        <f t="shared" ca="1" si="1"/>
        <v>0</v>
      </c>
      <c r="I38" s="68">
        <f ca="1">IF($B38="","",SUMIFS(TAHSILAT!$F$7:$F$2503,TAHSILAT!$C$7:$C$2503,$B38))</f>
        <v>84000</v>
      </c>
      <c r="J38" s="68">
        <f t="shared" ca="1" si="2"/>
        <v>0</v>
      </c>
      <c r="K38" s="68">
        <f t="shared" ca="1" si="3"/>
        <v>0</v>
      </c>
      <c r="L38" s="68">
        <f t="shared" ca="1" si="4"/>
        <v>0</v>
      </c>
      <c r="M38" s="68">
        <f t="shared" ca="1" si="5"/>
        <v>0</v>
      </c>
      <c r="N38" s="68">
        <f t="shared" ca="1" si="6"/>
        <v>0</v>
      </c>
      <c r="O38" s="92">
        <f t="shared" ca="1" si="7"/>
        <v>0</v>
      </c>
      <c r="P38" s="70">
        <f ca="1">IF($B38="","",IFERROR(LOOKUP(2,1/(TAHSILAT!$C$7:$C$2503=$B38),TAHSILAT!$E$7:$E$2503),""))</f>
        <v>46204</v>
      </c>
      <c r="Q38" s="65" t="str">
        <f t="shared" ca="1" si="8"/>
        <v>TEMİZ</v>
      </c>
      <c r="R38" s="74" t="str">
        <f t="shared" ca="1" si="9"/>
        <v>Aksiyon gerekmiyor</v>
      </c>
      <c r="S38" s="93">
        <f t="shared" ca="1" si="10"/>
        <v>0</v>
      </c>
      <c r="T38" s="70" t="str">
        <f ca="1">IF(OR($B38="",$AF38=""),"",IF(INDEX(MUSTERILER!$K$7:$K$156,$AF38)="","",INDEX(MUSTERILER!$K$7:$K$156,$AF38)))</f>
        <v/>
      </c>
      <c r="U38" s="93" t="str">
        <f t="shared" ca="1" si="11"/>
        <v/>
      </c>
      <c r="V38" s="68">
        <f t="shared" ca="1" si="12"/>
        <v>84000</v>
      </c>
      <c r="W38" s="65" t="str">
        <f t="shared" ca="1" si="13"/>
        <v>UYGUN</v>
      </c>
      <c r="X38" s="2">
        <f ca="1">IF($B38="",0,SUMIFS(UCRETLER!$J$7:$J$606,UCRETLER!$B$7:$B$606,$B38))</f>
        <v>0</v>
      </c>
      <c r="Y38" s="2">
        <f ca="1">IF($B38="",0,SUMIFS(UCRETLER!$K$7:$K$606,UCRETLER!$B$7:$B$606,$B38))</f>
        <v>0</v>
      </c>
      <c r="Z38" s="1">
        <f ca="1">IF($B38="",0,SUMIFS(UCRETLER!$L$7:$L$606,UCRETLER!$B$7:$B$606,$B38))</f>
        <v>0</v>
      </c>
      <c r="AA38" s="1">
        <f t="shared" ca="1" si="14"/>
        <v>84000</v>
      </c>
      <c r="AB38" s="1">
        <f t="shared" ca="1" si="15"/>
        <v>0</v>
      </c>
      <c r="AC38" s="1">
        <f t="shared" ca="1" si="16"/>
        <v>0</v>
      </c>
      <c r="AD38" s="1">
        <f t="shared" ca="1" si="17"/>
        <v>0</v>
      </c>
      <c r="AE38" s="1">
        <f t="shared" ca="1" si="18"/>
        <v>0</v>
      </c>
      <c r="AF38" s="1">
        <f ca="1">IFERROR(MATCH(ROW()-6,MUSTERILER!$U$7:$U$156,0),"")</f>
        <v>3</v>
      </c>
      <c r="AG38" s="1">
        <f ca="1">IF($B38="",0,SUMIFS(GELIR_GIDER!$G$7:$G$3001,GELIR_GIDER!$T$7:$T$3001,$B38))</f>
        <v>0</v>
      </c>
    </row>
    <row r="39" spans="1:33" ht="18" customHeight="1" x14ac:dyDescent="0.3">
      <c r="A39" s="2"/>
      <c r="B39" s="65" t="str">
        <f ca="1">IF($AF39="","",INDEX(MUSTERILER!$B$7:$B$156,$AF39))</f>
        <v>M024</v>
      </c>
      <c r="C39" s="74" t="str">
        <f ca="1">IF($AF39="","",INDEX(MUSTERILER!$C$7:$C$156,$AF39))</f>
        <v>ARMAN DİK</v>
      </c>
      <c r="D39" s="68">
        <f ca="1">IF($B39="","",SUMIFS(UCRETLER!$G$7:$G$606,UCRETLER!$B$7:$B$606,$B39,UCRETLER!$F$7:$F$606,"Haftalık",UCRETLER!$H$7:$H$606,"Aktif"))</f>
        <v>0</v>
      </c>
      <c r="E39" s="68">
        <f ca="1">IF($B39="","",SUMIFS(UCRETLER!$G$7:$G$606,UCRETLER!$B$7:$B$606,$B39,UCRETLER!$F$7:$F$606,"Aylık",UCRETLER!$H$7:$H$606,"Aktif"))</f>
        <v>3000</v>
      </c>
      <c r="F39" s="68">
        <f ca="1">IF($B39="","",SUMIFS(MUSTERILER!$J$7:$J$156,MUSTERILER!$B$7:$B$156,$B39))</f>
        <v>0</v>
      </c>
      <c r="G39" s="68">
        <f ca="1">IF($B39="","",SUMIFS(UCRETLER!$I$7:$I$606,UCRETLER!$B$7:$B$606,$B39)+SUMIFS(GELIR_GIDER!$G$7:$G$3001,GELIR_GIDER!$T$7:$T$3001,$B39))</f>
        <v>21000</v>
      </c>
      <c r="H39" s="68">
        <f t="shared" ref="H39:H70" ca="1" si="19">IF($B39="","",$F39+$G39)</f>
        <v>21000</v>
      </c>
      <c r="I39" s="68">
        <f ca="1">IF($B39="","",SUMIFS(TAHSILAT!$F$7:$F$2503,TAHSILAT!$C$7:$C$2503,$B39))</f>
        <v>33000</v>
      </c>
      <c r="J39" s="68">
        <f t="shared" ref="J39:J70" ca="1" si="20">IF($B39="","",MAX(0,$H39-$I39))</f>
        <v>0</v>
      </c>
      <c r="K39" s="68">
        <f t="shared" ref="K39:K70" ca="1" si="21">IF($B39="","",MAX(0,$J39-$L39-$M39-$N39))</f>
        <v>0</v>
      </c>
      <c r="L39" s="68">
        <f t="shared" ref="L39:L70" ca="1" si="22">IF($B39="","",($AC39-$AD39)+IF(AND($AB39&gt;0,$T39&lt;&gt;"",$U39&gt;=8,$U39&lt;15),$AB39,0))</f>
        <v>0</v>
      </c>
      <c r="M39" s="68">
        <f t="shared" ref="M39:M70" ca="1" si="23">IF($B39="","",($AD39-$AE39)+IF(AND($AB39&gt;0,$T39&lt;&gt;"",$U39&gt;=15,$U39&lt;29),$AB39,0))</f>
        <v>0</v>
      </c>
      <c r="N39" s="68">
        <f t="shared" ref="N39:N70" ca="1" si="24">IF($B39="","",$AE39+IF(AND($AB39&gt;0,OR($T39="",$U39&gt;=29)),$AB39,0))</f>
        <v>0</v>
      </c>
      <c r="O39" s="92">
        <f t="shared" ref="O39:O70" ca="1" si="25">IF($B39="","",IFERROR($I39/$H39,0))</f>
        <v>1.5714285714285714</v>
      </c>
      <c r="P39" s="70">
        <f ca="1">IF($B39="","",IFERROR(LOOKUP(2,1/(TAHSILAT!$C$7:$C$2503=$B39),TAHSILAT!$E$7:$E$2503),""))</f>
        <v>46245</v>
      </c>
      <c r="Q39" s="65" t="str">
        <f t="shared" ref="Q39:Q70" ca="1" si="26">IF($B39="","",IF($N39&gt;0,"KRİTİK",IF($M39&gt;0,"YÜKSEK",IF($L39&gt;0,"ORTA",IF($J39&gt;0,"İZLE","TEMİZ")))))</f>
        <v>TEMİZ</v>
      </c>
      <c r="R39" s="74" t="str">
        <f t="shared" ref="R39:R70" ca="1" si="27">IF($B39="","",IF($Q39="KRİTİK","Acil tahsilat görüşmesi ve cari mutabakat",IF($Q39="YÜKSEK","Bu hafta tahsilat takibi",IF($Q39="ORTA","Hatırlatma mesajı gönder",IF($Q39="İZLE","Normal takip","Aksiyon gerekmiyor")))))</f>
        <v>Aksiyon gerekmiyor</v>
      </c>
      <c r="S39" s="93">
        <f t="shared" ref="S39:S70" ca="1" si="28">IF($B39="","",0)</f>
        <v>0</v>
      </c>
      <c r="T39" s="70" t="str">
        <f ca="1">IF(OR($B39="",$AF39=""),"",IF(INDEX(MUSTERILER!$K$7:$K$156,$AF39)="","",INDEX(MUSTERILER!$K$7:$K$156,$AF39)))</f>
        <v/>
      </c>
      <c r="U39" s="93" t="str">
        <f t="shared" ref="U39:U70" ca="1" si="29">IF(OR($B39="",$T39=""),"",TODAY()-$T39)</f>
        <v/>
      </c>
      <c r="V39" s="68">
        <f t="shared" ref="V39:V70" ca="1" si="30">IF($B39="","",MAX(0,$I39-$H39))</f>
        <v>12000</v>
      </c>
      <c r="W39" s="65" t="str">
        <f t="shared" ref="W39:W70" ca="1" si="31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21000</v>
      </c>
      <c r="Y39" s="2">
        <f ca="1">IF($B39="",0,SUMIFS(UCRETLER!$K$7:$K$606,UCRETLER!$B$7:$B$606,$B39))</f>
        <v>21000</v>
      </c>
      <c r="Z39" s="1">
        <f ca="1">IF($B39="",0,SUMIFS(UCRETLER!$L$7:$L$606,UCRETLER!$B$7:$B$606,$B39))</f>
        <v>18000</v>
      </c>
      <c r="AA39" s="1">
        <f t="shared" ref="AA39:AA70" ca="1" si="32">IF($B39="",0,MAX(0,$I39-$F39))</f>
        <v>33000</v>
      </c>
      <c r="AB39" s="1">
        <f t="shared" ref="AB39:AB70" ca="1" si="33">IF($B39="",0,MAX(0,$F39-$I39))</f>
        <v>0</v>
      </c>
      <c r="AC39" s="1">
        <f t="shared" ref="AC39:AC70" ca="1" si="34">IF($B39="",0,MAX(0,$X39-$AA39))</f>
        <v>0</v>
      </c>
      <c r="AD39" s="1">
        <f t="shared" ref="AD39:AD70" ca="1" si="35">IF($B39="",0,MAX(0,$Y39-$AA39))</f>
        <v>0</v>
      </c>
      <c r="AE39" s="1">
        <f t="shared" ref="AE39:AE70" ca="1" si="36">IF($B39="",0,MAX(0,$Z39-$AA39))</f>
        <v>0</v>
      </c>
      <c r="AF39" s="1">
        <f ca="1">IFERROR(MATCH(ROW()-6,MUSTERILER!$U$7:$U$156,0),"")</f>
        <v>5</v>
      </c>
      <c r="AG39" s="1">
        <f ca="1">IF($B39="",0,SUMIFS(GELIR_GIDER!$G$7:$G$3001,GELIR_GIDER!$T$7:$T$3001,$B39))</f>
        <v>0</v>
      </c>
    </row>
    <row r="40" spans="1:33" ht="18" customHeight="1" x14ac:dyDescent="0.3">
      <c r="A40" s="2"/>
      <c r="B40" s="65" t="str">
        <f ca="1">IF($AF40="","",INDEX(MUSTERILER!$B$7:$B$156,$AF40))</f>
        <v>M021</v>
      </c>
      <c r="C40" s="74" t="str">
        <f ca="1">IF($AF40="","",INDEX(MUSTERILER!$C$7:$C$156,$AF40))</f>
        <v>ARON TOPTAN LTD.ŞTİ.</v>
      </c>
      <c r="D40" s="68">
        <f ca="1">IF($B40="","",SUMIFS(UCRETLER!$G$7:$G$606,UCRETLER!$B$7:$B$606,$B40,UCRETLER!$F$7:$F$606,"Haftalık",UCRETLER!$H$7:$H$606,"Aktif"))</f>
        <v>0</v>
      </c>
      <c r="E40" s="68">
        <f ca="1">IF($B40="","",SUMIFS(UCRETLER!$G$7:$G$606,UCRETLER!$B$7:$B$606,$B40,UCRETLER!$F$7:$F$606,"Aylık",UCRETLER!$H$7:$H$606,"Aktif"))</f>
        <v>10000</v>
      </c>
      <c r="F40" s="68">
        <f ca="1">IF($B40="","",SUMIFS(MUSTERILER!$J$7:$J$156,MUSTERILER!$B$7:$B$156,$B40))</f>
        <v>0</v>
      </c>
      <c r="G40" s="68">
        <f ca="1">IF($B40="","",SUMIFS(UCRETLER!$I$7:$I$606,UCRETLER!$B$7:$B$606,$B40)+SUMIFS(GELIR_GIDER!$G$7:$G$3001,GELIR_GIDER!$T$7:$T$3001,$B40))</f>
        <v>70000</v>
      </c>
      <c r="H40" s="68">
        <f t="shared" ca="1" si="19"/>
        <v>70000</v>
      </c>
      <c r="I40" s="68">
        <f ca="1">IF($B40="","",SUMIFS(TAHSILAT!$F$7:$F$2503,TAHSILAT!$C$7:$C$2503,$B40))</f>
        <v>70000</v>
      </c>
      <c r="J40" s="68">
        <f t="shared" ca="1" si="20"/>
        <v>0</v>
      </c>
      <c r="K40" s="68">
        <f t="shared" ca="1" si="21"/>
        <v>0</v>
      </c>
      <c r="L40" s="68">
        <f t="shared" ca="1" si="22"/>
        <v>0</v>
      </c>
      <c r="M40" s="68">
        <f t="shared" ca="1" si="23"/>
        <v>0</v>
      </c>
      <c r="N40" s="68">
        <f t="shared" ca="1" si="24"/>
        <v>0</v>
      </c>
      <c r="O40" s="92">
        <f t="shared" ca="1" si="25"/>
        <v>1</v>
      </c>
      <c r="P40" s="70">
        <f ca="1">IF($B40="","",IFERROR(LOOKUP(2,1/(TAHSILAT!$C$7:$C$2503=$B40),TAHSILAT!$E$7:$E$2503),""))</f>
        <v>46252</v>
      </c>
      <c r="Q40" s="65" t="str">
        <f t="shared" ca="1" si="26"/>
        <v>TEMİZ</v>
      </c>
      <c r="R40" s="74" t="str">
        <f t="shared" ca="1" si="27"/>
        <v>Aksiyon gerekmiyor</v>
      </c>
      <c r="S40" s="93">
        <f t="shared" ca="1" si="28"/>
        <v>0</v>
      </c>
      <c r="T40" s="70" t="str">
        <f ca="1">IF(OR($B40="",$AF40=""),"",IF(INDEX(MUSTERILER!$K$7:$K$156,$AF40)="","",INDEX(MUSTERILER!$K$7:$K$156,$AF40)))</f>
        <v/>
      </c>
      <c r="U40" s="93" t="str">
        <f t="shared" ca="1" si="29"/>
        <v/>
      </c>
      <c r="V40" s="68">
        <f t="shared" ca="1" si="30"/>
        <v>0</v>
      </c>
      <c r="W40" s="65" t="str">
        <f t="shared" ca="1" si="31"/>
        <v>UYGUN</v>
      </c>
      <c r="X40" s="2">
        <f ca="1">IF($B40="",0,SUMIFS(UCRETLER!$J$7:$J$606,UCRETLER!$B$7:$B$606,$B40))</f>
        <v>70000</v>
      </c>
      <c r="Y40" s="2">
        <f ca="1">IF($B40="",0,SUMIFS(UCRETLER!$K$7:$K$606,UCRETLER!$B$7:$B$606,$B40))</f>
        <v>70000</v>
      </c>
      <c r="Z40" s="1">
        <f ca="1">IF($B40="",0,SUMIFS(UCRETLER!$L$7:$L$606,UCRETLER!$B$7:$B$606,$B40))</f>
        <v>60000</v>
      </c>
      <c r="AA40" s="1">
        <f t="shared" ca="1" si="32"/>
        <v>70000</v>
      </c>
      <c r="AB40" s="1">
        <f t="shared" ca="1" si="33"/>
        <v>0</v>
      </c>
      <c r="AC40" s="1">
        <f t="shared" ca="1" si="34"/>
        <v>0</v>
      </c>
      <c r="AD40" s="1">
        <f t="shared" ca="1" si="35"/>
        <v>0</v>
      </c>
      <c r="AE40" s="1">
        <f t="shared" ca="1" si="36"/>
        <v>0</v>
      </c>
      <c r="AF40" s="1">
        <f ca="1">IFERROR(MATCH(ROW()-6,MUSTERILER!$U$7:$U$156,0),"")</f>
        <v>6</v>
      </c>
      <c r="AG40" s="1">
        <f ca="1">IF($B40="",0,SUMIFS(GELIR_GIDER!$G$7:$G$3001,GELIR_GIDER!$T$7:$T$3001,$B40))</f>
        <v>0</v>
      </c>
    </row>
    <row r="41" spans="1:33" ht="18" customHeight="1" x14ac:dyDescent="0.3">
      <c r="A41" s="2"/>
      <c r="B41" s="65" t="str">
        <f ca="1">IF($AF41="","",INDEX(MUSTERILER!$B$7:$B$156,$AF41))</f>
        <v>M025</v>
      </c>
      <c r="C41" s="74" t="str">
        <f ca="1">IF($AF41="","",INDEX(MUSTERILER!$C$7:$C$156,$AF41))</f>
        <v>ASIM AÇIKGÖZ</v>
      </c>
      <c r="D41" s="68">
        <f ca="1">IF($B41="","",SUMIFS(UCRETLER!$G$7:$G$606,UCRETLER!$B$7:$B$606,$B41,UCRETLER!$F$7:$F$606,"Haftalık",UCRETLER!$H$7:$H$606,"Aktif"))</f>
        <v>2000</v>
      </c>
      <c r="E41" s="68">
        <f ca="1">IF($B41="","",SUMIFS(UCRETLER!$G$7:$G$606,UCRETLER!$B$7:$B$606,$B41,UCRETLER!$F$7:$F$606,"Aylık",UCRETLER!$H$7:$H$606,"Aktif"))</f>
        <v>0</v>
      </c>
      <c r="F41" s="68">
        <f ca="1">IF($B41="","",SUMIFS(MUSTERILER!$J$7:$J$156,MUSTERILER!$B$7:$B$156,$B41))</f>
        <v>0</v>
      </c>
      <c r="G41" s="68">
        <f ca="1">IF($B41="","",SUMIFS(UCRETLER!$I$7:$I$606,UCRETLER!$B$7:$B$606,$B41)+SUMIFS(GELIR_GIDER!$G$7:$G$3001,GELIR_GIDER!$T$7:$T$3001,$B41))</f>
        <v>68000</v>
      </c>
      <c r="H41" s="68">
        <f t="shared" ca="1" si="19"/>
        <v>68000</v>
      </c>
      <c r="I41" s="68">
        <f ca="1">IF($B41="","",SUMIFS(TAHSILAT!$F$7:$F$2503,TAHSILAT!$C$7:$C$2503,$B41))</f>
        <v>68000</v>
      </c>
      <c r="J41" s="68">
        <f t="shared" ca="1" si="20"/>
        <v>0</v>
      </c>
      <c r="K41" s="68">
        <f t="shared" ca="1" si="21"/>
        <v>0</v>
      </c>
      <c r="L41" s="68">
        <f t="shared" ca="1" si="22"/>
        <v>0</v>
      </c>
      <c r="M41" s="68">
        <f t="shared" ca="1" si="23"/>
        <v>0</v>
      </c>
      <c r="N41" s="68">
        <f t="shared" ca="1" si="24"/>
        <v>0</v>
      </c>
      <c r="O41" s="92">
        <f t="shared" ca="1" si="25"/>
        <v>1</v>
      </c>
      <c r="P41" s="70">
        <f ca="1">IF($B41="","",IFERROR(LOOKUP(2,1/(TAHSILAT!$C$7:$C$2503=$B41),TAHSILAT!$E$7:$E$2503),""))</f>
        <v>46256</v>
      </c>
      <c r="Q41" s="65" t="str">
        <f t="shared" ca="1" si="26"/>
        <v>TEMİZ</v>
      </c>
      <c r="R41" s="74" t="str">
        <f t="shared" ca="1" si="27"/>
        <v>Aksiyon gerekmiyor</v>
      </c>
      <c r="S41" s="93">
        <f t="shared" ca="1" si="28"/>
        <v>0</v>
      </c>
      <c r="T41" s="70" t="str">
        <f ca="1">IF(OR($B41="",$AF41=""),"",IF(INDEX(MUSTERILER!$K$7:$K$156,$AF41)="","",INDEX(MUSTERILER!$K$7:$K$156,$AF41)))</f>
        <v/>
      </c>
      <c r="U41" s="93" t="str">
        <f t="shared" ca="1" si="29"/>
        <v/>
      </c>
      <c r="V41" s="68">
        <f t="shared" ca="1" si="30"/>
        <v>0</v>
      </c>
      <c r="W41" s="65" t="str">
        <f t="shared" ca="1" si="31"/>
        <v>UYGUN</v>
      </c>
      <c r="X41" s="2">
        <f ca="1">IF($B41="",0,SUMIFS(UCRETLER!$J$7:$J$606,UCRETLER!$B$7:$B$606,$B41))</f>
        <v>66000</v>
      </c>
      <c r="Y41" s="2">
        <f ca="1">IF($B41="",0,SUMIFS(UCRETLER!$K$7:$K$606,UCRETLER!$B$7:$B$606,$B41))</f>
        <v>64000</v>
      </c>
      <c r="Z41" s="1">
        <f ca="1">IF($B41="",0,SUMIFS(UCRETLER!$L$7:$L$606,UCRETLER!$B$7:$B$606,$B41))</f>
        <v>60000</v>
      </c>
      <c r="AA41" s="1">
        <f t="shared" ca="1" si="32"/>
        <v>68000</v>
      </c>
      <c r="AB41" s="1">
        <f t="shared" ca="1" si="33"/>
        <v>0</v>
      </c>
      <c r="AC41" s="1">
        <f t="shared" ca="1" si="34"/>
        <v>0</v>
      </c>
      <c r="AD41" s="1">
        <f t="shared" ca="1" si="35"/>
        <v>0</v>
      </c>
      <c r="AE41" s="1">
        <f t="shared" ca="1" si="36"/>
        <v>0</v>
      </c>
      <c r="AF41" s="1">
        <f ca="1">IFERROR(MATCH(ROW()-6,MUSTERILER!$U$7:$U$156,0),"")</f>
        <v>7</v>
      </c>
      <c r="AG41" s="1">
        <f ca="1">IF($B41="",0,SUMIFS(GELIR_GIDER!$G$7:$G$3001,GELIR_GIDER!$T$7:$T$3001,$B41))</f>
        <v>0</v>
      </c>
    </row>
    <row r="42" spans="1:33" ht="18" customHeight="1" x14ac:dyDescent="0.3">
      <c r="A42" s="2"/>
      <c r="B42" s="65" t="str">
        <f ca="1">IF($AF42="","",INDEX(MUSTERILER!$B$7:$B$156,$AF42))</f>
        <v>M017</v>
      </c>
      <c r="C42" s="74" t="str">
        <f ca="1">IF($AF42="","",INDEX(MUSTERILER!$C$7:$C$156,$AF42))</f>
        <v>ASM EĞLENCE LTD.ŞTİ.</v>
      </c>
      <c r="D42" s="68">
        <f ca="1">IF($B42="","",SUMIFS(UCRETLER!$G$7:$G$606,UCRETLER!$B$7:$B$606,$B42,UCRETLER!$F$7:$F$606,"Haftalık",UCRETLER!$H$7:$H$606,"Aktif"))</f>
        <v>2500</v>
      </c>
      <c r="E42" s="68">
        <f ca="1">IF($B42="","",SUMIFS(UCRETLER!$G$7:$G$606,UCRETLER!$B$7:$B$606,$B42,UCRETLER!$F$7:$F$606,"Aylık",UCRETLER!$H$7:$H$606,"Aktif"))</f>
        <v>0</v>
      </c>
      <c r="F42" s="68">
        <f ca="1">IF($B42="","",SUMIFS(MUSTERILER!$J$7:$J$156,MUSTERILER!$B$7:$B$156,$B42))</f>
        <v>0</v>
      </c>
      <c r="G42" s="68">
        <f ca="1">IF($B42="","",SUMIFS(UCRETLER!$I$7:$I$606,UCRETLER!$B$7:$B$606,$B42)+SUMIFS(GELIR_GIDER!$G$7:$G$3001,GELIR_GIDER!$T$7:$T$3001,$B42))</f>
        <v>85000</v>
      </c>
      <c r="H42" s="68">
        <f t="shared" ca="1" si="19"/>
        <v>85000</v>
      </c>
      <c r="I42" s="68">
        <f ca="1">IF($B42="","",SUMIFS(TAHSILAT!$F$7:$F$2503,TAHSILAT!$C$7:$C$2503,$B42))</f>
        <v>85000</v>
      </c>
      <c r="J42" s="68">
        <f t="shared" ca="1" si="20"/>
        <v>0</v>
      </c>
      <c r="K42" s="68">
        <f t="shared" ca="1" si="21"/>
        <v>0</v>
      </c>
      <c r="L42" s="68">
        <f t="shared" ca="1" si="22"/>
        <v>0</v>
      </c>
      <c r="M42" s="68">
        <f t="shared" ca="1" si="23"/>
        <v>0</v>
      </c>
      <c r="N42" s="68">
        <f t="shared" ca="1" si="24"/>
        <v>0</v>
      </c>
      <c r="O42" s="92">
        <f t="shared" ca="1" si="25"/>
        <v>1</v>
      </c>
      <c r="P42" s="70">
        <f ca="1">IF($B42="","",IFERROR(LOOKUP(2,1/(TAHSILAT!$C$7:$C$2503=$B42),TAHSILAT!$E$7:$E$2503),""))</f>
        <v>46256</v>
      </c>
      <c r="Q42" s="65" t="str">
        <f t="shared" ca="1" si="26"/>
        <v>TEMİZ</v>
      </c>
      <c r="R42" s="74" t="str">
        <f t="shared" ca="1" si="27"/>
        <v>Aksiyon gerekmiyor</v>
      </c>
      <c r="S42" s="93">
        <f t="shared" ca="1" si="28"/>
        <v>0</v>
      </c>
      <c r="T42" s="70" t="str">
        <f ca="1">IF(OR($B42="",$AF42=""),"",IF(INDEX(MUSTERILER!$K$7:$K$156,$AF42)="","",INDEX(MUSTERILER!$K$7:$K$156,$AF42)))</f>
        <v/>
      </c>
      <c r="U42" s="93" t="str">
        <f t="shared" ca="1" si="29"/>
        <v/>
      </c>
      <c r="V42" s="68">
        <f t="shared" ca="1" si="30"/>
        <v>0</v>
      </c>
      <c r="W42" s="65" t="str">
        <f t="shared" ca="1" si="31"/>
        <v>UYGUN</v>
      </c>
      <c r="X42" s="2">
        <f ca="1">IF($B42="",0,SUMIFS(UCRETLER!$J$7:$J$606,UCRETLER!$B$7:$B$606,$B42))</f>
        <v>82500</v>
      </c>
      <c r="Y42" s="2">
        <f ca="1">IF($B42="",0,SUMIFS(UCRETLER!$K$7:$K$606,UCRETLER!$B$7:$B$606,$B42))</f>
        <v>80000</v>
      </c>
      <c r="Z42" s="1">
        <f ca="1">IF($B42="",0,SUMIFS(UCRETLER!$L$7:$L$606,UCRETLER!$B$7:$B$606,$B42))</f>
        <v>75000</v>
      </c>
      <c r="AA42" s="1">
        <f t="shared" ca="1" si="32"/>
        <v>85000</v>
      </c>
      <c r="AB42" s="1">
        <f t="shared" ca="1" si="33"/>
        <v>0</v>
      </c>
      <c r="AC42" s="1">
        <f t="shared" ca="1" si="34"/>
        <v>0</v>
      </c>
      <c r="AD42" s="1">
        <f t="shared" ca="1" si="35"/>
        <v>0</v>
      </c>
      <c r="AE42" s="1">
        <f t="shared" ca="1" si="36"/>
        <v>0</v>
      </c>
      <c r="AF42" s="1">
        <f ca="1">IFERROR(MATCH(ROW()-6,MUSTERILER!$U$7:$U$156,0),"")</f>
        <v>8</v>
      </c>
      <c r="AG42" s="1">
        <f ca="1">IF($B42="",0,SUMIFS(GELIR_GIDER!$G$7:$G$3001,GELIR_GIDER!$T$7:$T$3001,$B42))</f>
        <v>0</v>
      </c>
    </row>
    <row r="43" spans="1:33" ht="18" customHeight="1" x14ac:dyDescent="0.3">
      <c r="A43" s="2"/>
      <c r="B43" s="65" t="str">
        <f ca="1">IF($AF43="","",INDEX(MUSTERILER!$B$7:$B$156,$AF43))</f>
        <v>M015</v>
      </c>
      <c r="C43" s="74" t="str">
        <f ca="1">IF($AF43="","",INDEX(MUSTERILER!$C$7:$C$156,$AF43))</f>
        <v>ÇAYIRALAN LTD.ŞTİ.</v>
      </c>
      <c r="D43" s="68">
        <f ca="1">IF($B43="","",SUMIFS(UCRETLER!$G$7:$G$606,UCRETLER!$B$7:$B$606,$B43,UCRETLER!$F$7:$F$606,"Haftalık",UCRETLER!$H$7:$H$606,"Aktif"))</f>
        <v>3000</v>
      </c>
      <c r="E43" s="68">
        <f ca="1">IF($B43="","",SUMIFS(UCRETLER!$G$7:$G$606,UCRETLER!$B$7:$B$606,$B43,UCRETLER!$F$7:$F$606,"Aylık",UCRETLER!$H$7:$H$606,"Aktif"))</f>
        <v>0</v>
      </c>
      <c r="F43" s="68">
        <f ca="1">IF($B43="","",SUMIFS(MUSTERILER!$J$7:$J$156,MUSTERILER!$B$7:$B$156,$B43))</f>
        <v>0</v>
      </c>
      <c r="G43" s="68">
        <f ca="1">IF($B43="","",SUMIFS(UCRETLER!$I$7:$I$606,UCRETLER!$B$7:$B$606,$B43)+SUMIFS(GELIR_GIDER!$G$7:$G$3001,GELIR_GIDER!$T$7:$T$3001,$B43))</f>
        <v>102000</v>
      </c>
      <c r="H43" s="68">
        <f t="shared" ca="1" si="19"/>
        <v>102000</v>
      </c>
      <c r="I43" s="68">
        <f ca="1">IF($B43="","",SUMIFS(TAHSILAT!$F$7:$F$2503,TAHSILAT!$C$7:$C$2503,$B43))</f>
        <v>102000</v>
      </c>
      <c r="J43" s="68">
        <f t="shared" ca="1" si="20"/>
        <v>0</v>
      </c>
      <c r="K43" s="68">
        <f t="shared" ca="1" si="21"/>
        <v>0</v>
      </c>
      <c r="L43" s="68">
        <f t="shared" ca="1" si="22"/>
        <v>0</v>
      </c>
      <c r="M43" s="68">
        <f t="shared" ca="1" si="23"/>
        <v>0</v>
      </c>
      <c r="N43" s="68">
        <f t="shared" ca="1" si="24"/>
        <v>0</v>
      </c>
      <c r="O43" s="92">
        <f t="shared" ca="1" si="25"/>
        <v>1</v>
      </c>
      <c r="P43" s="70">
        <f ca="1">IF($B43="","",IFERROR(LOOKUP(2,1/(TAHSILAT!$C$7:$C$2503=$B43),TAHSILAT!$E$7:$E$2503),""))</f>
        <v>46256</v>
      </c>
      <c r="Q43" s="65" t="str">
        <f t="shared" ca="1" si="26"/>
        <v>TEMİZ</v>
      </c>
      <c r="R43" s="74" t="str">
        <f t="shared" ca="1" si="27"/>
        <v>Aksiyon gerekmiyor</v>
      </c>
      <c r="S43" s="93">
        <f t="shared" ca="1" si="28"/>
        <v>0</v>
      </c>
      <c r="T43" s="70" t="str">
        <f ca="1">IF(OR($B43="",$AF43=""),"",IF(INDEX(MUSTERILER!$K$7:$K$156,$AF43)="","",INDEX(MUSTERILER!$K$7:$K$156,$AF43)))</f>
        <v/>
      </c>
      <c r="U43" s="93" t="str">
        <f t="shared" ca="1" si="29"/>
        <v/>
      </c>
      <c r="V43" s="68">
        <f t="shared" ca="1" si="30"/>
        <v>0</v>
      </c>
      <c r="W43" s="65" t="str">
        <f t="shared" ca="1" si="31"/>
        <v>UYGUN</v>
      </c>
      <c r="X43" s="2">
        <f ca="1">IF($B43="",0,SUMIFS(UCRETLER!$J$7:$J$606,UCRETLER!$B$7:$B$606,$B43))</f>
        <v>99000</v>
      </c>
      <c r="Y43" s="2">
        <f ca="1">IF($B43="",0,SUMIFS(UCRETLER!$K$7:$K$606,UCRETLER!$B$7:$B$606,$B43))</f>
        <v>96000</v>
      </c>
      <c r="Z43" s="1">
        <f ca="1">IF($B43="",0,SUMIFS(UCRETLER!$L$7:$L$606,UCRETLER!$B$7:$B$606,$B43))</f>
        <v>90000</v>
      </c>
      <c r="AA43" s="1">
        <f t="shared" ca="1" si="32"/>
        <v>102000</v>
      </c>
      <c r="AB43" s="1">
        <f t="shared" ca="1" si="33"/>
        <v>0</v>
      </c>
      <c r="AC43" s="1">
        <f t="shared" ca="1" si="34"/>
        <v>0</v>
      </c>
      <c r="AD43" s="1">
        <f t="shared" ca="1" si="35"/>
        <v>0</v>
      </c>
      <c r="AE43" s="1">
        <f t="shared" ca="1" si="36"/>
        <v>0</v>
      </c>
      <c r="AF43" s="1">
        <f ca="1">IFERROR(MATCH(ROW()-6,MUSTERILER!$U$7:$U$156,0),"")</f>
        <v>10</v>
      </c>
      <c r="AG43" s="1">
        <f ca="1">IF($B43="",0,SUMIFS(GELIR_GIDER!$G$7:$G$3001,GELIR_GIDER!$T$7:$T$3001,$B43))</f>
        <v>0</v>
      </c>
    </row>
    <row r="44" spans="1:33" ht="18" customHeight="1" x14ac:dyDescent="0.3">
      <c r="A44" s="2"/>
      <c r="B44" s="65" t="str">
        <f ca="1">IF($AF44="","",INDEX(MUSTERILER!$B$7:$B$156,$AF44))</f>
        <v>M018</v>
      </c>
      <c r="C44" s="74" t="str">
        <f ca="1">IF($AF44="","",INDEX(MUSTERILER!$C$7:$C$156,$AF44))</f>
        <v>ÇINARHAN LTD.ŞTİ.</v>
      </c>
      <c r="D44" s="68">
        <f ca="1">IF($B44="","",SUMIFS(UCRETLER!$G$7:$G$606,UCRETLER!$B$7:$B$606,$B44,UCRETLER!$F$7:$F$606,"Haftalık",UCRETLER!$H$7:$H$606,"Aktif"))</f>
        <v>4000</v>
      </c>
      <c r="E44" s="68">
        <f ca="1">IF($B44="","",SUMIFS(UCRETLER!$G$7:$G$606,UCRETLER!$B$7:$B$606,$B44,UCRETLER!$F$7:$F$606,"Aylık",UCRETLER!$H$7:$H$606,"Aktif"))</f>
        <v>0</v>
      </c>
      <c r="F44" s="68">
        <f ca="1">IF($B44="","",SUMIFS(MUSTERILER!$J$7:$J$156,MUSTERILER!$B$7:$B$156,$B44))</f>
        <v>0</v>
      </c>
      <c r="G44" s="68">
        <f ca="1">IF($B44="","",SUMIFS(UCRETLER!$I$7:$I$606,UCRETLER!$B$7:$B$606,$B44)+SUMIFS(GELIR_GIDER!$G$7:$G$3001,GELIR_GIDER!$T$7:$T$3001,$B44))</f>
        <v>88000</v>
      </c>
      <c r="H44" s="68">
        <f t="shared" ca="1" si="19"/>
        <v>88000</v>
      </c>
      <c r="I44" s="68">
        <f ca="1">IF($B44="","",SUMIFS(TAHSILAT!$F$7:$F$2503,TAHSILAT!$C$7:$C$2503,$B44))</f>
        <v>88000</v>
      </c>
      <c r="J44" s="68">
        <f t="shared" ca="1" si="20"/>
        <v>0</v>
      </c>
      <c r="K44" s="68">
        <f t="shared" ca="1" si="21"/>
        <v>0</v>
      </c>
      <c r="L44" s="68">
        <f t="shared" ca="1" si="22"/>
        <v>0</v>
      </c>
      <c r="M44" s="68">
        <f t="shared" ca="1" si="23"/>
        <v>0</v>
      </c>
      <c r="N44" s="68">
        <f t="shared" ca="1" si="24"/>
        <v>0</v>
      </c>
      <c r="O44" s="92">
        <f t="shared" ca="1" si="25"/>
        <v>1</v>
      </c>
      <c r="P44" s="70">
        <f ca="1">IF($B44="","",IFERROR(LOOKUP(2,1/(TAHSILAT!$C$7:$C$2503=$B44),TAHSILAT!$E$7:$E$2503),""))</f>
        <v>46256</v>
      </c>
      <c r="Q44" s="65" t="str">
        <f t="shared" ca="1" si="26"/>
        <v>TEMİZ</v>
      </c>
      <c r="R44" s="74" t="str">
        <f t="shared" ca="1" si="27"/>
        <v>Aksiyon gerekmiyor</v>
      </c>
      <c r="S44" s="93">
        <f t="shared" ca="1" si="28"/>
        <v>0</v>
      </c>
      <c r="T44" s="70" t="str">
        <f ca="1">IF(OR($B44="",$AF44=""),"",IF(INDEX(MUSTERILER!$K$7:$K$156,$AF44)="","",INDEX(MUSTERILER!$K$7:$K$156,$AF44)))</f>
        <v/>
      </c>
      <c r="U44" s="93" t="str">
        <f t="shared" ca="1" si="29"/>
        <v/>
      </c>
      <c r="V44" s="68">
        <f t="shared" ca="1" si="30"/>
        <v>0</v>
      </c>
      <c r="W44" s="65" t="str">
        <f t="shared" ca="1" si="31"/>
        <v>UYGUN</v>
      </c>
      <c r="X44" s="2">
        <f ca="1">IF($B44="",0,SUMIFS(UCRETLER!$J$7:$J$606,UCRETLER!$B$7:$B$606,$B44))</f>
        <v>84000</v>
      </c>
      <c r="Y44" s="2">
        <f ca="1">IF($B44="",0,SUMIFS(UCRETLER!$K$7:$K$606,UCRETLER!$B$7:$B$606,$B44))</f>
        <v>80000</v>
      </c>
      <c r="Z44" s="1">
        <f ca="1">IF($B44="",0,SUMIFS(UCRETLER!$L$7:$L$606,UCRETLER!$B$7:$B$606,$B44))</f>
        <v>75000</v>
      </c>
      <c r="AA44" s="1">
        <f t="shared" ca="1" si="32"/>
        <v>88000</v>
      </c>
      <c r="AB44" s="1">
        <f t="shared" ca="1" si="33"/>
        <v>0</v>
      </c>
      <c r="AC44" s="1">
        <f t="shared" ca="1" si="34"/>
        <v>0</v>
      </c>
      <c r="AD44" s="1">
        <f t="shared" ca="1" si="35"/>
        <v>0</v>
      </c>
      <c r="AE44" s="1">
        <f t="shared" ca="1" si="36"/>
        <v>0</v>
      </c>
      <c r="AF44" s="1">
        <f ca="1">IFERROR(MATCH(ROW()-6,MUSTERILER!$U$7:$U$156,0),"")</f>
        <v>12</v>
      </c>
      <c r="AG44" s="1">
        <f ca="1">IF($B44="",0,SUMIFS(GELIR_GIDER!$G$7:$G$3001,GELIR_GIDER!$T$7:$T$3001,$B44))</f>
        <v>0</v>
      </c>
    </row>
    <row r="45" spans="1:33" ht="18" customHeight="1" x14ac:dyDescent="0.3">
      <c r="A45" s="2"/>
      <c r="B45" s="65" t="str">
        <f ca="1">IF($AF45="","",INDEX(MUSTERILER!$B$7:$B$156,$AF45))</f>
        <v>M011</v>
      </c>
      <c r="C45" s="74" t="str">
        <f ca="1">IF($AF45="","",INDEX(MUSTERILER!$C$7:$C$156,$AF45))</f>
        <v>EĞLENGÖR LTD.ŞTİ.</v>
      </c>
      <c r="D45" s="68">
        <f ca="1">IF($B45="","",SUMIFS(UCRETLER!$G$7:$G$606,UCRETLER!$B$7:$B$606,$B45,UCRETLER!$F$7:$F$606,"Haftalık",UCRETLER!$H$7:$H$606,"Aktif"))</f>
        <v>4000</v>
      </c>
      <c r="E45" s="68">
        <f ca="1">IF($B45="","",SUMIFS(UCRETLER!$G$7:$G$606,UCRETLER!$B$7:$B$606,$B45,UCRETLER!$F$7:$F$606,"Aylık",UCRETLER!$H$7:$H$606,"Aktif"))</f>
        <v>0</v>
      </c>
      <c r="F45" s="68">
        <f ca="1">IF($B45="","",SUMIFS(MUSTERILER!$J$7:$J$156,MUSTERILER!$B$7:$B$156,$B45))</f>
        <v>0</v>
      </c>
      <c r="G45" s="68">
        <f ca="1">IF($B45="","",SUMIFS(UCRETLER!$I$7:$I$606,UCRETLER!$B$7:$B$606,$B45)+SUMIFS(GELIR_GIDER!$G$7:$G$3001,GELIR_GIDER!$T$7:$T$3001,$B45))</f>
        <v>117000</v>
      </c>
      <c r="H45" s="68">
        <f t="shared" ca="1" si="19"/>
        <v>117000</v>
      </c>
      <c r="I45" s="68">
        <f ca="1">IF($B45="","",SUMIFS(TAHSILAT!$F$7:$F$2503,TAHSILAT!$C$7:$C$2503,$B45))</f>
        <v>117000</v>
      </c>
      <c r="J45" s="68">
        <f t="shared" ca="1" si="20"/>
        <v>0</v>
      </c>
      <c r="K45" s="68">
        <f t="shared" ca="1" si="21"/>
        <v>0</v>
      </c>
      <c r="L45" s="68">
        <f t="shared" ca="1" si="22"/>
        <v>0</v>
      </c>
      <c r="M45" s="68">
        <f t="shared" ca="1" si="23"/>
        <v>0</v>
      </c>
      <c r="N45" s="68">
        <f t="shared" ca="1" si="24"/>
        <v>0</v>
      </c>
      <c r="O45" s="92">
        <f t="shared" ca="1" si="25"/>
        <v>1</v>
      </c>
      <c r="P45" s="70">
        <f ca="1">IF($B45="","",IFERROR(LOOKUP(2,1/(TAHSILAT!$C$7:$C$2503=$B45),TAHSILAT!$E$7:$E$2503),""))</f>
        <v>46256</v>
      </c>
      <c r="Q45" s="65" t="str">
        <f t="shared" ca="1" si="26"/>
        <v>TEMİZ</v>
      </c>
      <c r="R45" s="74" t="str">
        <f t="shared" ca="1" si="27"/>
        <v>Aksiyon gerekmiyor</v>
      </c>
      <c r="S45" s="93">
        <f t="shared" ca="1" si="28"/>
        <v>0</v>
      </c>
      <c r="T45" s="70" t="str">
        <f ca="1">IF(OR($B45="",$AF45=""),"",IF(INDEX(MUSTERILER!$K$7:$K$156,$AF45)="","",INDEX(MUSTERILER!$K$7:$K$156,$AF45)))</f>
        <v/>
      </c>
      <c r="U45" s="93" t="str">
        <f t="shared" ca="1" si="29"/>
        <v/>
      </c>
      <c r="V45" s="68">
        <f t="shared" ca="1" si="30"/>
        <v>0</v>
      </c>
      <c r="W45" s="65" t="str">
        <f t="shared" ca="1" si="31"/>
        <v>UYGUN</v>
      </c>
      <c r="X45" s="2">
        <f ca="1">IF($B45="",0,SUMIFS(UCRETLER!$J$7:$J$606,UCRETLER!$B$7:$B$606,$B45))</f>
        <v>113000</v>
      </c>
      <c r="Y45" s="2">
        <f ca="1">IF($B45="",0,SUMIFS(UCRETLER!$K$7:$K$606,UCRETLER!$B$7:$B$606,$B45))</f>
        <v>109000</v>
      </c>
      <c r="Z45" s="1">
        <f ca="1">IF($B45="",0,SUMIFS(UCRETLER!$L$7:$L$606,UCRETLER!$B$7:$B$606,$B45))</f>
        <v>101000</v>
      </c>
      <c r="AA45" s="1">
        <f t="shared" ca="1" si="32"/>
        <v>117000</v>
      </c>
      <c r="AB45" s="1">
        <f t="shared" ca="1" si="33"/>
        <v>0</v>
      </c>
      <c r="AC45" s="1">
        <f t="shared" ca="1" si="34"/>
        <v>0</v>
      </c>
      <c r="AD45" s="1">
        <f t="shared" ca="1" si="35"/>
        <v>0</v>
      </c>
      <c r="AE45" s="1">
        <f t="shared" ca="1" si="36"/>
        <v>0</v>
      </c>
      <c r="AF45" s="1">
        <f ca="1">IFERROR(MATCH(ROW()-6,MUSTERILER!$U$7:$U$156,0),"")</f>
        <v>14</v>
      </c>
      <c r="AG45" s="1">
        <f ca="1">IF($B45="",0,SUMIFS(GELIR_GIDER!$G$7:$G$3001,GELIR_GIDER!$T$7:$T$3001,$B45))</f>
        <v>0</v>
      </c>
    </row>
    <row r="46" spans="1:33" ht="18" customHeight="1" x14ac:dyDescent="0.3">
      <c r="A46" s="2"/>
      <c r="B46" s="65" t="str">
        <f ca="1">IF($AF46="","",INDEX(MUSTERILER!$B$7:$B$156,$AF46))</f>
        <v>M014</v>
      </c>
      <c r="C46" s="74" t="str">
        <f ca="1">IF($AF46="","",INDEX(MUSTERILER!$C$7:$C$156,$AF46))</f>
        <v>FİNAL SİYAH BEYAZ LTD.ŞTİ.</v>
      </c>
      <c r="D46" s="68">
        <f ca="1">IF($B46="","",SUMIFS(UCRETLER!$G$7:$G$606,UCRETLER!$B$7:$B$606,$B46,UCRETLER!$F$7:$F$606,"Haftalık",UCRETLER!$H$7:$H$606,"Aktif"))</f>
        <v>4000</v>
      </c>
      <c r="E46" s="68">
        <f ca="1">IF($B46="","",SUMIFS(UCRETLER!$G$7:$G$606,UCRETLER!$B$7:$B$606,$B46,UCRETLER!$F$7:$F$606,"Aylık",UCRETLER!$H$7:$H$606,"Aktif"))</f>
        <v>0</v>
      </c>
      <c r="F46" s="68">
        <f ca="1">IF($B46="","",SUMIFS(MUSTERILER!$J$7:$J$156,MUSTERILER!$B$7:$B$156,$B46))</f>
        <v>0</v>
      </c>
      <c r="G46" s="68">
        <f ca="1">IF($B46="","",SUMIFS(UCRETLER!$I$7:$I$606,UCRETLER!$B$7:$B$606,$B46)+SUMIFS(GELIR_GIDER!$G$7:$G$3001,GELIR_GIDER!$T$7:$T$3001,$B46))</f>
        <v>110000</v>
      </c>
      <c r="H46" s="68">
        <f t="shared" ca="1" si="19"/>
        <v>110000</v>
      </c>
      <c r="I46" s="68">
        <f ca="1">IF($B46="","",SUMIFS(TAHSILAT!$F$7:$F$2503,TAHSILAT!$C$7:$C$2503,$B46))</f>
        <v>110000</v>
      </c>
      <c r="J46" s="68">
        <f t="shared" ca="1" si="20"/>
        <v>0</v>
      </c>
      <c r="K46" s="68">
        <f t="shared" ca="1" si="21"/>
        <v>0</v>
      </c>
      <c r="L46" s="68">
        <f t="shared" ca="1" si="22"/>
        <v>0</v>
      </c>
      <c r="M46" s="68">
        <f t="shared" ca="1" si="23"/>
        <v>0</v>
      </c>
      <c r="N46" s="68">
        <f t="shared" ca="1" si="24"/>
        <v>0</v>
      </c>
      <c r="O46" s="92">
        <f t="shared" ca="1" si="25"/>
        <v>1</v>
      </c>
      <c r="P46" s="70">
        <f ca="1">IF($B46="","",IFERROR(LOOKUP(2,1/(TAHSILAT!$C$7:$C$2503=$B46),TAHSILAT!$E$7:$E$2503),""))</f>
        <v>46256</v>
      </c>
      <c r="Q46" s="65" t="str">
        <f t="shared" ca="1" si="26"/>
        <v>TEMİZ</v>
      </c>
      <c r="R46" s="74" t="str">
        <f t="shared" ca="1" si="27"/>
        <v>Aksiyon gerekmiyor</v>
      </c>
      <c r="S46" s="93">
        <f t="shared" ca="1" si="28"/>
        <v>0</v>
      </c>
      <c r="T46" s="70" t="str">
        <f ca="1">IF(OR($B46="",$AF46=""),"",IF(INDEX(MUSTERILER!$K$7:$K$156,$AF46)="","",INDEX(MUSTERILER!$K$7:$K$156,$AF46)))</f>
        <v/>
      </c>
      <c r="U46" s="93" t="str">
        <f t="shared" ca="1" si="29"/>
        <v/>
      </c>
      <c r="V46" s="68">
        <f t="shared" ca="1" si="30"/>
        <v>0</v>
      </c>
      <c r="W46" s="65" t="str">
        <f t="shared" ca="1" si="31"/>
        <v>UYGUN</v>
      </c>
      <c r="X46" s="2">
        <f ca="1">IF($B46="",0,SUMIFS(UCRETLER!$J$7:$J$606,UCRETLER!$B$7:$B$606,$B46))</f>
        <v>106000</v>
      </c>
      <c r="Y46" s="2">
        <f ca="1">IF($B46="",0,SUMIFS(UCRETLER!$K$7:$K$606,UCRETLER!$B$7:$B$606,$B46))</f>
        <v>102000</v>
      </c>
      <c r="Z46" s="1">
        <f ca="1">IF($B46="",0,SUMIFS(UCRETLER!$L$7:$L$606,UCRETLER!$B$7:$B$606,$B46))</f>
        <v>94000</v>
      </c>
      <c r="AA46" s="1">
        <f t="shared" ca="1" si="32"/>
        <v>110000</v>
      </c>
      <c r="AB46" s="1">
        <f t="shared" ca="1" si="33"/>
        <v>0</v>
      </c>
      <c r="AC46" s="1">
        <f t="shared" ca="1" si="34"/>
        <v>0</v>
      </c>
      <c r="AD46" s="1">
        <f t="shared" ca="1" si="35"/>
        <v>0</v>
      </c>
      <c r="AE46" s="1">
        <f t="shared" ca="1" si="36"/>
        <v>0</v>
      </c>
      <c r="AF46" s="1">
        <f ca="1">IFERROR(MATCH(ROW()-6,MUSTERILER!$U$7:$U$156,0),"")</f>
        <v>18</v>
      </c>
      <c r="AG46" s="1">
        <f ca="1">IF($B46="",0,SUMIFS(GELIR_GIDER!$G$7:$G$3001,GELIR_GIDER!$T$7:$T$3001,$B46))</f>
        <v>0</v>
      </c>
    </row>
    <row r="47" spans="1:33" ht="18" customHeight="1" x14ac:dyDescent="0.3">
      <c r="A47" s="2"/>
      <c r="B47" s="65" t="str">
        <f ca="1">IF($AF47="","",INDEX(MUSTERILER!$B$7:$B$156,$AF47))</f>
        <v>M012</v>
      </c>
      <c r="C47" s="74" t="str">
        <f ca="1">IF($AF47="","",INDEX(MUSTERILER!$C$7:$C$156,$AF47))</f>
        <v>İLDEŞ LTD.ŞTİ.</v>
      </c>
      <c r="D47" s="68">
        <f ca="1">IF($B47="","",SUMIFS(UCRETLER!$G$7:$G$606,UCRETLER!$B$7:$B$606,$B47,UCRETLER!$F$7:$F$606,"Haftalık",UCRETLER!$H$7:$H$606,"Aktif"))</f>
        <v>5000</v>
      </c>
      <c r="E47" s="68">
        <f ca="1">IF($B47="","",SUMIFS(UCRETLER!$G$7:$G$606,UCRETLER!$B$7:$B$606,$B47,UCRETLER!$F$7:$F$606,"Aylık",UCRETLER!$H$7:$H$606,"Aktif"))</f>
        <v>0</v>
      </c>
      <c r="F47" s="68">
        <f ca="1">IF($B47="","",SUMIFS(MUSTERILER!$J$7:$J$156,MUSTERILER!$B$7:$B$156,$B47))</f>
        <v>0</v>
      </c>
      <c r="G47" s="68">
        <f ca="1">IF($B47="","",SUMIFS(UCRETLER!$I$7:$I$606,UCRETLER!$B$7:$B$606,$B47)+SUMIFS(GELIR_GIDER!$G$7:$G$3001,GELIR_GIDER!$T$7:$T$3001,$B47))</f>
        <v>122000</v>
      </c>
      <c r="H47" s="68">
        <f t="shared" ca="1" si="19"/>
        <v>122000</v>
      </c>
      <c r="I47" s="68">
        <f ca="1">IF($B47="","",SUMIFS(TAHSILAT!$F$7:$F$2503,TAHSILAT!$C$7:$C$2503,$B47))</f>
        <v>122000</v>
      </c>
      <c r="J47" s="68">
        <f t="shared" ca="1" si="20"/>
        <v>0</v>
      </c>
      <c r="K47" s="68">
        <f t="shared" ca="1" si="21"/>
        <v>0</v>
      </c>
      <c r="L47" s="68">
        <f t="shared" ca="1" si="22"/>
        <v>0</v>
      </c>
      <c r="M47" s="68">
        <f t="shared" ca="1" si="23"/>
        <v>0</v>
      </c>
      <c r="N47" s="68">
        <f t="shared" ca="1" si="24"/>
        <v>0</v>
      </c>
      <c r="O47" s="92">
        <f t="shared" ca="1" si="25"/>
        <v>1</v>
      </c>
      <c r="P47" s="70">
        <f ca="1">IF($B47="","",IFERROR(LOOKUP(2,1/(TAHSILAT!$C$7:$C$2503=$B47),TAHSILAT!$E$7:$E$2503),""))</f>
        <v>46256</v>
      </c>
      <c r="Q47" s="65" t="str">
        <f t="shared" ca="1" si="26"/>
        <v>TEMİZ</v>
      </c>
      <c r="R47" s="74" t="str">
        <f t="shared" ca="1" si="27"/>
        <v>Aksiyon gerekmiyor</v>
      </c>
      <c r="S47" s="93">
        <f t="shared" ca="1" si="28"/>
        <v>0</v>
      </c>
      <c r="T47" s="70" t="str">
        <f ca="1">IF(OR($B47="",$AF47=""),"",IF(INDEX(MUSTERILER!$K$7:$K$156,$AF47)="","",INDEX(MUSTERILER!$K$7:$K$156,$AF47)))</f>
        <v/>
      </c>
      <c r="U47" s="93" t="str">
        <f t="shared" ca="1" si="29"/>
        <v/>
      </c>
      <c r="V47" s="68">
        <f t="shared" ca="1" si="30"/>
        <v>0</v>
      </c>
      <c r="W47" s="65" t="str">
        <f t="shared" ca="1" si="31"/>
        <v>UYGUN</v>
      </c>
      <c r="X47" s="2">
        <f ca="1">IF($B47="",0,SUMIFS(UCRETLER!$J$7:$J$606,UCRETLER!$B$7:$B$606,$B47))</f>
        <v>117000</v>
      </c>
      <c r="Y47" s="2">
        <f ca="1">IF($B47="",0,SUMIFS(UCRETLER!$K$7:$K$606,UCRETLER!$B$7:$B$606,$B47))</f>
        <v>112000</v>
      </c>
      <c r="Z47" s="1">
        <f ca="1">IF($B47="",0,SUMIFS(UCRETLER!$L$7:$L$606,UCRETLER!$B$7:$B$606,$B47))</f>
        <v>102000</v>
      </c>
      <c r="AA47" s="1">
        <f t="shared" ca="1" si="32"/>
        <v>122000</v>
      </c>
      <c r="AB47" s="1">
        <f t="shared" ca="1" si="33"/>
        <v>0</v>
      </c>
      <c r="AC47" s="1">
        <f t="shared" ca="1" si="34"/>
        <v>0</v>
      </c>
      <c r="AD47" s="1">
        <f t="shared" ca="1" si="35"/>
        <v>0</v>
      </c>
      <c r="AE47" s="1">
        <f t="shared" ca="1" si="36"/>
        <v>0</v>
      </c>
      <c r="AF47" s="1">
        <f ca="1">IFERROR(MATCH(ROW()-6,MUSTERILER!$U$7:$U$156,0),"")</f>
        <v>22</v>
      </c>
      <c r="AG47" s="1">
        <f ca="1">IF($B47="",0,SUMIFS(GELIR_GIDER!$G$7:$G$3001,GELIR_GIDER!$T$7:$T$3001,$B47))</f>
        <v>0</v>
      </c>
    </row>
    <row r="48" spans="1:33" ht="18" customHeight="1" x14ac:dyDescent="0.3">
      <c r="A48" s="2"/>
      <c r="B48" s="65" t="str">
        <f ca="1">IF($AF48="","",INDEX(MUSTERILER!$B$7:$B$156,$AF48))</f>
        <v>M035</v>
      </c>
      <c r="C48" s="74" t="str">
        <f ca="1">IF($AF48="","",INDEX(MUSTERILER!$C$7:$C$156,$AF48))</f>
        <v>İSA DEMİRCİ</v>
      </c>
      <c r="D48" s="68">
        <f ca="1">IF($B48="","",SUMIFS(UCRETLER!$G$7:$G$606,UCRETLER!$B$7:$B$606,$B48,UCRETLER!$F$7:$F$606,"Haftalık",UCRETLER!$H$7:$H$606,"Aktif"))</f>
        <v>0</v>
      </c>
      <c r="E48" s="68">
        <f ca="1">IF($B48="","",SUMIFS(UCRETLER!$G$7:$G$606,UCRETLER!$B$7:$B$606,$B48,UCRETLER!$F$7:$F$606,"Aylık",UCRETLER!$H$7:$H$606,"Aktif"))</f>
        <v>3500</v>
      </c>
      <c r="F48" s="68">
        <f ca="1">IF($B48="","",SUMIFS(MUSTERILER!$J$7:$J$156,MUSTERILER!$B$7:$B$156,$B48))</f>
        <v>0</v>
      </c>
      <c r="G48" s="68">
        <f ca="1">IF($B48="","",SUMIFS(UCRETLER!$I$7:$I$606,UCRETLER!$B$7:$B$606,$B48)+SUMIFS(GELIR_GIDER!$G$7:$G$3001,GELIR_GIDER!$T$7:$T$3001,$B48))</f>
        <v>24500</v>
      </c>
      <c r="H48" s="68">
        <f t="shared" ca="1" si="19"/>
        <v>24500</v>
      </c>
      <c r="I48" s="68">
        <f ca="1">IF($B48="","",SUMIFS(TAHSILAT!$F$7:$F$2503,TAHSILAT!$C$7:$C$2503,$B48))</f>
        <v>24500</v>
      </c>
      <c r="J48" s="68">
        <f t="shared" ca="1" si="20"/>
        <v>0</v>
      </c>
      <c r="K48" s="68">
        <f t="shared" ca="1" si="21"/>
        <v>0</v>
      </c>
      <c r="L48" s="68">
        <f t="shared" ca="1" si="22"/>
        <v>0</v>
      </c>
      <c r="M48" s="68">
        <f t="shared" ca="1" si="23"/>
        <v>0</v>
      </c>
      <c r="N48" s="68">
        <f t="shared" ca="1" si="24"/>
        <v>0</v>
      </c>
      <c r="O48" s="92">
        <f t="shared" ca="1" si="25"/>
        <v>1</v>
      </c>
      <c r="P48" s="70">
        <f ca="1">IF($B48="","",IFERROR(LOOKUP(2,1/(TAHSILAT!$C$7:$C$2503=$B48),TAHSILAT!$E$7:$E$2503),""))</f>
        <v>46221</v>
      </c>
      <c r="Q48" s="65" t="str">
        <f t="shared" ca="1" si="26"/>
        <v>TEMİZ</v>
      </c>
      <c r="R48" s="74" t="str">
        <f t="shared" ca="1" si="27"/>
        <v>Aksiyon gerekmiyor</v>
      </c>
      <c r="S48" s="93">
        <f t="shared" ca="1" si="28"/>
        <v>0</v>
      </c>
      <c r="T48" s="70" t="str">
        <f ca="1">IF(OR($B48="",$AF48=""),"",IF(INDEX(MUSTERILER!$K$7:$K$156,$AF48)="","",INDEX(MUSTERILER!$K$7:$K$156,$AF48)))</f>
        <v/>
      </c>
      <c r="U48" s="93" t="str">
        <f t="shared" ca="1" si="29"/>
        <v/>
      </c>
      <c r="V48" s="68">
        <f t="shared" ca="1" si="30"/>
        <v>0</v>
      </c>
      <c r="W48" s="65" t="str">
        <f t="shared" ca="1" si="31"/>
        <v>UYGUN</v>
      </c>
      <c r="X48" s="2">
        <f ca="1">IF($B48="",0,SUMIFS(UCRETLER!$J$7:$J$606,UCRETLER!$B$7:$B$606,$B48))</f>
        <v>24500</v>
      </c>
      <c r="Y48" s="2">
        <f ca="1">IF($B48="",0,SUMIFS(UCRETLER!$K$7:$K$606,UCRETLER!$B$7:$B$606,$B48))</f>
        <v>24500</v>
      </c>
      <c r="Z48" s="1">
        <f ca="1">IF($B48="",0,SUMIFS(UCRETLER!$L$7:$L$606,UCRETLER!$B$7:$B$606,$B48))</f>
        <v>21000</v>
      </c>
      <c r="AA48" s="1">
        <f t="shared" ca="1" si="32"/>
        <v>24500</v>
      </c>
      <c r="AB48" s="1">
        <f t="shared" ca="1" si="33"/>
        <v>0</v>
      </c>
      <c r="AC48" s="1">
        <f t="shared" ca="1" si="34"/>
        <v>0</v>
      </c>
      <c r="AD48" s="1">
        <f t="shared" ca="1" si="35"/>
        <v>0</v>
      </c>
      <c r="AE48" s="1">
        <f t="shared" ca="1" si="36"/>
        <v>0</v>
      </c>
      <c r="AF48" s="1">
        <f ca="1">IFERROR(MATCH(ROW()-6,MUSTERILER!$U$7:$U$156,0),"")</f>
        <v>23</v>
      </c>
      <c r="AG48" s="1">
        <f ca="1">IF($B48="",0,SUMIFS(GELIR_GIDER!$G$7:$G$3001,GELIR_GIDER!$T$7:$T$3001,$B48))</f>
        <v>0</v>
      </c>
    </row>
    <row r="49" spans="1:33" ht="18" customHeight="1" x14ac:dyDescent="0.3">
      <c r="A49" s="2"/>
      <c r="B49" s="65" t="str">
        <f ca="1">IF($AF49="","",INDEX(MUSTERILER!$B$7:$B$156,$AF49))</f>
        <v>M020</v>
      </c>
      <c r="C49" s="74" t="str">
        <f ca="1">IF($AF49="","",INDEX(MUSTERILER!$C$7:$C$156,$AF49))</f>
        <v>KRİSTAL LTD.ŞTİ.</v>
      </c>
      <c r="D49" s="68">
        <f ca="1">IF($B49="","",SUMIFS(UCRETLER!$G$7:$G$606,UCRETLER!$B$7:$B$606,$B49,UCRETLER!$F$7:$F$606,"Haftalık",UCRETLER!$H$7:$H$606,"Aktif"))</f>
        <v>3000</v>
      </c>
      <c r="E49" s="68">
        <f ca="1">IF($B49="","",SUMIFS(UCRETLER!$G$7:$G$606,UCRETLER!$B$7:$B$606,$B49,UCRETLER!$F$7:$F$606,"Aylık",UCRETLER!$H$7:$H$606,"Aktif"))</f>
        <v>0</v>
      </c>
      <c r="F49" s="68">
        <f ca="1">IF($B49="","",SUMIFS(MUSTERILER!$J$7:$J$156,MUSTERILER!$B$7:$B$156,$B49))</f>
        <v>0</v>
      </c>
      <c r="G49" s="68">
        <f ca="1">IF($B49="","",SUMIFS(UCRETLER!$I$7:$I$606,UCRETLER!$B$7:$B$606,$B49)+SUMIFS(GELIR_GIDER!$G$7:$G$3001,GELIR_GIDER!$T$7:$T$3001,$B49))</f>
        <v>102000</v>
      </c>
      <c r="H49" s="68">
        <f t="shared" ca="1" si="19"/>
        <v>102000</v>
      </c>
      <c r="I49" s="68">
        <f ca="1">IF($B49="","",SUMIFS(TAHSILAT!$F$7:$F$2503,TAHSILAT!$C$7:$C$2503,$B49))</f>
        <v>102000</v>
      </c>
      <c r="J49" s="68">
        <f t="shared" ca="1" si="20"/>
        <v>0</v>
      </c>
      <c r="K49" s="68">
        <f t="shared" ca="1" si="21"/>
        <v>0</v>
      </c>
      <c r="L49" s="68">
        <f t="shared" ca="1" si="22"/>
        <v>0</v>
      </c>
      <c r="M49" s="68">
        <f t="shared" ca="1" si="23"/>
        <v>0</v>
      </c>
      <c r="N49" s="68">
        <f t="shared" ca="1" si="24"/>
        <v>0</v>
      </c>
      <c r="O49" s="92">
        <f t="shared" ca="1" si="25"/>
        <v>1</v>
      </c>
      <c r="P49" s="70">
        <f ca="1">IF($B49="","",IFERROR(LOOKUP(2,1/(TAHSILAT!$C$7:$C$2503=$B49),TAHSILAT!$E$7:$E$2503),""))</f>
        <v>46256</v>
      </c>
      <c r="Q49" s="65" t="str">
        <f t="shared" ca="1" si="26"/>
        <v>TEMİZ</v>
      </c>
      <c r="R49" s="74" t="str">
        <f t="shared" ca="1" si="27"/>
        <v>Aksiyon gerekmiyor</v>
      </c>
      <c r="S49" s="93">
        <f t="shared" ca="1" si="28"/>
        <v>0</v>
      </c>
      <c r="T49" s="70" t="str">
        <f ca="1">IF(OR($B49="",$AF49=""),"",IF(INDEX(MUSTERILER!$K$7:$K$156,$AF49)="","",INDEX(MUSTERILER!$K$7:$K$156,$AF49)))</f>
        <v/>
      </c>
      <c r="U49" s="93" t="str">
        <f t="shared" ca="1" si="29"/>
        <v/>
      </c>
      <c r="V49" s="68">
        <f t="shared" ca="1" si="30"/>
        <v>0</v>
      </c>
      <c r="W49" s="65" t="str">
        <f t="shared" ca="1" si="31"/>
        <v>UYGUN</v>
      </c>
      <c r="X49" s="2">
        <f ca="1">IF($B49="",0,SUMIFS(UCRETLER!$J$7:$J$606,UCRETLER!$B$7:$B$606,$B49))</f>
        <v>99000</v>
      </c>
      <c r="Y49" s="2">
        <f ca="1">IF($B49="",0,SUMIFS(UCRETLER!$K$7:$K$606,UCRETLER!$B$7:$B$606,$B49))</f>
        <v>96000</v>
      </c>
      <c r="Z49" s="1">
        <f ca="1">IF($B49="",0,SUMIFS(UCRETLER!$L$7:$L$606,UCRETLER!$B$7:$B$606,$B49))</f>
        <v>90000</v>
      </c>
      <c r="AA49" s="1">
        <f t="shared" ca="1" si="32"/>
        <v>102000</v>
      </c>
      <c r="AB49" s="1">
        <f t="shared" ca="1" si="33"/>
        <v>0</v>
      </c>
      <c r="AC49" s="1">
        <f t="shared" ca="1" si="34"/>
        <v>0</v>
      </c>
      <c r="AD49" s="1">
        <f t="shared" ca="1" si="35"/>
        <v>0</v>
      </c>
      <c r="AE49" s="1">
        <f t="shared" ca="1" si="36"/>
        <v>0</v>
      </c>
      <c r="AF49" s="1">
        <f ca="1">IFERROR(MATCH(ROW()-6,MUSTERILER!$U$7:$U$156,0),"")</f>
        <v>27</v>
      </c>
      <c r="AG49" s="1">
        <f ca="1">IF($B49="",0,SUMIFS(GELIR_GIDER!$G$7:$G$3001,GELIR_GIDER!$T$7:$T$3001,$B49))</f>
        <v>0</v>
      </c>
    </row>
    <row r="50" spans="1:33" ht="18" customHeight="1" x14ac:dyDescent="0.3">
      <c r="A50" s="2"/>
      <c r="B50" s="65" t="str">
        <f ca="1">IF($AF50="","",INDEX(MUSTERILER!$B$7:$B$156,$AF50))</f>
        <v>M037</v>
      </c>
      <c r="C50" s="74" t="str">
        <f ca="1">IF($AF50="","",INDEX(MUSTERILER!$C$7:$C$156,$AF50))</f>
        <v>MEHMET EVREN KILINÇ</v>
      </c>
      <c r="D50" s="68">
        <f ca="1">IF($B50="","",SUMIFS(UCRETLER!$G$7:$G$606,UCRETLER!$B$7:$B$606,$B50,UCRETLER!$F$7:$F$606,"Haftalık",UCRETLER!$H$7:$H$606,"Aktif"))</f>
        <v>0</v>
      </c>
      <c r="E50" s="68">
        <f ca="1">IF($B50="","",SUMIFS(UCRETLER!$G$7:$G$606,UCRETLER!$B$7:$B$606,$B50,UCRETLER!$F$7:$F$606,"Aylık",UCRETLER!$H$7:$H$606,"Aktif"))</f>
        <v>2000</v>
      </c>
      <c r="F50" s="68">
        <f ca="1">IF($B50="","",SUMIFS(MUSTERILER!$J$7:$J$156,MUSTERILER!$B$7:$B$156,$B50))</f>
        <v>0</v>
      </c>
      <c r="G50" s="68">
        <f ca="1">IF($B50="","",SUMIFS(UCRETLER!$I$7:$I$606,UCRETLER!$B$7:$B$606,$B50)+SUMIFS(GELIR_GIDER!$G$7:$G$3001,GELIR_GIDER!$T$7:$T$3001,$B50))</f>
        <v>14000</v>
      </c>
      <c r="H50" s="68">
        <f t="shared" ca="1" si="19"/>
        <v>14000</v>
      </c>
      <c r="I50" s="68">
        <f ca="1">IF($B50="","",SUMIFS(TAHSILAT!$F$7:$F$2503,TAHSILAT!$C$7:$C$2503,$B50))</f>
        <v>14000</v>
      </c>
      <c r="J50" s="68">
        <f t="shared" ca="1" si="20"/>
        <v>0</v>
      </c>
      <c r="K50" s="68">
        <f t="shared" ca="1" si="21"/>
        <v>0</v>
      </c>
      <c r="L50" s="68">
        <f t="shared" ca="1" si="22"/>
        <v>0</v>
      </c>
      <c r="M50" s="68">
        <f t="shared" ca="1" si="23"/>
        <v>0</v>
      </c>
      <c r="N50" s="68">
        <f t="shared" ca="1" si="24"/>
        <v>0</v>
      </c>
      <c r="O50" s="92">
        <f t="shared" ca="1" si="25"/>
        <v>1</v>
      </c>
      <c r="P50" s="70">
        <f ca="1">IF($B50="","",IFERROR(LOOKUP(2,1/(TAHSILAT!$C$7:$C$2503=$B50),TAHSILAT!$E$7:$E$2503),""))</f>
        <v>46258</v>
      </c>
      <c r="Q50" s="65" t="str">
        <f t="shared" ca="1" si="26"/>
        <v>TEMİZ</v>
      </c>
      <c r="R50" s="74" t="str">
        <f t="shared" ca="1" si="27"/>
        <v>Aksiyon gerekmiyor</v>
      </c>
      <c r="S50" s="93">
        <f t="shared" ca="1" si="28"/>
        <v>0</v>
      </c>
      <c r="T50" s="70" t="str">
        <f ca="1">IF(OR($B50="",$AF50=""),"",IF(INDEX(MUSTERILER!$K$7:$K$156,$AF50)="","",INDEX(MUSTERILER!$K$7:$K$156,$AF50)))</f>
        <v/>
      </c>
      <c r="U50" s="93" t="str">
        <f t="shared" ca="1" si="29"/>
        <v/>
      </c>
      <c r="V50" s="68">
        <f t="shared" ca="1" si="30"/>
        <v>0</v>
      </c>
      <c r="W50" s="65" t="str">
        <f t="shared" ca="1" si="31"/>
        <v>UYGUN</v>
      </c>
      <c r="X50" s="2">
        <f ca="1">IF($B50="",0,SUMIFS(UCRETLER!$J$7:$J$606,UCRETLER!$B$7:$B$606,$B50))</f>
        <v>14000</v>
      </c>
      <c r="Y50" s="2">
        <f ca="1">IF($B50="",0,SUMIFS(UCRETLER!$K$7:$K$606,UCRETLER!$B$7:$B$606,$B50))</f>
        <v>14000</v>
      </c>
      <c r="Z50" s="1">
        <f ca="1">IF($B50="",0,SUMIFS(UCRETLER!$L$7:$L$606,UCRETLER!$B$7:$B$606,$B50))</f>
        <v>12000</v>
      </c>
      <c r="AA50" s="1">
        <f t="shared" ca="1" si="32"/>
        <v>14000</v>
      </c>
      <c r="AB50" s="1">
        <f t="shared" ca="1" si="33"/>
        <v>0</v>
      </c>
      <c r="AC50" s="1">
        <f t="shared" ca="1" si="34"/>
        <v>0</v>
      </c>
      <c r="AD50" s="1">
        <f t="shared" ca="1" si="35"/>
        <v>0</v>
      </c>
      <c r="AE50" s="1">
        <f t="shared" ca="1" si="36"/>
        <v>0</v>
      </c>
      <c r="AF50" s="1">
        <f ca="1">IFERROR(MATCH(ROW()-6,MUSTERILER!$U$7:$U$156,0),"")</f>
        <v>28</v>
      </c>
      <c r="AG50" s="1">
        <f ca="1">IF($B50="",0,SUMIFS(GELIR_GIDER!$G$7:$G$3001,GELIR_GIDER!$T$7:$T$3001,$B50))</f>
        <v>0</v>
      </c>
    </row>
    <row r="51" spans="1:33" ht="18" customHeight="1" x14ac:dyDescent="0.3">
      <c r="A51" s="2"/>
      <c r="B51" s="65" t="str">
        <f ca="1">IF($AF51="","",INDEX(MUSTERILER!$B$7:$B$156,$AF51))</f>
        <v>M040</v>
      </c>
      <c r="C51" s="74" t="str">
        <f ca="1">IF($AF51="","",INDEX(MUSTERILER!$C$7:$C$156,$AF51))</f>
        <v>MENEKŞE AKAN</v>
      </c>
      <c r="D51" s="68">
        <f ca="1">IF($B51="","",SUMIFS(UCRETLER!$G$7:$G$606,UCRETLER!$B$7:$B$606,$B51,UCRETLER!$F$7:$F$606,"Haftalık",UCRETLER!$H$7:$H$606,"Aktif"))</f>
        <v>0</v>
      </c>
      <c r="E51" s="68">
        <f ca="1">IF($B51="","",SUMIFS(UCRETLER!$G$7:$G$606,UCRETLER!$B$7:$B$606,$B51,UCRETLER!$F$7:$F$606,"Aylık",UCRETLER!$H$7:$H$606,"Aktif"))</f>
        <v>1500</v>
      </c>
      <c r="F51" s="68">
        <f ca="1">IF($B51="","",SUMIFS(MUSTERILER!$J$7:$J$156,MUSTERILER!$B$7:$B$156,$B51))</f>
        <v>0</v>
      </c>
      <c r="G51" s="68">
        <f ca="1">IF($B51="","",SUMIFS(UCRETLER!$I$7:$I$606,UCRETLER!$B$7:$B$606,$B51)+SUMIFS(GELIR_GIDER!$G$7:$G$3001,GELIR_GIDER!$T$7:$T$3001,$B51))</f>
        <v>10500</v>
      </c>
      <c r="H51" s="68">
        <f t="shared" ca="1" si="19"/>
        <v>10500</v>
      </c>
      <c r="I51" s="68">
        <f ca="1">IF($B51="","",SUMIFS(TAHSILAT!$F$7:$F$2503,TAHSILAT!$C$7:$C$2503,$B51))</f>
        <v>18500</v>
      </c>
      <c r="J51" s="68">
        <f t="shared" ca="1" si="20"/>
        <v>0</v>
      </c>
      <c r="K51" s="68">
        <f t="shared" ca="1" si="21"/>
        <v>0</v>
      </c>
      <c r="L51" s="68">
        <f t="shared" ca="1" si="22"/>
        <v>0</v>
      </c>
      <c r="M51" s="68">
        <f t="shared" ca="1" si="23"/>
        <v>0</v>
      </c>
      <c r="N51" s="68">
        <f t="shared" ca="1" si="24"/>
        <v>0</v>
      </c>
      <c r="O51" s="92">
        <f t="shared" ca="1" si="25"/>
        <v>1.7619047619047619</v>
      </c>
      <c r="P51" s="70">
        <f ca="1">IF($B51="","",IFERROR(LOOKUP(2,1/(TAHSILAT!$C$7:$C$2503=$B51),TAHSILAT!$E$7:$E$2503),""))</f>
        <v>46093</v>
      </c>
      <c r="Q51" s="65" t="str">
        <f t="shared" ca="1" si="26"/>
        <v>TEMİZ</v>
      </c>
      <c r="R51" s="74" t="str">
        <f t="shared" ca="1" si="27"/>
        <v>Aksiyon gerekmiyor</v>
      </c>
      <c r="S51" s="93">
        <f t="shared" ca="1" si="28"/>
        <v>0</v>
      </c>
      <c r="T51" s="70" t="str">
        <f ca="1">IF(OR($B51="",$AF51=""),"",IF(INDEX(MUSTERILER!$K$7:$K$156,$AF51)="","",INDEX(MUSTERILER!$K$7:$K$156,$AF51)))</f>
        <v/>
      </c>
      <c r="U51" s="93" t="str">
        <f t="shared" ca="1" si="29"/>
        <v/>
      </c>
      <c r="V51" s="68">
        <f t="shared" ca="1" si="30"/>
        <v>8000</v>
      </c>
      <c r="W51" s="65" t="str">
        <f t="shared" ca="1" si="31"/>
        <v>UYGUN</v>
      </c>
      <c r="X51" s="2">
        <f ca="1">IF($B51="",0,SUMIFS(UCRETLER!$J$7:$J$606,UCRETLER!$B$7:$B$606,$B51))</f>
        <v>10500</v>
      </c>
      <c r="Y51" s="2">
        <f ca="1">IF($B51="",0,SUMIFS(UCRETLER!$K$7:$K$606,UCRETLER!$B$7:$B$606,$B51))</f>
        <v>10500</v>
      </c>
      <c r="Z51" s="1">
        <f ca="1">IF($B51="",0,SUMIFS(UCRETLER!$L$7:$L$606,UCRETLER!$B$7:$B$606,$B51))</f>
        <v>9000</v>
      </c>
      <c r="AA51" s="1">
        <f t="shared" ca="1" si="32"/>
        <v>18500</v>
      </c>
      <c r="AB51" s="1">
        <f t="shared" ca="1" si="33"/>
        <v>0</v>
      </c>
      <c r="AC51" s="1">
        <f t="shared" ca="1" si="34"/>
        <v>0</v>
      </c>
      <c r="AD51" s="1">
        <f t="shared" ca="1" si="35"/>
        <v>0</v>
      </c>
      <c r="AE51" s="1">
        <f t="shared" ca="1" si="36"/>
        <v>0</v>
      </c>
      <c r="AF51" s="1">
        <f ca="1">IFERROR(MATCH(ROW()-6,MUSTERILER!$U$7:$U$156,0),"")</f>
        <v>31</v>
      </c>
      <c r="AG51" s="1">
        <f ca="1">IF($B51="",0,SUMIFS(GELIR_GIDER!$G$7:$G$3001,GELIR_GIDER!$T$7:$T$3001,$B51))</f>
        <v>0</v>
      </c>
    </row>
    <row r="52" spans="1:33" ht="18" customHeight="1" x14ac:dyDescent="0.3">
      <c r="A52" s="2"/>
      <c r="B52" s="65" t="str">
        <f ca="1">IF($AF52="","",INDEX(MUSTERILER!$B$7:$B$156,$AF52))</f>
        <v>M041</v>
      </c>
      <c r="C52" s="74" t="str">
        <f ca="1">IF($AF52="","",INDEX(MUSTERILER!$C$7:$C$156,$AF52))</f>
        <v>MESUT KÖKLÜ</v>
      </c>
      <c r="D52" s="68">
        <f ca="1">IF($B52="","",SUMIFS(UCRETLER!$G$7:$G$606,UCRETLER!$B$7:$B$606,$B52,UCRETLER!$F$7:$F$606,"Haftalık",UCRETLER!$H$7:$H$606,"Aktif"))</f>
        <v>0</v>
      </c>
      <c r="E52" s="68">
        <f ca="1">IF($B52="","",SUMIFS(UCRETLER!$G$7:$G$606,UCRETLER!$B$7:$B$606,$B52,UCRETLER!$F$7:$F$606,"Aylık",UCRETLER!$H$7:$H$606,"Aktif"))</f>
        <v>5000</v>
      </c>
      <c r="F52" s="68">
        <f ca="1">IF($B52="","",SUMIFS(MUSTERILER!$J$7:$J$156,MUSTERILER!$B$7:$B$156,$B52))</f>
        <v>0</v>
      </c>
      <c r="G52" s="68">
        <f ca="1">IF($B52="","",SUMIFS(UCRETLER!$I$7:$I$606,UCRETLER!$B$7:$B$606,$B52)+SUMIFS(GELIR_GIDER!$G$7:$G$3001,GELIR_GIDER!$T$7:$T$3001,$B52))</f>
        <v>10000</v>
      </c>
      <c r="H52" s="68">
        <f t="shared" ca="1" si="19"/>
        <v>10000</v>
      </c>
      <c r="I52" s="68">
        <f ca="1">IF($B52="","",SUMIFS(TAHSILAT!$F$7:$F$2503,TAHSILAT!$C$7:$C$2503,$B52))</f>
        <v>10000</v>
      </c>
      <c r="J52" s="68">
        <f t="shared" ca="1" si="20"/>
        <v>0</v>
      </c>
      <c r="K52" s="68">
        <f t="shared" ca="1" si="21"/>
        <v>0</v>
      </c>
      <c r="L52" s="68">
        <f t="shared" ca="1" si="22"/>
        <v>0</v>
      </c>
      <c r="M52" s="68">
        <f t="shared" ca="1" si="23"/>
        <v>0</v>
      </c>
      <c r="N52" s="68">
        <f t="shared" ca="1" si="24"/>
        <v>0</v>
      </c>
      <c r="O52" s="92">
        <f t="shared" ca="1" si="25"/>
        <v>1</v>
      </c>
      <c r="P52" s="70">
        <f ca="1">IF($B52="","",IFERROR(LOOKUP(2,1/(TAHSILAT!$C$7:$C$2503=$B52),TAHSILAT!$E$7:$E$2503),""))</f>
        <v>46251</v>
      </c>
      <c r="Q52" s="65" t="str">
        <f t="shared" ca="1" si="26"/>
        <v>TEMİZ</v>
      </c>
      <c r="R52" s="74" t="str">
        <f t="shared" ca="1" si="27"/>
        <v>Aksiyon gerekmiyor</v>
      </c>
      <c r="S52" s="93">
        <f t="shared" ca="1" si="28"/>
        <v>0</v>
      </c>
      <c r="T52" s="70" t="str">
        <f ca="1">IF(OR($B52="",$AF52=""),"",IF(INDEX(MUSTERILER!$K$7:$K$156,$AF52)="","",INDEX(MUSTERILER!$K$7:$K$156,$AF52)))</f>
        <v/>
      </c>
      <c r="U52" s="93" t="str">
        <f t="shared" ca="1" si="29"/>
        <v/>
      </c>
      <c r="V52" s="68">
        <f t="shared" ca="1" si="30"/>
        <v>0</v>
      </c>
      <c r="W52" s="65" t="str">
        <f t="shared" ca="1" si="31"/>
        <v>UYGUN</v>
      </c>
      <c r="X52" s="2">
        <f ca="1">IF($B52="",0,SUMIFS(UCRETLER!$J$7:$J$606,UCRETLER!$B$7:$B$606,$B52))</f>
        <v>10000</v>
      </c>
      <c r="Y52" s="2">
        <f ca="1">IF($B52="",0,SUMIFS(UCRETLER!$K$7:$K$606,UCRETLER!$B$7:$B$606,$B52))</f>
        <v>10000</v>
      </c>
      <c r="Z52" s="1">
        <f ca="1">IF($B52="",0,SUMIFS(UCRETLER!$L$7:$L$606,UCRETLER!$B$7:$B$606,$B52))</f>
        <v>5000</v>
      </c>
      <c r="AA52" s="1">
        <f t="shared" ca="1" si="32"/>
        <v>10000</v>
      </c>
      <c r="AB52" s="1">
        <f t="shared" ca="1" si="33"/>
        <v>0</v>
      </c>
      <c r="AC52" s="1">
        <f t="shared" ca="1" si="34"/>
        <v>0</v>
      </c>
      <c r="AD52" s="1">
        <f t="shared" ca="1" si="35"/>
        <v>0</v>
      </c>
      <c r="AE52" s="1">
        <f t="shared" ca="1" si="36"/>
        <v>0</v>
      </c>
      <c r="AF52" s="1">
        <f ca="1">IFERROR(MATCH(ROW()-6,MUSTERILER!$U$7:$U$156,0),"")</f>
        <v>32</v>
      </c>
      <c r="AG52" s="1">
        <f ca="1">IF($B52="",0,SUMIFS(GELIR_GIDER!$G$7:$G$3001,GELIR_GIDER!$T$7:$T$3001,$B52))</f>
        <v>0</v>
      </c>
    </row>
    <row r="53" spans="1:33" ht="18" customHeight="1" x14ac:dyDescent="0.3">
      <c r="A53" s="2"/>
      <c r="B53" s="65" t="str">
        <f ca="1">IF($AF53="","",INDEX(MUSTERILER!$B$7:$B$156,$AF53))</f>
        <v>M013</v>
      </c>
      <c r="C53" s="74" t="str">
        <f ca="1">IF($AF53="","",INDEX(MUSTERILER!$C$7:$C$156,$AF53))</f>
        <v>NAZ 1 GIDA LTD.ŞTİ.</v>
      </c>
      <c r="D53" s="68">
        <f ca="1">IF($B53="","",SUMIFS(UCRETLER!$G$7:$G$606,UCRETLER!$B$7:$B$606,$B53,UCRETLER!$F$7:$F$606,"Haftalık",UCRETLER!$H$7:$H$606,"Aktif"))</f>
        <v>2000</v>
      </c>
      <c r="E53" s="68">
        <f ca="1">IF($B53="","",SUMIFS(UCRETLER!$G$7:$G$606,UCRETLER!$B$7:$B$606,$B53,UCRETLER!$F$7:$F$606,"Aylık",UCRETLER!$H$7:$H$606,"Aktif"))</f>
        <v>0</v>
      </c>
      <c r="F53" s="68">
        <f ca="1">IF($B53="","",SUMIFS(MUSTERILER!$J$7:$J$156,MUSTERILER!$B$7:$B$156,$B53))</f>
        <v>0</v>
      </c>
      <c r="G53" s="68">
        <f ca="1">IF($B53="","",SUMIFS(UCRETLER!$I$7:$I$606,UCRETLER!$B$7:$B$606,$B53)+SUMIFS(GELIR_GIDER!$G$7:$G$3001,GELIR_GIDER!$T$7:$T$3001,$B53))</f>
        <v>68000</v>
      </c>
      <c r="H53" s="68">
        <f t="shared" ca="1" si="19"/>
        <v>68000</v>
      </c>
      <c r="I53" s="68">
        <f ca="1">IF($B53="","",SUMIFS(TAHSILAT!$F$7:$F$2503,TAHSILAT!$C$7:$C$2503,$B53))</f>
        <v>68000</v>
      </c>
      <c r="J53" s="68">
        <f t="shared" ca="1" si="20"/>
        <v>0</v>
      </c>
      <c r="K53" s="68">
        <f t="shared" ca="1" si="21"/>
        <v>0</v>
      </c>
      <c r="L53" s="68">
        <f t="shared" ca="1" si="22"/>
        <v>0</v>
      </c>
      <c r="M53" s="68">
        <f t="shared" ca="1" si="23"/>
        <v>0</v>
      </c>
      <c r="N53" s="68">
        <f t="shared" ca="1" si="24"/>
        <v>0</v>
      </c>
      <c r="O53" s="92">
        <f t="shared" ca="1" si="25"/>
        <v>1</v>
      </c>
      <c r="P53" s="70">
        <f ca="1">IF($B53="","",IFERROR(LOOKUP(2,1/(TAHSILAT!$C$7:$C$2503=$B53),TAHSILAT!$E$7:$E$2503),""))</f>
        <v>46256</v>
      </c>
      <c r="Q53" s="65" t="str">
        <f t="shared" ca="1" si="26"/>
        <v>TEMİZ</v>
      </c>
      <c r="R53" s="74" t="str">
        <f t="shared" ca="1" si="27"/>
        <v>Aksiyon gerekmiyor</v>
      </c>
      <c r="S53" s="93">
        <f t="shared" ca="1" si="28"/>
        <v>0</v>
      </c>
      <c r="T53" s="70" t="str">
        <f ca="1">IF(OR($B53="",$AF53=""),"",IF(INDEX(MUSTERILER!$K$7:$K$156,$AF53)="","",INDEX(MUSTERILER!$K$7:$K$156,$AF53)))</f>
        <v/>
      </c>
      <c r="U53" s="93" t="str">
        <f t="shared" ca="1" si="29"/>
        <v/>
      </c>
      <c r="V53" s="68">
        <f t="shared" ca="1" si="30"/>
        <v>0</v>
      </c>
      <c r="W53" s="65" t="str">
        <f t="shared" ca="1" si="31"/>
        <v>UYGUN</v>
      </c>
      <c r="X53" s="2">
        <f ca="1">IF($B53="",0,SUMIFS(UCRETLER!$J$7:$J$606,UCRETLER!$B$7:$B$606,$B53))</f>
        <v>66000</v>
      </c>
      <c r="Y53" s="2">
        <f ca="1">IF($B53="",0,SUMIFS(UCRETLER!$K$7:$K$606,UCRETLER!$B$7:$B$606,$B53))</f>
        <v>64000</v>
      </c>
      <c r="Z53" s="1">
        <f ca="1">IF($B53="",0,SUMIFS(UCRETLER!$L$7:$L$606,UCRETLER!$B$7:$B$606,$B53))</f>
        <v>60000</v>
      </c>
      <c r="AA53" s="1">
        <f t="shared" ca="1" si="32"/>
        <v>68000</v>
      </c>
      <c r="AB53" s="1">
        <f t="shared" ca="1" si="33"/>
        <v>0</v>
      </c>
      <c r="AC53" s="1">
        <f t="shared" ca="1" si="34"/>
        <v>0</v>
      </c>
      <c r="AD53" s="1">
        <f t="shared" ca="1" si="35"/>
        <v>0</v>
      </c>
      <c r="AE53" s="1">
        <f t="shared" ca="1" si="36"/>
        <v>0</v>
      </c>
      <c r="AF53" s="1">
        <f ca="1">IFERROR(MATCH(ROW()-6,MUSTERILER!$U$7:$U$156,0),"")</f>
        <v>37</v>
      </c>
      <c r="AG53" s="1">
        <f ca="1">IF($B53="",0,SUMIFS(GELIR_GIDER!$G$7:$G$3001,GELIR_GIDER!$T$7:$T$3001,$B53))</f>
        <v>0</v>
      </c>
    </row>
    <row r="54" spans="1:33" ht="18" customHeight="1" x14ac:dyDescent="0.3">
      <c r="A54" s="2"/>
      <c r="B54" s="65" t="str">
        <f ca="1">IF($AF54="","",INDEX(MUSTERILER!$B$7:$B$156,$AF54))</f>
        <v>M009</v>
      </c>
      <c r="C54" s="74" t="str">
        <f ca="1">IF($AF54="","",INDEX(MUSTERILER!$C$7:$C$156,$AF54))</f>
        <v>PAKYILDIZ LTD.ŞTİ.</v>
      </c>
      <c r="D54" s="68">
        <f ca="1">IF($B54="","",SUMIFS(UCRETLER!$G$7:$G$606,UCRETLER!$B$7:$B$606,$B54,UCRETLER!$F$7:$F$606,"Haftalık",UCRETLER!$H$7:$H$606,"Aktif"))</f>
        <v>4000</v>
      </c>
      <c r="E54" s="68">
        <f ca="1">IF($B54="","",SUMIFS(UCRETLER!$G$7:$G$606,UCRETLER!$B$7:$B$606,$B54,UCRETLER!$F$7:$F$606,"Aylık",UCRETLER!$H$7:$H$606,"Aktif"))</f>
        <v>0</v>
      </c>
      <c r="F54" s="68">
        <f ca="1">IF($B54="","",SUMIFS(MUSTERILER!$J$7:$J$156,MUSTERILER!$B$7:$B$156,$B54))</f>
        <v>0</v>
      </c>
      <c r="G54" s="68">
        <f ca="1">IF($B54="","",SUMIFS(UCRETLER!$I$7:$I$606,UCRETLER!$B$7:$B$606,$B54)+SUMIFS(GELIR_GIDER!$G$7:$G$3001,GELIR_GIDER!$T$7:$T$3001,$B54))</f>
        <v>136000</v>
      </c>
      <c r="H54" s="68">
        <f t="shared" ca="1" si="19"/>
        <v>136000</v>
      </c>
      <c r="I54" s="68">
        <f ca="1">IF($B54="","",SUMIFS(TAHSILAT!$F$7:$F$2503,TAHSILAT!$C$7:$C$2503,$B54))</f>
        <v>136000</v>
      </c>
      <c r="J54" s="68">
        <f t="shared" ca="1" si="20"/>
        <v>0</v>
      </c>
      <c r="K54" s="68">
        <f t="shared" ca="1" si="21"/>
        <v>0</v>
      </c>
      <c r="L54" s="68">
        <f t="shared" ca="1" si="22"/>
        <v>0</v>
      </c>
      <c r="M54" s="68">
        <f t="shared" ca="1" si="23"/>
        <v>0</v>
      </c>
      <c r="N54" s="68">
        <f t="shared" ca="1" si="24"/>
        <v>0</v>
      </c>
      <c r="O54" s="92">
        <f t="shared" ca="1" si="25"/>
        <v>1</v>
      </c>
      <c r="P54" s="70">
        <f ca="1">IF($B54="","",IFERROR(LOOKUP(2,1/(TAHSILAT!$C$7:$C$2503=$B54),TAHSILAT!$E$7:$E$2503),""))</f>
        <v>46256</v>
      </c>
      <c r="Q54" s="65" t="str">
        <f t="shared" ca="1" si="26"/>
        <v>TEMİZ</v>
      </c>
      <c r="R54" s="74" t="str">
        <f t="shared" ca="1" si="27"/>
        <v>Aksiyon gerekmiyor</v>
      </c>
      <c r="S54" s="93">
        <f t="shared" ca="1" si="28"/>
        <v>0</v>
      </c>
      <c r="T54" s="70" t="str">
        <f ca="1">IF(OR($B54="",$AF54=""),"",IF(INDEX(MUSTERILER!$K$7:$K$156,$AF54)="","",INDEX(MUSTERILER!$K$7:$K$156,$AF54)))</f>
        <v/>
      </c>
      <c r="U54" s="93" t="str">
        <f t="shared" ca="1" si="29"/>
        <v/>
      </c>
      <c r="V54" s="68">
        <f t="shared" ca="1" si="30"/>
        <v>0</v>
      </c>
      <c r="W54" s="65" t="str">
        <f t="shared" ca="1" si="31"/>
        <v>UYGUN</v>
      </c>
      <c r="X54" s="2">
        <f ca="1">IF($B54="",0,SUMIFS(UCRETLER!$J$7:$J$606,UCRETLER!$B$7:$B$606,$B54))</f>
        <v>132000</v>
      </c>
      <c r="Y54" s="2">
        <f ca="1">IF($B54="",0,SUMIFS(UCRETLER!$K$7:$K$606,UCRETLER!$B$7:$B$606,$B54))</f>
        <v>128000</v>
      </c>
      <c r="Z54" s="1">
        <f ca="1">IF($B54="",0,SUMIFS(UCRETLER!$L$7:$L$606,UCRETLER!$B$7:$B$606,$B54))</f>
        <v>120000</v>
      </c>
      <c r="AA54" s="1">
        <f t="shared" ca="1" si="32"/>
        <v>136000</v>
      </c>
      <c r="AB54" s="1">
        <f t="shared" ca="1" si="33"/>
        <v>0</v>
      </c>
      <c r="AC54" s="1">
        <f t="shared" ca="1" si="34"/>
        <v>0</v>
      </c>
      <c r="AD54" s="1">
        <f t="shared" ca="1" si="35"/>
        <v>0</v>
      </c>
      <c r="AE54" s="1">
        <f t="shared" ca="1" si="36"/>
        <v>0</v>
      </c>
      <c r="AF54" s="1">
        <f ca="1">IFERROR(MATCH(ROW()-6,MUSTERILER!$U$7:$U$156,0),"")</f>
        <v>41</v>
      </c>
      <c r="AG54" s="1">
        <f ca="1">IF($B54="",0,SUMIFS(GELIR_GIDER!$G$7:$G$3001,GELIR_GIDER!$T$7:$T$3001,$B54))</f>
        <v>0</v>
      </c>
    </row>
    <row r="55" spans="1:33" ht="18" customHeight="1" x14ac:dyDescent="0.3">
      <c r="A55" s="2"/>
      <c r="B55" s="65" t="str">
        <f ca="1">IF($AF55="","",INDEX(MUSTERILER!$B$7:$B$156,$AF55))</f>
        <v>M047</v>
      </c>
      <c r="C55" s="74" t="str">
        <f ca="1">IF($AF55="","",INDEX(MUSTERILER!$C$7:$C$156,$AF55))</f>
        <v>PALAOĞULLARI LTD.ŞTİ.</v>
      </c>
      <c r="D55" s="68">
        <f ca="1">IF($B55="","",SUMIFS(UCRETLER!$G$7:$G$606,UCRETLER!$B$7:$B$606,$B55,UCRETLER!$F$7:$F$606,"Haftalık",UCRETLER!$H$7:$H$606,"Aktif"))</f>
        <v>5000</v>
      </c>
      <c r="E55" s="68">
        <f ca="1">IF($B55="","",SUMIFS(UCRETLER!$G$7:$G$606,UCRETLER!$B$7:$B$606,$B55,UCRETLER!$F$7:$F$606,"Aylık",UCRETLER!$H$7:$H$606,"Aktif"))</f>
        <v>0</v>
      </c>
      <c r="F55" s="68">
        <f ca="1">IF($B55="","",SUMIFS(MUSTERILER!$J$7:$J$156,MUSTERILER!$B$7:$B$156,$B55))</f>
        <v>0</v>
      </c>
      <c r="G55" s="68">
        <f ca="1">IF($B55="","",SUMIFS(UCRETLER!$I$7:$I$606,UCRETLER!$B$7:$B$606,$B55)+SUMIFS(GELIR_GIDER!$G$7:$G$3001,GELIR_GIDER!$T$7:$T$3001,$B55))</f>
        <v>148000</v>
      </c>
      <c r="H55" s="68">
        <f t="shared" ca="1" si="19"/>
        <v>148000</v>
      </c>
      <c r="I55" s="68">
        <f ca="1">IF($B55="","",SUMIFS(TAHSILAT!$F$7:$F$2503,TAHSILAT!$C$7:$C$2503,$B55))</f>
        <v>148000</v>
      </c>
      <c r="J55" s="68">
        <f t="shared" ca="1" si="20"/>
        <v>0</v>
      </c>
      <c r="K55" s="68">
        <f t="shared" ca="1" si="21"/>
        <v>0</v>
      </c>
      <c r="L55" s="68">
        <f t="shared" ca="1" si="22"/>
        <v>0</v>
      </c>
      <c r="M55" s="68">
        <f t="shared" ca="1" si="23"/>
        <v>0</v>
      </c>
      <c r="N55" s="68">
        <f t="shared" ca="1" si="24"/>
        <v>0</v>
      </c>
      <c r="O55" s="92">
        <f t="shared" ca="1" si="25"/>
        <v>1</v>
      </c>
      <c r="P55" s="70">
        <f ca="1">IF($B55="","",IFERROR(LOOKUP(2,1/(TAHSILAT!$C$7:$C$2503=$B55),TAHSILAT!$E$7:$E$2503),""))</f>
        <v>46256</v>
      </c>
      <c r="Q55" s="65" t="str">
        <f t="shared" ca="1" si="26"/>
        <v>TEMİZ</v>
      </c>
      <c r="R55" s="74" t="str">
        <f t="shared" ca="1" si="27"/>
        <v>Aksiyon gerekmiyor</v>
      </c>
      <c r="S55" s="93">
        <f t="shared" ca="1" si="28"/>
        <v>0</v>
      </c>
      <c r="T55" s="70" t="str">
        <f ca="1">IF(OR($B55="",$AF55=""),"",IF(INDEX(MUSTERILER!$K$7:$K$156,$AF55)="","",INDEX(MUSTERILER!$K$7:$K$156,$AF55)))</f>
        <v/>
      </c>
      <c r="U55" s="93" t="str">
        <f t="shared" ca="1" si="29"/>
        <v/>
      </c>
      <c r="V55" s="68">
        <f t="shared" ca="1" si="30"/>
        <v>0</v>
      </c>
      <c r="W55" s="65" t="str">
        <f t="shared" ca="1" si="31"/>
        <v>UYGUN</v>
      </c>
      <c r="X55" s="2">
        <f ca="1">IF($B55="",0,SUMIFS(UCRETLER!$J$7:$J$606,UCRETLER!$B$7:$B$606,$B55))</f>
        <v>143000</v>
      </c>
      <c r="Y55" s="2">
        <f ca="1">IF($B55="",0,SUMIFS(UCRETLER!$K$7:$K$606,UCRETLER!$B$7:$B$606,$B55))</f>
        <v>138000</v>
      </c>
      <c r="Z55" s="1">
        <f ca="1">IF($B55="",0,SUMIFS(UCRETLER!$L$7:$L$606,UCRETLER!$B$7:$B$606,$B55))</f>
        <v>128000</v>
      </c>
      <c r="AA55" s="1">
        <f t="shared" ca="1" si="32"/>
        <v>148000</v>
      </c>
      <c r="AB55" s="1">
        <f t="shared" ca="1" si="33"/>
        <v>0</v>
      </c>
      <c r="AC55" s="1">
        <f t="shared" ca="1" si="34"/>
        <v>0</v>
      </c>
      <c r="AD55" s="1">
        <f t="shared" ca="1" si="35"/>
        <v>0</v>
      </c>
      <c r="AE55" s="1">
        <f t="shared" ca="1" si="36"/>
        <v>0</v>
      </c>
      <c r="AF55" s="1">
        <f ca="1">IFERROR(MATCH(ROW()-6,MUSTERILER!$U$7:$U$156,0),"")</f>
        <v>42</v>
      </c>
      <c r="AG55" s="1">
        <f ca="1">IF($B55="",0,SUMIFS(GELIR_GIDER!$G$7:$G$3001,GELIR_GIDER!$T$7:$T$3001,$B55))</f>
        <v>0</v>
      </c>
    </row>
    <row r="56" spans="1:33" ht="18" customHeight="1" x14ac:dyDescent="0.3">
      <c r="A56" s="2"/>
      <c r="B56" s="65" t="str">
        <f ca="1">IF($AF56="","",INDEX(MUSTERILER!$B$7:$B$156,$AF56))</f>
        <v>M016</v>
      </c>
      <c r="C56" s="74" t="str">
        <f ca="1">IF($AF56="","",INDEX(MUSTERILER!$C$7:$C$156,$AF56))</f>
        <v>RİX ŞOW LTD.ŞTİ.</v>
      </c>
      <c r="D56" s="68">
        <f ca="1">IF($B56="","",SUMIFS(UCRETLER!$G$7:$G$606,UCRETLER!$B$7:$B$606,$B56,UCRETLER!$F$7:$F$606,"Haftalık",UCRETLER!$H$7:$H$606,"Aktif"))</f>
        <v>3000</v>
      </c>
      <c r="E56" s="68">
        <f ca="1">IF($B56="","",SUMIFS(UCRETLER!$G$7:$G$606,UCRETLER!$B$7:$B$606,$B56,UCRETLER!$F$7:$F$606,"Aylık",UCRETLER!$H$7:$H$606,"Aktif"))</f>
        <v>0</v>
      </c>
      <c r="F56" s="68">
        <f ca="1">IF($B56="","",SUMIFS(MUSTERILER!$J$7:$J$156,MUSTERILER!$B$7:$B$156,$B56))</f>
        <v>0</v>
      </c>
      <c r="G56" s="68">
        <f ca="1">IF($B56="","",SUMIFS(UCRETLER!$I$7:$I$606,UCRETLER!$B$7:$B$606,$B56)+SUMIFS(GELIR_GIDER!$G$7:$G$3001,GELIR_GIDER!$T$7:$T$3001,$B56))</f>
        <v>102000</v>
      </c>
      <c r="H56" s="68">
        <f t="shared" ca="1" si="19"/>
        <v>102000</v>
      </c>
      <c r="I56" s="68">
        <f ca="1">IF($B56="","",SUMIFS(TAHSILAT!$F$7:$F$2503,TAHSILAT!$C$7:$C$2503,$B56))</f>
        <v>102000</v>
      </c>
      <c r="J56" s="68">
        <f t="shared" ca="1" si="20"/>
        <v>0</v>
      </c>
      <c r="K56" s="68">
        <f t="shared" ca="1" si="21"/>
        <v>0</v>
      </c>
      <c r="L56" s="68">
        <f t="shared" ca="1" si="22"/>
        <v>0</v>
      </c>
      <c r="M56" s="68">
        <f t="shared" ca="1" si="23"/>
        <v>0</v>
      </c>
      <c r="N56" s="68">
        <f t="shared" ca="1" si="24"/>
        <v>0</v>
      </c>
      <c r="O56" s="92">
        <f t="shared" ca="1" si="25"/>
        <v>1</v>
      </c>
      <c r="P56" s="70">
        <f ca="1">IF($B56="","",IFERROR(LOOKUP(2,1/(TAHSILAT!$C$7:$C$2503=$B56),TAHSILAT!$E$7:$E$2503),""))</f>
        <v>46256</v>
      </c>
      <c r="Q56" s="65" t="str">
        <f t="shared" ca="1" si="26"/>
        <v>TEMİZ</v>
      </c>
      <c r="R56" s="74" t="str">
        <f t="shared" ca="1" si="27"/>
        <v>Aksiyon gerekmiyor</v>
      </c>
      <c r="S56" s="93">
        <f t="shared" ca="1" si="28"/>
        <v>0</v>
      </c>
      <c r="T56" s="70" t="str">
        <f ca="1">IF(OR($B56="",$AF56=""),"",IF(INDEX(MUSTERILER!$K$7:$K$156,$AF56)="","",INDEX(MUSTERILER!$K$7:$K$156,$AF56)))</f>
        <v/>
      </c>
      <c r="U56" s="93" t="str">
        <f t="shared" ca="1" si="29"/>
        <v/>
      </c>
      <c r="V56" s="68">
        <f t="shared" ca="1" si="30"/>
        <v>0</v>
      </c>
      <c r="W56" s="65" t="str">
        <f t="shared" ca="1" si="31"/>
        <v>UYGUN</v>
      </c>
      <c r="X56" s="2">
        <f ca="1">IF($B56="",0,SUMIFS(UCRETLER!$J$7:$J$606,UCRETLER!$B$7:$B$606,$B56))</f>
        <v>99000</v>
      </c>
      <c r="Y56" s="2">
        <f ca="1">IF($B56="",0,SUMIFS(UCRETLER!$K$7:$K$606,UCRETLER!$B$7:$B$606,$B56))</f>
        <v>96000</v>
      </c>
      <c r="Z56" s="1">
        <f ca="1">IF($B56="",0,SUMIFS(UCRETLER!$L$7:$L$606,UCRETLER!$B$7:$B$606,$B56))</f>
        <v>90000</v>
      </c>
      <c r="AA56" s="1">
        <f t="shared" ca="1" si="32"/>
        <v>102000</v>
      </c>
      <c r="AB56" s="1">
        <f t="shared" ca="1" si="33"/>
        <v>0</v>
      </c>
      <c r="AC56" s="1">
        <f t="shared" ca="1" si="34"/>
        <v>0</v>
      </c>
      <c r="AD56" s="1">
        <f t="shared" ca="1" si="35"/>
        <v>0</v>
      </c>
      <c r="AE56" s="1">
        <f t="shared" ca="1" si="36"/>
        <v>0</v>
      </c>
      <c r="AF56" s="1">
        <f ca="1">IFERROR(MATCH(ROW()-6,MUSTERILER!$U$7:$U$156,0),"")</f>
        <v>44</v>
      </c>
      <c r="AG56" s="1">
        <f ca="1">IF($B56="",0,SUMIFS(GELIR_GIDER!$G$7:$G$3001,GELIR_GIDER!$T$7:$T$3001,$B56))</f>
        <v>0</v>
      </c>
    </row>
    <row r="57" spans="1:33" ht="18" customHeight="1" x14ac:dyDescent="0.3">
      <c r="A57" s="2"/>
      <c r="B57" s="65" t="str">
        <f ca="1">IF($AF57="","",INDEX(MUSTERILER!$B$7:$B$156,$AF57))</f>
        <v>M055</v>
      </c>
      <c r="C57" s="74" t="str">
        <f ca="1">IF($AF57="","",INDEX(MUSTERILER!$C$7:$C$156,$AF57))</f>
        <v>SEMRA GÜMÜŞ</v>
      </c>
      <c r="D57" s="68">
        <f ca="1">IF($B57="","",SUMIFS(UCRETLER!$G$7:$G$606,UCRETLER!$B$7:$B$606,$B57,UCRETLER!$F$7:$F$606,"Haftalık",UCRETLER!$H$7:$H$606,"Aktif"))</f>
        <v>0</v>
      </c>
      <c r="E57" s="68">
        <f ca="1">IF($B57="","",SUMIFS(UCRETLER!$G$7:$G$606,UCRETLER!$B$7:$B$606,$B57,UCRETLER!$F$7:$F$606,"Aylık",UCRETLER!$H$7:$H$606,"Aktif"))</f>
        <v>0</v>
      </c>
      <c r="F57" s="68">
        <f ca="1">IF($B57="","",SUMIFS(MUSTERILER!$J$7:$J$156,MUSTERILER!$B$7:$B$156,$B57))</f>
        <v>0</v>
      </c>
      <c r="G57" s="68">
        <f ca="1">IF($B57="","",SUMIFS(UCRETLER!$I$7:$I$606,UCRETLER!$B$7:$B$606,$B57)+SUMIFS(GELIR_GIDER!$G$7:$G$3001,GELIR_GIDER!$T$7:$T$3001,$B57))</f>
        <v>10000</v>
      </c>
      <c r="H57" s="68">
        <f t="shared" ca="1" si="19"/>
        <v>10000</v>
      </c>
      <c r="I57" s="68">
        <f ca="1">IF($B57="","",SUMIFS(TAHSILAT!$F$7:$F$2503,TAHSILAT!$C$7:$C$2503,$B57))</f>
        <v>10000</v>
      </c>
      <c r="J57" s="68">
        <f t="shared" ca="1" si="20"/>
        <v>0</v>
      </c>
      <c r="K57" s="68">
        <f t="shared" ca="1" si="21"/>
        <v>0</v>
      </c>
      <c r="L57" s="68">
        <f t="shared" ca="1" si="22"/>
        <v>0</v>
      </c>
      <c r="M57" s="68">
        <f t="shared" ca="1" si="23"/>
        <v>0</v>
      </c>
      <c r="N57" s="68">
        <f t="shared" ca="1" si="24"/>
        <v>0</v>
      </c>
      <c r="O57" s="92">
        <f t="shared" ca="1" si="25"/>
        <v>1</v>
      </c>
      <c r="P57" s="70">
        <f ca="1">IF($B57="","",IFERROR(LOOKUP(2,1/(TAHSILAT!$C$7:$C$2503=$B57),TAHSILAT!$E$7:$E$2503),""))</f>
        <v>46173</v>
      </c>
      <c r="Q57" s="65" t="str">
        <f t="shared" ca="1" si="26"/>
        <v>TEMİZ</v>
      </c>
      <c r="R57" s="74" t="str">
        <f t="shared" ca="1" si="27"/>
        <v>Aksiyon gerekmiyor</v>
      </c>
      <c r="S57" s="93">
        <f t="shared" ca="1" si="28"/>
        <v>0</v>
      </c>
      <c r="T57" s="70" t="str">
        <f ca="1">IF(OR($B57="",$AF57=""),"",IF(INDEX(MUSTERILER!$K$7:$K$156,$AF57)="","",INDEX(MUSTERILER!$K$7:$K$156,$AF57)))</f>
        <v/>
      </c>
      <c r="U57" s="93" t="str">
        <f t="shared" ca="1" si="29"/>
        <v/>
      </c>
      <c r="V57" s="68">
        <f t="shared" ca="1" si="30"/>
        <v>0</v>
      </c>
      <c r="W57" s="65" t="str">
        <f t="shared" ca="1" si="31"/>
        <v>UYGUN</v>
      </c>
      <c r="X57" s="2">
        <f ca="1">IF($B57="",0,SUMIFS(UCRETLER!$J$7:$J$606,UCRETLER!$B$7:$B$606,$B57))</f>
        <v>10000</v>
      </c>
      <c r="Y57" s="2">
        <f ca="1">IF($B57="",0,SUMIFS(UCRETLER!$K$7:$K$606,UCRETLER!$B$7:$B$606,$B57))</f>
        <v>10000</v>
      </c>
      <c r="Z57" s="1">
        <f ca="1">IF($B57="",0,SUMIFS(UCRETLER!$L$7:$L$606,UCRETLER!$B$7:$B$606,$B57))</f>
        <v>10000</v>
      </c>
      <c r="AA57" s="1">
        <f t="shared" ca="1" si="32"/>
        <v>10000</v>
      </c>
      <c r="AB57" s="1">
        <f t="shared" ca="1" si="33"/>
        <v>0</v>
      </c>
      <c r="AC57" s="1">
        <f t="shared" ca="1" si="34"/>
        <v>0</v>
      </c>
      <c r="AD57" s="1">
        <f t="shared" ca="1" si="35"/>
        <v>0</v>
      </c>
      <c r="AE57" s="1">
        <f t="shared" ca="1" si="36"/>
        <v>0</v>
      </c>
      <c r="AF57" s="1">
        <f ca="1">IFERROR(MATCH(ROW()-6,MUSTERILER!$U$7:$U$156,0),"")</f>
        <v>45</v>
      </c>
      <c r="AG57" s="1">
        <f ca="1">IF($B57="",0,SUMIFS(GELIR_GIDER!$G$7:$G$3001,GELIR_GIDER!$T$7:$T$3001,$B57))</f>
        <v>0</v>
      </c>
    </row>
    <row r="58" spans="1:33" ht="18" customHeight="1" x14ac:dyDescent="0.3">
      <c r="A58" s="2"/>
      <c r="B58" s="65" t="str">
        <f ca="1">IF($AF58="","",INDEX(MUSTERILER!$B$7:$B$156,$AF58))</f>
        <v>M049</v>
      </c>
      <c r="C58" s="74" t="str">
        <f ca="1">IF($AF58="","",INDEX(MUSTERILER!$C$7:$C$156,$AF58))</f>
        <v>STAR ŞOW LTD.ŞTİ.</v>
      </c>
      <c r="D58" s="68">
        <f ca="1">IF($B58="","",SUMIFS(UCRETLER!$G$7:$G$606,UCRETLER!$B$7:$B$606,$B58,UCRETLER!$F$7:$F$606,"Haftalık",UCRETLER!$H$7:$H$606,"Aktif"))</f>
        <v>3000</v>
      </c>
      <c r="E58" s="68">
        <f ca="1">IF($B58="","",SUMIFS(UCRETLER!$G$7:$G$606,UCRETLER!$B$7:$B$606,$B58,UCRETLER!$F$7:$F$606,"Aylık",UCRETLER!$H$7:$H$606,"Aktif"))</f>
        <v>0</v>
      </c>
      <c r="F58" s="68">
        <f ca="1">IF($B58="","",SUMIFS(MUSTERILER!$J$7:$J$156,MUSTERILER!$B$7:$B$156,$B58))</f>
        <v>0</v>
      </c>
      <c r="G58" s="68">
        <f ca="1">IF($B58="","",SUMIFS(UCRETLER!$I$7:$I$606,UCRETLER!$B$7:$B$606,$B58)+SUMIFS(GELIR_GIDER!$G$7:$G$3001,GELIR_GIDER!$T$7:$T$3001,$B58))</f>
        <v>12000</v>
      </c>
      <c r="H58" s="68">
        <f t="shared" ca="1" si="19"/>
        <v>12000</v>
      </c>
      <c r="I58" s="68">
        <f ca="1">IF($B58="","",SUMIFS(TAHSILAT!$F$7:$F$2503,TAHSILAT!$C$7:$C$2503,$B58))</f>
        <v>12000</v>
      </c>
      <c r="J58" s="68">
        <f t="shared" ca="1" si="20"/>
        <v>0</v>
      </c>
      <c r="K58" s="68">
        <f t="shared" ca="1" si="21"/>
        <v>0</v>
      </c>
      <c r="L58" s="68">
        <f t="shared" ca="1" si="22"/>
        <v>0</v>
      </c>
      <c r="M58" s="68">
        <f t="shared" ca="1" si="23"/>
        <v>0</v>
      </c>
      <c r="N58" s="68">
        <f t="shared" ca="1" si="24"/>
        <v>0</v>
      </c>
      <c r="O58" s="92">
        <f t="shared" ca="1" si="25"/>
        <v>1</v>
      </c>
      <c r="P58" s="70">
        <f ca="1">IF($B58="","",IFERROR(LOOKUP(2,1/(TAHSILAT!$C$7:$C$2503=$B58),TAHSILAT!$E$7:$E$2503),""))</f>
        <v>46256</v>
      </c>
      <c r="Q58" s="65" t="str">
        <f t="shared" ca="1" si="26"/>
        <v>TEMİZ</v>
      </c>
      <c r="R58" s="74" t="str">
        <f t="shared" ca="1" si="27"/>
        <v>Aksiyon gerekmiyor</v>
      </c>
      <c r="S58" s="93">
        <f t="shared" ca="1" si="28"/>
        <v>0</v>
      </c>
      <c r="T58" s="70" t="str">
        <f ca="1">IF(OR($B58="",$AF58=""),"",IF(INDEX(MUSTERILER!$K$7:$K$156,$AF58)="","",INDEX(MUSTERILER!$K$7:$K$156,$AF58)))</f>
        <v/>
      </c>
      <c r="U58" s="93" t="str">
        <f t="shared" ca="1" si="29"/>
        <v/>
      </c>
      <c r="V58" s="68">
        <f t="shared" ca="1" si="30"/>
        <v>0</v>
      </c>
      <c r="W58" s="65" t="str">
        <f t="shared" ca="1" si="31"/>
        <v>UYGUN</v>
      </c>
      <c r="X58" s="2">
        <f ca="1">IF($B58="",0,SUMIFS(UCRETLER!$J$7:$J$606,UCRETLER!$B$7:$B$606,$B58))</f>
        <v>9000</v>
      </c>
      <c r="Y58" s="2">
        <f ca="1">IF($B58="",0,SUMIFS(UCRETLER!$K$7:$K$606,UCRETLER!$B$7:$B$606,$B58))</f>
        <v>6000</v>
      </c>
      <c r="Z58" s="1">
        <f ca="1">IF($B58="",0,SUMIFS(UCRETLER!$L$7:$L$606,UCRETLER!$B$7:$B$606,$B58))</f>
        <v>0</v>
      </c>
      <c r="AA58" s="1">
        <f t="shared" ca="1" si="32"/>
        <v>12000</v>
      </c>
      <c r="AB58" s="1">
        <f t="shared" ca="1" si="33"/>
        <v>0</v>
      </c>
      <c r="AC58" s="1">
        <f t="shared" ca="1" si="34"/>
        <v>0</v>
      </c>
      <c r="AD58" s="1">
        <f t="shared" ca="1" si="35"/>
        <v>0</v>
      </c>
      <c r="AE58" s="1">
        <f t="shared" ca="1" si="36"/>
        <v>0</v>
      </c>
      <c r="AF58" s="1">
        <f ca="1">IFERROR(MATCH(ROW()-6,MUSTERILER!$U$7:$U$156,0),"")</f>
        <v>46</v>
      </c>
      <c r="AG58" s="1">
        <f ca="1">IF($B58="",0,SUMIFS(GELIR_GIDER!$G$7:$G$3001,GELIR_GIDER!$T$7:$T$3001,$B58))</f>
        <v>0</v>
      </c>
    </row>
    <row r="59" spans="1:33" ht="18" customHeight="1" x14ac:dyDescent="0.3">
      <c r="A59" s="2"/>
      <c r="B59" s="65" t="str">
        <f ca="1">IF($AF59="","",INDEX(MUSTERILER!$B$7:$B$156,$AF59))</f>
        <v>M051</v>
      </c>
      <c r="C59" s="74" t="str">
        <f ca="1">IF($AF59="","",INDEX(MUSTERILER!$C$7:$C$156,$AF59))</f>
        <v>UFUK YILMAZ</v>
      </c>
      <c r="D59" s="68">
        <f ca="1">IF($B59="","",SUMIFS(UCRETLER!$G$7:$G$606,UCRETLER!$B$7:$B$606,$B59,UCRETLER!$F$7:$F$606,"Haftalık",UCRETLER!$H$7:$H$606,"Aktif"))</f>
        <v>0</v>
      </c>
      <c r="E59" s="68">
        <f ca="1">IF($B59="","",SUMIFS(UCRETLER!$G$7:$G$606,UCRETLER!$B$7:$B$606,$B59,UCRETLER!$F$7:$F$606,"Aylık",UCRETLER!$H$7:$H$606,"Aktif"))</f>
        <v>3000</v>
      </c>
      <c r="F59" s="68">
        <f ca="1">IF($B59="","",SUMIFS(MUSTERILER!$J$7:$J$156,MUSTERILER!$B$7:$B$156,$B59))</f>
        <v>0</v>
      </c>
      <c r="G59" s="68">
        <f ca="1">IF($B59="","",SUMIFS(UCRETLER!$I$7:$I$606,UCRETLER!$B$7:$B$606,$B59)+SUMIFS(GELIR_GIDER!$G$7:$G$3001,GELIR_GIDER!$T$7:$T$3001,$B59))</f>
        <v>21000</v>
      </c>
      <c r="H59" s="68">
        <f t="shared" ca="1" si="19"/>
        <v>21000</v>
      </c>
      <c r="I59" s="68">
        <f ca="1">IF($B59="","",SUMIFS(TAHSILAT!$F$7:$F$2503,TAHSILAT!$C$7:$C$2503,$B59))</f>
        <v>24000</v>
      </c>
      <c r="J59" s="68">
        <f t="shared" ca="1" si="20"/>
        <v>0</v>
      </c>
      <c r="K59" s="68">
        <f t="shared" ca="1" si="21"/>
        <v>0</v>
      </c>
      <c r="L59" s="68">
        <f t="shared" ca="1" si="22"/>
        <v>0</v>
      </c>
      <c r="M59" s="68">
        <f t="shared" ca="1" si="23"/>
        <v>0</v>
      </c>
      <c r="N59" s="68">
        <f t="shared" ca="1" si="24"/>
        <v>0</v>
      </c>
      <c r="O59" s="92">
        <f t="shared" ca="1" si="25"/>
        <v>1.1428571428571428</v>
      </c>
      <c r="P59" s="70">
        <f ca="1">IF($B59="","",IFERROR(LOOKUP(2,1/(TAHSILAT!$C$7:$C$2503=$B59),TAHSILAT!$E$7:$E$2503),""))</f>
        <v>46249</v>
      </c>
      <c r="Q59" s="65" t="str">
        <f t="shared" ca="1" si="26"/>
        <v>TEMİZ</v>
      </c>
      <c r="R59" s="74" t="str">
        <f t="shared" ca="1" si="27"/>
        <v>Aksiyon gerekmiyor</v>
      </c>
      <c r="S59" s="93">
        <f t="shared" ca="1" si="28"/>
        <v>0</v>
      </c>
      <c r="T59" s="70" t="str">
        <f ca="1">IF(OR($B59="",$AF59=""),"",IF(INDEX(MUSTERILER!$K$7:$K$156,$AF59)="","",INDEX(MUSTERILER!$K$7:$K$156,$AF59)))</f>
        <v/>
      </c>
      <c r="U59" s="93" t="str">
        <f t="shared" ca="1" si="29"/>
        <v/>
      </c>
      <c r="V59" s="68">
        <f t="shared" ca="1" si="30"/>
        <v>3000</v>
      </c>
      <c r="W59" s="65" t="str">
        <f t="shared" ca="1" si="31"/>
        <v>UYGUN</v>
      </c>
      <c r="X59" s="2">
        <f ca="1">IF($B59="",0,SUMIFS(UCRETLER!$J$7:$J$606,UCRETLER!$B$7:$B$606,$B59))</f>
        <v>21000</v>
      </c>
      <c r="Y59" s="2">
        <f ca="1">IF($B59="",0,SUMIFS(UCRETLER!$K$7:$K$606,UCRETLER!$B$7:$B$606,$B59))</f>
        <v>21000</v>
      </c>
      <c r="Z59" s="1">
        <f ca="1">IF($B59="",0,SUMIFS(UCRETLER!$L$7:$L$606,UCRETLER!$B$7:$B$606,$B59))</f>
        <v>18000</v>
      </c>
      <c r="AA59" s="1">
        <f t="shared" ca="1" si="32"/>
        <v>24000</v>
      </c>
      <c r="AB59" s="1">
        <f t="shared" ca="1" si="33"/>
        <v>0</v>
      </c>
      <c r="AC59" s="1">
        <f t="shared" ca="1" si="34"/>
        <v>0</v>
      </c>
      <c r="AD59" s="1">
        <f t="shared" ca="1" si="35"/>
        <v>0</v>
      </c>
      <c r="AE59" s="1">
        <f t="shared" ca="1" si="36"/>
        <v>0</v>
      </c>
      <c r="AF59" s="1">
        <f ca="1">IFERROR(MATCH(ROW()-6,MUSTERILER!$U$7:$U$156,0),"")</f>
        <v>49</v>
      </c>
      <c r="AG59" s="1">
        <f ca="1">IF($B59="",0,SUMIFS(GELIR_GIDER!$G$7:$G$3001,GELIR_GIDER!$T$7:$T$3001,$B59))</f>
        <v>0</v>
      </c>
    </row>
    <row r="60" spans="1:33" ht="18" customHeight="1" x14ac:dyDescent="0.3">
      <c r="A60" s="2"/>
      <c r="B60" s="65" t="str">
        <f ca="1">IF($AF60="","",INDEX(MUSTERILER!$B$7:$B$156,$AF60))</f>
        <v>M054</v>
      </c>
      <c r="C60" s="74" t="str">
        <f ca="1">IF($AF60="","",INDEX(MUSTERILER!$C$7:$C$156,$AF60))</f>
        <v>YALIKENT LTD.ŞTİ.</v>
      </c>
      <c r="D60" s="68">
        <f ca="1">IF($B60="","",SUMIFS(UCRETLER!$G$7:$G$606,UCRETLER!$B$7:$B$606,$B60,UCRETLER!$F$7:$F$606,"Haftalık",UCRETLER!$H$7:$H$606,"Aktif"))</f>
        <v>0</v>
      </c>
      <c r="E60" s="68">
        <f ca="1">IF($B60="","",SUMIFS(UCRETLER!$G$7:$G$606,UCRETLER!$B$7:$B$606,$B60,UCRETLER!$F$7:$F$606,"Aylık",UCRETLER!$H$7:$H$606,"Aktif"))</f>
        <v>0</v>
      </c>
      <c r="F60" s="68">
        <f ca="1">IF($B60="","",SUMIFS(MUSTERILER!$J$7:$J$156,MUSTERILER!$B$7:$B$156,$B60))</f>
        <v>0</v>
      </c>
      <c r="G60" s="68">
        <f ca="1">IF($B60="","",SUMIFS(UCRETLER!$I$7:$I$606,UCRETLER!$B$7:$B$606,$B60)+SUMIFS(GELIR_GIDER!$G$7:$G$3001,GELIR_GIDER!$T$7:$T$3001,$B60))</f>
        <v>104000</v>
      </c>
      <c r="H60" s="68">
        <f t="shared" ca="1" si="19"/>
        <v>104000</v>
      </c>
      <c r="I60" s="68">
        <f ca="1">IF($B60="","",SUMIFS(TAHSILAT!$F$7:$F$2503,TAHSILAT!$C$7:$C$2503,$B60))</f>
        <v>104000</v>
      </c>
      <c r="J60" s="68">
        <f t="shared" ca="1" si="20"/>
        <v>0</v>
      </c>
      <c r="K60" s="68">
        <f t="shared" ca="1" si="21"/>
        <v>0</v>
      </c>
      <c r="L60" s="68">
        <f t="shared" ca="1" si="22"/>
        <v>0</v>
      </c>
      <c r="M60" s="68">
        <f t="shared" ca="1" si="23"/>
        <v>0</v>
      </c>
      <c r="N60" s="68">
        <f t="shared" ca="1" si="24"/>
        <v>0</v>
      </c>
      <c r="O60" s="92">
        <f t="shared" ca="1" si="25"/>
        <v>1</v>
      </c>
      <c r="P60" s="70">
        <f ca="1">IF($B60="","",IFERROR(LOOKUP(2,1/(TAHSILAT!$C$7:$C$2503=$B60),TAHSILAT!$E$7:$E$2503),""))</f>
        <v>46235</v>
      </c>
      <c r="Q60" s="65" t="str">
        <f t="shared" ca="1" si="26"/>
        <v>TEMİZ</v>
      </c>
      <c r="R60" s="74" t="str">
        <f t="shared" ca="1" si="27"/>
        <v>Aksiyon gerekmiyor</v>
      </c>
      <c r="S60" s="93">
        <f t="shared" ca="1" si="28"/>
        <v>0</v>
      </c>
      <c r="T60" s="70" t="str">
        <f ca="1">IF(OR($B60="",$AF60=""),"",IF(INDEX(MUSTERILER!$K$7:$K$156,$AF60)="","",INDEX(MUSTERILER!$K$7:$K$156,$AF60)))</f>
        <v/>
      </c>
      <c r="U60" s="93" t="str">
        <f t="shared" ca="1" si="29"/>
        <v/>
      </c>
      <c r="V60" s="68">
        <f t="shared" ca="1" si="30"/>
        <v>0</v>
      </c>
      <c r="W60" s="65" t="str">
        <f t="shared" ca="1" si="31"/>
        <v>UYGUN</v>
      </c>
      <c r="X60" s="2">
        <f ca="1">IF($B60="",0,SUMIFS(UCRETLER!$J$7:$J$606,UCRETLER!$B$7:$B$606,$B60))</f>
        <v>104000</v>
      </c>
      <c r="Y60" s="2">
        <f ca="1">IF($B60="",0,SUMIFS(UCRETLER!$K$7:$K$606,UCRETLER!$B$7:$B$606,$B60))</f>
        <v>104000</v>
      </c>
      <c r="Z60" s="1">
        <f ca="1">IF($B60="",0,SUMIFS(UCRETLER!$L$7:$L$606,UCRETLER!$B$7:$B$606,$B60))</f>
        <v>104000</v>
      </c>
      <c r="AA60" s="1">
        <f t="shared" ca="1" si="32"/>
        <v>104000</v>
      </c>
      <c r="AB60" s="1">
        <f t="shared" ca="1" si="33"/>
        <v>0</v>
      </c>
      <c r="AC60" s="1">
        <f t="shared" ca="1" si="34"/>
        <v>0</v>
      </c>
      <c r="AD60" s="1">
        <f t="shared" ca="1" si="35"/>
        <v>0</v>
      </c>
      <c r="AE60" s="1">
        <f t="shared" ca="1" si="36"/>
        <v>0</v>
      </c>
      <c r="AF60" s="1">
        <f ca="1">IFERROR(MATCH(ROW()-6,MUSTERILER!$U$7:$U$156,0),"")</f>
        <v>52</v>
      </c>
      <c r="AG60" s="1">
        <f ca="1">IF($B60="",0,SUMIFS(GELIR_GIDER!$G$7:$G$3001,GELIR_GIDER!$T$7:$T$3001,$B60))</f>
        <v>0</v>
      </c>
    </row>
    <row r="61" spans="1:33" ht="18" customHeight="1" x14ac:dyDescent="0.3">
      <c r="A61" s="2"/>
      <c r="B61" s="65" t="str">
        <f ca="1">IF($AF61="","",INDEX(MUSTERILER!$B$7:$B$156,$AF61))</f>
        <v>M005</v>
      </c>
      <c r="C61" s="74" t="str">
        <f ca="1">IF($AF61="","",INDEX(MUSTERILER!$C$7:$C$156,$AF61))</f>
        <v>ZÜMRÜT GRUP LTD.ŞTİ.</v>
      </c>
      <c r="D61" s="68">
        <f ca="1">IF($B61="","",SUMIFS(UCRETLER!$G$7:$G$606,UCRETLER!$B$7:$B$606,$B61,UCRETLER!$F$7:$F$606,"Haftalık",UCRETLER!$H$7:$H$606,"Aktif"))</f>
        <v>1750</v>
      </c>
      <c r="E61" s="68">
        <f ca="1">IF($B61="","",SUMIFS(UCRETLER!$G$7:$G$606,UCRETLER!$B$7:$B$606,$B61,UCRETLER!$F$7:$F$606,"Aylık",UCRETLER!$H$7:$H$606,"Aktif"))</f>
        <v>0</v>
      </c>
      <c r="F61" s="68">
        <f ca="1">IF($B61="","",SUMIFS(MUSTERILER!$J$7:$J$156,MUSTERILER!$B$7:$B$156,$B61))</f>
        <v>0</v>
      </c>
      <c r="G61" s="68">
        <f ca="1">IF($B61="","",SUMIFS(UCRETLER!$I$7:$I$606,UCRETLER!$B$7:$B$606,$B61)+SUMIFS(GELIR_GIDER!$G$7:$G$3001,GELIR_GIDER!$T$7:$T$3001,$B61))</f>
        <v>59500</v>
      </c>
      <c r="H61" s="68">
        <f t="shared" ca="1" si="19"/>
        <v>59500</v>
      </c>
      <c r="I61" s="68">
        <f ca="1">IF($B61="","",SUMIFS(TAHSILAT!$F$7:$F$2503,TAHSILAT!$C$7:$C$2503,$B61))</f>
        <v>59500</v>
      </c>
      <c r="J61" s="68">
        <f t="shared" ca="1" si="20"/>
        <v>0</v>
      </c>
      <c r="K61" s="68">
        <f t="shared" ca="1" si="21"/>
        <v>0</v>
      </c>
      <c r="L61" s="68">
        <f t="shared" ca="1" si="22"/>
        <v>0</v>
      </c>
      <c r="M61" s="68">
        <f t="shared" ca="1" si="23"/>
        <v>0</v>
      </c>
      <c r="N61" s="68">
        <f t="shared" ca="1" si="24"/>
        <v>0</v>
      </c>
      <c r="O61" s="92">
        <f t="shared" ca="1" si="25"/>
        <v>1</v>
      </c>
      <c r="P61" s="70">
        <f ca="1">IF($B61="","",IFERROR(LOOKUP(2,1/(TAHSILAT!$C$7:$C$2503=$B61),TAHSILAT!$E$7:$E$2503),""))</f>
        <v>46256</v>
      </c>
      <c r="Q61" s="65" t="str">
        <f t="shared" ca="1" si="26"/>
        <v>TEMİZ</v>
      </c>
      <c r="R61" s="74" t="str">
        <f t="shared" ca="1" si="27"/>
        <v>Aksiyon gerekmiyor</v>
      </c>
      <c r="S61" s="93">
        <f t="shared" ca="1" si="28"/>
        <v>0</v>
      </c>
      <c r="T61" s="70" t="str">
        <f ca="1">IF(OR($B61="",$AF61=""),"",IF(INDEX(MUSTERILER!$K$7:$K$156,$AF61)="","",INDEX(MUSTERILER!$K$7:$K$156,$AF61)))</f>
        <v/>
      </c>
      <c r="U61" s="93" t="str">
        <f t="shared" ca="1" si="29"/>
        <v/>
      </c>
      <c r="V61" s="68">
        <f t="shared" ca="1" si="30"/>
        <v>0</v>
      </c>
      <c r="W61" s="65" t="str">
        <f t="shared" ca="1" si="31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ca="1" si="32"/>
        <v>59500</v>
      </c>
      <c r="AB61" s="1">
        <f t="shared" ca="1" si="33"/>
        <v>0</v>
      </c>
      <c r="AC61" s="1">
        <f t="shared" ca="1" si="34"/>
        <v>0</v>
      </c>
      <c r="AD61" s="1">
        <f t="shared" ca="1" si="35"/>
        <v>0</v>
      </c>
      <c r="AE61" s="1">
        <f t="shared" ca="1" si="36"/>
        <v>0</v>
      </c>
      <c r="AF61" s="1">
        <f ca="1">IFERROR(MATCH(ROW()-6,MUSTERILER!$U$7:$U$156,0),"")</f>
        <v>55</v>
      </c>
      <c r="AG61" s="1">
        <f ca="1">IF($B61="",0,SUMIFS(GELIR_GIDER!$G$7:$G$3001,GELIR_GIDER!$T$7:$T$3001,$B61))</f>
        <v>0</v>
      </c>
    </row>
    <row r="62" spans="1:33" ht="18" customHeight="1" x14ac:dyDescent="0.3">
      <c r="A62" s="2"/>
      <c r="B62" s="65" t="str">
        <f ca="1">IF($AF62="","",INDEX(MUSTERILER!$B$7:$B$156,$AF62))</f>
        <v/>
      </c>
      <c r="C62" s="74" t="str">
        <f ca="1">IF($AF62="","",INDEX(MUSTERILER!$C$7:$C$156,$AF62))</f>
        <v/>
      </c>
      <c r="D62" s="68" t="str">
        <f ca="1">IF($B62="","",SUMIFS(UCRETLER!$G$7:$G$606,UCRETLER!$B$7:$B$606,$B62,UCRETLER!$F$7:$F$606,"Haftalık",UCRETLER!$H$7:$H$606,"Aktif"))</f>
        <v/>
      </c>
      <c r="E62" s="68" t="str">
        <f ca="1">IF($B62="","",SUMIFS(UCRETLER!$G$7:$G$606,UCRETLER!$B$7:$B$606,$B62,UCRETLER!$F$7:$F$606,"Aylık",UCRETLER!$H$7:$H$606,"Aktif"))</f>
        <v/>
      </c>
      <c r="F62" s="68" t="str">
        <f ca="1">IF($B62="","",SUMIFS(MUSTERILER!$J$7:$J$156,MUSTERILER!$B$7:$B$156,$B62))</f>
        <v/>
      </c>
      <c r="G62" s="68" t="str">
        <f ca="1">IF($B62="","",SUMIFS(UCRETLER!$I$7:$I$606,UCRETLER!$B$7:$B$606,$B62)+SUMIFS(GELIR_GIDER!$G$7:$G$3001,GELIR_GIDER!$T$7:$T$3001,$B62))</f>
        <v/>
      </c>
      <c r="H62" s="68" t="str">
        <f t="shared" ca="1" si="19"/>
        <v/>
      </c>
      <c r="I62" s="68" t="str">
        <f ca="1">IF($B62="","",SUMIFS(TAHSILAT!$F$7:$F$2503,TAHSILAT!$C$7:$C$2503,$B62))</f>
        <v/>
      </c>
      <c r="J62" s="68" t="str">
        <f t="shared" ca="1" si="20"/>
        <v/>
      </c>
      <c r="K62" s="68" t="str">
        <f t="shared" ca="1" si="21"/>
        <v/>
      </c>
      <c r="L62" s="68" t="str">
        <f t="shared" ca="1" si="22"/>
        <v/>
      </c>
      <c r="M62" s="68" t="str">
        <f t="shared" ca="1" si="23"/>
        <v/>
      </c>
      <c r="N62" s="68" t="str">
        <f t="shared" ca="1" si="24"/>
        <v/>
      </c>
      <c r="O62" s="92" t="str">
        <f t="shared" ca="1" si="25"/>
        <v/>
      </c>
      <c r="P62" s="70" t="str">
        <f ca="1">IF($B62="","",IFERROR(LOOKUP(2,1/(TAHSILAT!$C$7:$C$2503=$B62),TAHSILAT!$E$7:$E$2503),""))</f>
        <v/>
      </c>
      <c r="Q62" s="65" t="str">
        <f t="shared" ca="1" si="26"/>
        <v/>
      </c>
      <c r="R62" s="74" t="str">
        <f t="shared" ca="1" si="27"/>
        <v/>
      </c>
      <c r="S62" s="93" t="str">
        <f t="shared" ca="1" si="28"/>
        <v/>
      </c>
      <c r="T62" s="70" t="str">
        <f ca="1">IF(OR($B62="",$AF62=""),"",IF(INDEX(MUSTERILER!$K$7:$K$156,$AF62)="","",INDEX(MUSTERILER!$K$7:$K$156,$AF62)))</f>
        <v/>
      </c>
      <c r="U62" s="93" t="str">
        <f t="shared" ca="1" si="29"/>
        <v/>
      </c>
      <c r="V62" s="68" t="str">
        <f t="shared" ca="1" si="30"/>
        <v/>
      </c>
      <c r="W62" s="65" t="str">
        <f t="shared" ca="1" si="31"/>
        <v/>
      </c>
      <c r="X62" s="2">
        <f ca="1">IF($B62="",0,SUMIFS(UCRETLER!$J$7:$J$606,UCRETLER!$B$7:$B$606,$B62))</f>
        <v>0</v>
      </c>
      <c r="Y62" s="2">
        <f ca="1">IF($B62="",0,SUMIFS(UCRETLER!$K$7:$K$606,UCRETLER!$B$7:$B$606,$B62))</f>
        <v>0</v>
      </c>
      <c r="Z62" s="1">
        <f ca="1">IF($B62="",0,SUMIFS(UCRETLER!$L$7:$L$606,UCRETLER!$B$7:$B$606,$B62))</f>
        <v>0</v>
      </c>
      <c r="AA62" s="1">
        <f t="shared" ca="1" si="32"/>
        <v>0</v>
      </c>
      <c r="AB62" s="1">
        <f t="shared" ca="1" si="33"/>
        <v>0</v>
      </c>
      <c r="AC62" s="1">
        <f t="shared" ca="1" si="34"/>
        <v>0</v>
      </c>
      <c r="AD62" s="1">
        <f t="shared" ca="1" si="35"/>
        <v>0</v>
      </c>
      <c r="AE62" s="1">
        <f t="shared" ca="1" si="36"/>
        <v>0</v>
      </c>
      <c r="AF62" s="1" t="str">
        <f ca="1">IFERROR(MATCH(ROW()-6,MUSTERILER!$U$7:$U$156,0),"")</f>
        <v/>
      </c>
      <c r="AG62" s="1">
        <f ca="1">IF($B62="",0,SUMIFS(GELIR_GIDER!$G$7:$G$3001,GELIR_GIDER!$T$7:$T$3001,$B62))</f>
        <v>0</v>
      </c>
    </row>
    <row r="63" spans="1:33" ht="18" customHeight="1" x14ac:dyDescent="0.3">
      <c r="A63" s="2"/>
      <c r="B63" s="65" t="str">
        <f ca="1">IF($AF63="","",INDEX(MUSTERILER!$B$7:$B$156,$AF63))</f>
        <v/>
      </c>
      <c r="C63" s="74" t="str">
        <f ca="1">IF($AF63="","",INDEX(MUSTERILER!$C$7:$C$156,$AF63))</f>
        <v/>
      </c>
      <c r="D63" s="68" t="str">
        <f ca="1">IF($B63="","",SUMIFS(UCRETLER!$G$7:$G$606,UCRETLER!$B$7:$B$606,$B63,UCRETLER!$F$7:$F$606,"Haftalık",UCRETLER!$H$7:$H$606,"Aktif"))</f>
        <v/>
      </c>
      <c r="E63" s="68" t="str">
        <f ca="1">IF($B63="","",SUMIFS(UCRETLER!$G$7:$G$606,UCRETLER!$B$7:$B$606,$B63,UCRETLER!$F$7:$F$606,"Aylık",UCRETLER!$H$7:$H$606,"Aktif"))</f>
        <v/>
      </c>
      <c r="F63" s="68" t="str">
        <f ca="1">IF($B63="","",SUMIFS(MUSTERILER!$J$7:$J$156,MUSTERILER!$B$7:$B$156,$B63))</f>
        <v/>
      </c>
      <c r="G63" s="68" t="str">
        <f ca="1">IF($B63="","",SUMIFS(UCRETLER!$I$7:$I$606,UCRETLER!$B$7:$B$606,$B63)+SUMIFS(GELIR_GIDER!$G$7:$G$3001,GELIR_GIDER!$T$7:$T$3001,$B63))</f>
        <v/>
      </c>
      <c r="H63" s="68" t="str">
        <f t="shared" ca="1" si="19"/>
        <v/>
      </c>
      <c r="I63" s="68" t="str">
        <f ca="1">IF($B63="","",SUMIFS(TAHSILAT!$F$7:$F$2503,TAHSILAT!$C$7:$C$2503,$B63))</f>
        <v/>
      </c>
      <c r="J63" s="68" t="str">
        <f t="shared" ca="1" si="20"/>
        <v/>
      </c>
      <c r="K63" s="68" t="str">
        <f t="shared" ca="1" si="21"/>
        <v/>
      </c>
      <c r="L63" s="68" t="str">
        <f t="shared" ca="1" si="22"/>
        <v/>
      </c>
      <c r="M63" s="68" t="str">
        <f t="shared" ca="1" si="23"/>
        <v/>
      </c>
      <c r="N63" s="68" t="str">
        <f t="shared" ca="1" si="24"/>
        <v/>
      </c>
      <c r="O63" s="92" t="str">
        <f t="shared" ca="1" si="25"/>
        <v/>
      </c>
      <c r="P63" s="70" t="str">
        <f ca="1">IF($B63="","",IFERROR(LOOKUP(2,1/(TAHSILAT!$C$7:$C$2503=$B63),TAHSILAT!$E$7:$E$2503),""))</f>
        <v/>
      </c>
      <c r="Q63" s="65" t="str">
        <f t="shared" ca="1" si="26"/>
        <v/>
      </c>
      <c r="R63" s="74" t="str">
        <f t="shared" ca="1" si="27"/>
        <v/>
      </c>
      <c r="S63" s="93" t="str">
        <f t="shared" ca="1" si="28"/>
        <v/>
      </c>
      <c r="T63" s="70" t="str">
        <f ca="1">IF(OR($B63="",$AF63=""),"",IF(INDEX(MUSTERILER!$K$7:$K$156,$AF63)="","",INDEX(MUSTERILER!$K$7:$K$156,$AF63)))</f>
        <v/>
      </c>
      <c r="U63" s="93" t="str">
        <f t="shared" ca="1" si="29"/>
        <v/>
      </c>
      <c r="V63" s="68" t="str">
        <f t="shared" ca="1" si="30"/>
        <v/>
      </c>
      <c r="W63" s="65" t="str">
        <f t="shared" ca="1" si="31"/>
        <v/>
      </c>
      <c r="X63" s="2">
        <f ca="1">IF($B63="",0,SUMIFS(UCRETLER!$J$7:$J$606,UCRETLER!$B$7:$B$606,$B63))</f>
        <v>0</v>
      </c>
      <c r="Y63" s="2">
        <f ca="1">IF($B63="",0,SUMIFS(UCRETLER!$K$7:$K$606,UCRETLER!$B$7:$B$606,$B63))</f>
        <v>0</v>
      </c>
      <c r="Z63" s="1">
        <f ca="1">IF($B63="",0,SUMIFS(UCRETLER!$L$7:$L$606,UCRETLER!$B$7:$B$606,$B63))</f>
        <v>0</v>
      </c>
      <c r="AA63" s="1">
        <f t="shared" ca="1" si="32"/>
        <v>0</v>
      </c>
      <c r="AB63" s="1">
        <f t="shared" ca="1" si="33"/>
        <v>0</v>
      </c>
      <c r="AC63" s="1">
        <f t="shared" ca="1" si="34"/>
        <v>0</v>
      </c>
      <c r="AD63" s="1">
        <f t="shared" ca="1" si="35"/>
        <v>0</v>
      </c>
      <c r="AE63" s="1">
        <f t="shared" ca="1" si="36"/>
        <v>0</v>
      </c>
      <c r="AF63" s="1" t="str">
        <f ca="1">IFERROR(MATCH(ROW()-6,MUSTERILER!$U$7:$U$156,0),"")</f>
        <v/>
      </c>
      <c r="AG63" s="1">
        <f ca="1">IF($B63="",0,SUMIFS(GELIR_GIDER!$G$7:$G$3001,GELIR_GIDER!$T$7:$T$3001,$B63))</f>
        <v>0</v>
      </c>
    </row>
    <row r="64" spans="1:33" ht="18" customHeight="1" x14ac:dyDescent="0.3">
      <c r="A64" s="2"/>
      <c r="B64" s="65" t="str">
        <f ca="1">IF($AF64="","",INDEX(MUSTERILER!$B$7:$B$156,$AF64))</f>
        <v/>
      </c>
      <c r="C64" s="74" t="str">
        <f ca="1">IF($AF64="","",INDEX(MUSTERILER!$C$7:$C$156,$AF64))</f>
        <v/>
      </c>
      <c r="D64" s="68" t="str">
        <f ca="1">IF($B64="","",SUMIFS(UCRETLER!$G$7:$G$606,UCRETLER!$B$7:$B$606,$B64,UCRETLER!$F$7:$F$606,"Haftalık",UCRETLER!$H$7:$H$606,"Aktif"))</f>
        <v/>
      </c>
      <c r="E64" s="68" t="str">
        <f ca="1">IF($B64="","",SUMIFS(UCRETLER!$G$7:$G$606,UCRETLER!$B$7:$B$606,$B64,UCRETLER!$F$7:$F$606,"Aylık",UCRETLER!$H$7:$H$606,"Aktif"))</f>
        <v/>
      </c>
      <c r="F64" s="68" t="str">
        <f ca="1">IF($B64="","",SUMIFS(MUSTERILER!$J$7:$J$156,MUSTERILER!$B$7:$B$156,$B64))</f>
        <v/>
      </c>
      <c r="G64" s="68" t="str">
        <f ca="1">IF($B64="","",SUMIFS(UCRETLER!$I$7:$I$606,UCRETLER!$B$7:$B$606,$B64)+SUMIFS(GELIR_GIDER!$G$7:$G$3001,GELIR_GIDER!$T$7:$T$3001,$B64))</f>
        <v/>
      </c>
      <c r="H64" s="68" t="str">
        <f t="shared" ca="1" si="19"/>
        <v/>
      </c>
      <c r="I64" s="68" t="str">
        <f ca="1">IF($B64="","",SUMIFS(TAHSILAT!$F$7:$F$2503,TAHSILAT!$C$7:$C$2503,$B64))</f>
        <v/>
      </c>
      <c r="J64" s="68" t="str">
        <f t="shared" ca="1" si="20"/>
        <v/>
      </c>
      <c r="K64" s="68" t="str">
        <f t="shared" ca="1" si="21"/>
        <v/>
      </c>
      <c r="L64" s="68" t="str">
        <f t="shared" ca="1" si="22"/>
        <v/>
      </c>
      <c r="M64" s="68" t="str">
        <f t="shared" ca="1" si="23"/>
        <v/>
      </c>
      <c r="N64" s="68" t="str">
        <f t="shared" ca="1" si="24"/>
        <v/>
      </c>
      <c r="O64" s="92" t="str">
        <f t="shared" ca="1" si="25"/>
        <v/>
      </c>
      <c r="P64" s="70" t="str">
        <f ca="1">IF($B64="","",IFERROR(LOOKUP(2,1/(TAHSILAT!$C$7:$C$2503=$B64),TAHSILAT!$E$7:$E$2503),""))</f>
        <v/>
      </c>
      <c r="Q64" s="65" t="str">
        <f t="shared" ca="1" si="26"/>
        <v/>
      </c>
      <c r="R64" s="74" t="str">
        <f t="shared" ca="1" si="27"/>
        <v/>
      </c>
      <c r="S64" s="93" t="str">
        <f t="shared" ca="1" si="28"/>
        <v/>
      </c>
      <c r="T64" s="70" t="str">
        <f ca="1">IF(OR($B64="",$AF64=""),"",IF(INDEX(MUSTERILER!$K$7:$K$156,$AF64)="","",INDEX(MUSTERILER!$K$7:$K$156,$AF64)))</f>
        <v/>
      </c>
      <c r="U64" s="93" t="str">
        <f t="shared" ca="1" si="29"/>
        <v/>
      </c>
      <c r="V64" s="68" t="str">
        <f t="shared" ca="1" si="30"/>
        <v/>
      </c>
      <c r="W64" s="65" t="str">
        <f t="shared" ca="1" si="31"/>
        <v/>
      </c>
      <c r="X64" s="2">
        <f ca="1">IF($B64="",0,SUMIFS(UCRETLER!$J$7:$J$606,UCRETLER!$B$7:$B$606,$B64))</f>
        <v>0</v>
      </c>
      <c r="Y64" s="2">
        <f ca="1">IF($B64="",0,SUMIFS(UCRETLER!$K$7:$K$606,UCRETLER!$B$7:$B$606,$B64))</f>
        <v>0</v>
      </c>
      <c r="Z64" s="1">
        <f ca="1">IF($B64="",0,SUMIFS(UCRETLER!$L$7:$L$606,UCRETLER!$B$7:$B$606,$B64))</f>
        <v>0</v>
      </c>
      <c r="AA64" s="1">
        <f t="shared" ca="1" si="32"/>
        <v>0</v>
      </c>
      <c r="AB64" s="1">
        <f t="shared" ca="1" si="33"/>
        <v>0</v>
      </c>
      <c r="AC64" s="1">
        <f t="shared" ca="1" si="34"/>
        <v>0</v>
      </c>
      <c r="AD64" s="1">
        <f t="shared" ca="1" si="35"/>
        <v>0</v>
      </c>
      <c r="AE64" s="1">
        <f t="shared" ca="1" si="36"/>
        <v>0</v>
      </c>
      <c r="AF64" s="1" t="str">
        <f ca="1">IFERROR(MATCH(ROW()-6,MUSTERILER!$U$7:$U$156,0),"")</f>
        <v/>
      </c>
      <c r="AG64" s="1">
        <f ca="1">IF($B64="",0,SUMIFS(GELIR_GIDER!$G$7:$G$3001,GELIR_GIDER!$T$7:$T$3001,$B64))</f>
        <v>0</v>
      </c>
    </row>
    <row r="65" spans="1:33" ht="18" customHeight="1" x14ac:dyDescent="0.3">
      <c r="A65" s="2"/>
      <c r="B65" s="65" t="str">
        <f ca="1">IF($AF65="","",INDEX(MUSTERILER!$B$7:$B$156,$AF65))</f>
        <v/>
      </c>
      <c r="C65" s="74" t="str">
        <f ca="1">IF($AF65="","",INDEX(MUSTERILER!$C$7:$C$156,$AF65))</f>
        <v/>
      </c>
      <c r="D65" s="68" t="str">
        <f ca="1">IF($B65="","",SUMIFS(UCRETLER!$G$7:$G$606,UCRETLER!$B$7:$B$606,$B65,UCRETLER!$F$7:$F$606,"Haftalık",UCRETLER!$H$7:$H$606,"Aktif"))</f>
        <v/>
      </c>
      <c r="E65" s="68" t="str">
        <f ca="1">IF($B65="","",SUMIFS(UCRETLER!$G$7:$G$606,UCRETLER!$B$7:$B$606,$B65,UCRETLER!$F$7:$F$606,"Aylık",UCRETLER!$H$7:$H$606,"Aktif"))</f>
        <v/>
      </c>
      <c r="F65" s="68" t="str">
        <f ca="1">IF($B65="","",SUMIFS(MUSTERILER!$J$7:$J$156,MUSTERILER!$B$7:$B$156,$B65))</f>
        <v/>
      </c>
      <c r="G65" s="68" t="str">
        <f ca="1">IF($B65="","",SUMIFS(UCRETLER!$I$7:$I$606,UCRETLER!$B$7:$B$606,$B65)+SUMIFS(GELIR_GIDER!$G$7:$G$3001,GELIR_GIDER!$T$7:$T$3001,$B65))</f>
        <v/>
      </c>
      <c r="H65" s="68" t="str">
        <f t="shared" ca="1" si="19"/>
        <v/>
      </c>
      <c r="I65" s="68" t="str">
        <f ca="1">IF($B65="","",SUMIFS(TAHSILAT!$F$7:$F$2503,TAHSILAT!$C$7:$C$2503,$B65))</f>
        <v/>
      </c>
      <c r="J65" s="68" t="str">
        <f t="shared" ca="1" si="20"/>
        <v/>
      </c>
      <c r="K65" s="68" t="str">
        <f t="shared" ca="1" si="21"/>
        <v/>
      </c>
      <c r="L65" s="68" t="str">
        <f t="shared" ca="1" si="22"/>
        <v/>
      </c>
      <c r="M65" s="68" t="str">
        <f t="shared" ca="1" si="23"/>
        <v/>
      </c>
      <c r="N65" s="68" t="str">
        <f t="shared" ca="1" si="24"/>
        <v/>
      </c>
      <c r="O65" s="92" t="str">
        <f t="shared" ca="1" si="25"/>
        <v/>
      </c>
      <c r="P65" s="70" t="str">
        <f ca="1">IF($B65="","",IFERROR(LOOKUP(2,1/(TAHSILAT!$C$7:$C$2503=$B65),TAHSILAT!$E$7:$E$2503),""))</f>
        <v/>
      </c>
      <c r="Q65" s="65" t="str">
        <f t="shared" ca="1" si="26"/>
        <v/>
      </c>
      <c r="R65" s="74" t="str">
        <f t="shared" ca="1" si="27"/>
        <v/>
      </c>
      <c r="S65" s="93" t="str">
        <f t="shared" ca="1" si="28"/>
        <v/>
      </c>
      <c r="T65" s="70" t="str">
        <f ca="1">IF(OR($B65="",$AF65=""),"",IF(INDEX(MUSTERILER!$K$7:$K$156,$AF65)="","",INDEX(MUSTERILER!$K$7:$K$156,$AF65)))</f>
        <v/>
      </c>
      <c r="U65" s="93" t="str">
        <f t="shared" ca="1" si="29"/>
        <v/>
      </c>
      <c r="V65" s="68" t="str">
        <f t="shared" ca="1" si="30"/>
        <v/>
      </c>
      <c r="W65" s="65" t="str">
        <f t="shared" ca="1" si="31"/>
        <v/>
      </c>
      <c r="X65" s="2">
        <f ca="1">IF($B65="",0,SUMIFS(UCRETLER!$J$7:$J$606,UCRETLER!$B$7:$B$606,$B65))</f>
        <v>0</v>
      </c>
      <c r="Y65" s="2">
        <f ca="1">IF($B65="",0,SUMIFS(UCRETLER!$K$7:$K$606,UCRETLER!$B$7:$B$606,$B65))</f>
        <v>0</v>
      </c>
      <c r="Z65" s="1">
        <f ca="1">IF($B65="",0,SUMIFS(UCRETLER!$L$7:$L$606,UCRETLER!$B$7:$B$606,$B65))</f>
        <v>0</v>
      </c>
      <c r="AA65" s="1">
        <f t="shared" ca="1" si="32"/>
        <v>0</v>
      </c>
      <c r="AB65" s="1">
        <f t="shared" ca="1" si="33"/>
        <v>0</v>
      </c>
      <c r="AC65" s="1">
        <f t="shared" ca="1" si="34"/>
        <v>0</v>
      </c>
      <c r="AD65" s="1">
        <f t="shared" ca="1" si="35"/>
        <v>0</v>
      </c>
      <c r="AE65" s="1">
        <f t="shared" ca="1" si="36"/>
        <v>0</v>
      </c>
      <c r="AF65" s="1" t="str">
        <f ca="1">IFERROR(MATCH(ROW()-6,MUSTERILER!$U$7:$U$156,0),"")</f>
        <v/>
      </c>
      <c r="AG65" s="1">
        <f ca="1">IF($B65="",0,SUMIFS(GELIR_GIDER!$G$7:$G$3001,GELIR_GIDER!$T$7:$T$3001,$B65))</f>
        <v>0</v>
      </c>
    </row>
    <row r="66" spans="1:33" ht="18" customHeight="1" x14ac:dyDescent="0.3">
      <c r="A66" s="2"/>
      <c r="B66" s="65" t="str">
        <f ca="1">IF($AF66="","",INDEX(MUSTERILER!$B$7:$B$156,$AF66))</f>
        <v/>
      </c>
      <c r="C66" s="74" t="str">
        <f ca="1">IF($AF66="","",INDEX(MUSTERILER!$C$7:$C$156,$AF66))</f>
        <v/>
      </c>
      <c r="D66" s="68" t="str">
        <f ca="1">IF($B66="","",SUMIFS(UCRETLER!$G$7:$G$606,UCRETLER!$B$7:$B$606,$B66,UCRETLER!$F$7:$F$606,"Haftalık",UCRETLER!$H$7:$H$606,"Aktif"))</f>
        <v/>
      </c>
      <c r="E66" s="68" t="str">
        <f ca="1">IF($B66="","",SUMIFS(UCRETLER!$G$7:$G$606,UCRETLER!$B$7:$B$606,$B66,UCRETLER!$F$7:$F$606,"Aylık",UCRETLER!$H$7:$H$606,"Aktif"))</f>
        <v/>
      </c>
      <c r="F66" s="68" t="str">
        <f ca="1">IF($B66="","",SUMIFS(MUSTERILER!$J$7:$J$156,MUSTERILER!$B$7:$B$156,$B66))</f>
        <v/>
      </c>
      <c r="G66" s="68" t="str">
        <f ca="1">IF($B66="","",SUMIFS(UCRETLER!$I$7:$I$606,UCRETLER!$B$7:$B$606,$B66)+SUMIFS(GELIR_GIDER!$G$7:$G$3001,GELIR_GIDER!$T$7:$T$3001,$B66))</f>
        <v/>
      </c>
      <c r="H66" s="68" t="str">
        <f t="shared" ca="1" si="19"/>
        <v/>
      </c>
      <c r="I66" s="68" t="str">
        <f ca="1">IF($B66="","",SUMIFS(TAHSILAT!$F$7:$F$2503,TAHSILAT!$C$7:$C$2503,$B66))</f>
        <v/>
      </c>
      <c r="J66" s="68" t="str">
        <f t="shared" ca="1" si="20"/>
        <v/>
      </c>
      <c r="K66" s="68" t="str">
        <f t="shared" ca="1" si="21"/>
        <v/>
      </c>
      <c r="L66" s="68" t="str">
        <f t="shared" ca="1" si="22"/>
        <v/>
      </c>
      <c r="M66" s="68" t="str">
        <f t="shared" ca="1" si="23"/>
        <v/>
      </c>
      <c r="N66" s="68" t="str">
        <f t="shared" ca="1" si="24"/>
        <v/>
      </c>
      <c r="O66" s="92" t="str">
        <f t="shared" ca="1" si="25"/>
        <v/>
      </c>
      <c r="P66" s="70" t="str">
        <f ca="1">IF($B66="","",IFERROR(LOOKUP(2,1/(TAHSILAT!$C$7:$C$2503=$B66),TAHSILAT!$E$7:$E$2503),""))</f>
        <v/>
      </c>
      <c r="Q66" s="65" t="str">
        <f t="shared" ca="1" si="26"/>
        <v/>
      </c>
      <c r="R66" s="74" t="str">
        <f t="shared" ca="1" si="27"/>
        <v/>
      </c>
      <c r="S66" s="93" t="str">
        <f t="shared" ca="1" si="28"/>
        <v/>
      </c>
      <c r="T66" s="70" t="str">
        <f ca="1">IF(OR($B66="",$AF66=""),"",IF(INDEX(MUSTERILER!$K$7:$K$156,$AF66)="","",INDEX(MUSTERILER!$K$7:$K$156,$AF66)))</f>
        <v/>
      </c>
      <c r="U66" s="93" t="str">
        <f t="shared" ca="1" si="29"/>
        <v/>
      </c>
      <c r="V66" s="68" t="str">
        <f t="shared" ca="1" si="30"/>
        <v/>
      </c>
      <c r="W66" s="65" t="str">
        <f t="shared" ca="1" si="31"/>
        <v/>
      </c>
      <c r="X66" s="2">
        <f ca="1">IF($B66="",0,SUMIFS(UCRETLER!$J$7:$J$606,UCRETLER!$B$7:$B$606,$B66))</f>
        <v>0</v>
      </c>
      <c r="Y66" s="2">
        <f ca="1">IF($B66="",0,SUMIFS(UCRETLER!$K$7:$K$606,UCRETLER!$B$7:$B$606,$B66))</f>
        <v>0</v>
      </c>
      <c r="Z66" s="1">
        <f ca="1">IF($B66="",0,SUMIFS(UCRETLER!$L$7:$L$606,UCRETLER!$B$7:$B$606,$B66))</f>
        <v>0</v>
      </c>
      <c r="AA66" s="1">
        <f t="shared" ca="1" si="32"/>
        <v>0</v>
      </c>
      <c r="AB66" s="1">
        <f t="shared" ca="1" si="33"/>
        <v>0</v>
      </c>
      <c r="AC66" s="1">
        <f t="shared" ca="1" si="34"/>
        <v>0</v>
      </c>
      <c r="AD66" s="1">
        <f t="shared" ca="1" si="35"/>
        <v>0</v>
      </c>
      <c r="AE66" s="1">
        <f t="shared" ca="1" si="36"/>
        <v>0</v>
      </c>
      <c r="AF66" s="1" t="str">
        <f ca="1">IFERROR(MATCH(ROW()-6,MUSTERILER!$U$7:$U$156,0),"")</f>
        <v/>
      </c>
      <c r="AG66" s="1">
        <f ca="1">IF($B66="",0,SUMIFS(GELIR_GIDER!$G$7:$G$3001,GELIR_GIDER!$T$7:$T$3001,$B66))</f>
        <v>0</v>
      </c>
    </row>
    <row r="67" spans="1:33" ht="18" customHeight="1" x14ac:dyDescent="0.3">
      <c r="A67" s="2"/>
      <c r="B67" s="65" t="str">
        <f ca="1">IF($AF67="","",INDEX(MUSTERILER!$B$7:$B$156,$AF67))</f>
        <v/>
      </c>
      <c r="C67" s="74" t="str">
        <f ca="1">IF($AF67="","",INDEX(MUSTERILER!$C$7:$C$156,$AF67))</f>
        <v/>
      </c>
      <c r="D67" s="68" t="str">
        <f ca="1">IF($B67="","",SUMIFS(UCRETLER!$G$7:$G$606,UCRETLER!$B$7:$B$606,$B67,UCRETLER!$F$7:$F$606,"Haftalık",UCRETLER!$H$7:$H$606,"Aktif"))</f>
        <v/>
      </c>
      <c r="E67" s="68" t="str">
        <f ca="1">IF($B67="","",SUMIFS(UCRETLER!$G$7:$G$606,UCRETLER!$B$7:$B$606,$B67,UCRETLER!$F$7:$F$606,"Aylık",UCRETLER!$H$7:$H$606,"Aktif"))</f>
        <v/>
      </c>
      <c r="F67" s="68" t="str">
        <f ca="1">IF($B67="","",SUMIFS(MUSTERILER!$J$7:$J$156,MUSTERILER!$B$7:$B$156,$B67))</f>
        <v/>
      </c>
      <c r="G67" s="68" t="str">
        <f ca="1">IF($B67="","",SUMIFS(UCRETLER!$I$7:$I$606,UCRETLER!$B$7:$B$606,$B67)+SUMIFS(GELIR_GIDER!$G$7:$G$3001,GELIR_GIDER!$T$7:$T$3001,$B67))</f>
        <v/>
      </c>
      <c r="H67" s="68" t="str">
        <f t="shared" ca="1" si="19"/>
        <v/>
      </c>
      <c r="I67" s="68" t="str">
        <f ca="1">IF($B67="","",SUMIFS(TAHSILAT!$F$7:$F$2503,TAHSILAT!$C$7:$C$2503,$B67))</f>
        <v/>
      </c>
      <c r="J67" s="68" t="str">
        <f t="shared" ca="1" si="20"/>
        <v/>
      </c>
      <c r="K67" s="68" t="str">
        <f t="shared" ca="1" si="21"/>
        <v/>
      </c>
      <c r="L67" s="68" t="str">
        <f t="shared" ca="1" si="22"/>
        <v/>
      </c>
      <c r="M67" s="68" t="str">
        <f t="shared" ca="1" si="23"/>
        <v/>
      </c>
      <c r="N67" s="68" t="str">
        <f t="shared" ca="1" si="24"/>
        <v/>
      </c>
      <c r="O67" s="92" t="str">
        <f t="shared" ca="1" si="25"/>
        <v/>
      </c>
      <c r="P67" s="70" t="str">
        <f ca="1">IF($B67="","",IFERROR(LOOKUP(2,1/(TAHSILAT!$C$7:$C$2503=$B67),TAHSILAT!$E$7:$E$2503),""))</f>
        <v/>
      </c>
      <c r="Q67" s="65" t="str">
        <f t="shared" ca="1" si="26"/>
        <v/>
      </c>
      <c r="R67" s="74" t="str">
        <f t="shared" ca="1" si="27"/>
        <v/>
      </c>
      <c r="S67" s="93" t="str">
        <f t="shared" ca="1" si="28"/>
        <v/>
      </c>
      <c r="T67" s="70" t="str">
        <f ca="1">IF(OR($B67="",$AF67=""),"",IF(INDEX(MUSTERILER!$K$7:$K$156,$AF67)="","",INDEX(MUSTERILER!$K$7:$K$156,$AF67)))</f>
        <v/>
      </c>
      <c r="U67" s="93" t="str">
        <f t="shared" ca="1" si="29"/>
        <v/>
      </c>
      <c r="V67" s="68" t="str">
        <f t="shared" ca="1" si="30"/>
        <v/>
      </c>
      <c r="W67" s="65" t="str">
        <f t="shared" ca="1" si="31"/>
        <v/>
      </c>
      <c r="X67" s="2">
        <f ca="1">IF($B67="",0,SUMIFS(UCRETLER!$J$7:$J$606,UCRETLER!$B$7:$B$606,$B67))</f>
        <v>0</v>
      </c>
      <c r="Y67" s="2">
        <f ca="1">IF($B67="",0,SUMIFS(UCRETLER!$K$7:$K$606,UCRETLER!$B$7:$B$606,$B67))</f>
        <v>0</v>
      </c>
      <c r="Z67" s="1">
        <f ca="1">IF($B67="",0,SUMIFS(UCRETLER!$L$7:$L$606,UCRETLER!$B$7:$B$606,$B67))</f>
        <v>0</v>
      </c>
      <c r="AA67" s="1">
        <f t="shared" ca="1" si="32"/>
        <v>0</v>
      </c>
      <c r="AB67" s="1">
        <f t="shared" ca="1" si="33"/>
        <v>0</v>
      </c>
      <c r="AC67" s="1">
        <f t="shared" ca="1" si="34"/>
        <v>0</v>
      </c>
      <c r="AD67" s="1">
        <f t="shared" ca="1" si="35"/>
        <v>0</v>
      </c>
      <c r="AE67" s="1">
        <f t="shared" ca="1" si="36"/>
        <v>0</v>
      </c>
      <c r="AF67" s="1" t="str">
        <f ca="1">IFERROR(MATCH(ROW()-6,MUSTERILER!$U$7:$U$156,0),"")</f>
        <v/>
      </c>
      <c r="AG67" s="1">
        <f ca="1">IF($B67="",0,SUMIFS(GELIR_GIDER!$G$7:$G$3001,GELIR_GIDER!$T$7:$T$3001,$B67))</f>
        <v>0</v>
      </c>
    </row>
    <row r="68" spans="1:33" ht="18" customHeight="1" x14ac:dyDescent="0.3">
      <c r="A68" s="2"/>
      <c r="B68" s="65" t="str">
        <f ca="1">IF($AF68="","",INDEX(MUSTERILER!$B$7:$B$156,$AF68))</f>
        <v/>
      </c>
      <c r="C68" s="74" t="str">
        <f ca="1">IF($AF68="","",INDEX(MUSTERILER!$C$7:$C$156,$AF68))</f>
        <v/>
      </c>
      <c r="D68" s="68" t="str">
        <f ca="1">IF($B68="","",SUMIFS(UCRETLER!$G$7:$G$606,UCRETLER!$B$7:$B$606,$B68,UCRETLER!$F$7:$F$606,"Haftalık",UCRETLER!$H$7:$H$606,"Aktif"))</f>
        <v/>
      </c>
      <c r="E68" s="68" t="str">
        <f ca="1">IF($B68="","",SUMIFS(UCRETLER!$G$7:$G$606,UCRETLER!$B$7:$B$606,$B68,UCRETLER!$F$7:$F$606,"Aylık",UCRETLER!$H$7:$H$606,"Aktif"))</f>
        <v/>
      </c>
      <c r="F68" s="68" t="str">
        <f ca="1">IF($B68="","",SUMIFS(MUSTERILER!$J$7:$J$156,MUSTERILER!$B$7:$B$156,$B68))</f>
        <v/>
      </c>
      <c r="G68" s="68" t="str">
        <f ca="1">IF($B68="","",SUMIFS(UCRETLER!$I$7:$I$606,UCRETLER!$B$7:$B$606,$B68)+SUMIFS(GELIR_GIDER!$G$7:$G$3001,GELIR_GIDER!$T$7:$T$3001,$B68))</f>
        <v/>
      </c>
      <c r="H68" s="68" t="str">
        <f t="shared" ca="1" si="19"/>
        <v/>
      </c>
      <c r="I68" s="68" t="str">
        <f ca="1">IF($B68="","",SUMIFS(TAHSILAT!$F$7:$F$2503,TAHSILAT!$C$7:$C$2503,$B68))</f>
        <v/>
      </c>
      <c r="J68" s="68" t="str">
        <f t="shared" ca="1" si="20"/>
        <v/>
      </c>
      <c r="K68" s="68" t="str">
        <f t="shared" ca="1" si="21"/>
        <v/>
      </c>
      <c r="L68" s="68" t="str">
        <f t="shared" ca="1" si="22"/>
        <v/>
      </c>
      <c r="M68" s="68" t="str">
        <f t="shared" ca="1" si="23"/>
        <v/>
      </c>
      <c r="N68" s="68" t="str">
        <f t="shared" ca="1" si="24"/>
        <v/>
      </c>
      <c r="O68" s="92" t="str">
        <f t="shared" ca="1" si="25"/>
        <v/>
      </c>
      <c r="P68" s="70" t="str">
        <f ca="1">IF($B68="","",IFERROR(LOOKUP(2,1/(TAHSILAT!$C$7:$C$2503=$B68),TAHSILAT!$E$7:$E$2503),""))</f>
        <v/>
      </c>
      <c r="Q68" s="65" t="str">
        <f t="shared" ca="1" si="26"/>
        <v/>
      </c>
      <c r="R68" s="74" t="str">
        <f t="shared" ca="1" si="27"/>
        <v/>
      </c>
      <c r="S68" s="93" t="str">
        <f t="shared" ca="1" si="28"/>
        <v/>
      </c>
      <c r="T68" s="70" t="str">
        <f ca="1">IF(OR($B68="",$AF68=""),"",IF(INDEX(MUSTERILER!$K$7:$K$156,$AF68)="","",INDEX(MUSTERILER!$K$7:$K$156,$AF68)))</f>
        <v/>
      </c>
      <c r="U68" s="93" t="str">
        <f t="shared" ca="1" si="29"/>
        <v/>
      </c>
      <c r="V68" s="68" t="str">
        <f t="shared" ca="1" si="30"/>
        <v/>
      </c>
      <c r="W68" s="65" t="str">
        <f t="shared" ca="1" si="31"/>
        <v/>
      </c>
      <c r="X68" s="2">
        <f ca="1">IF($B68="",0,SUMIFS(UCRETLER!$J$7:$J$606,UCRETLER!$B$7:$B$606,$B68))</f>
        <v>0</v>
      </c>
      <c r="Y68" s="2">
        <f ca="1">IF($B68="",0,SUMIFS(UCRETLER!$K$7:$K$606,UCRETLER!$B$7:$B$606,$B68))</f>
        <v>0</v>
      </c>
      <c r="Z68" s="1">
        <f ca="1">IF($B68="",0,SUMIFS(UCRETLER!$L$7:$L$606,UCRETLER!$B$7:$B$606,$B68))</f>
        <v>0</v>
      </c>
      <c r="AA68" s="1">
        <f t="shared" ca="1" si="32"/>
        <v>0</v>
      </c>
      <c r="AB68" s="1">
        <f t="shared" ca="1" si="33"/>
        <v>0</v>
      </c>
      <c r="AC68" s="1">
        <f t="shared" ca="1" si="34"/>
        <v>0</v>
      </c>
      <c r="AD68" s="1">
        <f t="shared" ca="1" si="35"/>
        <v>0</v>
      </c>
      <c r="AE68" s="1">
        <f t="shared" ca="1" si="36"/>
        <v>0</v>
      </c>
      <c r="AF68" s="1" t="str">
        <f ca="1">IFERROR(MATCH(ROW()-6,MUSTERILER!$U$7:$U$156,0),"")</f>
        <v/>
      </c>
      <c r="AG68" s="1">
        <f ca="1">IF($B68="",0,SUMIFS(GELIR_GIDER!$G$7:$G$3001,GELIR_GIDER!$T$7:$T$3001,$B68))</f>
        <v>0</v>
      </c>
    </row>
    <row r="69" spans="1:33" ht="18" customHeight="1" x14ac:dyDescent="0.3">
      <c r="A69" s="2"/>
      <c r="B69" s="65" t="str">
        <f ca="1">IF($AF69="","",INDEX(MUSTERILER!$B$7:$B$156,$AF69))</f>
        <v/>
      </c>
      <c r="C69" s="74" t="str">
        <f ca="1">IF($AF69="","",INDEX(MUSTERILER!$C$7:$C$156,$AF69))</f>
        <v/>
      </c>
      <c r="D69" s="68" t="str">
        <f ca="1">IF($B69="","",SUMIFS(UCRETLER!$G$7:$G$606,UCRETLER!$B$7:$B$606,$B69,UCRETLER!$F$7:$F$606,"Haftalık",UCRETLER!$H$7:$H$606,"Aktif"))</f>
        <v/>
      </c>
      <c r="E69" s="68" t="str">
        <f ca="1">IF($B69="","",SUMIFS(UCRETLER!$G$7:$G$606,UCRETLER!$B$7:$B$606,$B69,UCRETLER!$F$7:$F$606,"Aylık",UCRETLER!$H$7:$H$606,"Aktif"))</f>
        <v/>
      </c>
      <c r="F69" s="68" t="str">
        <f ca="1">IF($B69="","",SUMIFS(MUSTERILER!$J$7:$J$156,MUSTERILER!$B$7:$B$156,$B69))</f>
        <v/>
      </c>
      <c r="G69" s="68" t="str">
        <f ca="1">IF($B69="","",SUMIFS(UCRETLER!$I$7:$I$606,UCRETLER!$B$7:$B$606,$B69)+SUMIFS(GELIR_GIDER!$G$7:$G$3001,GELIR_GIDER!$T$7:$T$3001,$B69))</f>
        <v/>
      </c>
      <c r="H69" s="68" t="str">
        <f t="shared" ca="1" si="19"/>
        <v/>
      </c>
      <c r="I69" s="68" t="str">
        <f ca="1">IF($B69="","",SUMIFS(TAHSILAT!$F$7:$F$2503,TAHSILAT!$C$7:$C$2503,$B69))</f>
        <v/>
      </c>
      <c r="J69" s="68" t="str">
        <f t="shared" ca="1" si="20"/>
        <v/>
      </c>
      <c r="K69" s="68" t="str">
        <f t="shared" ca="1" si="21"/>
        <v/>
      </c>
      <c r="L69" s="68" t="str">
        <f t="shared" ca="1" si="22"/>
        <v/>
      </c>
      <c r="M69" s="68" t="str">
        <f t="shared" ca="1" si="23"/>
        <v/>
      </c>
      <c r="N69" s="68" t="str">
        <f t="shared" ca="1" si="24"/>
        <v/>
      </c>
      <c r="O69" s="92" t="str">
        <f t="shared" ca="1" si="25"/>
        <v/>
      </c>
      <c r="P69" s="70" t="str">
        <f ca="1">IF($B69="","",IFERROR(LOOKUP(2,1/(TAHSILAT!$C$7:$C$2503=$B69),TAHSILAT!$E$7:$E$2503),""))</f>
        <v/>
      </c>
      <c r="Q69" s="65" t="str">
        <f t="shared" ca="1" si="26"/>
        <v/>
      </c>
      <c r="R69" s="74" t="str">
        <f t="shared" ca="1" si="27"/>
        <v/>
      </c>
      <c r="S69" s="93" t="str">
        <f t="shared" ca="1" si="28"/>
        <v/>
      </c>
      <c r="T69" s="70" t="str">
        <f ca="1">IF(OR($B69="",$AF69=""),"",IF(INDEX(MUSTERILER!$K$7:$K$156,$AF69)="","",INDEX(MUSTERILER!$K$7:$K$156,$AF69)))</f>
        <v/>
      </c>
      <c r="U69" s="93" t="str">
        <f t="shared" ca="1" si="29"/>
        <v/>
      </c>
      <c r="V69" s="68" t="str">
        <f t="shared" ca="1" si="30"/>
        <v/>
      </c>
      <c r="W69" s="65" t="str">
        <f t="shared" ca="1" si="31"/>
        <v/>
      </c>
      <c r="X69" s="2">
        <f ca="1">IF($B69="",0,SUMIFS(UCRETLER!$J$7:$J$606,UCRETLER!$B$7:$B$606,$B69))</f>
        <v>0</v>
      </c>
      <c r="Y69" s="2">
        <f ca="1">IF($B69="",0,SUMIFS(UCRETLER!$K$7:$K$606,UCRETLER!$B$7:$B$606,$B69))</f>
        <v>0</v>
      </c>
      <c r="Z69" s="1">
        <f ca="1">IF($B69="",0,SUMIFS(UCRETLER!$L$7:$L$606,UCRETLER!$B$7:$B$606,$B69))</f>
        <v>0</v>
      </c>
      <c r="AA69" s="1">
        <f t="shared" ca="1" si="32"/>
        <v>0</v>
      </c>
      <c r="AB69" s="1">
        <f t="shared" ca="1" si="33"/>
        <v>0</v>
      </c>
      <c r="AC69" s="1">
        <f t="shared" ca="1" si="34"/>
        <v>0</v>
      </c>
      <c r="AD69" s="1">
        <f t="shared" ca="1" si="35"/>
        <v>0</v>
      </c>
      <c r="AE69" s="1">
        <f t="shared" ca="1" si="36"/>
        <v>0</v>
      </c>
      <c r="AF69" s="1" t="str">
        <f ca="1">IFERROR(MATCH(ROW()-6,MUSTERILER!$U$7:$U$156,0),"")</f>
        <v/>
      </c>
      <c r="AG69" s="1">
        <f ca="1">IF($B69="",0,SUMIFS(GELIR_GIDER!$G$7:$G$3001,GELIR_GIDER!$T$7:$T$3001,$B69))</f>
        <v>0</v>
      </c>
    </row>
    <row r="70" spans="1:33" ht="18" customHeight="1" x14ac:dyDescent="0.3">
      <c r="A70" s="2"/>
      <c r="B70" s="65" t="str">
        <f ca="1">IF($AF70="","",INDEX(MUSTERILER!$B$7:$B$156,$AF70))</f>
        <v/>
      </c>
      <c r="C70" s="74" t="str">
        <f ca="1">IF($AF70="","",INDEX(MUSTERILER!$C$7:$C$156,$AF70))</f>
        <v/>
      </c>
      <c r="D70" s="68" t="str">
        <f ca="1">IF($B70="","",SUMIFS(UCRETLER!$G$7:$G$606,UCRETLER!$B$7:$B$606,$B70,UCRETLER!$F$7:$F$606,"Haftalık",UCRETLER!$H$7:$H$606,"Aktif"))</f>
        <v/>
      </c>
      <c r="E70" s="68" t="str">
        <f ca="1">IF($B70="","",SUMIFS(UCRETLER!$G$7:$G$606,UCRETLER!$B$7:$B$606,$B70,UCRETLER!$F$7:$F$606,"Aylık",UCRETLER!$H$7:$H$606,"Aktif"))</f>
        <v/>
      </c>
      <c r="F70" s="68" t="str">
        <f ca="1">IF($B70="","",SUMIFS(MUSTERILER!$J$7:$J$156,MUSTERILER!$B$7:$B$156,$B70))</f>
        <v/>
      </c>
      <c r="G70" s="68" t="str">
        <f ca="1">IF($B70="","",SUMIFS(UCRETLER!$I$7:$I$606,UCRETLER!$B$7:$B$606,$B70)+SUMIFS(GELIR_GIDER!$G$7:$G$3001,GELIR_GIDER!$T$7:$T$3001,$B70))</f>
        <v/>
      </c>
      <c r="H70" s="68" t="str">
        <f t="shared" ca="1" si="19"/>
        <v/>
      </c>
      <c r="I70" s="68" t="str">
        <f ca="1">IF($B70="","",SUMIFS(TAHSILAT!$F$7:$F$2503,TAHSILAT!$C$7:$C$2503,$B70))</f>
        <v/>
      </c>
      <c r="J70" s="68" t="str">
        <f t="shared" ca="1" si="20"/>
        <v/>
      </c>
      <c r="K70" s="68" t="str">
        <f t="shared" ca="1" si="21"/>
        <v/>
      </c>
      <c r="L70" s="68" t="str">
        <f t="shared" ca="1" si="22"/>
        <v/>
      </c>
      <c r="M70" s="68" t="str">
        <f t="shared" ca="1" si="23"/>
        <v/>
      </c>
      <c r="N70" s="68" t="str">
        <f t="shared" ca="1" si="24"/>
        <v/>
      </c>
      <c r="O70" s="92" t="str">
        <f t="shared" ca="1" si="25"/>
        <v/>
      </c>
      <c r="P70" s="70" t="str">
        <f ca="1">IF($B70="","",IFERROR(LOOKUP(2,1/(TAHSILAT!$C$7:$C$2503=$B70),TAHSILAT!$E$7:$E$2503),""))</f>
        <v/>
      </c>
      <c r="Q70" s="65" t="str">
        <f t="shared" ca="1" si="26"/>
        <v/>
      </c>
      <c r="R70" s="74" t="str">
        <f t="shared" ca="1" si="27"/>
        <v/>
      </c>
      <c r="S70" s="93" t="str">
        <f t="shared" ca="1" si="28"/>
        <v/>
      </c>
      <c r="T70" s="70" t="str">
        <f ca="1">IF(OR($B70="",$AF70=""),"",IF(INDEX(MUSTERILER!$K$7:$K$156,$AF70)="","",INDEX(MUSTERILER!$K$7:$K$156,$AF70)))</f>
        <v/>
      </c>
      <c r="U70" s="93" t="str">
        <f t="shared" ca="1" si="29"/>
        <v/>
      </c>
      <c r="V70" s="68" t="str">
        <f t="shared" ca="1" si="30"/>
        <v/>
      </c>
      <c r="W70" s="65" t="str">
        <f t="shared" ca="1" si="31"/>
        <v/>
      </c>
      <c r="X70" s="2">
        <f ca="1">IF($B70="",0,SUMIFS(UCRETLER!$J$7:$J$606,UCRETLER!$B$7:$B$606,$B70))</f>
        <v>0</v>
      </c>
      <c r="Y70" s="2">
        <f ca="1">IF($B70="",0,SUMIFS(UCRETLER!$K$7:$K$606,UCRETLER!$B$7:$B$606,$B70))</f>
        <v>0</v>
      </c>
      <c r="Z70" s="1">
        <f ca="1">IF($B70="",0,SUMIFS(UCRETLER!$L$7:$L$606,UCRETLER!$B$7:$B$606,$B70))</f>
        <v>0</v>
      </c>
      <c r="AA70" s="1">
        <f t="shared" ca="1" si="32"/>
        <v>0</v>
      </c>
      <c r="AB70" s="1">
        <f t="shared" ca="1" si="33"/>
        <v>0</v>
      </c>
      <c r="AC70" s="1">
        <f t="shared" ca="1" si="34"/>
        <v>0</v>
      </c>
      <c r="AD70" s="1">
        <f t="shared" ca="1" si="35"/>
        <v>0</v>
      </c>
      <c r="AE70" s="1">
        <f t="shared" ca="1" si="36"/>
        <v>0</v>
      </c>
      <c r="AF70" s="1" t="str">
        <f ca="1">IFERROR(MATCH(ROW()-6,MUSTERILER!$U$7:$U$156,0),"")</f>
        <v/>
      </c>
      <c r="AG70" s="1">
        <f ca="1">IF($B70="",0,SUMIFS(GELIR_GIDER!$G$7:$G$3001,GELIR_GIDER!$T$7:$T$3001,$B70))</f>
        <v>0</v>
      </c>
    </row>
    <row r="71" spans="1:33" ht="18" customHeight="1" x14ac:dyDescent="0.3">
      <c r="A71" s="2"/>
      <c r="B71" s="65" t="str">
        <f ca="1">IF($AF71="","",INDEX(MUSTERILER!$B$7:$B$156,$AF71))</f>
        <v/>
      </c>
      <c r="C71" s="74" t="str">
        <f ca="1">IF($AF71="","",INDEX(MUSTERILER!$C$7:$C$156,$AF71))</f>
        <v/>
      </c>
      <c r="D71" s="68" t="str">
        <f ca="1">IF($B71="","",SUMIFS(UCRETLER!$G$7:$G$606,UCRETLER!$B$7:$B$606,$B71,UCRETLER!$F$7:$F$606,"Haftalık",UCRETLER!$H$7:$H$606,"Aktif"))</f>
        <v/>
      </c>
      <c r="E71" s="68" t="str">
        <f ca="1">IF($B71="","",SUMIFS(UCRETLER!$G$7:$G$606,UCRETLER!$B$7:$B$606,$B71,UCRETLER!$F$7:$F$606,"Aylık",UCRETLER!$H$7:$H$606,"Aktif"))</f>
        <v/>
      </c>
      <c r="F71" s="68" t="str">
        <f ca="1">IF($B71="","",SUMIFS(MUSTERILER!$J$7:$J$156,MUSTERILER!$B$7:$B$156,$B71))</f>
        <v/>
      </c>
      <c r="G71" s="68" t="str">
        <f ca="1">IF($B71="","",SUMIFS(UCRETLER!$I$7:$I$606,UCRETLER!$B$7:$B$606,$B71)+SUMIFS(GELIR_GIDER!$G$7:$G$3001,GELIR_GIDER!$T$7:$T$3001,$B71))</f>
        <v/>
      </c>
      <c r="H71" s="68" t="str">
        <f t="shared" ref="H71:H102" ca="1" si="37">IF($B71="","",$F71+$G71)</f>
        <v/>
      </c>
      <c r="I71" s="68" t="str">
        <f ca="1">IF($B71="","",SUMIFS(TAHSILAT!$F$7:$F$2503,TAHSILAT!$C$7:$C$2503,$B71))</f>
        <v/>
      </c>
      <c r="J71" s="68" t="str">
        <f t="shared" ref="J71:J102" ca="1" si="38">IF($B71="","",MAX(0,$H71-$I71))</f>
        <v/>
      </c>
      <c r="K71" s="68" t="str">
        <f t="shared" ref="K71:K102" ca="1" si="39">IF($B71="","",MAX(0,$J71-$L71-$M71-$N71))</f>
        <v/>
      </c>
      <c r="L71" s="68" t="str">
        <f t="shared" ref="L71:L102" ca="1" si="40">IF($B71="","",($AC71-$AD71)+IF(AND($AB71&gt;0,$T71&lt;&gt;"",$U71&gt;=8,$U71&lt;15),$AB71,0))</f>
        <v/>
      </c>
      <c r="M71" s="68" t="str">
        <f t="shared" ref="M71:M102" ca="1" si="41">IF($B71="","",($AD71-$AE71)+IF(AND($AB71&gt;0,$T71&lt;&gt;"",$U71&gt;=15,$U71&lt;29),$AB71,0))</f>
        <v/>
      </c>
      <c r="N71" s="68" t="str">
        <f t="shared" ref="N71:N102" ca="1" si="42">IF($B71="","",$AE71+IF(AND($AB71&gt;0,OR($T71="",$U71&gt;=29)),$AB71,0))</f>
        <v/>
      </c>
      <c r="O71" s="92" t="str">
        <f t="shared" ref="O71:O102" ca="1" si="43">IF($B71="","",IFERROR($I71/$H71,0))</f>
        <v/>
      </c>
      <c r="P71" s="70" t="str">
        <f ca="1">IF($B71="","",IFERROR(LOOKUP(2,1/(TAHSILAT!$C$7:$C$2503=$B71),TAHSILAT!$E$7:$E$2503),""))</f>
        <v/>
      </c>
      <c r="Q71" s="65" t="str">
        <f t="shared" ref="Q71:Q102" ca="1" si="44">IF($B71="","",IF($N71&gt;0,"KRİTİK",IF($M71&gt;0,"YÜKSEK",IF($L71&gt;0,"ORTA",IF($J71&gt;0,"İZLE","TEMİZ")))))</f>
        <v/>
      </c>
      <c r="R71" s="74" t="str">
        <f t="shared" ref="R71:R102" ca="1" si="45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93" t="str">
        <f t="shared" ref="S71:S102" ca="1" si="46">IF($B71="","",0)</f>
        <v/>
      </c>
      <c r="T71" s="70" t="str">
        <f ca="1">IF(OR($B71="",$AF71=""),"",IF(INDEX(MUSTERILER!$K$7:$K$156,$AF71)="","",INDEX(MUSTERILER!$K$7:$K$156,$AF71)))</f>
        <v/>
      </c>
      <c r="U71" s="93" t="str">
        <f t="shared" ref="U71:U102" ca="1" si="47">IF(OR($B71="",$T71=""),"",TODAY()-$T71)</f>
        <v/>
      </c>
      <c r="V71" s="68" t="str">
        <f t="shared" ref="V71:V102" ca="1" si="48">IF($B71="","",MAX(0,$I71-$H71))</f>
        <v/>
      </c>
      <c r="W71" s="65" t="str">
        <f t="shared" ref="W71:W102" ca="1" si="49">IF($B71="","",IF(AND(ABS($J71-($K71+$L71+$M71+$N71))&lt;0.01,ABS(($J71-$V71)-($H71-$I71))&lt;0.01),"UYGUN","İNCELE"))</f>
        <v/>
      </c>
      <c r="X71" s="2">
        <f ca="1">IF($B71="",0,SUMIFS(UCRETLER!$J$7:$J$606,UCRETLER!$B$7:$B$606,$B71))</f>
        <v>0</v>
      </c>
      <c r="Y71" s="2">
        <f ca="1">IF($B71="",0,SUMIFS(UCRETLER!$K$7:$K$606,UCRETLER!$B$7:$B$606,$B71))</f>
        <v>0</v>
      </c>
      <c r="Z71" s="1">
        <f ca="1">IF($B71="",0,SUMIFS(UCRETLER!$L$7:$L$606,UCRETLER!$B$7:$B$606,$B71))</f>
        <v>0</v>
      </c>
      <c r="AA71" s="1">
        <f t="shared" ref="AA71:AA102" ca="1" si="50">IF($B71="",0,MAX(0,$I71-$F71))</f>
        <v>0</v>
      </c>
      <c r="AB71" s="1">
        <f t="shared" ref="AB71:AB102" ca="1" si="51">IF($B71="",0,MAX(0,$F71-$I71))</f>
        <v>0</v>
      </c>
      <c r="AC71" s="1">
        <f t="shared" ref="AC71:AC102" ca="1" si="52">IF($B71="",0,MAX(0,$X71-$AA71))</f>
        <v>0</v>
      </c>
      <c r="AD71" s="1">
        <f t="shared" ref="AD71:AD102" ca="1" si="53">IF($B71="",0,MAX(0,$Y71-$AA71))</f>
        <v>0</v>
      </c>
      <c r="AE71" s="1">
        <f t="shared" ref="AE71:AE102" ca="1" si="54">IF($B71="",0,MAX(0,$Z71-$AA71))</f>
        <v>0</v>
      </c>
      <c r="AF71" s="1" t="str">
        <f ca="1">IFERROR(MATCH(ROW()-6,MUSTERILER!$U$7:$U$156,0),"")</f>
        <v/>
      </c>
      <c r="AG71" s="1">
        <f ca="1">IF($B71="",0,SUMIFS(GELIR_GIDER!$G$7:$G$3001,GELIR_GIDER!$T$7:$T$3001,$B71))</f>
        <v>0</v>
      </c>
    </row>
    <row r="72" spans="1:33" ht="18" customHeight="1" x14ac:dyDescent="0.3">
      <c r="A72" s="2"/>
      <c r="B72" s="65" t="str">
        <f ca="1">IF($AF72="","",INDEX(MUSTERILER!$B$7:$B$156,$AF72))</f>
        <v/>
      </c>
      <c r="C72" s="74" t="str">
        <f ca="1">IF($AF72="","",INDEX(MUSTERILER!$C$7:$C$156,$AF72))</f>
        <v/>
      </c>
      <c r="D72" s="68" t="str">
        <f ca="1">IF($B72="","",SUMIFS(UCRETLER!$G$7:$G$606,UCRETLER!$B$7:$B$606,$B72,UCRETLER!$F$7:$F$606,"Haftalık",UCRETLER!$H$7:$H$606,"Aktif"))</f>
        <v/>
      </c>
      <c r="E72" s="68" t="str">
        <f ca="1">IF($B72="","",SUMIFS(UCRETLER!$G$7:$G$606,UCRETLER!$B$7:$B$606,$B72,UCRETLER!$F$7:$F$606,"Aylık",UCRETLER!$H$7:$H$606,"Aktif"))</f>
        <v/>
      </c>
      <c r="F72" s="68" t="str">
        <f ca="1">IF($B72="","",SUMIFS(MUSTERILER!$J$7:$J$156,MUSTERILER!$B$7:$B$156,$B72))</f>
        <v/>
      </c>
      <c r="G72" s="68" t="str">
        <f ca="1">IF($B72="","",SUMIFS(UCRETLER!$I$7:$I$606,UCRETLER!$B$7:$B$606,$B72)+SUMIFS(GELIR_GIDER!$G$7:$G$3001,GELIR_GIDER!$T$7:$T$3001,$B72))</f>
        <v/>
      </c>
      <c r="H72" s="68" t="str">
        <f t="shared" ca="1" si="37"/>
        <v/>
      </c>
      <c r="I72" s="68" t="str">
        <f ca="1">IF($B72="","",SUMIFS(TAHSILAT!$F$7:$F$2503,TAHSILAT!$C$7:$C$2503,$B72))</f>
        <v/>
      </c>
      <c r="J72" s="68" t="str">
        <f t="shared" ca="1" si="38"/>
        <v/>
      </c>
      <c r="K72" s="68" t="str">
        <f t="shared" ca="1" si="39"/>
        <v/>
      </c>
      <c r="L72" s="68" t="str">
        <f t="shared" ca="1" si="40"/>
        <v/>
      </c>
      <c r="M72" s="68" t="str">
        <f t="shared" ca="1" si="41"/>
        <v/>
      </c>
      <c r="N72" s="68" t="str">
        <f t="shared" ca="1" si="42"/>
        <v/>
      </c>
      <c r="O72" s="92" t="str">
        <f t="shared" ca="1" si="43"/>
        <v/>
      </c>
      <c r="P72" s="70" t="str">
        <f ca="1">IF($B72="","",IFERROR(LOOKUP(2,1/(TAHSILAT!$C$7:$C$2503=$B72),TAHSILAT!$E$7:$E$2503),""))</f>
        <v/>
      </c>
      <c r="Q72" s="65" t="str">
        <f t="shared" ca="1" si="44"/>
        <v/>
      </c>
      <c r="R72" s="74" t="str">
        <f t="shared" ca="1" si="45"/>
        <v/>
      </c>
      <c r="S72" s="93" t="str">
        <f t="shared" ca="1" si="46"/>
        <v/>
      </c>
      <c r="T72" s="70" t="str">
        <f ca="1">IF(OR($B72="",$AF72=""),"",IF(INDEX(MUSTERILER!$K$7:$K$156,$AF72)="","",INDEX(MUSTERILER!$K$7:$K$156,$AF72)))</f>
        <v/>
      </c>
      <c r="U72" s="93" t="str">
        <f t="shared" ca="1" si="47"/>
        <v/>
      </c>
      <c r="V72" s="68" t="str">
        <f t="shared" ca="1" si="48"/>
        <v/>
      </c>
      <c r="W72" s="65" t="str">
        <f t="shared" ca="1" si="49"/>
        <v/>
      </c>
      <c r="X72" s="2">
        <f ca="1">IF($B72="",0,SUMIFS(UCRETLER!$J$7:$J$606,UCRETLER!$B$7:$B$606,$B72))</f>
        <v>0</v>
      </c>
      <c r="Y72" s="2">
        <f ca="1">IF($B72="",0,SUMIFS(UCRETLER!$K$7:$K$606,UCRETLER!$B$7:$B$606,$B72))</f>
        <v>0</v>
      </c>
      <c r="Z72" s="1">
        <f ca="1">IF($B72="",0,SUMIFS(UCRETLER!$L$7:$L$606,UCRETLER!$B$7:$B$606,$B72))</f>
        <v>0</v>
      </c>
      <c r="AA72" s="1">
        <f t="shared" ca="1" si="50"/>
        <v>0</v>
      </c>
      <c r="AB72" s="1">
        <f t="shared" ca="1" si="51"/>
        <v>0</v>
      </c>
      <c r="AC72" s="1">
        <f t="shared" ca="1" si="52"/>
        <v>0</v>
      </c>
      <c r="AD72" s="1">
        <f t="shared" ca="1" si="53"/>
        <v>0</v>
      </c>
      <c r="AE72" s="1">
        <f t="shared" ca="1" si="54"/>
        <v>0</v>
      </c>
      <c r="AF72" s="1" t="str">
        <f ca="1">IFERROR(MATCH(ROW()-6,MUSTERILER!$U$7:$U$156,0),"")</f>
        <v/>
      </c>
      <c r="AG72" s="1">
        <f ca="1">IF($B72="",0,SUMIFS(GELIR_GIDER!$G$7:$G$3001,GELIR_GIDER!$T$7:$T$3001,$B72))</f>
        <v>0</v>
      </c>
    </row>
    <row r="73" spans="1:33" ht="18" customHeight="1" x14ac:dyDescent="0.3">
      <c r="A73" s="2"/>
      <c r="B73" s="65" t="str">
        <f ca="1">IF($AF73="","",INDEX(MUSTERILER!$B$7:$B$156,$AF73))</f>
        <v/>
      </c>
      <c r="C73" s="74" t="str">
        <f ca="1">IF($AF73="","",INDEX(MUSTERILER!$C$7:$C$156,$AF73))</f>
        <v/>
      </c>
      <c r="D73" s="68" t="str">
        <f ca="1">IF($B73="","",SUMIFS(UCRETLER!$G$7:$G$606,UCRETLER!$B$7:$B$606,$B73,UCRETLER!$F$7:$F$606,"Haftalık",UCRETLER!$H$7:$H$606,"Aktif"))</f>
        <v/>
      </c>
      <c r="E73" s="68" t="str">
        <f ca="1">IF($B73="","",SUMIFS(UCRETLER!$G$7:$G$606,UCRETLER!$B$7:$B$606,$B73,UCRETLER!$F$7:$F$606,"Aylık",UCRETLER!$H$7:$H$606,"Aktif"))</f>
        <v/>
      </c>
      <c r="F73" s="68" t="str">
        <f ca="1">IF($B73="","",SUMIFS(MUSTERILER!$J$7:$J$156,MUSTERILER!$B$7:$B$156,$B73))</f>
        <v/>
      </c>
      <c r="G73" s="68" t="str">
        <f ca="1">IF($B73="","",SUMIFS(UCRETLER!$I$7:$I$606,UCRETLER!$B$7:$B$606,$B73)+SUMIFS(GELIR_GIDER!$G$7:$G$3001,GELIR_GIDER!$T$7:$T$3001,$B73))</f>
        <v/>
      </c>
      <c r="H73" s="68" t="str">
        <f t="shared" ca="1" si="37"/>
        <v/>
      </c>
      <c r="I73" s="68" t="str">
        <f ca="1">IF($B73="","",SUMIFS(TAHSILAT!$F$7:$F$2503,TAHSILAT!$C$7:$C$2503,$B73))</f>
        <v/>
      </c>
      <c r="J73" s="68" t="str">
        <f t="shared" ca="1" si="38"/>
        <v/>
      </c>
      <c r="K73" s="68" t="str">
        <f t="shared" ca="1" si="39"/>
        <v/>
      </c>
      <c r="L73" s="68" t="str">
        <f t="shared" ca="1" si="40"/>
        <v/>
      </c>
      <c r="M73" s="68" t="str">
        <f t="shared" ca="1" si="41"/>
        <v/>
      </c>
      <c r="N73" s="68" t="str">
        <f t="shared" ca="1" si="42"/>
        <v/>
      </c>
      <c r="O73" s="92" t="str">
        <f t="shared" ca="1" si="43"/>
        <v/>
      </c>
      <c r="P73" s="70" t="str">
        <f ca="1">IF($B73="","",IFERROR(LOOKUP(2,1/(TAHSILAT!$C$7:$C$2503=$B73),TAHSILAT!$E$7:$E$2503),""))</f>
        <v/>
      </c>
      <c r="Q73" s="65" t="str">
        <f t="shared" ca="1" si="44"/>
        <v/>
      </c>
      <c r="R73" s="74" t="str">
        <f t="shared" ca="1" si="45"/>
        <v/>
      </c>
      <c r="S73" s="93" t="str">
        <f t="shared" ca="1" si="46"/>
        <v/>
      </c>
      <c r="T73" s="70" t="str">
        <f ca="1">IF(OR($B73="",$AF73=""),"",IF(INDEX(MUSTERILER!$K$7:$K$156,$AF73)="","",INDEX(MUSTERILER!$K$7:$K$156,$AF73)))</f>
        <v/>
      </c>
      <c r="U73" s="93" t="str">
        <f t="shared" ca="1" si="47"/>
        <v/>
      </c>
      <c r="V73" s="68" t="str">
        <f t="shared" ca="1" si="48"/>
        <v/>
      </c>
      <c r="W73" s="65" t="str">
        <f t="shared" ca="1" si="49"/>
        <v/>
      </c>
      <c r="X73" s="2">
        <f ca="1">IF($B73="",0,SUMIFS(UCRETLER!$J$7:$J$606,UCRETLER!$B$7:$B$606,$B73))</f>
        <v>0</v>
      </c>
      <c r="Y73" s="2">
        <f ca="1">IF($B73="",0,SUMIFS(UCRETLER!$K$7:$K$606,UCRETLER!$B$7:$B$606,$B73))</f>
        <v>0</v>
      </c>
      <c r="Z73" s="1">
        <f ca="1">IF($B73="",0,SUMIFS(UCRETLER!$L$7:$L$606,UCRETLER!$B$7:$B$606,$B73))</f>
        <v>0</v>
      </c>
      <c r="AA73" s="1">
        <f t="shared" ca="1" si="50"/>
        <v>0</v>
      </c>
      <c r="AB73" s="1">
        <f t="shared" ca="1" si="51"/>
        <v>0</v>
      </c>
      <c r="AC73" s="1">
        <f t="shared" ca="1" si="52"/>
        <v>0</v>
      </c>
      <c r="AD73" s="1">
        <f t="shared" ca="1" si="53"/>
        <v>0</v>
      </c>
      <c r="AE73" s="1">
        <f t="shared" ca="1" si="54"/>
        <v>0</v>
      </c>
      <c r="AF73" s="1" t="str">
        <f ca="1">IFERROR(MATCH(ROW()-6,MUSTERILER!$U$7:$U$156,0),"")</f>
        <v/>
      </c>
      <c r="AG73" s="1">
        <f ca="1">IF($B73="",0,SUMIFS(GELIR_GIDER!$G$7:$G$3001,GELIR_GIDER!$T$7:$T$3001,$B73))</f>
        <v>0</v>
      </c>
    </row>
    <row r="74" spans="1:33" ht="18" customHeight="1" x14ac:dyDescent="0.3">
      <c r="A74" s="2"/>
      <c r="B74" s="65" t="str">
        <f ca="1">IF($AF74="","",INDEX(MUSTERILER!$B$7:$B$156,$AF74))</f>
        <v/>
      </c>
      <c r="C74" s="74" t="str">
        <f ca="1">IF($AF74="","",INDEX(MUSTERILER!$C$7:$C$156,$AF74))</f>
        <v/>
      </c>
      <c r="D74" s="68" t="str">
        <f ca="1">IF($B74="","",SUMIFS(UCRETLER!$G$7:$G$606,UCRETLER!$B$7:$B$606,$B74,UCRETLER!$F$7:$F$606,"Haftalık",UCRETLER!$H$7:$H$606,"Aktif"))</f>
        <v/>
      </c>
      <c r="E74" s="68" t="str">
        <f ca="1">IF($B74="","",SUMIFS(UCRETLER!$G$7:$G$606,UCRETLER!$B$7:$B$606,$B74,UCRETLER!$F$7:$F$606,"Aylık",UCRETLER!$H$7:$H$606,"Aktif"))</f>
        <v/>
      </c>
      <c r="F74" s="68" t="str">
        <f ca="1">IF($B74="","",SUMIFS(MUSTERILER!$J$7:$J$156,MUSTERILER!$B$7:$B$156,$B74))</f>
        <v/>
      </c>
      <c r="G74" s="68" t="str">
        <f ca="1">IF($B74="","",SUMIFS(UCRETLER!$I$7:$I$606,UCRETLER!$B$7:$B$606,$B74)+SUMIFS(GELIR_GIDER!$G$7:$G$3001,GELIR_GIDER!$T$7:$T$3001,$B74))</f>
        <v/>
      </c>
      <c r="H74" s="68" t="str">
        <f t="shared" ca="1" si="37"/>
        <v/>
      </c>
      <c r="I74" s="68" t="str">
        <f ca="1">IF($B74="","",SUMIFS(TAHSILAT!$F$7:$F$2503,TAHSILAT!$C$7:$C$2503,$B74))</f>
        <v/>
      </c>
      <c r="J74" s="68" t="str">
        <f t="shared" ca="1" si="38"/>
        <v/>
      </c>
      <c r="K74" s="68" t="str">
        <f t="shared" ca="1" si="39"/>
        <v/>
      </c>
      <c r="L74" s="68" t="str">
        <f t="shared" ca="1" si="40"/>
        <v/>
      </c>
      <c r="M74" s="68" t="str">
        <f t="shared" ca="1" si="41"/>
        <v/>
      </c>
      <c r="N74" s="68" t="str">
        <f t="shared" ca="1" si="42"/>
        <v/>
      </c>
      <c r="O74" s="92" t="str">
        <f t="shared" ca="1" si="43"/>
        <v/>
      </c>
      <c r="P74" s="70" t="str">
        <f ca="1">IF($B74="","",IFERROR(LOOKUP(2,1/(TAHSILAT!$C$7:$C$2503=$B74),TAHSILAT!$E$7:$E$2503),""))</f>
        <v/>
      </c>
      <c r="Q74" s="65" t="str">
        <f t="shared" ca="1" si="44"/>
        <v/>
      </c>
      <c r="R74" s="74" t="str">
        <f t="shared" ca="1" si="45"/>
        <v/>
      </c>
      <c r="S74" s="93" t="str">
        <f t="shared" ca="1" si="46"/>
        <v/>
      </c>
      <c r="T74" s="70" t="str">
        <f ca="1">IF(OR($B74="",$AF74=""),"",IF(INDEX(MUSTERILER!$K$7:$K$156,$AF74)="","",INDEX(MUSTERILER!$K$7:$K$156,$AF74)))</f>
        <v/>
      </c>
      <c r="U74" s="93" t="str">
        <f t="shared" ca="1" si="47"/>
        <v/>
      </c>
      <c r="V74" s="68" t="str">
        <f t="shared" ca="1" si="48"/>
        <v/>
      </c>
      <c r="W74" s="65" t="str">
        <f t="shared" ca="1" si="49"/>
        <v/>
      </c>
      <c r="X74" s="2">
        <f ca="1">IF($B74="",0,SUMIFS(UCRETLER!$J$7:$J$606,UCRETLER!$B$7:$B$606,$B74))</f>
        <v>0</v>
      </c>
      <c r="Y74" s="2">
        <f ca="1">IF($B74="",0,SUMIFS(UCRETLER!$K$7:$K$606,UCRETLER!$B$7:$B$606,$B74))</f>
        <v>0</v>
      </c>
      <c r="Z74" s="1">
        <f ca="1">IF($B74="",0,SUMIFS(UCRETLER!$L$7:$L$606,UCRETLER!$B$7:$B$606,$B74))</f>
        <v>0</v>
      </c>
      <c r="AA74" s="1">
        <f t="shared" ca="1" si="50"/>
        <v>0</v>
      </c>
      <c r="AB74" s="1">
        <f t="shared" ca="1" si="51"/>
        <v>0</v>
      </c>
      <c r="AC74" s="1">
        <f t="shared" ca="1" si="52"/>
        <v>0</v>
      </c>
      <c r="AD74" s="1">
        <f t="shared" ca="1" si="53"/>
        <v>0</v>
      </c>
      <c r="AE74" s="1">
        <f t="shared" ca="1" si="54"/>
        <v>0</v>
      </c>
      <c r="AF74" s="1" t="str">
        <f ca="1">IFERROR(MATCH(ROW()-6,MUSTERILER!$U$7:$U$156,0),"")</f>
        <v/>
      </c>
      <c r="AG74" s="1">
        <f ca="1">IF($B74="",0,SUMIFS(GELIR_GIDER!$G$7:$G$3001,GELIR_GIDER!$T$7:$T$3001,$B74))</f>
        <v>0</v>
      </c>
    </row>
    <row r="75" spans="1:33" ht="18" customHeight="1" x14ac:dyDescent="0.3">
      <c r="A75" s="2"/>
      <c r="B75" s="65" t="str">
        <f ca="1">IF($AF75="","",INDEX(MUSTERILER!$B$7:$B$156,$AF75))</f>
        <v/>
      </c>
      <c r="C75" s="74" t="str">
        <f ca="1">IF($AF75="","",INDEX(MUSTERILER!$C$7:$C$156,$AF75))</f>
        <v/>
      </c>
      <c r="D75" s="68" t="str">
        <f ca="1">IF($B75="","",SUMIFS(UCRETLER!$G$7:$G$606,UCRETLER!$B$7:$B$606,$B75,UCRETLER!$F$7:$F$606,"Haftalık",UCRETLER!$H$7:$H$606,"Aktif"))</f>
        <v/>
      </c>
      <c r="E75" s="68" t="str">
        <f ca="1">IF($B75="","",SUMIFS(UCRETLER!$G$7:$G$606,UCRETLER!$B$7:$B$606,$B75,UCRETLER!$F$7:$F$606,"Aylık",UCRETLER!$H$7:$H$606,"Aktif"))</f>
        <v/>
      </c>
      <c r="F75" s="68" t="str">
        <f ca="1">IF($B75="","",SUMIFS(MUSTERILER!$J$7:$J$156,MUSTERILER!$B$7:$B$156,$B75))</f>
        <v/>
      </c>
      <c r="G75" s="68" t="str">
        <f ca="1">IF($B75="","",SUMIFS(UCRETLER!$I$7:$I$606,UCRETLER!$B$7:$B$606,$B75)+SUMIFS(GELIR_GIDER!$G$7:$G$3001,GELIR_GIDER!$T$7:$T$3001,$B75))</f>
        <v/>
      </c>
      <c r="H75" s="68" t="str">
        <f t="shared" ca="1" si="37"/>
        <v/>
      </c>
      <c r="I75" s="68" t="str">
        <f ca="1">IF($B75="","",SUMIFS(TAHSILAT!$F$7:$F$2503,TAHSILAT!$C$7:$C$2503,$B75))</f>
        <v/>
      </c>
      <c r="J75" s="68" t="str">
        <f t="shared" ca="1" si="38"/>
        <v/>
      </c>
      <c r="K75" s="68" t="str">
        <f t="shared" ca="1" si="39"/>
        <v/>
      </c>
      <c r="L75" s="68" t="str">
        <f t="shared" ca="1" si="40"/>
        <v/>
      </c>
      <c r="M75" s="68" t="str">
        <f t="shared" ca="1" si="41"/>
        <v/>
      </c>
      <c r="N75" s="68" t="str">
        <f t="shared" ca="1" si="42"/>
        <v/>
      </c>
      <c r="O75" s="92" t="str">
        <f t="shared" ca="1" si="43"/>
        <v/>
      </c>
      <c r="P75" s="70" t="str">
        <f ca="1">IF($B75="","",IFERROR(LOOKUP(2,1/(TAHSILAT!$C$7:$C$2503=$B75),TAHSILAT!$E$7:$E$2503),""))</f>
        <v/>
      </c>
      <c r="Q75" s="65" t="str">
        <f t="shared" ca="1" si="44"/>
        <v/>
      </c>
      <c r="R75" s="74" t="str">
        <f t="shared" ca="1" si="45"/>
        <v/>
      </c>
      <c r="S75" s="93" t="str">
        <f t="shared" ca="1" si="46"/>
        <v/>
      </c>
      <c r="T75" s="70" t="str">
        <f ca="1">IF(OR($B75="",$AF75=""),"",IF(INDEX(MUSTERILER!$K$7:$K$156,$AF75)="","",INDEX(MUSTERILER!$K$7:$K$156,$AF75)))</f>
        <v/>
      </c>
      <c r="U75" s="93" t="str">
        <f t="shared" ca="1" si="47"/>
        <v/>
      </c>
      <c r="V75" s="68" t="str">
        <f t="shared" ca="1" si="48"/>
        <v/>
      </c>
      <c r="W75" s="65" t="str">
        <f t="shared" ca="1" si="49"/>
        <v/>
      </c>
      <c r="X75" s="2">
        <f ca="1">IF($B75="",0,SUMIFS(UCRETLER!$J$7:$J$606,UCRETLER!$B$7:$B$606,$B75))</f>
        <v>0</v>
      </c>
      <c r="Y75" s="2">
        <f ca="1">IF($B75="",0,SUMIFS(UCRETLER!$K$7:$K$606,UCRETLER!$B$7:$B$606,$B75))</f>
        <v>0</v>
      </c>
      <c r="Z75" s="1">
        <f ca="1">IF($B75="",0,SUMIFS(UCRETLER!$L$7:$L$606,UCRETLER!$B$7:$B$606,$B75))</f>
        <v>0</v>
      </c>
      <c r="AA75" s="1">
        <f t="shared" ca="1" si="50"/>
        <v>0</v>
      </c>
      <c r="AB75" s="1">
        <f t="shared" ca="1" si="51"/>
        <v>0</v>
      </c>
      <c r="AC75" s="1">
        <f t="shared" ca="1" si="52"/>
        <v>0</v>
      </c>
      <c r="AD75" s="1">
        <f t="shared" ca="1" si="53"/>
        <v>0</v>
      </c>
      <c r="AE75" s="1">
        <f t="shared" ca="1" si="54"/>
        <v>0</v>
      </c>
      <c r="AF75" s="1" t="str">
        <f ca="1">IFERROR(MATCH(ROW()-6,MUSTERILER!$U$7:$U$156,0),"")</f>
        <v/>
      </c>
      <c r="AG75" s="1">
        <f ca="1">IF($B75="",0,SUMIFS(GELIR_GIDER!$G$7:$G$3001,GELIR_GIDER!$T$7:$T$3001,$B75))</f>
        <v>0</v>
      </c>
    </row>
    <row r="76" spans="1:33" ht="18" customHeight="1" x14ac:dyDescent="0.3">
      <c r="A76" s="2"/>
      <c r="B76" s="65" t="str">
        <f ca="1">IF($AF76="","",INDEX(MUSTERILER!$B$7:$B$156,$AF76))</f>
        <v/>
      </c>
      <c r="C76" s="74" t="str">
        <f ca="1">IF($AF76="","",INDEX(MUSTERILER!$C$7:$C$156,$AF76))</f>
        <v/>
      </c>
      <c r="D76" s="68" t="str">
        <f ca="1">IF($B76="","",SUMIFS(UCRETLER!$G$7:$G$606,UCRETLER!$B$7:$B$606,$B76,UCRETLER!$F$7:$F$606,"Haftalık",UCRETLER!$H$7:$H$606,"Aktif"))</f>
        <v/>
      </c>
      <c r="E76" s="68" t="str">
        <f ca="1">IF($B76="","",SUMIFS(UCRETLER!$G$7:$G$606,UCRETLER!$B$7:$B$606,$B76,UCRETLER!$F$7:$F$606,"Aylık",UCRETLER!$H$7:$H$606,"Aktif"))</f>
        <v/>
      </c>
      <c r="F76" s="68" t="str">
        <f ca="1">IF($B76="","",SUMIFS(MUSTERILER!$J$7:$J$156,MUSTERILER!$B$7:$B$156,$B76))</f>
        <v/>
      </c>
      <c r="G76" s="68" t="str">
        <f ca="1">IF($B76="","",SUMIFS(UCRETLER!$I$7:$I$606,UCRETLER!$B$7:$B$606,$B76)+SUMIFS(GELIR_GIDER!$G$7:$G$3001,GELIR_GIDER!$T$7:$T$3001,$B76))</f>
        <v/>
      </c>
      <c r="H76" s="68" t="str">
        <f t="shared" ca="1" si="37"/>
        <v/>
      </c>
      <c r="I76" s="68" t="str">
        <f ca="1">IF($B76="","",SUMIFS(TAHSILAT!$F$7:$F$2503,TAHSILAT!$C$7:$C$2503,$B76))</f>
        <v/>
      </c>
      <c r="J76" s="68" t="str">
        <f t="shared" ca="1" si="38"/>
        <v/>
      </c>
      <c r="K76" s="68" t="str">
        <f t="shared" ca="1" si="39"/>
        <v/>
      </c>
      <c r="L76" s="68" t="str">
        <f t="shared" ca="1" si="40"/>
        <v/>
      </c>
      <c r="M76" s="68" t="str">
        <f t="shared" ca="1" si="41"/>
        <v/>
      </c>
      <c r="N76" s="68" t="str">
        <f t="shared" ca="1" si="42"/>
        <v/>
      </c>
      <c r="O76" s="92" t="str">
        <f t="shared" ca="1" si="43"/>
        <v/>
      </c>
      <c r="P76" s="70" t="str">
        <f ca="1">IF($B76="","",IFERROR(LOOKUP(2,1/(TAHSILAT!$C$7:$C$2503=$B76),TAHSILAT!$E$7:$E$2503),""))</f>
        <v/>
      </c>
      <c r="Q76" s="65" t="str">
        <f t="shared" ca="1" si="44"/>
        <v/>
      </c>
      <c r="R76" s="74" t="str">
        <f t="shared" ca="1" si="45"/>
        <v/>
      </c>
      <c r="S76" s="93" t="str">
        <f t="shared" ca="1" si="46"/>
        <v/>
      </c>
      <c r="T76" s="70" t="str">
        <f ca="1">IF(OR($B76="",$AF76=""),"",IF(INDEX(MUSTERILER!$K$7:$K$156,$AF76)="","",INDEX(MUSTERILER!$K$7:$K$156,$AF76)))</f>
        <v/>
      </c>
      <c r="U76" s="93" t="str">
        <f t="shared" ca="1" si="47"/>
        <v/>
      </c>
      <c r="V76" s="68" t="str">
        <f t="shared" ca="1" si="48"/>
        <v/>
      </c>
      <c r="W76" s="65" t="str">
        <f t="shared" ca="1" si="49"/>
        <v/>
      </c>
      <c r="X76" s="2">
        <f ca="1">IF($B76="",0,SUMIFS(UCRETLER!$J$7:$J$606,UCRETLER!$B$7:$B$606,$B76))</f>
        <v>0</v>
      </c>
      <c r="Y76" s="2">
        <f ca="1">IF($B76="",0,SUMIFS(UCRETLER!$K$7:$K$606,UCRETLER!$B$7:$B$606,$B76))</f>
        <v>0</v>
      </c>
      <c r="Z76" s="1">
        <f ca="1">IF($B76="",0,SUMIFS(UCRETLER!$L$7:$L$606,UCRETLER!$B$7:$B$606,$B76))</f>
        <v>0</v>
      </c>
      <c r="AA76" s="1">
        <f t="shared" ca="1" si="50"/>
        <v>0</v>
      </c>
      <c r="AB76" s="1">
        <f t="shared" ca="1" si="51"/>
        <v>0</v>
      </c>
      <c r="AC76" s="1">
        <f t="shared" ca="1" si="52"/>
        <v>0</v>
      </c>
      <c r="AD76" s="1">
        <f t="shared" ca="1" si="53"/>
        <v>0</v>
      </c>
      <c r="AE76" s="1">
        <f t="shared" ca="1" si="54"/>
        <v>0</v>
      </c>
      <c r="AF76" s="1" t="str">
        <f ca="1">IFERROR(MATCH(ROW()-6,MUSTERILER!$U$7:$U$156,0),"")</f>
        <v/>
      </c>
      <c r="AG76" s="1">
        <f ca="1">IF($B76="",0,SUMIFS(GELIR_GIDER!$G$7:$G$3001,GELIR_GIDER!$T$7:$T$3001,$B76))</f>
        <v>0</v>
      </c>
    </row>
    <row r="77" spans="1:33" ht="18" customHeight="1" x14ac:dyDescent="0.3">
      <c r="A77" s="2"/>
      <c r="B77" s="65" t="str">
        <f ca="1">IF($AF77="","",INDEX(MUSTERILER!$B$7:$B$156,$AF77))</f>
        <v/>
      </c>
      <c r="C77" s="74" t="str">
        <f ca="1">IF($AF77="","",INDEX(MUSTERILER!$C$7:$C$156,$AF77))</f>
        <v/>
      </c>
      <c r="D77" s="68" t="str">
        <f ca="1">IF($B77="","",SUMIFS(UCRETLER!$G$7:$G$606,UCRETLER!$B$7:$B$606,$B77,UCRETLER!$F$7:$F$606,"Haftalık",UCRETLER!$H$7:$H$606,"Aktif"))</f>
        <v/>
      </c>
      <c r="E77" s="68" t="str">
        <f ca="1">IF($B77="","",SUMIFS(UCRETLER!$G$7:$G$606,UCRETLER!$B$7:$B$606,$B77,UCRETLER!$F$7:$F$606,"Aylık",UCRETLER!$H$7:$H$606,"Aktif"))</f>
        <v/>
      </c>
      <c r="F77" s="68" t="str">
        <f ca="1">IF($B77="","",SUMIFS(MUSTERILER!$J$7:$J$156,MUSTERILER!$B$7:$B$156,$B77))</f>
        <v/>
      </c>
      <c r="G77" s="68" t="str">
        <f ca="1">IF($B77="","",SUMIFS(UCRETLER!$I$7:$I$606,UCRETLER!$B$7:$B$606,$B77)+SUMIFS(GELIR_GIDER!$G$7:$G$3001,GELIR_GIDER!$T$7:$T$3001,$B77))</f>
        <v/>
      </c>
      <c r="H77" s="68" t="str">
        <f t="shared" ca="1" si="37"/>
        <v/>
      </c>
      <c r="I77" s="68" t="str">
        <f ca="1">IF($B77="","",SUMIFS(TAHSILAT!$F$7:$F$2503,TAHSILAT!$C$7:$C$2503,$B77))</f>
        <v/>
      </c>
      <c r="J77" s="68" t="str">
        <f t="shared" ca="1" si="38"/>
        <v/>
      </c>
      <c r="K77" s="68" t="str">
        <f t="shared" ca="1" si="39"/>
        <v/>
      </c>
      <c r="L77" s="68" t="str">
        <f t="shared" ca="1" si="40"/>
        <v/>
      </c>
      <c r="M77" s="68" t="str">
        <f t="shared" ca="1" si="41"/>
        <v/>
      </c>
      <c r="N77" s="68" t="str">
        <f t="shared" ca="1" si="42"/>
        <v/>
      </c>
      <c r="O77" s="92" t="str">
        <f t="shared" ca="1" si="43"/>
        <v/>
      </c>
      <c r="P77" s="70" t="str">
        <f ca="1">IF($B77="","",IFERROR(LOOKUP(2,1/(TAHSILAT!$C$7:$C$2503=$B77),TAHSILAT!$E$7:$E$2503),""))</f>
        <v/>
      </c>
      <c r="Q77" s="65" t="str">
        <f t="shared" ca="1" si="44"/>
        <v/>
      </c>
      <c r="R77" s="74" t="str">
        <f t="shared" ca="1" si="45"/>
        <v/>
      </c>
      <c r="S77" s="93" t="str">
        <f t="shared" ca="1" si="46"/>
        <v/>
      </c>
      <c r="T77" s="70" t="str">
        <f ca="1">IF(OR($B77="",$AF77=""),"",IF(INDEX(MUSTERILER!$K$7:$K$156,$AF77)="","",INDEX(MUSTERILER!$K$7:$K$156,$AF77)))</f>
        <v/>
      </c>
      <c r="U77" s="93" t="str">
        <f t="shared" ca="1" si="47"/>
        <v/>
      </c>
      <c r="V77" s="68" t="str">
        <f t="shared" ca="1" si="48"/>
        <v/>
      </c>
      <c r="W77" s="65" t="str">
        <f t="shared" ca="1" si="49"/>
        <v/>
      </c>
      <c r="X77" s="2">
        <f ca="1">IF($B77="",0,SUMIFS(UCRETLER!$J$7:$J$606,UCRETLER!$B$7:$B$606,$B77))</f>
        <v>0</v>
      </c>
      <c r="Y77" s="2">
        <f ca="1">IF($B77="",0,SUMIFS(UCRETLER!$K$7:$K$606,UCRETLER!$B$7:$B$606,$B77))</f>
        <v>0</v>
      </c>
      <c r="Z77" s="1">
        <f ca="1">IF($B77="",0,SUMIFS(UCRETLER!$L$7:$L$606,UCRETLER!$B$7:$B$606,$B77))</f>
        <v>0</v>
      </c>
      <c r="AA77" s="1">
        <f t="shared" ca="1" si="50"/>
        <v>0</v>
      </c>
      <c r="AB77" s="1">
        <f t="shared" ca="1" si="51"/>
        <v>0</v>
      </c>
      <c r="AC77" s="1">
        <f t="shared" ca="1" si="52"/>
        <v>0</v>
      </c>
      <c r="AD77" s="1">
        <f t="shared" ca="1" si="53"/>
        <v>0</v>
      </c>
      <c r="AE77" s="1">
        <f t="shared" ca="1" si="54"/>
        <v>0</v>
      </c>
      <c r="AF77" s="1" t="str">
        <f ca="1">IFERROR(MATCH(ROW()-6,MUSTERILER!$U$7:$U$156,0),"")</f>
        <v/>
      </c>
      <c r="AG77" s="1">
        <f ca="1">IF($B77="",0,SUMIFS(GELIR_GIDER!$G$7:$G$3001,GELIR_GIDER!$T$7:$T$3001,$B77))</f>
        <v>0</v>
      </c>
    </row>
    <row r="78" spans="1:33" ht="18" customHeight="1" x14ac:dyDescent="0.3">
      <c r="A78" s="2"/>
      <c r="B78" s="65" t="str">
        <f ca="1">IF($AF78="","",INDEX(MUSTERILER!$B$7:$B$156,$AF78))</f>
        <v/>
      </c>
      <c r="C78" s="74" t="str">
        <f ca="1">IF($AF78="","",INDEX(MUSTERILER!$C$7:$C$156,$AF78))</f>
        <v/>
      </c>
      <c r="D78" s="68" t="str">
        <f ca="1">IF($B78="","",SUMIFS(UCRETLER!$G$7:$G$606,UCRETLER!$B$7:$B$606,$B78,UCRETLER!$F$7:$F$606,"Haftalık",UCRETLER!$H$7:$H$606,"Aktif"))</f>
        <v/>
      </c>
      <c r="E78" s="68" t="str">
        <f ca="1">IF($B78="","",SUMIFS(UCRETLER!$G$7:$G$606,UCRETLER!$B$7:$B$606,$B78,UCRETLER!$F$7:$F$606,"Aylık",UCRETLER!$H$7:$H$606,"Aktif"))</f>
        <v/>
      </c>
      <c r="F78" s="68" t="str">
        <f ca="1">IF($B78="","",SUMIFS(MUSTERILER!$J$7:$J$156,MUSTERILER!$B$7:$B$156,$B78))</f>
        <v/>
      </c>
      <c r="G78" s="68" t="str">
        <f ca="1">IF($B78="","",SUMIFS(UCRETLER!$I$7:$I$606,UCRETLER!$B$7:$B$606,$B78)+SUMIFS(GELIR_GIDER!$G$7:$G$3001,GELIR_GIDER!$T$7:$T$3001,$B78))</f>
        <v/>
      </c>
      <c r="H78" s="68" t="str">
        <f t="shared" ca="1" si="37"/>
        <v/>
      </c>
      <c r="I78" s="68" t="str">
        <f ca="1">IF($B78="","",SUMIFS(TAHSILAT!$F$7:$F$2503,TAHSILAT!$C$7:$C$2503,$B78))</f>
        <v/>
      </c>
      <c r="J78" s="68" t="str">
        <f t="shared" ca="1" si="38"/>
        <v/>
      </c>
      <c r="K78" s="68" t="str">
        <f t="shared" ca="1" si="39"/>
        <v/>
      </c>
      <c r="L78" s="68" t="str">
        <f t="shared" ca="1" si="40"/>
        <v/>
      </c>
      <c r="M78" s="68" t="str">
        <f t="shared" ca="1" si="41"/>
        <v/>
      </c>
      <c r="N78" s="68" t="str">
        <f t="shared" ca="1" si="42"/>
        <v/>
      </c>
      <c r="O78" s="92" t="str">
        <f t="shared" ca="1" si="43"/>
        <v/>
      </c>
      <c r="P78" s="70" t="str">
        <f ca="1">IF($B78="","",IFERROR(LOOKUP(2,1/(TAHSILAT!$C$7:$C$2503=$B78),TAHSILAT!$E$7:$E$2503),""))</f>
        <v/>
      </c>
      <c r="Q78" s="65" t="str">
        <f t="shared" ca="1" si="44"/>
        <v/>
      </c>
      <c r="R78" s="74" t="str">
        <f t="shared" ca="1" si="45"/>
        <v/>
      </c>
      <c r="S78" s="93" t="str">
        <f t="shared" ca="1" si="46"/>
        <v/>
      </c>
      <c r="T78" s="70" t="str">
        <f ca="1">IF(OR($B78="",$AF78=""),"",IF(INDEX(MUSTERILER!$K$7:$K$156,$AF78)="","",INDEX(MUSTERILER!$K$7:$K$156,$AF78)))</f>
        <v/>
      </c>
      <c r="U78" s="93" t="str">
        <f t="shared" ca="1" si="47"/>
        <v/>
      </c>
      <c r="V78" s="68" t="str">
        <f t="shared" ca="1" si="48"/>
        <v/>
      </c>
      <c r="W78" s="65" t="str">
        <f t="shared" ca="1" si="49"/>
        <v/>
      </c>
      <c r="X78" s="2">
        <f ca="1">IF($B78="",0,SUMIFS(UCRETLER!$J$7:$J$606,UCRETLER!$B$7:$B$606,$B78))</f>
        <v>0</v>
      </c>
      <c r="Y78" s="2">
        <f ca="1">IF($B78="",0,SUMIFS(UCRETLER!$K$7:$K$606,UCRETLER!$B$7:$B$606,$B78))</f>
        <v>0</v>
      </c>
      <c r="Z78" s="1">
        <f ca="1">IF($B78="",0,SUMIFS(UCRETLER!$L$7:$L$606,UCRETLER!$B$7:$B$606,$B78))</f>
        <v>0</v>
      </c>
      <c r="AA78" s="1">
        <f t="shared" ca="1" si="50"/>
        <v>0</v>
      </c>
      <c r="AB78" s="1">
        <f t="shared" ca="1" si="51"/>
        <v>0</v>
      </c>
      <c r="AC78" s="1">
        <f t="shared" ca="1" si="52"/>
        <v>0</v>
      </c>
      <c r="AD78" s="1">
        <f t="shared" ca="1" si="53"/>
        <v>0</v>
      </c>
      <c r="AE78" s="1">
        <f t="shared" ca="1" si="54"/>
        <v>0</v>
      </c>
      <c r="AF78" s="1" t="str">
        <f ca="1">IFERROR(MATCH(ROW()-6,MUSTERILER!$U$7:$U$156,0),"")</f>
        <v/>
      </c>
      <c r="AG78" s="1">
        <f ca="1">IF($B78="",0,SUMIFS(GELIR_GIDER!$G$7:$G$3001,GELIR_GIDER!$T$7:$T$3001,$B78))</f>
        <v>0</v>
      </c>
    </row>
    <row r="79" spans="1:33" ht="18" customHeight="1" x14ac:dyDescent="0.3">
      <c r="A79" s="2"/>
      <c r="B79" s="65" t="str">
        <f ca="1">IF($AF79="","",INDEX(MUSTERILER!$B$7:$B$156,$AF79))</f>
        <v/>
      </c>
      <c r="C79" s="74" t="str">
        <f ca="1">IF($AF79="","",INDEX(MUSTERILER!$C$7:$C$156,$AF79))</f>
        <v/>
      </c>
      <c r="D79" s="68" t="str">
        <f ca="1">IF($B79="","",SUMIFS(UCRETLER!$G$7:$G$606,UCRETLER!$B$7:$B$606,$B79,UCRETLER!$F$7:$F$606,"Haftalık",UCRETLER!$H$7:$H$606,"Aktif"))</f>
        <v/>
      </c>
      <c r="E79" s="68" t="str">
        <f ca="1">IF($B79="","",SUMIFS(UCRETLER!$G$7:$G$606,UCRETLER!$B$7:$B$606,$B79,UCRETLER!$F$7:$F$606,"Aylık",UCRETLER!$H$7:$H$606,"Aktif"))</f>
        <v/>
      </c>
      <c r="F79" s="68" t="str">
        <f ca="1">IF($B79="","",SUMIFS(MUSTERILER!$J$7:$J$156,MUSTERILER!$B$7:$B$156,$B79))</f>
        <v/>
      </c>
      <c r="G79" s="68" t="str">
        <f ca="1">IF($B79="","",SUMIFS(UCRETLER!$I$7:$I$606,UCRETLER!$B$7:$B$606,$B79)+SUMIFS(GELIR_GIDER!$G$7:$G$3001,GELIR_GIDER!$T$7:$T$3001,$B79))</f>
        <v/>
      </c>
      <c r="H79" s="68" t="str">
        <f t="shared" ca="1" si="37"/>
        <v/>
      </c>
      <c r="I79" s="68" t="str">
        <f ca="1">IF($B79="","",SUMIFS(TAHSILAT!$F$7:$F$2503,TAHSILAT!$C$7:$C$2503,$B79))</f>
        <v/>
      </c>
      <c r="J79" s="68" t="str">
        <f t="shared" ca="1" si="38"/>
        <v/>
      </c>
      <c r="K79" s="68" t="str">
        <f t="shared" ca="1" si="39"/>
        <v/>
      </c>
      <c r="L79" s="68" t="str">
        <f t="shared" ca="1" si="40"/>
        <v/>
      </c>
      <c r="M79" s="68" t="str">
        <f t="shared" ca="1" si="41"/>
        <v/>
      </c>
      <c r="N79" s="68" t="str">
        <f t="shared" ca="1" si="42"/>
        <v/>
      </c>
      <c r="O79" s="92" t="str">
        <f t="shared" ca="1" si="43"/>
        <v/>
      </c>
      <c r="P79" s="70" t="str">
        <f ca="1">IF($B79="","",IFERROR(LOOKUP(2,1/(TAHSILAT!$C$7:$C$2503=$B79),TAHSILAT!$E$7:$E$2503),""))</f>
        <v/>
      </c>
      <c r="Q79" s="65" t="str">
        <f t="shared" ca="1" si="44"/>
        <v/>
      </c>
      <c r="R79" s="74" t="str">
        <f t="shared" ca="1" si="45"/>
        <v/>
      </c>
      <c r="S79" s="93" t="str">
        <f t="shared" ca="1" si="46"/>
        <v/>
      </c>
      <c r="T79" s="70" t="str">
        <f ca="1">IF(OR($B79="",$AF79=""),"",IF(INDEX(MUSTERILER!$K$7:$K$156,$AF79)="","",INDEX(MUSTERILER!$K$7:$K$156,$AF79)))</f>
        <v/>
      </c>
      <c r="U79" s="93" t="str">
        <f t="shared" ca="1" si="47"/>
        <v/>
      </c>
      <c r="V79" s="68" t="str">
        <f t="shared" ca="1" si="48"/>
        <v/>
      </c>
      <c r="W79" s="65" t="str">
        <f t="shared" ca="1" si="49"/>
        <v/>
      </c>
      <c r="X79" s="2">
        <f ca="1">IF($B79="",0,SUMIFS(UCRETLER!$J$7:$J$606,UCRETLER!$B$7:$B$606,$B79))</f>
        <v>0</v>
      </c>
      <c r="Y79" s="2">
        <f ca="1">IF($B79="",0,SUMIFS(UCRETLER!$K$7:$K$606,UCRETLER!$B$7:$B$606,$B79))</f>
        <v>0</v>
      </c>
      <c r="Z79" s="1">
        <f ca="1">IF($B79="",0,SUMIFS(UCRETLER!$L$7:$L$606,UCRETLER!$B$7:$B$606,$B79))</f>
        <v>0</v>
      </c>
      <c r="AA79" s="1">
        <f t="shared" ca="1" si="50"/>
        <v>0</v>
      </c>
      <c r="AB79" s="1">
        <f t="shared" ca="1" si="51"/>
        <v>0</v>
      </c>
      <c r="AC79" s="1">
        <f t="shared" ca="1" si="52"/>
        <v>0</v>
      </c>
      <c r="AD79" s="1">
        <f t="shared" ca="1" si="53"/>
        <v>0</v>
      </c>
      <c r="AE79" s="1">
        <f t="shared" ca="1" si="54"/>
        <v>0</v>
      </c>
      <c r="AF79" s="1" t="str">
        <f ca="1">IFERROR(MATCH(ROW()-6,MUSTERILER!$U$7:$U$156,0),"")</f>
        <v/>
      </c>
      <c r="AG79" s="1">
        <f ca="1">IF($B79="",0,SUMIFS(GELIR_GIDER!$G$7:$G$3001,GELIR_GIDER!$T$7:$T$3001,$B79))</f>
        <v>0</v>
      </c>
    </row>
    <row r="80" spans="1:33" ht="18" customHeight="1" x14ac:dyDescent="0.3">
      <c r="A80" s="2"/>
      <c r="B80" s="65" t="str">
        <f ca="1">IF($AF80="","",INDEX(MUSTERILER!$B$7:$B$156,$AF80))</f>
        <v/>
      </c>
      <c r="C80" s="74" t="str">
        <f ca="1">IF($AF80="","",INDEX(MUSTERILER!$C$7:$C$156,$AF80))</f>
        <v/>
      </c>
      <c r="D80" s="68" t="str">
        <f ca="1">IF($B80="","",SUMIFS(UCRETLER!$G$7:$G$606,UCRETLER!$B$7:$B$606,$B80,UCRETLER!$F$7:$F$606,"Haftalık",UCRETLER!$H$7:$H$606,"Aktif"))</f>
        <v/>
      </c>
      <c r="E80" s="68" t="str">
        <f ca="1">IF($B80="","",SUMIFS(UCRETLER!$G$7:$G$606,UCRETLER!$B$7:$B$606,$B80,UCRETLER!$F$7:$F$606,"Aylık",UCRETLER!$H$7:$H$606,"Aktif"))</f>
        <v/>
      </c>
      <c r="F80" s="68" t="str">
        <f ca="1">IF($B80="","",SUMIFS(MUSTERILER!$J$7:$J$156,MUSTERILER!$B$7:$B$156,$B80))</f>
        <v/>
      </c>
      <c r="G80" s="68" t="str">
        <f ca="1">IF($B80="","",SUMIFS(UCRETLER!$I$7:$I$606,UCRETLER!$B$7:$B$606,$B80)+SUMIFS(GELIR_GIDER!$G$7:$G$3001,GELIR_GIDER!$T$7:$T$3001,$B80))</f>
        <v/>
      </c>
      <c r="H80" s="68" t="str">
        <f t="shared" ca="1" si="37"/>
        <v/>
      </c>
      <c r="I80" s="68" t="str">
        <f ca="1">IF($B80="","",SUMIFS(TAHSILAT!$F$7:$F$2503,TAHSILAT!$C$7:$C$2503,$B80))</f>
        <v/>
      </c>
      <c r="J80" s="68" t="str">
        <f t="shared" ca="1" si="38"/>
        <v/>
      </c>
      <c r="K80" s="68" t="str">
        <f t="shared" ca="1" si="39"/>
        <v/>
      </c>
      <c r="L80" s="68" t="str">
        <f t="shared" ca="1" si="40"/>
        <v/>
      </c>
      <c r="M80" s="68" t="str">
        <f t="shared" ca="1" si="41"/>
        <v/>
      </c>
      <c r="N80" s="68" t="str">
        <f t="shared" ca="1" si="42"/>
        <v/>
      </c>
      <c r="O80" s="92" t="str">
        <f t="shared" ca="1" si="43"/>
        <v/>
      </c>
      <c r="P80" s="70" t="str">
        <f ca="1">IF($B80="","",IFERROR(LOOKUP(2,1/(TAHSILAT!$C$7:$C$2503=$B80),TAHSILAT!$E$7:$E$2503),""))</f>
        <v/>
      </c>
      <c r="Q80" s="65" t="str">
        <f t="shared" ca="1" si="44"/>
        <v/>
      </c>
      <c r="R80" s="74" t="str">
        <f t="shared" ca="1" si="45"/>
        <v/>
      </c>
      <c r="S80" s="93" t="str">
        <f t="shared" ca="1" si="46"/>
        <v/>
      </c>
      <c r="T80" s="70" t="str">
        <f ca="1">IF(OR($B80="",$AF80=""),"",IF(INDEX(MUSTERILER!$K$7:$K$156,$AF80)="","",INDEX(MUSTERILER!$K$7:$K$156,$AF80)))</f>
        <v/>
      </c>
      <c r="U80" s="93" t="str">
        <f t="shared" ca="1" si="47"/>
        <v/>
      </c>
      <c r="V80" s="68" t="str">
        <f t="shared" ca="1" si="48"/>
        <v/>
      </c>
      <c r="W80" s="65" t="str">
        <f t="shared" ca="1" si="49"/>
        <v/>
      </c>
      <c r="X80" s="2">
        <f ca="1">IF($B80="",0,SUMIFS(UCRETLER!$J$7:$J$606,UCRETLER!$B$7:$B$606,$B80))</f>
        <v>0</v>
      </c>
      <c r="Y80" s="2">
        <f ca="1">IF($B80="",0,SUMIFS(UCRETLER!$K$7:$K$606,UCRETLER!$B$7:$B$606,$B80))</f>
        <v>0</v>
      </c>
      <c r="Z80" s="1">
        <f ca="1">IF($B80="",0,SUMIFS(UCRETLER!$L$7:$L$606,UCRETLER!$B$7:$B$606,$B80))</f>
        <v>0</v>
      </c>
      <c r="AA80" s="1">
        <f t="shared" ca="1" si="50"/>
        <v>0</v>
      </c>
      <c r="AB80" s="1">
        <f t="shared" ca="1" si="51"/>
        <v>0</v>
      </c>
      <c r="AC80" s="1">
        <f t="shared" ca="1" si="52"/>
        <v>0</v>
      </c>
      <c r="AD80" s="1">
        <f t="shared" ca="1" si="53"/>
        <v>0</v>
      </c>
      <c r="AE80" s="1">
        <f t="shared" ca="1" si="54"/>
        <v>0</v>
      </c>
      <c r="AF80" s="1" t="str">
        <f ca="1">IFERROR(MATCH(ROW()-6,MUSTERILER!$U$7:$U$156,0),"")</f>
        <v/>
      </c>
      <c r="AG80" s="1">
        <f ca="1">IF($B80="",0,SUMIFS(GELIR_GIDER!$G$7:$G$3001,GELIR_GIDER!$T$7:$T$3001,$B80))</f>
        <v>0</v>
      </c>
    </row>
    <row r="81" spans="1:33" ht="18" customHeight="1" x14ac:dyDescent="0.3">
      <c r="A81" s="2"/>
      <c r="B81" s="65" t="str">
        <f ca="1">IF($AF81="","",INDEX(MUSTERILER!$B$7:$B$156,$AF81))</f>
        <v/>
      </c>
      <c r="C81" s="74" t="str">
        <f ca="1">IF($AF81="","",INDEX(MUSTERILER!$C$7:$C$156,$AF81))</f>
        <v/>
      </c>
      <c r="D81" s="68" t="str">
        <f ca="1">IF($B81="","",SUMIFS(UCRETLER!$G$7:$G$606,UCRETLER!$B$7:$B$606,$B81,UCRETLER!$F$7:$F$606,"Haftalık",UCRETLER!$H$7:$H$606,"Aktif"))</f>
        <v/>
      </c>
      <c r="E81" s="68" t="str">
        <f ca="1">IF($B81="","",SUMIFS(UCRETLER!$G$7:$G$606,UCRETLER!$B$7:$B$606,$B81,UCRETLER!$F$7:$F$606,"Aylık",UCRETLER!$H$7:$H$606,"Aktif"))</f>
        <v/>
      </c>
      <c r="F81" s="68" t="str">
        <f ca="1">IF($B81="","",SUMIFS(MUSTERILER!$J$7:$J$156,MUSTERILER!$B$7:$B$156,$B81))</f>
        <v/>
      </c>
      <c r="G81" s="68" t="str">
        <f ca="1">IF($B81="","",SUMIFS(UCRETLER!$I$7:$I$606,UCRETLER!$B$7:$B$606,$B81)+SUMIFS(GELIR_GIDER!$G$7:$G$3001,GELIR_GIDER!$T$7:$T$3001,$B81))</f>
        <v/>
      </c>
      <c r="H81" s="68" t="str">
        <f t="shared" ca="1" si="37"/>
        <v/>
      </c>
      <c r="I81" s="68" t="str">
        <f ca="1">IF($B81="","",SUMIFS(TAHSILAT!$F$7:$F$2503,TAHSILAT!$C$7:$C$2503,$B81))</f>
        <v/>
      </c>
      <c r="J81" s="68" t="str">
        <f t="shared" ca="1" si="38"/>
        <v/>
      </c>
      <c r="K81" s="68" t="str">
        <f t="shared" ca="1" si="39"/>
        <v/>
      </c>
      <c r="L81" s="68" t="str">
        <f t="shared" ca="1" si="40"/>
        <v/>
      </c>
      <c r="M81" s="68" t="str">
        <f t="shared" ca="1" si="41"/>
        <v/>
      </c>
      <c r="N81" s="68" t="str">
        <f t="shared" ca="1" si="42"/>
        <v/>
      </c>
      <c r="O81" s="92" t="str">
        <f t="shared" ca="1" si="43"/>
        <v/>
      </c>
      <c r="P81" s="70" t="str">
        <f ca="1">IF($B81="","",IFERROR(LOOKUP(2,1/(TAHSILAT!$C$7:$C$2503=$B81),TAHSILAT!$E$7:$E$2503),""))</f>
        <v/>
      </c>
      <c r="Q81" s="65" t="str">
        <f t="shared" ca="1" si="44"/>
        <v/>
      </c>
      <c r="R81" s="74" t="str">
        <f t="shared" ca="1" si="45"/>
        <v/>
      </c>
      <c r="S81" s="93" t="str">
        <f t="shared" ca="1" si="46"/>
        <v/>
      </c>
      <c r="T81" s="70" t="str">
        <f ca="1">IF(OR($B81="",$AF81=""),"",IF(INDEX(MUSTERILER!$K$7:$K$156,$AF81)="","",INDEX(MUSTERILER!$K$7:$K$156,$AF81)))</f>
        <v/>
      </c>
      <c r="U81" s="93" t="str">
        <f t="shared" ca="1" si="47"/>
        <v/>
      </c>
      <c r="V81" s="68" t="str">
        <f t="shared" ca="1" si="48"/>
        <v/>
      </c>
      <c r="W81" s="65" t="str">
        <f t="shared" ca="1" si="49"/>
        <v/>
      </c>
      <c r="X81" s="2">
        <f ca="1">IF($B81="",0,SUMIFS(UCRETLER!$J$7:$J$606,UCRETLER!$B$7:$B$606,$B81))</f>
        <v>0</v>
      </c>
      <c r="Y81" s="2">
        <f ca="1">IF($B81="",0,SUMIFS(UCRETLER!$K$7:$K$606,UCRETLER!$B$7:$B$606,$B81))</f>
        <v>0</v>
      </c>
      <c r="Z81" s="1">
        <f ca="1">IF($B81="",0,SUMIFS(UCRETLER!$L$7:$L$606,UCRETLER!$B$7:$B$606,$B81))</f>
        <v>0</v>
      </c>
      <c r="AA81" s="1">
        <f t="shared" ca="1" si="50"/>
        <v>0</v>
      </c>
      <c r="AB81" s="1">
        <f t="shared" ca="1" si="51"/>
        <v>0</v>
      </c>
      <c r="AC81" s="1">
        <f t="shared" ca="1" si="52"/>
        <v>0</v>
      </c>
      <c r="AD81" s="1">
        <f t="shared" ca="1" si="53"/>
        <v>0</v>
      </c>
      <c r="AE81" s="1">
        <f t="shared" ca="1" si="54"/>
        <v>0</v>
      </c>
      <c r="AF81" s="1" t="str">
        <f ca="1">IFERROR(MATCH(ROW()-6,MUSTERILER!$U$7:$U$156,0),"")</f>
        <v/>
      </c>
      <c r="AG81" s="1">
        <f ca="1">IF($B81="",0,SUMIFS(GELIR_GIDER!$G$7:$G$3001,GELIR_GIDER!$T$7:$T$3001,$B81))</f>
        <v>0</v>
      </c>
    </row>
    <row r="82" spans="1:33" ht="18" customHeight="1" x14ac:dyDescent="0.3">
      <c r="A82" s="2"/>
      <c r="B82" s="65" t="str">
        <f ca="1">IF($AF82="","",INDEX(MUSTERILER!$B$7:$B$156,$AF82))</f>
        <v/>
      </c>
      <c r="C82" s="74" t="str">
        <f ca="1">IF($AF82="","",INDEX(MUSTERILER!$C$7:$C$156,$AF82))</f>
        <v/>
      </c>
      <c r="D82" s="68" t="str">
        <f ca="1">IF($B82="","",SUMIFS(UCRETLER!$G$7:$G$606,UCRETLER!$B$7:$B$606,$B82,UCRETLER!$F$7:$F$606,"Haftalık",UCRETLER!$H$7:$H$606,"Aktif"))</f>
        <v/>
      </c>
      <c r="E82" s="68" t="str">
        <f ca="1">IF($B82="","",SUMIFS(UCRETLER!$G$7:$G$606,UCRETLER!$B$7:$B$606,$B82,UCRETLER!$F$7:$F$606,"Aylık",UCRETLER!$H$7:$H$606,"Aktif"))</f>
        <v/>
      </c>
      <c r="F82" s="68" t="str">
        <f ca="1">IF($B82="","",SUMIFS(MUSTERILER!$J$7:$J$156,MUSTERILER!$B$7:$B$156,$B82))</f>
        <v/>
      </c>
      <c r="G82" s="68" t="str">
        <f ca="1">IF($B82="","",SUMIFS(UCRETLER!$I$7:$I$606,UCRETLER!$B$7:$B$606,$B82)+SUMIFS(GELIR_GIDER!$G$7:$G$3001,GELIR_GIDER!$T$7:$T$3001,$B82))</f>
        <v/>
      </c>
      <c r="H82" s="68" t="str">
        <f t="shared" ca="1" si="37"/>
        <v/>
      </c>
      <c r="I82" s="68" t="str">
        <f ca="1">IF($B82="","",SUMIFS(TAHSILAT!$F$7:$F$2503,TAHSILAT!$C$7:$C$2503,$B82))</f>
        <v/>
      </c>
      <c r="J82" s="68" t="str">
        <f t="shared" ca="1" si="38"/>
        <v/>
      </c>
      <c r="K82" s="68" t="str">
        <f t="shared" ca="1" si="39"/>
        <v/>
      </c>
      <c r="L82" s="68" t="str">
        <f t="shared" ca="1" si="40"/>
        <v/>
      </c>
      <c r="M82" s="68" t="str">
        <f t="shared" ca="1" si="41"/>
        <v/>
      </c>
      <c r="N82" s="68" t="str">
        <f t="shared" ca="1" si="42"/>
        <v/>
      </c>
      <c r="O82" s="92" t="str">
        <f t="shared" ca="1" si="43"/>
        <v/>
      </c>
      <c r="P82" s="70" t="str">
        <f ca="1">IF($B82="","",IFERROR(LOOKUP(2,1/(TAHSILAT!$C$7:$C$2503=$B82),TAHSILAT!$E$7:$E$2503),""))</f>
        <v/>
      </c>
      <c r="Q82" s="65" t="str">
        <f t="shared" ca="1" si="44"/>
        <v/>
      </c>
      <c r="R82" s="74" t="str">
        <f t="shared" ca="1" si="45"/>
        <v/>
      </c>
      <c r="S82" s="93" t="str">
        <f t="shared" ca="1" si="46"/>
        <v/>
      </c>
      <c r="T82" s="70" t="str">
        <f ca="1">IF(OR($B82="",$AF82=""),"",IF(INDEX(MUSTERILER!$K$7:$K$156,$AF82)="","",INDEX(MUSTERILER!$K$7:$K$156,$AF82)))</f>
        <v/>
      </c>
      <c r="U82" s="93" t="str">
        <f t="shared" ca="1" si="47"/>
        <v/>
      </c>
      <c r="V82" s="68" t="str">
        <f t="shared" ca="1" si="48"/>
        <v/>
      </c>
      <c r="W82" s="65" t="str">
        <f t="shared" ca="1" si="49"/>
        <v/>
      </c>
      <c r="X82" s="2">
        <f ca="1">IF($B82="",0,SUMIFS(UCRETLER!$J$7:$J$606,UCRETLER!$B$7:$B$606,$B82))</f>
        <v>0</v>
      </c>
      <c r="Y82" s="2">
        <f ca="1">IF($B82="",0,SUMIFS(UCRETLER!$K$7:$K$606,UCRETLER!$B$7:$B$606,$B82))</f>
        <v>0</v>
      </c>
      <c r="Z82" s="1">
        <f ca="1">IF($B82="",0,SUMIFS(UCRETLER!$L$7:$L$606,UCRETLER!$B$7:$B$606,$B82))</f>
        <v>0</v>
      </c>
      <c r="AA82" s="1">
        <f t="shared" ca="1" si="50"/>
        <v>0</v>
      </c>
      <c r="AB82" s="1">
        <f t="shared" ca="1" si="51"/>
        <v>0</v>
      </c>
      <c r="AC82" s="1">
        <f t="shared" ca="1" si="52"/>
        <v>0</v>
      </c>
      <c r="AD82" s="1">
        <f t="shared" ca="1" si="53"/>
        <v>0</v>
      </c>
      <c r="AE82" s="1">
        <f t="shared" ca="1" si="54"/>
        <v>0</v>
      </c>
      <c r="AF82" s="1" t="str">
        <f ca="1">IFERROR(MATCH(ROW()-6,MUSTERILER!$U$7:$U$156,0),"")</f>
        <v/>
      </c>
      <c r="AG82" s="1">
        <f ca="1">IF($B82="",0,SUMIFS(GELIR_GIDER!$G$7:$G$3001,GELIR_GIDER!$T$7:$T$3001,$B82))</f>
        <v>0</v>
      </c>
    </row>
    <row r="83" spans="1:33" ht="18" customHeight="1" x14ac:dyDescent="0.3">
      <c r="A83" s="2"/>
      <c r="B83" s="65" t="str">
        <f ca="1">IF($AF83="","",INDEX(MUSTERILER!$B$7:$B$156,$AF83))</f>
        <v/>
      </c>
      <c r="C83" s="74" t="str">
        <f ca="1">IF($AF83="","",INDEX(MUSTERILER!$C$7:$C$156,$AF83))</f>
        <v/>
      </c>
      <c r="D83" s="68" t="str">
        <f ca="1">IF($B83="","",SUMIFS(UCRETLER!$G$7:$G$606,UCRETLER!$B$7:$B$606,$B83,UCRETLER!$F$7:$F$606,"Haftalık",UCRETLER!$H$7:$H$606,"Aktif"))</f>
        <v/>
      </c>
      <c r="E83" s="68" t="str">
        <f ca="1">IF($B83="","",SUMIFS(UCRETLER!$G$7:$G$606,UCRETLER!$B$7:$B$606,$B83,UCRETLER!$F$7:$F$606,"Aylık",UCRETLER!$H$7:$H$606,"Aktif"))</f>
        <v/>
      </c>
      <c r="F83" s="68" t="str">
        <f ca="1">IF($B83="","",SUMIFS(MUSTERILER!$J$7:$J$156,MUSTERILER!$B$7:$B$156,$B83))</f>
        <v/>
      </c>
      <c r="G83" s="68" t="str">
        <f ca="1">IF($B83="","",SUMIFS(UCRETLER!$I$7:$I$606,UCRETLER!$B$7:$B$606,$B83)+SUMIFS(GELIR_GIDER!$G$7:$G$3001,GELIR_GIDER!$T$7:$T$3001,$B83))</f>
        <v/>
      </c>
      <c r="H83" s="68" t="str">
        <f t="shared" ca="1" si="37"/>
        <v/>
      </c>
      <c r="I83" s="68" t="str">
        <f ca="1">IF($B83="","",SUMIFS(TAHSILAT!$F$7:$F$2503,TAHSILAT!$C$7:$C$2503,$B83))</f>
        <v/>
      </c>
      <c r="J83" s="68" t="str">
        <f t="shared" ca="1" si="38"/>
        <v/>
      </c>
      <c r="K83" s="68" t="str">
        <f t="shared" ca="1" si="39"/>
        <v/>
      </c>
      <c r="L83" s="68" t="str">
        <f t="shared" ca="1" si="40"/>
        <v/>
      </c>
      <c r="M83" s="68" t="str">
        <f t="shared" ca="1" si="41"/>
        <v/>
      </c>
      <c r="N83" s="68" t="str">
        <f t="shared" ca="1" si="42"/>
        <v/>
      </c>
      <c r="O83" s="92" t="str">
        <f t="shared" ca="1" si="43"/>
        <v/>
      </c>
      <c r="P83" s="70" t="str">
        <f ca="1">IF($B83="","",IFERROR(LOOKUP(2,1/(TAHSILAT!$C$7:$C$2503=$B83),TAHSILAT!$E$7:$E$2503),""))</f>
        <v/>
      </c>
      <c r="Q83" s="65" t="str">
        <f t="shared" ca="1" si="44"/>
        <v/>
      </c>
      <c r="R83" s="74" t="str">
        <f t="shared" ca="1" si="45"/>
        <v/>
      </c>
      <c r="S83" s="93" t="str">
        <f t="shared" ca="1" si="46"/>
        <v/>
      </c>
      <c r="T83" s="70" t="str">
        <f ca="1">IF(OR($B83="",$AF83=""),"",IF(INDEX(MUSTERILER!$K$7:$K$156,$AF83)="","",INDEX(MUSTERILER!$K$7:$K$156,$AF83)))</f>
        <v/>
      </c>
      <c r="U83" s="93" t="str">
        <f t="shared" ca="1" si="47"/>
        <v/>
      </c>
      <c r="V83" s="68" t="str">
        <f t="shared" ca="1" si="48"/>
        <v/>
      </c>
      <c r="W83" s="65" t="str">
        <f t="shared" ca="1" si="49"/>
        <v/>
      </c>
      <c r="X83" s="2">
        <f ca="1">IF($B83="",0,SUMIFS(UCRETLER!$J$7:$J$606,UCRETLER!$B$7:$B$606,$B83))</f>
        <v>0</v>
      </c>
      <c r="Y83" s="2">
        <f ca="1">IF($B83="",0,SUMIFS(UCRETLER!$K$7:$K$606,UCRETLER!$B$7:$B$606,$B83))</f>
        <v>0</v>
      </c>
      <c r="Z83" s="1">
        <f ca="1">IF($B83="",0,SUMIFS(UCRETLER!$L$7:$L$606,UCRETLER!$B$7:$B$606,$B83))</f>
        <v>0</v>
      </c>
      <c r="AA83" s="1">
        <f t="shared" ca="1" si="50"/>
        <v>0</v>
      </c>
      <c r="AB83" s="1">
        <f t="shared" ca="1" si="51"/>
        <v>0</v>
      </c>
      <c r="AC83" s="1">
        <f t="shared" ca="1" si="52"/>
        <v>0</v>
      </c>
      <c r="AD83" s="1">
        <f t="shared" ca="1" si="53"/>
        <v>0</v>
      </c>
      <c r="AE83" s="1">
        <f t="shared" ca="1" si="54"/>
        <v>0</v>
      </c>
      <c r="AF83" s="1" t="str">
        <f ca="1">IFERROR(MATCH(ROW()-6,MUSTERILER!$U$7:$U$156,0),"")</f>
        <v/>
      </c>
      <c r="AG83" s="1">
        <f ca="1">IF($B83="",0,SUMIFS(GELIR_GIDER!$G$7:$G$3001,GELIR_GIDER!$T$7:$T$3001,$B83))</f>
        <v>0</v>
      </c>
    </row>
    <row r="84" spans="1:33" ht="18" customHeight="1" x14ac:dyDescent="0.3">
      <c r="A84" s="2"/>
      <c r="B84" s="65" t="str">
        <f ca="1">IF($AF84="","",INDEX(MUSTERILER!$B$7:$B$156,$AF84))</f>
        <v/>
      </c>
      <c r="C84" s="74" t="str">
        <f ca="1">IF($AF84="","",INDEX(MUSTERILER!$C$7:$C$156,$AF84))</f>
        <v/>
      </c>
      <c r="D84" s="68" t="str">
        <f ca="1">IF($B84="","",SUMIFS(UCRETLER!$G$7:$G$606,UCRETLER!$B$7:$B$606,$B84,UCRETLER!$F$7:$F$606,"Haftalık",UCRETLER!$H$7:$H$606,"Aktif"))</f>
        <v/>
      </c>
      <c r="E84" s="68" t="str">
        <f ca="1">IF($B84="","",SUMIFS(UCRETLER!$G$7:$G$606,UCRETLER!$B$7:$B$606,$B84,UCRETLER!$F$7:$F$606,"Aylık",UCRETLER!$H$7:$H$606,"Aktif"))</f>
        <v/>
      </c>
      <c r="F84" s="68" t="str">
        <f ca="1">IF($B84="","",SUMIFS(MUSTERILER!$J$7:$J$156,MUSTERILER!$B$7:$B$156,$B84))</f>
        <v/>
      </c>
      <c r="G84" s="68" t="str">
        <f ca="1">IF($B84="","",SUMIFS(UCRETLER!$I$7:$I$606,UCRETLER!$B$7:$B$606,$B84)+SUMIFS(GELIR_GIDER!$G$7:$G$3001,GELIR_GIDER!$T$7:$T$3001,$B84))</f>
        <v/>
      </c>
      <c r="H84" s="68" t="str">
        <f t="shared" ca="1" si="37"/>
        <v/>
      </c>
      <c r="I84" s="68" t="str">
        <f ca="1">IF($B84="","",SUMIFS(TAHSILAT!$F$7:$F$2503,TAHSILAT!$C$7:$C$2503,$B84))</f>
        <v/>
      </c>
      <c r="J84" s="68" t="str">
        <f t="shared" ca="1" si="38"/>
        <v/>
      </c>
      <c r="K84" s="68" t="str">
        <f t="shared" ca="1" si="39"/>
        <v/>
      </c>
      <c r="L84" s="68" t="str">
        <f t="shared" ca="1" si="40"/>
        <v/>
      </c>
      <c r="M84" s="68" t="str">
        <f t="shared" ca="1" si="41"/>
        <v/>
      </c>
      <c r="N84" s="68" t="str">
        <f t="shared" ca="1" si="42"/>
        <v/>
      </c>
      <c r="O84" s="92" t="str">
        <f t="shared" ca="1" si="43"/>
        <v/>
      </c>
      <c r="P84" s="70" t="str">
        <f ca="1">IF($B84="","",IFERROR(LOOKUP(2,1/(TAHSILAT!$C$7:$C$2503=$B84),TAHSILAT!$E$7:$E$2503),""))</f>
        <v/>
      </c>
      <c r="Q84" s="65" t="str">
        <f t="shared" ca="1" si="44"/>
        <v/>
      </c>
      <c r="R84" s="74" t="str">
        <f t="shared" ca="1" si="45"/>
        <v/>
      </c>
      <c r="S84" s="93" t="str">
        <f t="shared" ca="1" si="46"/>
        <v/>
      </c>
      <c r="T84" s="70" t="str">
        <f ca="1">IF(OR($B84="",$AF84=""),"",IF(INDEX(MUSTERILER!$K$7:$K$156,$AF84)="","",INDEX(MUSTERILER!$K$7:$K$156,$AF84)))</f>
        <v/>
      </c>
      <c r="U84" s="93" t="str">
        <f t="shared" ca="1" si="47"/>
        <v/>
      </c>
      <c r="V84" s="68" t="str">
        <f t="shared" ca="1" si="48"/>
        <v/>
      </c>
      <c r="W84" s="65" t="str">
        <f t="shared" ca="1" si="49"/>
        <v/>
      </c>
      <c r="X84" s="2">
        <f ca="1">IF($B84="",0,SUMIFS(UCRETLER!$J$7:$J$606,UCRETLER!$B$7:$B$606,$B84))</f>
        <v>0</v>
      </c>
      <c r="Y84" s="2">
        <f ca="1">IF($B84="",0,SUMIFS(UCRETLER!$K$7:$K$606,UCRETLER!$B$7:$B$606,$B84))</f>
        <v>0</v>
      </c>
      <c r="Z84" s="1">
        <f ca="1">IF($B84="",0,SUMIFS(UCRETLER!$L$7:$L$606,UCRETLER!$B$7:$B$606,$B84))</f>
        <v>0</v>
      </c>
      <c r="AA84" s="1">
        <f t="shared" ca="1" si="50"/>
        <v>0</v>
      </c>
      <c r="AB84" s="1">
        <f t="shared" ca="1" si="51"/>
        <v>0</v>
      </c>
      <c r="AC84" s="1">
        <f t="shared" ca="1" si="52"/>
        <v>0</v>
      </c>
      <c r="AD84" s="1">
        <f t="shared" ca="1" si="53"/>
        <v>0</v>
      </c>
      <c r="AE84" s="1">
        <f t="shared" ca="1" si="54"/>
        <v>0</v>
      </c>
      <c r="AF84" s="1" t="str">
        <f ca="1">IFERROR(MATCH(ROW()-6,MUSTERILER!$U$7:$U$156,0),"")</f>
        <v/>
      </c>
      <c r="AG84" s="1">
        <f ca="1">IF($B84="",0,SUMIFS(GELIR_GIDER!$G$7:$G$3001,GELIR_GIDER!$T$7:$T$3001,$B84))</f>
        <v>0</v>
      </c>
    </row>
    <row r="85" spans="1:33" ht="18" customHeight="1" x14ac:dyDescent="0.3">
      <c r="A85" s="2"/>
      <c r="B85" s="65" t="str">
        <f ca="1">IF($AF85="","",INDEX(MUSTERILER!$B$7:$B$156,$AF85))</f>
        <v/>
      </c>
      <c r="C85" s="74" t="str">
        <f ca="1">IF($AF85="","",INDEX(MUSTERILER!$C$7:$C$156,$AF85))</f>
        <v/>
      </c>
      <c r="D85" s="68" t="str">
        <f ca="1">IF($B85="","",SUMIFS(UCRETLER!$G$7:$G$606,UCRETLER!$B$7:$B$606,$B85,UCRETLER!$F$7:$F$606,"Haftalık",UCRETLER!$H$7:$H$606,"Aktif"))</f>
        <v/>
      </c>
      <c r="E85" s="68" t="str">
        <f ca="1">IF($B85="","",SUMIFS(UCRETLER!$G$7:$G$606,UCRETLER!$B$7:$B$606,$B85,UCRETLER!$F$7:$F$606,"Aylık",UCRETLER!$H$7:$H$606,"Aktif"))</f>
        <v/>
      </c>
      <c r="F85" s="68" t="str">
        <f ca="1">IF($B85="","",SUMIFS(MUSTERILER!$J$7:$J$156,MUSTERILER!$B$7:$B$156,$B85))</f>
        <v/>
      </c>
      <c r="G85" s="68" t="str">
        <f ca="1">IF($B85="","",SUMIFS(UCRETLER!$I$7:$I$606,UCRETLER!$B$7:$B$606,$B85)+SUMIFS(GELIR_GIDER!$G$7:$G$3001,GELIR_GIDER!$T$7:$T$3001,$B85))</f>
        <v/>
      </c>
      <c r="H85" s="68" t="str">
        <f t="shared" ca="1" si="37"/>
        <v/>
      </c>
      <c r="I85" s="68" t="str">
        <f ca="1">IF($B85="","",SUMIFS(TAHSILAT!$F$7:$F$2503,TAHSILAT!$C$7:$C$2503,$B85))</f>
        <v/>
      </c>
      <c r="J85" s="68" t="str">
        <f t="shared" ca="1" si="38"/>
        <v/>
      </c>
      <c r="K85" s="68" t="str">
        <f t="shared" ca="1" si="39"/>
        <v/>
      </c>
      <c r="L85" s="68" t="str">
        <f t="shared" ca="1" si="40"/>
        <v/>
      </c>
      <c r="M85" s="68" t="str">
        <f t="shared" ca="1" si="41"/>
        <v/>
      </c>
      <c r="N85" s="68" t="str">
        <f t="shared" ca="1" si="42"/>
        <v/>
      </c>
      <c r="O85" s="92" t="str">
        <f t="shared" ca="1" si="43"/>
        <v/>
      </c>
      <c r="P85" s="70" t="str">
        <f ca="1">IF($B85="","",IFERROR(LOOKUP(2,1/(TAHSILAT!$C$7:$C$2503=$B85),TAHSILAT!$E$7:$E$2503),""))</f>
        <v/>
      </c>
      <c r="Q85" s="65" t="str">
        <f t="shared" ca="1" si="44"/>
        <v/>
      </c>
      <c r="R85" s="74" t="str">
        <f t="shared" ca="1" si="45"/>
        <v/>
      </c>
      <c r="S85" s="93" t="str">
        <f t="shared" ca="1" si="46"/>
        <v/>
      </c>
      <c r="T85" s="70" t="str">
        <f ca="1">IF(OR($B85="",$AF85=""),"",IF(INDEX(MUSTERILER!$K$7:$K$156,$AF85)="","",INDEX(MUSTERILER!$K$7:$K$156,$AF85)))</f>
        <v/>
      </c>
      <c r="U85" s="93" t="str">
        <f t="shared" ca="1" si="47"/>
        <v/>
      </c>
      <c r="V85" s="68" t="str">
        <f t="shared" ca="1" si="48"/>
        <v/>
      </c>
      <c r="W85" s="65" t="str">
        <f t="shared" ca="1" si="49"/>
        <v/>
      </c>
      <c r="X85" s="2">
        <f ca="1">IF($B85="",0,SUMIFS(UCRETLER!$J$7:$J$606,UCRETLER!$B$7:$B$606,$B85))</f>
        <v>0</v>
      </c>
      <c r="Y85" s="2">
        <f ca="1">IF($B85="",0,SUMIFS(UCRETLER!$K$7:$K$606,UCRETLER!$B$7:$B$606,$B85))</f>
        <v>0</v>
      </c>
      <c r="Z85" s="1">
        <f ca="1">IF($B85="",0,SUMIFS(UCRETLER!$L$7:$L$606,UCRETLER!$B$7:$B$606,$B85))</f>
        <v>0</v>
      </c>
      <c r="AA85" s="1">
        <f t="shared" ca="1" si="50"/>
        <v>0</v>
      </c>
      <c r="AB85" s="1">
        <f t="shared" ca="1" si="51"/>
        <v>0</v>
      </c>
      <c r="AC85" s="1">
        <f t="shared" ca="1" si="52"/>
        <v>0</v>
      </c>
      <c r="AD85" s="1">
        <f t="shared" ca="1" si="53"/>
        <v>0</v>
      </c>
      <c r="AE85" s="1">
        <f t="shared" ca="1" si="54"/>
        <v>0</v>
      </c>
      <c r="AF85" s="1" t="str">
        <f ca="1">IFERROR(MATCH(ROW()-6,MUSTERILER!$U$7:$U$156,0),"")</f>
        <v/>
      </c>
      <c r="AG85" s="1">
        <f ca="1">IF($B85="",0,SUMIFS(GELIR_GIDER!$G$7:$G$3001,GELIR_GIDER!$T$7:$T$3001,$B85))</f>
        <v>0</v>
      </c>
    </row>
    <row r="86" spans="1:33" ht="18" customHeight="1" x14ac:dyDescent="0.3">
      <c r="A86" s="2"/>
      <c r="B86" s="65" t="str">
        <f ca="1">IF($AF86="","",INDEX(MUSTERILER!$B$7:$B$156,$AF86))</f>
        <v/>
      </c>
      <c r="C86" s="74" t="str">
        <f ca="1">IF($AF86="","",INDEX(MUSTERILER!$C$7:$C$156,$AF86))</f>
        <v/>
      </c>
      <c r="D86" s="68" t="str">
        <f ca="1">IF($B86="","",SUMIFS(UCRETLER!$G$7:$G$606,UCRETLER!$B$7:$B$606,$B86,UCRETLER!$F$7:$F$606,"Haftalık",UCRETLER!$H$7:$H$606,"Aktif"))</f>
        <v/>
      </c>
      <c r="E86" s="68" t="str">
        <f ca="1">IF($B86="","",SUMIFS(UCRETLER!$G$7:$G$606,UCRETLER!$B$7:$B$606,$B86,UCRETLER!$F$7:$F$606,"Aylık",UCRETLER!$H$7:$H$606,"Aktif"))</f>
        <v/>
      </c>
      <c r="F86" s="68" t="str">
        <f ca="1">IF($B86="","",SUMIFS(MUSTERILER!$J$7:$J$156,MUSTERILER!$B$7:$B$156,$B86))</f>
        <v/>
      </c>
      <c r="G86" s="68" t="str">
        <f ca="1">IF($B86="","",SUMIFS(UCRETLER!$I$7:$I$606,UCRETLER!$B$7:$B$606,$B86)+SUMIFS(GELIR_GIDER!$G$7:$G$3001,GELIR_GIDER!$T$7:$T$3001,$B86))</f>
        <v/>
      </c>
      <c r="H86" s="68" t="str">
        <f t="shared" ca="1" si="37"/>
        <v/>
      </c>
      <c r="I86" s="68" t="str">
        <f ca="1">IF($B86="","",SUMIFS(TAHSILAT!$F$7:$F$2503,TAHSILAT!$C$7:$C$2503,$B86))</f>
        <v/>
      </c>
      <c r="J86" s="68" t="str">
        <f t="shared" ca="1" si="38"/>
        <v/>
      </c>
      <c r="K86" s="68" t="str">
        <f t="shared" ca="1" si="39"/>
        <v/>
      </c>
      <c r="L86" s="68" t="str">
        <f t="shared" ca="1" si="40"/>
        <v/>
      </c>
      <c r="M86" s="68" t="str">
        <f t="shared" ca="1" si="41"/>
        <v/>
      </c>
      <c r="N86" s="68" t="str">
        <f t="shared" ca="1" si="42"/>
        <v/>
      </c>
      <c r="O86" s="92" t="str">
        <f t="shared" ca="1" si="43"/>
        <v/>
      </c>
      <c r="P86" s="70" t="str">
        <f ca="1">IF($B86="","",IFERROR(LOOKUP(2,1/(TAHSILAT!$C$7:$C$2503=$B86),TAHSILAT!$E$7:$E$2503),""))</f>
        <v/>
      </c>
      <c r="Q86" s="65" t="str">
        <f t="shared" ca="1" si="44"/>
        <v/>
      </c>
      <c r="R86" s="74" t="str">
        <f t="shared" ca="1" si="45"/>
        <v/>
      </c>
      <c r="S86" s="93" t="str">
        <f t="shared" ca="1" si="46"/>
        <v/>
      </c>
      <c r="T86" s="70" t="str">
        <f ca="1">IF(OR($B86="",$AF86=""),"",IF(INDEX(MUSTERILER!$K$7:$K$156,$AF86)="","",INDEX(MUSTERILER!$K$7:$K$156,$AF86)))</f>
        <v/>
      </c>
      <c r="U86" s="93" t="str">
        <f t="shared" ca="1" si="47"/>
        <v/>
      </c>
      <c r="V86" s="68" t="str">
        <f t="shared" ca="1" si="48"/>
        <v/>
      </c>
      <c r="W86" s="65" t="str">
        <f t="shared" ca="1" si="49"/>
        <v/>
      </c>
      <c r="X86" s="2">
        <f ca="1">IF($B86="",0,SUMIFS(UCRETLER!$J$7:$J$606,UCRETLER!$B$7:$B$606,$B86))</f>
        <v>0</v>
      </c>
      <c r="Y86" s="2">
        <f ca="1">IF($B86="",0,SUMIFS(UCRETLER!$K$7:$K$606,UCRETLER!$B$7:$B$606,$B86))</f>
        <v>0</v>
      </c>
      <c r="Z86" s="1">
        <f ca="1">IF($B86="",0,SUMIFS(UCRETLER!$L$7:$L$606,UCRETLER!$B$7:$B$606,$B86))</f>
        <v>0</v>
      </c>
      <c r="AA86" s="1">
        <f t="shared" ca="1" si="50"/>
        <v>0</v>
      </c>
      <c r="AB86" s="1">
        <f t="shared" ca="1" si="51"/>
        <v>0</v>
      </c>
      <c r="AC86" s="1">
        <f t="shared" ca="1" si="52"/>
        <v>0</v>
      </c>
      <c r="AD86" s="1">
        <f t="shared" ca="1" si="53"/>
        <v>0</v>
      </c>
      <c r="AE86" s="1">
        <f t="shared" ca="1" si="54"/>
        <v>0</v>
      </c>
      <c r="AF86" s="1" t="str">
        <f ca="1">IFERROR(MATCH(ROW()-6,MUSTERILER!$U$7:$U$156,0),"")</f>
        <v/>
      </c>
      <c r="AG86" s="1">
        <f ca="1">IF($B86="",0,SUMIFS(GELIR_GIDER!$G$7:$G$3001,GELIR_GIDER!$T$7:$T$3001,$B86))</f>
        <v>0</v>
      </c>
    </row>
    <row r="87" spans="1:33" ht="18" customHeight="1" x14ac:dyDescent="0.3">
      <c r="A87" s="2"/>
      <c r="B87" s="65" t="str">
        <f ca="1">IF($AF87="","",INDEX(MUSTERILER!$B$7:$B$156,$AF87))</f>
        <v/>
      </c>
      <c r="C87" s="74" t="str">
        <f ca="1">IF($AF87="","",INDEX(MUSTERILER!$C$7:$C$156,$AF87))</f>
        <v/>
      </c>
      <c r="D87" s="68" t="str">
        <f ca="1">IF($B87="","",SUMIFS(UCRETLER!$G$7:$G$606,UCRETLER!$B$7:$B$606,$B87,UCRETLER!$F$7:$F$606,"Haftalık",UCRETLER!$H$7:$H$606,"Aktif"))</f>
        <v/>
      </c>
      <c r="E87" s="68" t="str">
        <f ca="1">IF($B87="","",SUMIFS(UCRETLER!$G$7:$G$606,UCRETLER!$B$7:$B$606,$B87,UCRETLER!$F$7:$F$606,"Aylık",UCRETLER!$H$7:$H$606,"Aktif"))</f>
        <v/>
      </c>
      <c r="F87" s="68" t="str">
        <f ca="1">IF($B87="","",SUMIFS(MUSTERILER!$J$7:$J$156,MUSTERILER!$B$7:$B$156,$B87))</f>
        <v/>
      </c>
      <c r="G87" s="68" t="str">
        <f ca="1">IF($B87="","",SUMIFS(UCRETLER!$I$7:$I$606,UCRETLER!$B$7:$B$606,$B87)+SUMIFS(GELIR_GIDER!$G$7:$G$3001,GELIR_GIDER!$T$7:$T$3001,$B87))</f>
        <v/>
      </c>
      <c r="H87" s="68" t="str">
        <f t="shared" ca="1" si="37"/>
        <v/>
      </c>
      <c r="I87" s="68" t="str">
        <f ca="1">IF($B87="","",SUMIFS(TAHSILAT!$F$7:$F$2503,TAHSILAT!$C$7:$C$2503,$B87))</f>
        <v/>
      </c>
      <c r="J87" s="68" t="str">
        <f t="shared" ca="1" si="38"/>
        <v/>
      </c>
      <c r="K87" s="68" t="str">
        <f t="shared" ca="1" si="39"/>
        <v/>
      </c>
      <c r="L87" s="68" t="str">
        <f t="shared" ca="1" si="40"/>
        <v/>
      </c>
      <c r="M87" s="68" t="str">
        <f t="shared" ca="1" si="41"/>
        <v/>
      </c>
      <c r="N87" s="68" t="str">
        <f t="shared" ca="1" si="42"/>
        <v/>
      </c>
      <c r="O87" s="92" t="str">
        <f t="shared" ca="1" si="43"/>
        <v/>
      </c>
      <c r="P87" s="70" t="str">
        <f ca="1">IF($B87="","",IFERROR(LOOKUP(2,1/(TAHSILAT!$C$7:$C$2503=$B87),TAHSILAT!$E$7:$E$2503),""))</f>
        <v/>
      </c>
      <c r="Q87" s="65" t="str">
        <f t="shared" ca="1" si="44"/>
        <v/>
      </c>
      <c r="R87" s="74" t="str">
        <f t="shared" ca="1" si="45"/>
        <v/>
      </c>
      <c r="S87" s="93" t="str">
        <f t="shared" ca="1" si="46"/>
        <v/>
      </c>
      <c r="T87" s="70" t="str">
        <f ca="1">IF(OR($B87="",$AF87=""),"",IF(INDEX(MUSTERILER!$K$7:$K$156,$AF87)="","",INDEX(MUSTERILER!$K$7:$K$156,$AF87)))</f>
        <v/>
      </c>
      <c r="U87" s="93" t="str">
        <f t="shared" ca="1" si="47"/>
        <v/>
      </c>
      <c r="V87" s="68" t="str">
        <f t="shared" ca="1" si="48"/>
        <v/>
      </c>
      <c r="W87" s="65" t="str">
        <f t="shared" ca="1" si="49"/>
        <v/>
      </c>
      <c r="X87" s="2">
        <f ca="1">IF($B87="",0,SUMIFS(UCRETLER!$J$7:$J$606,UCRETLER!$B$7:$B$606,$B87))</f>
        <v>0</v>
      </c>
      <c r="Y87" s="2">
        <f ca="1">IF($B87="",0,SUMIFS(UCRETLER!$K$7:$K$606,UCRETLER!$B$7:$B$606,$B87))</f>
        <v>0</v>
      </c>
      <c r="Z87" s="1">
        <f ca="1">IF($B87="",0,SUMIFS(UCRETLER!$L$7:$L$606,UCRETLER!$B$7:$B$606,$B87))</f>
        <v>0</v>
      </c>
      <c r="AA87" s="1">
        <f t="shared" ca="1" si="50"/>
        <v>0</v>
      </c>
      <c r="AB87" s="1">
        <f t="shared" ca="1" si="51"/>
        <v>0</v>
      </c>
      <c r="AC87" s="1">
        <f t="shared" ca="1" si="52"/>
        <v>0</v>
      </c>
      <c r="AD87" s="1">
        <f t="shared" ca="1" si="53"/>
        <v>0</v>
      </c>
      <c r="AE87" s="1">
        <f t="shared" ca="1" si="54"/>
        <v>0</v>
      </c>
      <c r="AF87" s="1" t="str">
        <f ca="1">IFERROR(MATCH(ROW()-6,MUSTERILER!$U$7:$U$156,0),"")</f>
        <v/>
      </c>
      <c r="AG87" s="1">
        <f ca="1">IF($B87="",0,SUMIFS(GELIR_GIDER!$G$7:$G$3001,GELIR_GIDER!$T$7:$T$3001,$B87))</f>
        <v>0</v>
      </c>
    </row>
    <row r="88" spans="1:33" ht="18" customHeight="1" x14ac:dyDescent="0.3">
      <c r="A88" s="2"/>
      <c r="B88" s="65" t="str">
        <f ca="1">IF($AF88="","",INDEX(MUSTERILER!$B$7:$B$156,$AF88))</f>
        <v/>
      </c>
      <c r="C88" s="74" t="str">
        <f ca="1">IF($AF88="","",INDEX(MUSTERILER!$C$7:$C$156,$AF88))</f>
        <v/>
      </c>
      <c r="D88" s="68" t="str">
        <f ca="1">IF($B88="","",SUMIFS(UCRETLER!$G$7:$G$606,UCRETLER!$B$7:$B$606,$B88,UCRETLER!$F$7:$F$606,"Haftalık",UCRETLER!$H$7:$H$606,"Aktif"))</f>
        <v/>
      </c>
      <c r="E88" s="68" t="str">
        <f ca="1">IF($B88="","",SUMIFS(UCRETLER!$G$7:$G$606,UCRETLER!$B$7:$B$606,$B88,UCRETLER!$F$7:$F$606,"Aylık",UCRETLER!$H$7:$H$606,"Aktif"))</f>
        <v/>
      </c>
      <c r="F88" s="68" t="str">
        <f ca="1">IF($B88="","",SUMIFS(MUSTERILER!$J$7:$J$156,MUSTERILER!$B$7:$B$156,$B88))</f>
        <v/>
      </c>
      <c r="G88" s="68" t="str">
        <f ca="1">IF($B88="","",SUMIFS(UCRETLER!$I$7:$I$606,UCRETLER!$B$7:$B$606,$B88)+SUMIFS(GELIR_GIDER!$G$7:$G$3001,GELIR_GIDER!$T$7:$T$3001,$B88))</f>
        <v/>
      </c>
      <c r="H88" s="68" t="str">
        <f t="shared" ca="1" si="37"/>
        <v/>
      </c>
      <c r="I88" s="68" t="str">
        <f ca="1">IF($B88="","",SUMIFS(TAHSILAT!$F$7:$F$2503,TAHSILAT!$C$7:$C$2503,$B88))</f>
        <v/>
      </c>
      <c r="J88" s="68" t="str">
        <f t="shared" ca="1" si="38"/>
        <v/>
      </c>
      <c r="K88" s="68" t="str">
        <f t="shared" ca="1" si="39"/>
        <v/>
      </c>
      <c r="L88" s="68" t="str">
        <f t="shared" ca="1" si="40"/>
        <v/>
      </c>
      <c r="M88" s="68" t="str">
        <f t="shared" ca="1" si="41"/>
        <v/>
      </c>
      <c r="N88" s="68" t="str">
        <f t="shared" ca="1" si="42"/>
        <v/>
      </c>
      <c r="O88" s="92" t="str">
        <f t="shared" ca="1" si="43"/>
        <v/>
      </c>
      <c r="P88" s="70" t="str">
        <f ca="1">IF($B88="","",IFERROR(LOOKUP(2,1/(TAHSILAT!$C$7:$C$2503=$B88),TAHSILAT!$E$7:$E$2503),""))</f>
        <v/>
      </c>
      <c r="Q88" s="65" t="str">
        <f t="shared" ca="1" si="44"/>
        <v/>
      </c>
      <c r="R88" s="74" t="str">
        <f t="shared" ca="1" si="45"/>
        <v/>
      </c>
      <c r="S88" s="93" t="str">
        <f t="shared" ca="1" si="46"/>
        <v/>
      </c>
      <c r="T88" s="70" t="str">
        <f ca="1">IF(OR($B88="",$AF88=""),"",IF(INDEX(MUSTERILER!$K$7:$K$156,$AF88)="","",INDEX(MUSTERILER!$K$7:$K$156,$AF88)))</f>
        <v/>
      </c>
      <c r="U88" s="93" t="str">
        <f t="shared" ca="1" si="47"/>
        <v/>
      </c>
      <c r="V88" s="68" t="str">
        <f t="shared" ca="1" si="48"/>
        <v/>
      </c>
      <c r="W88" s="65" t="str">
        <f t="shared" ca="1" si="49"/>
        <v/>
      </c>
      <c r="X88" s="2">
        <f ca="1">IF($B88="",0,SUMIFS(UCRETLER!$J$7:$J$606,UCRETLER!$B$7:$B$606,$B88))</f>
        <v>0</v>
      </c>
      <c r="Y88" s="2">
        <f ca="1">IF($B88="",0,SUMIFS(UCRETLER!$K$7:$K$606,UCRETLER!$B$7:$B$606,$B88))</f>
        <v>0</v>
      </c>
      <c r="Z88" s="1">
        <f ca="1">IF($B88="",0,SUMIFS(UCRETLER!$L$7:$L$606,UCRETLER!$B$7:$B$606,$B88))</f>
        <v>0</v>
      </c>
      <c r="AA88" s="1">
        <f t="shared" ca="1" si="50"/>
        <v>0</v>
      </c>
      <c r="AB88" s="1">
        <f t="shared" ca="1" si="51"/>
        <v>0</v>
      </c>
      <c r="AC88" s="1">
        <f t="shared" ca="1" si="52"/>
        <v>0</v>
      </c>
      <c r="AD88" s="1">
        <f t="shared" ca="1" si="53"/>
        <v>0</v>
      </c>
      <c r="AE88" s="1">
        <f t="shared" ca="1" si="54"/>
        <v>0</v>
      </c>
      <c r="AF88" s="1" t="str">
        <f ca="1">IFERROR(MATCH(ROW()-6,MUSTERILER!$U$7:$U$156,0),"")</f>
        <v/>
      </c>
      <c r="AG88" s="1">
        <f ca="1">IF($B88="",0,SUMIFS(GELIR_GIDER!$G$7:$G$3001,GELIR_GIDER!$T$7:$T$3001,$B88))</f>
        <v>0</v>
      </c>
    </row>
    <row r="89" spans="1:33" ht="18" customHeight="1" x14ac:dyDescent="0.3">
      <c r="A89" s="2"/>
      <c r="B89" s="65" t="str">
        <f ca="1">IF($AF89="","",INDEX(MUSTERILER!$B$7:$B$156,$AF89))</f>
        <v/>
      </c>
      <c r="C89" s="74" t="str">
        <f ca="1">IF($AF89="","",INDEX(MUSTERILER!$C$7:$C$156,$AF89))</f>
        <v/>
      </c>
      <c r="D89" s="68" t="str">
        <f ca="1">IF($B89="","",SUMIFS(UCRETLER!$G$7:$G$606,UCRETLER!$B$7:$B$606,$B89,UCRETLER!$F$7:$F$606,"Haftalık",UCRETLER!$H$7:$H$606,"Aktif"))</f>
        <v/>
      </c>
      <c r="E89" s="68" t="str">
        <f ca="1">IF($B89="","",SUMIFS(UCRETLER!$G$7:$G$606,UCRETLER!$B$7:$B$606,$B89,UCRETLER!$F$7:$F$606,"Aylık",UCRETLER!$H$7:$H$606,"Aktif"))</f>
        <v/>
      </c>
      <c r="F89" s="68" t="str">
        <f ca="1">IF($B89="","",SUMIFS(MUSTERILER!$J$7:$J$156,MUSTERILER!$B$7:$B$156,$B89))</f>
        <v/>
      </c>
      <c r="G89" s="68" t="str">
        <f ca="1">IF($B89="","",SUMIFS(UCRETLER!$I$7:$I$606,UCRETLER!$B$7:$B$606,$B89)+SUMIFS(GELIR_GIDER!$G$7:$G$3001,GELIR_GIDER!$T$7:$T$3001,$B89))</f>
        <v/>
      </c>
      <c r="H89" s="68" t="str">
        <f t="shared" ca="1" si="37"/>
        <v/>
      </c>
      <c r="I89" s="68" t="str">
        <f ca="1">IF($B89="","",SUMIFS(TAHSILAT!$F$7:$F$2503,TAHSILAT!$C$7:$C$2503,$B89))</f>
        <v/>
      </c>
      <c r="J89" s="68" t="str">
        <f t="shared" ca="1" si="38"/>
        <v/>
      </c>
      <c r="K89" s="68" t="str">
        <f t="shared" ca="1" si="39"/>
        <v/>
      </c>
      <c r="L89" s="68" t="str">
        <f t="shared" ca="1" si="40"/>
        <v/>
      </c>
      <c r="M89" s="68" t="str">
        <f t="shared" ca="1" si="41"/>
        <v/>
      </c>
      <c r="N89" s="68" t="str">
        <f t="shared" ca="1" si="42"/>
        <v/>
      </c>
      <c r="O89" s="92" t="str">
        <f t="shared" ca="1" si="43"/>
        <v/>
      </c>
      <c r="P89" s="70" t="str">
        <f ca="1">IF($B89="","",IFERROR(LOOKUP(2,1/(TAHSILAT!$C$7:$C$2503=$B89),TAHSILAT!$E$7:$E$2503),""))</f>
        <v/>
      </c>
      <c r="Q89" s="65" t="str">
        <f t="shared" ca="1" si="44"/>
        <v/>
      </c>
      <c r="R89" s="74" t="str">
        <f t="shared" ca="1" si="45"/>
        <v/>
      </c>
      <c r="S89" s="93" t="str">
        <f t="shared" ca="1" si="46"/>
        <v/>
      </c>
      <c r="T89" s="70" t="str">
        <f ca="1">IF(OR($B89="",$AF89=""),"",IF(INDEX(MUSTERILER!$K$7:$K$156,$AF89)="","",INDEX(MUSTERILER!$K$7:$K$156,$AF89)))</f>
        <v/>
      </c>
      <c r="U89" s="93" t="str">
        <f t="shared" ca="1" si="47"/>
        <v/>
      </c>
      <c r="V89" s="68" t="str">
        <f t="shared" ca="1" si="48"/>
        <v/>
      </c>
      <c r="W89" s="65" t="str">
        <f t="shared" ca="1" si="49"/>
        <v/>
      </c>
      <c r="X89" s="2">
        <f ca="1">IF($B89="",0,SUMIFS(UCRETLER!$J$7:$J$606,UCRETLER!$B$7:$B$606,$B89))</f>
        <v>0</v>
      </c>
      <c r="Y89" s="2">
        <f ca="1">IF($B89="",0,SUMIFS(UCRETLER!$K$7:$K$606,UCRETLER!$B$7:$B$606,$B89))</f>
        <v>0</v>
      </c>
      <c r="Z89" s="1">
        <f ca="1">IF($B89="",0,SUMIFS(UCRETLER!$L$7:$L$606,UCRETLER!$B$7:$B$606,$B89))</f>
        <v>0</v>
      </c>
      <c r="AA89" s="1">
        <f t="shared" ca="1" si="50"/>
        <v>0</v>
      </c>
      <c r="AB89" s="1">
        <f t="shared" ca="1" si="51"/>
        <v>0</v>
      </c>
      <c r="AC89" s="1">
        <f t="shared" ca="1" si="52"/>
        <v>0</v>
      </c>
      <c r="AD89" s="1">
        <f t="shared" ca="1" si="53"/>
        <v>0</v>
      </c>
      <c r="AE89" s="1">
        <f t="shared" ca="1" si="54"/>
        <v>0</v>
      </c>
      <c r="AF89" s="1" t="str">
        <f ca="1">IFERROR(MATCH(ROW()-6,MUSTERILER!$U$7:$U$156,0),"")</f>
        <v/>
      </c>
      <c r="AG89" s="1">
        <f ca="1">IF($B89="",0,SUMIFS(GELIR_GIDER!$G$7:$G$3001,GELIR_GIDER!$T$7:$T$3001,$B89))</f>
        <v>0</v>
      </c>
    </row>
    <row r="90" spans="1:33" ht="18" customHeight="1" x14ac:dyDescent="0.3">
      <c r="A90" s="2"/>
      <c r="B90" s="65" t="str">
        <f ca="1">IF($AF90="","",INDEX(MUSTERILER!$B$7:$B$156,$AF90))</f>
        <v/>
      </c>
      <c r="C90" s="74" t="str">
        <f ca="1">IF($AF90="","",INDEX(MUSTERILER!$C$7:$C$156,$AF90))</f>
        <v/>
      </c>
      <c r="D90" s="68" t="str">
        <f ca="1">IF($B90="","",SUMIFS(UCRETLER!$G$7:$G$606,UCRETLER!$B$7:$B$606,$B90,UCRETLER!$F$7:$F$606,"Haftalık",UCRETLER!$H$7:$H$606,"Aktif"))</f>
        <v/>
      </c>
      <c r="E90" s="68" t="str">
        <f ca="1">IF($B90="","",SUMIFS(UCRETLER!$G$7:$G$606,UCRETLER!$B$7:$B$606,$B90,UCRETLER!$F$7:$F$606,"Aylık",UCRETLER!$H$7:$H$606,"Aktif"))</f>
        <v/>
      </c>
      <c r="F90" s="68" t="str">
        <f ca="1">IF($B90="","",SUMIFS(MUSTERILER!$J$7:$J$156,MUSTERILER!$B$7:$B$156,$B90))</f>
        <v/>
      </c>
      <c r="G90" s="68" t="str">
        <f ca="1">IF($B90="","",SUMIFS(UCRETLER!$I$7:$I$606,UCRETLER!$B$7:$B$606,$B90)+SUMIFS(GELIR_GIDER!$G$7:$G$3001,GELIR_GIDER!$T$7:$T$3001,$B90))</f>
        <v/>
      </c>
      <c r="H90" s="68" t="str">
        <f t="shared" ca="1" si="37"/>
        <v/>
      </c>
      <c r="I90" s="68" t="str">
        <f ca="1">IF($B90="","",SUMIFS(TAHSILAT!$F$7:$F$2503,TAHSILAT!$C$7:$C$2503,$B90))</f>
        <v/>
      </c>
      <c r="J90" s="68" t="str">
        <f t="shared" ca="1" si="38"/>
        <v/>
      </c>
      <c r="K90" s="68" t="str">
        <f t="shared" ca="1" si="39"/>
        <v/>
      </c>
      <c r="L90" s="68" t="str">
        <f t="shared" ca="1" si="40"/>
        <v/>
      </c>
      <c r="M90" s="68" t="str">
        <f t="shared" ca="1" si="41"/>
        <v/>
      </c>
      <c r="N90" s="68" t="str">
        <f t="shared" ca="1" si="42"/>
        <v/>
      </c>
      <c r="O90" s="92" t="str">
        <f t="shared" ca="1" si="43"/>
        <v/>
      </c>
      <c r="P90" s="70" t="str">
        <f ca="1">IF($B90="","",IFERROR(LOOKUP(2,1/(TAHSILAT!$C$7:$C$2503=$B90),TAHSILAT!$E$7:$E$2503),""))</f>
        <v/>
      </c>
      <c r="Q90" s="65" t="str">
        <f t="shared" ca="1" si="44"/>
        <v/>
      </c>
      <c r="R90" s="74" t="str">
        <f t="shared" ca="1" si="45"/>
        <v/>
      </c>
      <c r="S90" s="93" t="str">
        <f t="shared" ca="1" si="46"/>
        <v/>
      </c>
      <c r="T90" s="70" t="str">
        <f ca="1">IF(OR($B90="",$AF90=""),"",IF(INDEX(MUSTERILER!$K$7:$K$156,$AF90)="","",INDEX(MUSTERILER!$K$7:$K$156,$AF90)))</f>
        <v/>
      </c>
      <c r="U90" s="93" t="str">
        <f t="shared" ca="1" si="47"/>
        <v/>
      </c>
      <c r="V90" s="68" t="str">
        <f t="shared" ca="1" si="48"/>
        <v/>
      </c>
      <c r="W90" s="65" t="str">
        <f t="shared" ca="1" si="49"/>
        <v/>
      </c>
      <c r="X90" s="2">
        <f ca="1">IF($B90="",0,SUMIFS(UCRETLER!$J$7:$J$606,UCRETLER!$B$7:$B$606,$B90))</f>
        <v>0</v>
      </c>
      <c r="Y90" s="2">
        <f ca="1">IF($B90="",0,SUMIFS(UCRETLER!$K$7:$K$606,UCRETLER!$B$7:$B$606,$B90))</f>
        <v>0</v>
      </c>
      <c r="Z90" s="1">
        <f ca="1">IF($B90="",0,SUMIFS(UCRETLER!$L$7:$L$606,UCRETLER!$B$7:$B$606,$B90))</f>
        <v>0</v>
      </c>
      <c r="AA90" s="1">
        <f t="shared" ca="1" si="50"/>
        <v>0</v>
      </c>
      <c r="AB90" s="1">
        <f t="shared" ca="1" si="51"/>
        <v>0</v>
      </c>
      <c r="AC90" s="1">
        <f t="shared" ca="1" si="52"/>
        <v>0</v>
      </c>
      <c r="AD90" s="1">
        <f t="shared" ca="1" si="53"/>
        <v>0</v>
      </c>
      <c r="AE90" s="1">
        <f t="shared" ca="1" si="54"/>
        <v>0</v>
      </c>
      <c r="AF90" s="1" t="str">
        <f ca="1">IFERROR(MATCH(ROW()-6,MUSTERILER!$U$7:$U$156,0),"")</f>
        <v/>
      </c>
      <c r="AG90" s="1">
        <f ca="1">IF($B90="",0,SUMIFS(GELIR_GIDER!$G$7:$G$3001,GELIR_GIDER!$T$7:$T$3001,$B90))</f>
        <v>0</v>
      </c>
    </row>
    <row r="91" spans="1:33" ht="18" customHeight="1" x14ac:dyDescent="0.3">
      <c r="A91" s="2"/>
      <c r="B91" s="65" t="str">
        <f ca="1">IF($AF91="","",INDEX(MUSTERILER!$B$7:$B$156,$AF91))</f>
        <v/>
      </c>
      <c r="C91" s="74" t="str">
        <f ca="1">IF($AF91="","",INDEX(MUSTERILER!$C$7:$C$156,$AF91))</f>
        <v/>
      </c>
      <c r="D91" s="68" t="str">
        <f ca="1">IF($B91="","",SUMIFS(UCRETLER!$G$7:$G$606,UCRETLER!$B$7:$B$606,$B91,UCRETLER!$F$7:$F$606,"Haftalık",UCRETLER!$H$7:$H$606,"Aktif"))</f>
        <v/>
      </c>
      <c r="E91" s="68" t="str">
        <f ca="1">IF($B91="","",SUMIFS(UCRETLER!$G$7:$G$606,UCRETLER!$B$7:$B$606,$B91,UCRETLER!$F$7:$F$606,"Aylık",UCRETLER!$H$7:$H$606,"Aktif"))</f>
        <v/>
      </c>
      <c r="F91" s="68" t="str">
        <f ca="1">IF($B91="","",SUMIFS(MUSTERILER!$J$7:$J$156,MUSTERILER!$B$7:$B$156,$B91))</f>
        <v/>
      </c>
      <c r="G91" s="68" t="str">
        <f ca="1">IF($B91="","",SUMIFS(UCRETLER!$I$7:$I$606,UCRETLER!$B$7:$B$606,$B91)+SUMIFS(GELIR_GIDER!$G$7:$G$3001,GELIR_GIDER!$T$7:$T$3001,$B91))</f>
        <v/>
      </c>
      <c r="H91" s="68" t="str">
        <f t="shared" ca="1" si="37"/>
        <v/>
      </c>
      <c r="I91" s="68" t="str">
        <f ca="1">IF($B91="","",SUMIFS(TAHSILAT!$F$7:$F$2503,TAHSILAT!$C$7:$C$2503,$B91))</f>
        <v/>
      </c>
      <c r="J91" s="68" t="str">
        <f t="shared" ca="1" si="38"/>
        <v/>
      </c>
      <c r="K91" s="68" t="str">
        <f t="shared" ca="1" si="39"/>
        <v/>
      </c>
      <c r="L91" s="68" t="str">
        <f t="shared" ca="1" si="40"/>
        <v/>
      </c>
      <c r="M91" s="68" t="str">
        <f t="shared" ca="1" si="41"/>
        <v/>
      </c>
      <c r="N91" s="68" t="str">
        <f t="shared" ca="1" si="42"/>
        <v/>
      </c>
      <c r="O91" s="92" t="str">
        <f t="shared" ca="1" si="43"/>
        <v/>
      </c>
      <c r="P91" s="70" t="str">
        <f ca="1">IF($B91="","",IFERROR(LOOKUP(2,1/(TAHSILAT!$C$7:$C$2503=$B91),TAHSILAT!$E$7:$E$2503),""))</f>
        <v/>
      </c>
      <c r="Q91" s="65" t="str">
        <f t="shared" ca="1" si="44"/>
        <v/>
      </c>
      <c r="R91" s="74" t="str">
        <f t="shared" ca="1" si="45"/>
        <v/>
      </c>
      <c r="S91" s="93" t="str">
        <f t="shared" ca="1" si="46"/>
        <v/>
      </c>
      <c r="T91" s="70" t="str">
        <f ca="1">IF(OR($B91="",$AF91=""),"",IF(INDEX(MUSTERILER!$K$7:$K$156,$AF91)="","",INDEX(MUSTERILER!$K$7:$K$156,$AF91)))</f>
        <v/>
      </c>
      <c r="U91" s="93" t="str">
        <f t="shared" ca="1" si="47"/>
        <v/>
      </c>
      <c r="V91" s="68" t="str">
        <f t="shared" ca="1" si="48"/>
        <v/>
      </c>
      <c r="W91" s="65" t="str">
        <f t="shared" ca="1" si="49"/>
        <v/>
      </c>
      <c r="X91" s="2">
        <f ca="1">IF($B91="",0,SUMIFS(UCRETLER!$J$7:$J$606,UCRETLER!$B$7:$B$606,$B91))</f>
        <v>0</v>
      </c>
      <c r="Y91" s="2">
        <f ca="1">IF($B91="",0,SUMIFS(UCRETLER!$K$7:$K$606,UCRETLER!$B$7:$B$606,$B91))</f>
        <v>0</v>
      </c>
      <c r="Z91" s="1">
        <f ca="1">IF($B91="",0,SUMIFS(UCRETLER!$L$7:$L$606,UCRETLER!$B$7:$B$606,$B91))</f>
        <v>0</v>
      </c>
      <c r="AA91" s="1">
        <f t="shared" ca="1" si="50"/>
        <v>0</v>
      </c>
      <c r="AB91" s="1">
        <f t="shared" ca="1" si="51"/>
        <v>0</v>
      </c>
      <c r="AC91" s="1">
        <f t="shared" ca="1" si="52"/>
        <v>0</v>
      </c>
      <c r="AD91" s="1">
        <f t="shared" ca="1" si="53"/>
        <v>0</v>
      </c>
      <c r="AE91" s="1">
        <f t="shared" ca="1" si="54"/>
        <v>0</v>
      </c>
      <c r="AF91" s="1" t="str">
        <f ca="1">IFERROR(MATCH(ROW()-6,MUSTERILER!$U$7:$U$156,0),"")</f>
        <v/>
      </c>
      <c r="AG91" s="1">
        <f ca="1">IF($B91="",0,SUMIFS(GELIR_GIDER!$G$7:$G$3001,GELIR_GIDER!$T$7:$T$3001,$B91))</f>
        <v>0</v>
      </c>
    </row>
    <row r="92" spans="1:33" ht="18" customHeight="1" x14ac:dyDescent="0.3">
      <c r="A92" s="2"/>
      <c r="B92" s="65" t="str">
        <f ca="1">IF($AF92="","",INDEX(MUSTERILER!$B$7:$B$156,$AF92))</f>
        <v/>
      </c>
      <c r="C92" s="74" t="str">
        <f ca="1">IF($AF92="","",INDEX(MUSTERILER!$C$7:$C$156,$AF92))</f>
        <v/>
      </c>
      <c r="D92" s="68" t="str">
        <f ca="1">IF($B92="","",SUMIFS(UCRETLER!$G$7:$G$606,UCRETLER!$B$7:$B$606,$B92,UCRETLER!$F$7:$F$606,"Haftalık",UCRETLER!$H$7:$H$606,"Aktif"))</f>
        <v/>
      </c>
      <c r="E92" s="68" t="str">
        <f ca="1">IF($B92="","",SUMIFS(UCRETLER!$G$7:$G$606,UCRETLER!$B$7:$B$606,$B92,UCRETLER!$F$7:$F$606,"Aylık",UCRETLER!$H$7:$H$606,"Aktif"))</f>
        <v/>
      </c>
      <c r="F92" s="68" t="str">
        <f ca="1">IF($B92="","",SUMIFS(MUSTERILER!$J$7:$J$156,MUSTERILER!$B$7:$B$156,$B92))</f>
        <v/>
      </c>
      <c r="G92" s="68" t="str">
        <f ca="1">IF($B92="","",SUMIFS(UCRETLER!$I$7:$I$606,UCRETLER!$B$7:$B$606,$B92)+SUMIFS(GELIR_GIDER!$G$7:$G$3001,GELIR_GIDER!$T$7:$T$3001,$B92))</f>
        <v/>
      </c>
      <c r="H92" s="68" t="str">
        <f t="shared" ca="1" si="37"/>
        <v/>
      </c>
      <c r="I92" s="68" t="str">
        <f ca="1">IF($B92="","",SUMIFS(TAHSILAT!$F$7:$F$2503,TAHSILAT!$C$7:$C$2503,$B92))</f>
        <v/>
      </c>
      <c r="J92" s="68" t="str">
        <f t="shared" ca="1" si="38"/>
        <v/>
      </c>
      <c r="K92" s="68" t="str">
        <f t="shared" ca="1" si="39"/>
        <v/>
      </c>
      <c r="L92" s="68" t="str">
        <f t="shared" ca="1" si="40"/>
        <v/>
      </c>
      <c r="M92" s="68" t="str">
        <f t="shared" ca="1" si="41"/>
        <v/>
      </c>
      <c r="N92" s="68" t="str">
        <f t="shared" ca="1" si="42"/>
        <v/>
      </c>
      <c r="O92" s="92" t="str">
        <f t="shared" ca="1" si="43"/>
        <v/>
      </c>
      <c r="P92" s="70" t="str">
        <f ca="1">IF($B92="","",IFERROR(LOOKUP(2,1/(TAHSILAT!$C$7:$C$2503=$B92),TAHSILAT!$E$7:$E$2503),""))</f>
        <v/>
      </c>
      <c r="Q92" s="65" t="str">
        <f t="shared" ca="1" si="44"/>
        <v/>
      </c>
      <c r="R92" s="74" t="str">
        <f t="shared" ca="1" si="45"/>
        <v/>
      </c>
      <c r="S92" s="93" t="str">
        <f t="shared" ca="1" si="46"/>
        <v/>
      </c>
      <c r="T92" s="70" t="str">
        <f ca="1">IF(OR($B92="",$AF92=""),"",IF(INDEX(MUSTERILER!$K$7:$K$156,$AF92)="","",INDEX(MUSTERILER!$K$7:$K$156,$AF92)))</f>
        <v/>
      </c>
      <c r="U92" s="93" t="str">
        <f t="shared" ca="1" si="47"/>
        <v/>
      </c>
      <c r="V92" s="68" t="str">
        <f t="shared" ca="1" si="48"/>
        <v/>
      </c>
      <c r="W92" s="65" t="str">
        <f t="shared" ca="1" si="49"/>
        <v/>
      </c>
      <c r="X92" s="2">
        <f ca="1">IF($B92="",0,SUMIFS(UCRETLER!$J$7:$J$606,UCRETLER!$B$7:$B$606,$B92))</f>
        <v>0</v>
      </c>
      <c r="Y92" s="2">
        <f ca="1">IF($B92="",0,SUMIFS(UCRETLER!$K$7:$K$606,UCRETLER!$B$7:$B$606,$B92))</f>
        <v>0</v>
      </c>
      <c r="Z92" s="1">
        <f ca="1">IF($B92="",0,SUMIFS(UCRETLER!$L$7:$L$606,UCRETLER!$B$7:$B$606,$B92))</f>
        <v>0</v>
      </c>
      <c r="AA92" s="1">
        <f t="shared" ca="1" si="50"/>
        <v>0</v>
      </c>
      <c r="AB92" s="1">
        <f t="shared" ca="1" si="51"/>
        <v>0</v>
      </c>
      <c r="AC92" s="1">
        <f t="shared" ca="1" si="52"/>
        <v>0</v>
      </c>
      <c r="AD92" s="1">
        <f t="shared" ca="1" si="53"/>
        <v>0</v>
      </c>
      <c r="AE92" s="1">
        <f t="shared" ca="1" si="54"/>
        <v>0</v>
      </c>
      <c r="AF92" s="1" t="str">
        <f ca="1">IFERROR(MATCH(ROW()-6,MUSTERILER!$U$7:$U$156,0),"")</f>
        <v/>
      </c>
      <c r="AG92" s="1">
        <f ca="1">IF($B92="",0,SUMIFS(GELIR_GIDER!$G$7:$G$3001,GELIR_GIDER!$T$7:$T$3001,$B92))</f>
        <v>0</v>
      </c>
    </row>
    <row r="93" spans="1:33" ht="18" customHeight="1" x14ac:dyDescent="0.3">
      <c r="A93" s="2"/>
      <c r="B93" s="65" t="str">
        <f ca="1">IF($AF93="","",INDEX(MUSTERILER!$B$7:$B$156,$AF93))</f>
        <v/>
      </c>
      <c r="C93" s="74" t="str">
        <f ca="1">IF($AF93="","",INDEX(MUSTERILER!$C$7:$C$156,$AF93))</f>
        <v/>
      </c>
      <c r="D93" s="68" t="str">
        <f ca="1">IF($B93="","",SUMIFS(UCRETLER!$G$7:$G$606,UCRETLER!$B$7:$B$606,$B93,UCRETLER!$F$7:$F$606,"Haftalık",UCRETLER!$H$7:$H$606,"Aktif"))</f>
        <v/>
      </c>
      <c r="E93" s="68" t="str">
        <f ca="1">IF($B93="","",SUMIFS(UCRETLER!$G$7:$G$606,UCRETLER!$B$7:$B$606,$B93,UCRETLER!$F$7:$F$606,"Aylık",UCRETLER!$H$7:$H$606,"Aktif"))</f>
        <v/>
      </c>
      <c r="F93" s="68" t="str">
        <f ca="1">IF($B93="","",SUMIFS(MUSTERILER!$J$7:$J$156,MUSTERILER!$B$7:$B$156,$B93))</f>
        <v/>
      </c>
      <c r="G93" s="68" t="str">
        <f ca="1">IF($B93="","",SUMIFS(UCRETLER!$I$7:$I$606,UCRETLER!$B$7:$B$606,$B93)+SUMIFS(GELIR_GIDER!$G$7:$G$3001,GELIR_GIDER!$T$7:$T$3001,$B93))</f>
        <v/>
      </c>
      <c r="H93" s="68" t="str">
        <f t="shared" ca="1" si="37"/>
        <v/>
      </c>
      <c r="I93" s="68" t="str">
        <f ca="1">IF($B93="","",SUMIFS(TAHSILAT!$F$7:$F$2503,TAHSILAT!$C$7:$C$2503,$B93))</f>
        <v/>
      </c>
      <c r="J93" s="68" t="str">
        <f t="shared" ca="1" si="38"/>
        <v/>
      </c>
      <c r="K93" s="68" t="str">
        <f t="shared" ca="1" si="39"/>
        <v/>
      </c>
      <c r="L93" s="68" t="str">
        <f t="shared" ca="1" si="40"/>
        <v/>
      </c>
      <c r="M93" s="68" t="str">
        <f t="shared" ca="1" si="41"/>
        <v/>
      </c>
      <c r="N93" s="68" t="str">
        <f t="shared" ca="1" si="42"/>
        <v/>
      </c>
      <c r="O93" s="92" t="str">
        <f t="shared" ca="1" si="43"/>
        <v/>
      </c>
      <c r="P93" s="70" t="str">
        <f ca="1">IF($B93="","",IFERROR(LOOKUP(2,1/(TAHSILAT!$C$7:$C$2503=$B93),TAHSILAT!$E$7:$E$2503),""))</f>
        <v/>
      </c>
      <c r="Q93" s="65" t="str">
        <f t="shared" ca="1" si="44"/>
        <v/>
      </c>
      <c r="R93" s="74" t="str">
        <f t="shared" ca="1" si="45"/>
        <v/>
      </c>
      <c r="S93" s="93" t="str">
        <f t="shared" ca="1" si="46"/>
        <v/>
      </c>
      <c r="T93" s="70" t="str">
        <f ca="1">IF(OR($B93="",$AF93=""),"",IF(INDEX(MUSTERILER!$K$7:$K$156,$AF93)="","",INDEX(MUSTERILER!$K$7:$K$156,$AF93)))</f>
        <v/>
      </c>
      <c r="U93" s="93" t="str">
        <f t="shared" ca="1" si="47"/>
        <v/>
      </c>
      <c r="V93" s="68" t="str">
        <f t="shared" ca="1" si="48"/>
        <v/>
      </c>
      <c r="W93" s="65" t="str">
        <f t="shared" ca="1" si="49"/>
        <v/>
      </c>
      <c r="X93" s="2">
        <f ca="1">IF($B93="",0,SUMIFS(UCRETLER!$J$7:$J$606,UCRETLER!$B$7:$B$606,$B93))</f>
        <v>0</v>
      </c>
      <c r="Y93" s="2">
        <f ca="1">IF($B93="",0,SUMIFS(UCRETLER!$K$7:$K$606,UCRETLER!$B$7:$B$606,$B93))</f>
        <v>0</v>
      </c>
      <c r="Z93" s="1">
        <f ca="1">IF($B93="",0,SUMIFS(UCRETLER!$L$7:$L$606,UCRETLER!$B$7:$B$606,$B93))</f>
        <v>0</v>
      </c>
      <c r="AA93" s="1">
        <f t="shared" ca="1" si="50"/>
        <v>0</v>
      </c>
      <c r="AB93" s="1">
        <f t="shared" ca="1" si="51"/>
        <v>0</v>
      </c>
      <c r="AC93" s="1">
        <f t="shared" ca="1" si="52"/>
        <v>0</v>
      </c>
      <c r="AD93" s="1">
        <f t="shared" ca="1" si="53"/>
        <v>0</v>
      </c>
      <c r="AE93" s="1">
        <f t="shared" ca="1" si="54"/>
        <v>0</v>
      </c>
      <c r="AF93" s="1" t="str">
        <f ca="1">IFERROR(MATCH(ROW()-6,MUSTERILER!$U$7:$U$156,0),"")</f>
        <v/>
      </c>
      <c r="AG93" s="1">
        <f ca="1">IF($B93="",0,SUMIFS(GELIR_GIDER!$G$7:$G$3001,GELIR_GIDER!$T$7:$T$3001,$B93))</f>
        <v>0</v>
      </c>
    </row>
    <row r="94" spans="1:33" ht="18" customHeight="1" x14ac:dyDescent="0.3">
      <c r="A94" s="2"/>
      <c r="B94" s="65" t="str">
        <f ca="1">IF($AF94="","",INDEX(MUSTERILER!$B$7:$B$156,$AF94))</f>
        <v/>
      </c>
      <c r="C94" s="74" t="str">
        <f ca="1">IF($AF94="","",INDEX(MUSTERILER!$C$7:$C$156,$AF94))</f>
        <v/>
      </c>
      <c r="D94" s="68" t="str">
        <f ca="1">IF($B94="","",SUMIFS(UCRETLER!$G$7:$G$606,UCRETLER!$B$7:$B$606,$B94,UCRETLER!$F$7:$F$606,"Haftalık",UCRETLER!$H$7:$H$606,"Aktif"))</f>
        <v/>
      </c>
      <c r="E94" s="68" t="str">
        <f ca="1">IF($B94="","",SUMIFS(UCRETLER!$G$7:$G$606,UCRETLER!$B$7:$B$606,$B94,UCRETLER!$F$7:$F$606,"Aylık",UCRETLER!$H$7:$H$606,"Aktif"))</f>
        <v/>
      </c>
      <c r="F94" s="68" t="str">
        <f ca="1">IF($B94="","",SUMIFS(MUSTERILER!$J$7:$J$156,MUSTERILER!$B$7:$B$156,$B94))</f>
        <v/>
      </c>
      <c r="G94" s="68" t="str">
        <f ca="1">IF($B94="","",SUMIFS(UCRETLER!$I$7:$I$606,UCRETLER!$B$7:$B$606,$B94)+SUMIFS(GELIR_GIDER!$G$7:$G$3001,GELIR_GIDER!$T$7:$T$3001,$B94))</f>
        <v/>
      </c>
      <c r="H94" s="68" t="str">
        <f t="shared" ca="1" si="37"/>
        <v/>
      </c>
      <c r="I94" s="68" t="str">
        <f ca="1">IF($B94="","",SUMIFS(TAHSILAT!$F$7:$F$2503,TAHSILAT!$C$7:$C$2503,$B94))</f>
        <v/>
      </c>
      <c r="J94" s="68" t="str">
        <f t="shared" ca="1" si="38"/>
        <v/>
      </c>
      <c r="K94" s="68" t="str">
        <f t="shared" ca="1" si="39"/>
        <v/>
      </c>
      <c r="L94" s="68" t="str">
        <f t="shared" ca="1" si="40"/>
        <v/>
      </c>
      <c r="M94" s="68" t="str">
        <f t="shared" ca="1" si="41"/>
        <v/>
      </c>
      <c r="N94" s="68" t="str">
        <f t="shared" ca="1" si="42"/>
        <v/>
      </c>
      <c r="O94" s="92" t="str">
        <f t="shared" ca="1" si="43"/>
        <v/>
      </c>
      <c r="P94" s="70" t="str">
        <f ca="1">IF($B94="","",IFERROR(LOOKUP(2,1/(TAHSILAT!$C$7:$C$2503=$B94),TAHSILAT!$E$7:$E$2503),""))</f>
        <v/>
      </c>
      <c r="Q94" s="65" t="str">
        <f t="shared" ca="1" si="44"/>
        <v/>
      </c>
      <c r="R94" s="74" t="str">
        <f t="shared" ca="1" si="45"/>
        <v/>
      </c>
      <c r="S94" s="93" t="str">
        <f t="shared" ca="1" si="46"/>
        <v/>
      </c>
      <c r="T94" s="70" t="str">
        <f ca="1">IF(OR($B94="",$AF94=""),"",IF(INDEX(MUSTERILER!$K$7:$K$156,$AF94)="","",INDEX(MUSTERILER!$K$7:$K$156,$AF94)))</f>
        <v/>
      </c>
      <c r="U94" s="93" t="str">
        <f t="shared" ca="1" si="47"/>
        <v/>
      </c>
      <c r="V94" s="68" t="str">
        <f t="shared" ca="1" si="48"/>
        <v/>
      </c>
      <c r="W94" s="65" t="str">
        <f t="shared" ca="1" si="49"/>
        <v/>
      </c>
      <c r="X94" s="2">
        <f ca="1">IF($B94="",0,SUMIFS(UCRETLER!$J$7:$J$606,UCRETLER!$B$7:$B$606,$B94))</f>
        <v>0</v>
      </c>
      <c r="Y94" s="2">
        <f ca="1">IF($B94="",0,SUMIFS(UCRETLER!$K$7:$K$606,UCRETLER!$B$7:$B$606,$B94))</f>
        <v>0</v>
      </c>
      <c r="Z94" s="1">
        <f ca="1">IF($B94="",0,SUMIFS(UCRETLER!$L$7:$L$606,UCRETLER!$B$7:$B$606,$B94))</f>
        <v>0</v>
      </c>
      <c r="AA94" s="1">
        <f t="shared" ca="1" si="50"/>
        <v>0</v>
      </c>
      <c r="AB94" s="1">
        <f t="shared" ca="1" si="51"/>
        <v>0</v>
      </c>
      <c r="AC94" s="1">
        <f t="shared" ca="1" si="52"/>
        <v>0</v>
      </c>
      <c r="AD94" s="1">
        <f t="shared" ca="1" si="53"/>
        <v>0</v>
      </c>
      <c r="AE94" s="1">
        <f t="shared" ca="1" si="54"/>
        <v>0</v>
      </c>
      <c r="AF94" s="1" t="str">
        <f ca="1">IFERROR(MATCH(ROW()-6,MUSTERILER!$U$7:$U$156,0),"")</f>
        <v/>
      </c>
      <c r="AG94" s="1">
        <f ca="1">IF($B94="",0,SUMIFS(GELIR_GIDER!$G$7:$G$3001,GELIR_GIDER!$T$7:$T$3001,$B94))</f>
        <v>0</v>
      </c>
    </row>
    <row r="95" spans="1:33" ht="18" customHeight="1" x14ac:dyDescent="0.3">
      <c r="A95" s="2"/>
      <c r="B95" s="65" t="str">
        <f ca="1">IF($AF95="","",INDEX(MUSTERILER!$B$7:$B$156,$AF95))</f>
        <v/>
      </c>
      <c r="C95" s="74" t="str">
        <f ca="1">IF($AF95="","",INDEX(MUSTERILER!$C$7:$C$156,$AF95))</f>
        <v/>
      </c>
      <c r="D95" s="68" t="str">
        <f ca="1">IF($B95="","",SUMIFS(UCRETLER!$G$7:$G$606,UCRETLER!$B$7:$B$606,$B95,UCRETLER!$F$7:$F$606,"Haftalık",UCRETLER!$H$7:$H$606,"Aktif"))</f>
        <v/>
      </c>
      <c r="E95" s="68" t="str">
        <f ca="1">IF($B95="","",SUMIFS(UCRETLER!$G$7:$G$606,UCRETLER!$B$7:$B$606,$B95,UCRETLER!$F$7:$F$606,"Aylık",UCRETLER!$H$7:$H$606,"Aktif"))</f>
        <v/>
      </c>
      <c r="F95" s="68" t="str">
        <f ca="1">IF($B95="","",SUMIFS(MUSTERILER!$J$7:$J$156,MUSTERILER!$B$7:$B$156,$B95))</f>
        <v/>
      </c>
      <c r="G95" s="68" t="str">
        <f ca="1">IF($B95="","",SUMIFS(UCRETLER!$I$7:$I$606,UCRETLER!$B$7:$B$606,$B95)+SUMIFS(GELIR_GIDER!$G$7:$G$3001,GELIR_GIDER!$T$7:$T$3001,$B95))</f>
        <v/>
      </c>
      <c r="H95" s="68" t="str">
        <f t="shared" ca="1" si="37"/>
        <v/>
      </c>
      <c r="I95" s="68" t="str">
        <f ca="1">IF($B95="","",SUMIFS(TAHSILAT!$F$7:$F$2503,TAHSILAT!$C$7:$C$2503,$B95))</f>
        <v/>
      </c>
      <c r="J95" s="68" t="str">
        <f t="shared" ca="1" si="38"/>
        <v/>
      </c>
      <c r="K95" s="68" t="str">
        <f t="shared" ca="1" si="39"/>
        <v/>
      </c>
      <c r="L95" s="68" t="str">
        <f t="shared" ca="1" si="40"/>
        <v/>
      </c>
      <c r="M95" s="68" t="str">
        <f t="shared" ca="1" si="41"/>
        <v/>
      </c>
      <c r="N95" s="68" t="str">
        <f t="shared" ca="1" si="42"/>
        <v/>
      </c>
      <c r="O95" s="92" t="str">
        <f t="shared" ca="1" si="43"/>
        <v/>
      </c>
      <c r="P95" s="70" t="str">
        <f ca="1">IF($B95="","",IFERROR(LOOKUP(2,1/(TAHSILAT!$C$7:$C$2503=$B95),TAHSILAT!$E$7:$E$2503),""))</f>
        <v/>
      </c>
      <c r="Q95" s="65" t="str">
        <f t="shared" ca="1" si="44"/>
        <v/>
      </c>
      <c r="R95" s="74" t="str">
        <f t="shared" ca="1" si="45"/>
        <v/>
      </c>
      <c r="S95" s="93" t="str">
        <f t="shared" ca="1" si="46"/>
        <v/>
      </c>
      <c r="T95" s="70" t="str">
        <f ca="1">IF(OR($B95="",$AF95=""),"",IF(INDEX(MUSTERILER!$K$7:$K$156,$AF95)="","",INDEX(MUSTERILER!$K$7:$K$156,$AF95)))</f>
        <v/>
      </c>
      <c r="U95" s="93" t="str">
        <f t="shared" ca="1" si="47"/>
        <v/>
      </c>
      <c r="V95" s="68" t="str">
        <f t="shared" ca="1" si="48"/>
        <v/>
      </c>
      <c r="W95" s="65" t="str">
        <f t="shared" ca="1" si="49"/>
        <v/>
      </c>
      <c r="X95" s="2">
        <f ca="1">IF($B95="",0,SUMIFS(UCRETLER!$J$7:$J$606,UCRETLER!$B$7:$B$606,$B95))</f>
        <v>0</v>
      </c>
      <c r="Y95" s="2">
        <f ca="1">IF($B95="",0,SUMIFS(UCRETLER!$K$7:$K$606,UCRETLER!$B$7:$B$606,$B95))</f>
        <v>0</v>
      </c>
      <c r="Z95" s="1">
        <f ca="1">IF($B95="",0,SUMIFS(UCRETLER!$L$7:$L$606,UCRETLER!$B$7:$B$606,$B95))</f>
        <v>0</v>
      </c>
      <c r="AA95" s="1">
        <f t="shared" ca="1" si="50"/>
        <v>0</v>
      </c>
      <c r="AB95" s="1">
        <f t="shared" ca="1" si="51"/>
        <v>0</v>
      </c>
      <c r="AC95" s="1">
        <f t="shared" ca="1" si="52"/>
        <v>0</v>
      </c>
      <c r="AD95" s="1">
        <f t="shared" ca="1" si="53"/>
        <v>0</v>
      </c>
      <c r="AE95" s="1">
        <f t="shared" ca="1" si="54"/>
        <v>0</v>
      </c>
      <c r="AF95" s="1" t="str">
        <f ca="1">IFERROR(MATCH(ROW()-6,MUSTERILER!$U$7:$U$156,0),"")</f>
        <v/>
      </c>
      <c r="AG95" s="1">
        <f ca="1">IF($B95="",0,SUMIFS(GELIR_GIDER!$G$7:$G$3001,GELIR_GIDER!$T$7:$T$3001,$B95))</f>
        <v>0</v>
      </c>
    </row>
    <row r="96" spans="1:33" ht="18" customHeight="1" x14ac:dyDescent="0.3">
      <c r="A96" s="2"/>
      <c r="B96" s="65" t="str">
        <f ca="1">IF($AF96="","",INDEX(MUSTERILER!$B$7:$B$156,$AF96))</f>
        <v/>
      </c>
      <c r="C96" s="74" t="str">
        <f ca="1">IF($AF96="","",INDEX(MUSTERILER!$C$7:$C$156,$AF96))</f>
        <v/>
      </c>
      <c r="D96" s="68" t="str">
        <f ca="1">IF($B96="","",SUMIFS(UCRETLER!$G$7:$G$606,UCRETLER!$B$7:$B$606,$B96,UCRETLER!$F$7:$F$606,"Haftalık",UCRETLER!$H$7:$H$606,"Aktif"))</f>
        <v/>
      </c>
      <c r="E96" s="68" t="str">
        <f ca="1">IF($B96="","",SUMIFS(UCRETLER!$G$7:$G$606,UCRETLER!$B$7:$B$606,$B96,UCRETLER!$F$7:$F$606,"Aylık",UCRETLER!$H$7:$H$606,"Aktif"))</f>
        <v/>
      </c>
      <c r="F96" s="68" t="str">
        <f ca="1">IF($B96="","",SUMIFS(MUSTERILER!$J$7:$J$156,MUSTERILER!$B$7:$B$156,$B96))</f>
        <v/>
      </c>
      <c r="G96" s="68" t="str">
        <f ca="1">IF($B96="","",SUMIFS(UCRETLER!$I$7:$I$606,UCRETLER!$B$7:$B$606,$B96)+SUMIFS(GELIR_GIDER!$G$7:$G$3001,GELIR_GIDER!$T$7:$T$3001,$B96))</f>
        <v/>
      </c>
      <c r="H96" s="68" t="str">
        <f t="shared" ca="1" si="37"/>
        <v/>
      </c>
      <c r="I96" s="68" t="str">
        <f ca="1">IF($B96="","",SUMIFS(TAHSILAT!$F$7:$F$2503,TAHSILAT!$C$7:$C$2503,$B96))</f>
        <v/>
      </c>
      <c r="J96" s="68" t="str">
        <f t="shared" ca="1" si="38"/>
        <v/>
      </c>
      <c r="K96" s="68" t="str">
        <f t="shared" ca="1" si="39"/>
        <v/>
      </c>
      <c r="L96" s="68" t="str">
        <f t="shared" ca="1" si="40"/>
        <v/>
      </c>
      <c r="M96" s="68" t="str">
        <f t="shared" ca="1" si="41"/>
        <v/>
      </c>
      <c r="N96" s="68" t="str">
        <f t="shared" ca="1" si="42"/>
        <v/>
      </c>
      <c r="O96" s="92" t="str">
        <f t="shared" ca="1" si="43"/>
        <v/>
      </c>
      <c r="P96" s="70" t="str">
        <f ca="1">IF($B96="","",IFERROR(LOOKUP(2,1/(TAHSILAT!$C$7:$C$2503=$B96),TAHSILAT!$E$7:$E$2503),""))</f>
        <v/>
      </c>
      <c r="Q96" s="65" t="str">
        <f t="shared" ca="1" si="44"/>
        <v/>
      </c>
      <c r="R96" s="74" t="str">
        <f t="shared" ca="1" si="45"/>
        <v/>
      </c>
      <c r="S96" s="93" t="str">
        <f t="shared" ca="1" si="46"/>
        <v/>
      </c>
      <c r="T96" s="70" t="str">
        <f ca="1">IF(OR($B96="",$AF96=""),"",IF(INDEX(MUSTERILER!$K$7:$K$156,$AF96)="","",INDEX(MUSTERILER!$K$7:$K$156,$AF96)))</f>
        <v/>
      </c>
      <c r="U96" s="93" t="str">
        <f t="shared" ca="1" si="47"/>
        <v/>
      </c>
      <c r="V96" s="68" t="str">
        <f t="shared" ca="1" si="48"/>
        <v/>
      </c>
      <c r="W96" s="65" t="str">
        <f t="shared" ca="1" si="49"/>
        <v/>
      </c>
      <c r="X96" s="2">
        <f ca="1">IF($B96="",0,SUMIFS(UCRETLER!$J$7:$J$606,UCRETLER!$B$7:$B$606,$B96))</f>
        <v>0</v>
      </c>
      <c r="Y96" s="2">
        <f ca="1">IF($B96="",0,SUMIFS(UCRETLER!$K$7:$K$606,UCRETLER!$B$7:$B$606,$B96))</f>
        <v>0</v>
      </c>
      <c r="Z96" s="1">
        <f ca="1">IF($B96="",0,SUMIFS(UCRETLER!$L$7:$L$606,UCRETLER!$B$7:$B$606,$B96))</f>
        <v>0</v>
      </c>
      <c r="AA96" s="1">
        <f t="shared" ca="1" si="50"/>
        <v>0</v>
      </c>
      <c r="AB96" s="1">
        <f t="shared" ca="1" si="51"/>
        <v>0</v>
      </c>
      <c r="AC96" s="1">
        <f t="shared" ca="1" si="52"/>
        <v>0</v>
      </c>
      <c r="AD96" s="1">
        <f t="shared" ca="1" si="53"/>
        <v>0</v>
      </c>
      <c r="AE96" s="1">
        <f t="shared" ca="1" si="54"/>
        <v>0</v>
      </c>
      <c r="AF96" s="1" t="str">
        <f ca="1">IFERROR(MATCH(ROW()-6,MUSTERILER!$U$7:$U$156,0),"")</f>
        <v/>
      </c>
      <c r="AG96" s="1">
        <f ca="1">IF($B96="",0,SUMIFS(GELIR_GIDER!$G$7:$G$3001,GELIR_GIDER!$T$7:$T$3001,$B96))</f>
        <v>0</v>
      </c>
    </row>
    <row r="97" spans="1:33" ht="18" customHeight="1" x14ac:dyDescent="0.3">
      <c r="A97" s="2"/>
      <c r="B97" s="65" t="str">
        <f ca="1">IF($AF97="","",INDEX(MUSTERILER!$B$7:$B$156,$AF97))</f>
        <v/>
      </c>
      <c r="C97" s="74" t="str">
        <f ca="1">IF($AF97="","",INDEX(MUSTERILER!$C$7:$C$156,$AF97))</f>
        <v/>
      </c>
      <c r="D97" s="68" t="str">
        <f ca="1">IF($B97="","",SUMIFS(UCRETLER!$G$7:$G$606,UCRETLER!$B$7:$B$606,$B97,UCRETLER!$F$7:$F$606,"Haftalık",UCRETLER!$H$7:$H$606,"Aktif"))</f>
        <v/>
      </c>
      <c r="E97" s="68" t="str">
        <f ca="1">IF($B97="","",SUMIFS(UCRETLER!$G$7:$G$606,UCRETLER!$B$7:$B$606,$B97,UCRETLER!$F$7:$F$606,"Aylık",UCRETLER!$H$7:$H$606,"Aktif"))</f>
        <v/>
      </c>
      <c r="F97" s="68" t="str">
        <f ca="1">IF($B97="","",SUMIFS(MUSTERILER!$J$7:$J$156,MUSTERILER!$B$7:$B$156,$B97))</f>
        <v/>
      </c>
      <c r="G97" s="68" t="str">
        <f ca="1">IF($B97="","",SUMIFS(UCRETLER!$I$7:$I$606,UCRETLER!$B$7:$B$606,$B97)+SUMIFS(GELIR_GIDER!$G$7:$G$3001,GELIR_GIDER!$T$7:$T$3001,$B97))</f>
        <v/>
      </c>
      <c r="H97" s="68" t="str">
        <f t="shared" ca="1" si="37"/>
        <v/>
      </c>
      <c r="I97" s="68" t="str">
        <f ca="1">IF($B97="","",SUMIFS(TAHSILAT!$F$7:$F$2503,TAHSILAT!$C$7:$C$2503,$B97))</f>
        <v/>
      </c>
      <c r="J97" s="68" t="str">
        <f t="shared" ca="1" si="38"/>
        <v/>
      </c>
      <c r="K97" s="68" t="str">
        <f t="shared" ca="1" si="39"/>
        <v/>
      </c>
      <c r="L97" s="68" t="str">
        <f t="shared" ca="1" si="40"/>
        <v/>
      </c>
      <c r="M97" s="68" t="str">
        <f t="shared" ca="1" si="41"/>
        <v/>
      </c>
      <c r="N97" s="68" t="str">
        <f t="shared" ca="1" si="42"/>
        <v/>
      </c>
      <c r="O97" s="92" t="str">
        <f t="shared" ca="1" si="43"/>
        <v/>
      </c>
      <c r="P97" s="70" t="str">
        <f ca="1">IF($B97="","",IFERROR(LOOKUP(2,1/(TAHSILAT!$C$7:$C$2503=$B97),TAHSILAT!$E$7:$E$2503),""))</f>
        <v/>
      </c>
      <c r="Q97" s="65" t="str">
        <f t="shared" ca="1" si="44"/>
        <v/>
      </c>
      <c r="R97" s="74" t="str">
        <f t="shared" ca="1" si="45"/>
        <v/>
      </c>
      <c r="S97" s="93" t="str">
        <f t="shared" ca="1" si="46"/>
        <v/>
      </c>
      <c r="T97" s="70" t="str">
        <f ca="1">IF(OR($B97="",$AF97=""),"",IF(INDEX(MUSTERILER!$K$7:$K$156,$AF97)="","",INDEX(MUSTERILER!$K$7:$K$156,$AF97)))</f>
        <v/>
      </c>
      <c r="U97" s="93" t="str">
        <f t="shared" ca="1" si="47"/>
        <v/>
      </c>
      <c r="V97" s="68" t="str">
        <f t="shared" ca="1" si="48"/>
        <v/>
      </c>
      <c r="W97" s="65" t="str">
        <f t="shared" ca="1" si="49"/>
        <v/>
      </c>
      <c r="X97" s="2">
        <f ca="1">IF($B97="",0,SUMIFS(UCRETLER!$J$7:$J$606,UCRETLER!$B$7:$B$606,$B97))</f>
        <v>0</v>
      </c>
      <c r="Y97" s="2">
        <f ca="1">IF($B97="",0,SUMIFS(UCRETLER!$K$7:$K$606,UCRETLER!$B$7:$B$606,$B97))</f>
        <v>0</v>
      </c>
      <c r="Z97" s="1">
        <f ca="1">IF($B97="",0,SUMIFS(UCRETLER!$L$7:$L$606,UCRETLER!$B$7:$B$606,$B97))</f>
        <v>0</v>
      </c>
      <c r="AA97" s="1">
        <f t="shared" ca="1" si="50"/>
        <v>0</v>
      </c>
      <c r="AB97" s="1">
        <f t="shared" ca="1" si="51"/>
        <v>0</v>
      </c>
      <c r="AC97" s="1">
        <f t="shared" ca="1" si="52"/>
        <v>0</v>
      </c>
      <c r="AD97" s="1">
        <f t="shared" ca="1" si="53"/>
        <v>0</v>
      </c>
      <c r="AE97" s="1">
        <f t="shared" ca="1" si="54"/>
        <v>0</v>
      </c>
      <c r="AF97" s="1" t="str">
        <f ca="1">IFERROR(MATCH(ROW()-6,MUSTERILER!$U$7:$U$156,0),"")</f>
        <v/>
      </c>
      <c r="AG97" s="1">
        <f ca="1">IF($B97="",0,SUMIFS(GELIR_GIDER!$G$7:$G$3001,GELIR_GIDER!$T$7:$T$3001,$B97))</f>
        <v>0</v>
      </c>
    </row>
    <row r="98" spans="1:33" ht="18" customHeight="1" x14ac:dyDescent="0.3">
      <c r="A98" s="2"/>
      <c r="B98" s="65" t="str">
        <f ca="1">IF($AF98="","",INDEX(MUSTERILER!$B$7:$B$156,$AF98))</f>
        <v/>
      </c>
      <c r="C98" s="74" t="str">
        <f ca="1">IF($AF98="","",INDEX(MUSTERILER!$C$7:$C$156,$AF98))</f>
        <v/>
      </c>
      <c r="D98" s="68" t="str">
        <f ca="1">IF($B98="","",SUMIFS(UCRETLER!$G$7:$G$606,UCRETLER!$B$7:$B$606,$B98,UCRETLER!$F$7:$F$606,"Haftalık",UCRETLER!$H$7:$H$606,"Aktif"))</f>
        <v/>
      </c>
      <c r="E98" s="68" t="str">
        <f ca="1">IF($B98="","",SUMIFS(UCRETLER!$G$7:$G$606,UCRETLER!$B$7:$B$606,$B98,UCRETLER!$F$7:$F$606,"Aylık",UCRETLER!$H$7:$H$606,"Aktif"))</f>
        <v/>
      </c>
      <c r="F98" s="68" t="str">
        <f ca="1">IF($B98="","",SUMIFS(MUSTERILER!$J$7:$J$156,MUSTERILER!$B$7:$B$156,$B98))</f>
        <v/>
      </c>
      <c r="G98" s="68" t="str">
        <f ca="1">IF($B98="","",SUMIFS(UCRETLER!$I$7:$I$606,UCRETLER!$B$7:$B$606,$B98)+SUMIFS(GELIR_GIDER!$G$7:$G$3001,GELIR_GIDER!$T$7:$T$3001,$B98))</f>
        <v/>
      </c>
      <c r="H98" s="68" t="str">
        <f t="shared" ca="1" si="37"/>
        <v/>
      </c>
      <c r="I98" s="68" t="str">
        <f ca="1">IF($B98="","",SUMIFS(TAHSILAT!$F$7:$F$2503,TAHSILAT!$C$7:$C$2503,$B98))</f>
        <v/>
      </c>
      <c r="J98" s="68" t="str">
        <f t="shared" ca="1" si="38"/>
        <v/>
      </c>
      <c r="K98" s="68" t="str">
        <f t="shared" ca="1" si="39"/>
        <v/>
      </c>
      <c r="L98" s="68" t="str">
        <f t="shared" ca="1" si="40"/>
        <v/>
      </c>
      <c r="M98" s="68" t="str">
        <f t="shared" ca="1" si="41"/>
        <v/>
      </c>
      <c r="N98" s="68" t="str">
        <f t="shared" ca="1" si="42"/>
        <v/>
      </c>
      <c r="O98" s="92" t="str">
        <f t="shared" ca="1" si="43"/>
        <v/>
      </c>
      <c r="P98" s="70" t="str">
        <f ca="1">IF($B98="","",IFERROR(LOOKUP(2,1/(TAHSILAT!$C$7:$C$2503=$B98),TAHSILAT!$E$7:$E$2503),""))</f>
        <v/>
      </c>
      <c r="Q98" s="65" t="str">
        <f t="shared" ca="1" si="44"/>
        <v/>
      </c>
      <c r="R98" s="74" t="str">
        <f t="shared" ca="1" si="45"/>
        <v/>
      </c>
      <c r="S98" s="93" t="str">
        <f t="shared" ca="1" si="46"/>
        <v/>
      </c>
      <c r="T98" s="70" t="str">
        <f ca="1">IF(OR($B98="",$AF98=""),"",IF(INDEX(MUSTERILER!$K$7:$K$156,$AF98)="","",INDEX(MUSTERILER!$K$7:$K$156,$AF98)))</f>
        <v/>
      </c>
      <c r="U98" s="93" t="str">
        <f t="shared" ca="1" si="47"/>
        <v/>
      </c>
      <c r="V98" s="68" t="str">
        <f t="shared" ca="1" si="48"/>
        <v/>
      </c>
      <c r="W98" s="65" t="str">
        <f t="shared" ca="1" si="49"/>
        <v/>
      </c>
      <c r="X98" s="2">
        <f ca="1">IF($B98="",0,SUMIFS(UCRETLER!$J$7:$J$606,UCRETLER!$B$7:$B$606,$B98))</f>
        <v>0</v>
      </c>
      <c r="Y98" s="2">
        <f ca="1">IF($B98="",0,SUMIFS(UCRETLER!$K$7:$K$606,UCRETLER!$B$7:$B$606,$B98))</f>
        <v>0</v>
      </c>
      <c r="Z98" s="1">
        <f ca="1">IF($B98="",0,SUMIFS(UCRETLER!$L$7:$L$606,UCRETLER!$B$7:$B$606,$B98))</f>
        <v>0</v>
      </c>
      <c r="AA98" s="1">
        <f t="shared" ca="1" si="50"/>
        <v>0</v>
      </c>
      <c r="AB98" s="1">
        <f t="shared" ca="1" si="51"/>
        <v>0</v>
      </c>
      <c r="AC98" s="1">
        <f t="shared" ca="1" si="52"/>
        <v>0</v>
      </c>
      <c r="AD98" s="1">
        <f t="shared" ca="1" si="53"/>
        <v>0</v>
      </c>
      <c r="AE98" s="1">
        <f t="shared" ca="1" si="54"/>
        <v>0</v>
      </c>
      <c r="AF98" s="1" t="str">
        <f ca="1">IFERROR(MATCH(ROW()-6,MUSTERILER!$U$7:$U$156,0),"")</f>
        <v/>
      </c>
      <c r="AG98" s="1">
        <f ca="1">IF($B98="",0,SUMIFS(GELIR_GIDER!$G$7:$G$3001,GELIR_GIDER!$T$7:$T$3001,$B98))</f>
        <v>0</v>
      </c>
    </row>
    <row r="99" spans="1:33" ht="18" customHeight="1" x14ac:dyDescent="0.3">
      <c r="A99" s="2"/>
      <c r="B99" s="65" t="str">
        <f ca="1">IF($AF99="","",INDEX(MUSTERILER!$B$7:$B$156,$AF99))</f>
        <v/>
      </c>
      <c r="C99" s="74" t="str">
        <f ca="1">IF($AF99="","",INDEX(MUSTERILER!$C$7:$C$156,$AF99))</f>
        <v/>
      </c>
      <c r="D99" s="68" t="str">
        <f ca="1">IF($B99="","",SUMIFS(UCRETLER!$G$7:$G$606,UCRETLER!$B$7:$B$606,$B99,UCRETLER!$F$7:$F$606,"Haftalık",UCRETLER!$H$7:$H$606,"Aktif"))</f>
        <v/>
      </c>
      <c r="E99" s="68" t="str">
        <f ca="1">IF($B99="","",SUMIFS(UCRETLER!$G$7:$G$606,UCRETLER!$B$7:$B$606,$B99,UCRETLER!$F$7:$F$606,"Aylık",UCRETLER!$H$7:$H$606,"Aktif"))</f>
        <v/>
      </c>
      <c r="F99" s="68" t="str">
        <f ca="1">IF($B99="","",SUMIFS(MUSTERILER!$J$7:$J$156,MUSTERILER!$B$7:$B$156,$B99))</f>
        <v/>
      </c>
      <c r="G99" s="68" t="str">
        <f ca="1">IF($B99="","",SUMIFS(UCRETLER!$I$7:$I$606,UCRETLER!$B$7:$B$606,$B99)+SUMIFS(GELIR_GIDER!$G$7:$G$3001,GELIR_GIDER!$T$7:$T$3001,$B99))</f>
        <v/>
      </c>
      <c r="H99" s="68" t="str">
        <f t="shared" ca="1" si="37"/>
        <v/>
      </c>
      <c r="I99" s="68" t="str">
        <f ca="1">IF($B99="","",SUMIFS(TAHSILAT!$F$7:$F$2503,TAHSILAT!$C$7:$C$2503,$B99))</f>
        <v/>
      </c>
      <c r="J99" s="68" t="str">
        <f t="shared" ca="1" si="38"/>
        <v/>
      </c>
      <c r="K99" s="68" t="str">
        <f t="shared" ca="1" si="39"/>
        <v/>
      </c>
      <c r="L99" s="68" t="str">
        <f t="shared" ca="1" si="40"/>
        <v/>
      </c>
      <c r="M99" s="68" t="str">
        <f t="shared" ca="1" si="41"/>
        <v/>
      </c>
      <c r="N99" s="68" t="str">
        <f t="shared" ca="1" si="42"/>
        <v/>
      </c>
      <c r="O99" s="92" t="str">
        <f t="shared" ca="1" si="43"/>
        <v/>
      </c>
      <c r="P99" s="70" t="str">
        <f ca="1">IF($B99="","",IFERROR(LOOKUP(2,1/(TAHSILAT!$C$7:$C$2503=$B99),TAHSILAT!$E$7:$E$2503),""))</f>
        <v/>
      </c>
      <c r="Q99" s="65" t="str">
        <f t="shared" ca="1" si="44"/>
        <v/>
      </c>
      <c r="R99" s="74" t="str">
        <f t="shared" ca="1" si="45"/>
        <v/>
      </c>
      <c r="S99" s="93" t="str">
        <f t="shared" ca="1" si="46"/>
        <v/>
      </c>
      <c r="T99" s="70" t="str">
        <f ca="1">IF(OR($B99="",$AF99=""),"",IF(INDEX(MUSTERILER!$K$7:$K$156,$AF99)="","",INDEX(MUSTERILER!$K$7:$K$156,$AF99)))</f>
        <v/>
      </c>
      <c r="U99" s="93" t="str">
        <f t="shared" ca="1" si="47"/>
        <v/>
      </c>
      <c r="V99" s="68" t="str">
        <f t="shared" ca="1" si="48"/>
        <v/>
      </c>
      <c r="W99" s="65" t="str">
        <f t="shared" ca="1" si="49"/>
        <v/>
      </c>
      <c r="X99" s="2">
        <f ca="1">IF($B99="",0,SUMIFS(UCRETLER!$J$7:$J$606,UCRETLER!$B$7:$B$606,$B99))</f>
        <v>0</v>
      </c>
      <c r="Y99" s="2">
        <f ca="1">IF($B99="",0,SUMIFS(UCRETLER!$K$7:$K$606,UCRETLER!$B$7:$B$606,$B99))</f>
        <v>0</v>
      </c>
      <c r="Z99" s="1">
        <f ca="1">IF($B99="",0,SUMIFS(UCRETLER!$L$7:$L$606,UCRETLER!$B$7:$B$606,$B99))</f>
        <v>0</v>
      </c>
      <c r="AA99" s="1">
        <f t="shared" ca="1" si="50"/>
        <v>0</v>
      </c>
      <c r="AB99" s="1">
        <f t="shared" ca="1" si="51"/>
        <v>0</v>
      </c>
      <c r="AC99" s="1">
        <f t="shared" ca="1" si="52"/>
        <v>0</v>
      </c>
      <c r="AD99" s="1">
        <f t="shared" ca="1" si="53"/>
        <v>0</v>
      </c>
      <c r="AE99" s="1">
        <f t="shared" ca="1" si="54"/>
        <v>0</v>
      </c>
      <c r="AF99" s="1" t="str">
        <f ca="1">IFERROR(MATCH(ROW()-6,MUSTERILER!$U$7:$U$156,0),"")</f>
        <v/>
      </c>
      <c r="AG99" s="1">
        <f ca="1">IF($B99="",0,SUMIFS(GELIR_GIDER!$G$7:$G$3001,GELIR_GIDER!$T$7:$T$3001,$B99))</f>
        <v>0</v>
      </c>
    </row>
    <row r="100" spans="1:33" ht="18" customHeight="1" x14ac:dyDescent="0.3">
      <c r="A100" s="2"/>
      <c r="B100" s="65" t="str">
        <f ca="1">IF($AF100="","",INDEX(MUSTERILER!$B$7:$B$156,$AF100))</f>
        <v/>
      </c>
      <c r="C100" s="74" t="str">
        <f ca="1">IF($AF100="","",INDEX(MUSTERILER!$C$7:$C$156,$AF100))</f>
        <v/>
      </c>
      <c r="D100" s="68" t="str">
        <f ca="1">IF($B100="","",SUMIFS(UCRETLER!$G$7:$G$606,UCRETLER!$B$7:$B$606,$B100,UCRETLER!$F$7:$F$606,"Haftalık",UCRETLER!$H$7:$H$606,"Aktif"))</f>
        <v/>
      </c>
      <c r="E100" s="68" t="str">
        <f ca="1">IF($B100="","",SUMIFS(UCRETLER!$G$7:$G$606,UCRETLER!$B$7:$B$606,$B100,UCRETLER!$F$7:$F$606,"Aylık",UCRETLER!$H$7:$H$606,"Aktif"))</f>
        <v/>
      </c>
      <c r="F100" s="68" t="str">
        <f ca="1">IF($B100="","",SUMIFS(MUSTERILER!$J$7:$J$156,MUSTERILER!$B$7:$B$156,$B100))</f>
        <v/>
      </c>
      <c r="G100" s="68" t="str">
        <f ca="1">IF($B100="","",SUMIFS(UCRETLER!$I$7:$I$606,UCRETLER!$B$7:$B$606,$B100)+SUMIFS(GELIR_GIDER!$G$7:$G$3001,GELIR_GIDER!$T$7:$T$3001,$B100))</f>
        <v/>
      </c>
      <c r="H100" s="68" t="str">
        <f t="shared" ca="1" si="37"/>
        <v/>
      </c>
      <c r="I100" s="68" t="str">
        <f ca="1">IF($B100="","",SUMIFS(TAHSILAT!$F$7:$F$2503,TAHSILAT!$C$7:$C$2503,$B100))</f>
        <v/>
      </c>
      <c r="J100" s="68" t="str">
        <f t="shared" ca="1" si="38"/>
        <v/>
      </c>
      <c r="K100" s="68" t="str">
        <f t="shared" ca="1" si="39"/>
        <v/>
      </c>
      <c r="L100" s="68" t="str">
        <f t="shared" ca="1" si="40"/>
        <v/>
      </c>
      <c r="M100" s="68" t="str">
        <f t="shared" ca="1" si="41"/>
        <v/>
      </c>
      <c r="N100" s="68" t="str">
        <f t="shared" ca="1" si="42"/>
        <v/>
      </c>
      <c r="O100" s="92" t="str">
        <f t="shared" ca="1" si="43"/>
        <v/>
      </c>
      <c r="P100" s="70" t="str">
        <f ca="1">IF($B100="","",IFERROR(LOOKUP(2,1/(TAHSILAT!$C$7:$C$2503=$B100),TAHSILAT!$E$7:$E$2503),""))</f>
        <v/>
      </c>
      <c r="Q100" s="65" t="str">
        <f t="shared" ca="1" si="44"/>
        <v/>
      </c>
      <c r="R100" s="74" t="str">
        <f t="shared" ca="1" si="45"/>
        <v/>
      </c>
      <c r="S100" s="93" t="str">
        <f t="shared" ca="1" si="46"/>
        <v/>
      </c>
      <c r="T100" s="70" t="str">
        <f ca="1">IF(OR($B100="",$AF100=""),"",IF(INDEX(MUSTERILER!$K$7:$K$156,$AF100)="","",INDEX(MUSTERILER!$K$7:$K$156,$AF100)))</f>
        <v/>
      </c>
      <c r="U100" s="93" t="str">
        <f t="shared" ca="1" si="47"/>
        <v/>
      </c>
      <c r="V100" s="68" t="str">
        <f t="shared" ca="1" si="48"/>
        <v/>
      </c>
      <c r="W100" s="65" t="str">
        <f t="shared" ca="1" si="49"/>
        <v/>
      </c>
      <c r="X100" s="2">
        <f ca="1">IF($B100="",0,SUMIFS(UCRETLER!$J$7:$J$606,UCRETLER!$B$7:$B$606,$B100))</f>
        <v>0</v>
      </c>
      <c r="Y100" s="2">
        <f ca="1">IF($B100="",0,SUMIFS(UCRETLER!$K$7:$K$606,UCRETLER!$B$7:$B$606,$B100))</f>
        <v>0</v>
      </c>
      <c r="Z100" s="1">
        <f ca="1">IF($B100="",0,SUMIFS(UCRETLER!$L$7:$L$606,UCRETLER!$B$7:$B$606,$B100))</f>
        <v>0</v>
      </c>
      <c r="AA100" s="1">
        <f t="shared" ca="1" si="50"/>
        <v>0</v>
      </c>
      <c r="AB100" s="1">
        <f t="shared" ca="1" si="51"/>
        <v>0</v>
      </c>
      <c r="AC100" s="1">
        <f t="shared" ca="1" si="52"/>
        <v>0</v>
      </c>
      <c r="AD100" s="1">
        <f t="shared" ca="1" si="53"/>
        <v>0</v>
      </c>
      <c r="AE100" s="1">
        <f t="shared" ca="1" si="54"/>
        <v>0</v>
      </c>
      <c r="AF100" s="1" t="str">
        <f ca="1">IFERROR(MATCH(ROW()-6,MUSTERILER!$U$7:$U$156,0),"")</f>
        <v/>
      </c>
      <c r="AG100" s="1">
        <f ca="1">IF($B100="",0,SUMIFS(GELIR_GIDER!$G$7:$G$3001,GELIR_GIDER!$T$7:$T$3001,$B100))</f>
        <v>0</v>
      </c>
    </row>
    <row r="101" spans="1:33" ht="18" customHeight="1" x14ac:dyDescent="0.3">
      <c r="A101" s="2"/>
      <c r="B101" s="65" t="str">
        <f ca="1">IF($AF101="","",INDEX(MUSTERILER!$B$7:$B$156,$AF101))</f>
        <v/>
      </c>
      <c r="C101" s="74" t="str">
        <f ca="1">IF($AF101="","",INDEX(MUSTERILER!$C$7:$C$156,$AF101))</f>
        <v/>
      </c>
      <c r="D101" s="68" t="str">
        <f ca="1">IF($B101="","",SUMIFS(UCRETLER!$G$7:$G$606,UCRETLER!$B$7:$B$606,$B101,UCRETLER!$F$7:$F$606,"Haftalık",UCRETLER!$H$7:$H$606,"Aktif"))</f>
        <v/>
      </c>
      <c r="E101" s="68" t="str">
        <f ca="1">IF($B101="","",SUMIFS(UCRETLER!$G$7:$G$606,UCRETLER!$B$7:$B$606,$B101,UCRETLER!$F$7:$F$606,"Aylık",UCRETLER!$H$7:$H$606,"Aktif"))</f>
        <v/>
      </c>
      <c r="F101" s="68" t="str">
        <f ca="1">IF($B101="","",SUMIFS(MUSTERILER!$J$7:$J$156,MUSTERILER!$B$7:$B$156,$B101))</f>
        <v/>
      </c>
      <c r="G101" s="68" t="str">
        <f ca="1">IF($B101="","",SUMIFS(UCRETLER!$I$7:$I$606,UCRETLER!$B$7:$B$606,$B101)+SUMIFS(GELIR_GIDER!$G$7:$G$3001,GELIR_GIDER!$T$7:$T$3001,$B101))</f>
        <v/>
      </c>
      <c r="H101" s="68" t="str">
        <f t="shared" ca="1" si="37"/>
        <v/>
      </c>
      <c r="I101" s="68" t="str">
        <f ca="1">IF($B101="","",SUMIFS(TAHSILAT!$F$7:$F$2503,TAHSILAT!$C$7:$C$2503,$B101))</f>
        <v/>
      </c>
      <c r="J101" s="68" t="str">
        <f t="shared" ca="1" si="38"/>
        <v/>
      </c>
      <c r="K101" s="68" t="str">
        <f t="shared" ca="1" si="39"/>
        <v/>
      </c>
      <c r="L101" s="68" t="str">
        <f t="shared" ca="1" si="40"/>
        <v/>
      </c>
      <c r="M101" s="68" t="str">
        <f t="shared" ca="1" si="41"/>
        <v/>
      </c>
      <c r="N101" s="68" t="str">
        <f t="shared" ca="1" si="42"/>
        <v/>
      </c>
      <c r="O101" s="92" t="str">
        <f t="shared" ca="1" si="43"/>
        <v/>
      </c>
      <c r="P101" s="70" t="str">
        <f ca="1">IF($B101="","",IFERROR(LOOKUP(2,1/(TAHSILAT!$C$7:$C$2503=$B101),TAHSILAT!$E$7:$E$2503),""))</f>
        <v/>
      </c>
      <c r="Q101" s="65" t="str">
        <f t="shared" ca="1" si="44"/>
        <v/>
      </c>
      <c r="R101" s="74" t="str">
        <f t="shared" ca="1" si="45"/>
        <v/>
      </c>
      <c r="S101" s="93" t="str">
        <f t="shared" ca="1" si="46"/>
        <v/>
      </c>
      <c r="T101" s="70" t="str">
        <f ca="1">IF(OR($B101="",$AF101=""),"",IF(INDEX(MUSTERILER!$K$7:$K$156,$AF101)="","",INDEX(MUSTERILER!$K$7:$K$156,$AF101)))</f>
        <v/>
      </c>
      <c r="U101" s="93" t="str">
        <f t="shared" ca="1" si="47"/>
        <v/>
      </c>
      <c r="V101" s="68" t="str">
        <f t="shared" ca="1" si="48"/>
        <v/>
      </c>
      <c r="W101" s="65" t="str">
        <f t="shared" ca="1" si="49"/>
        <v/>
      </c>
      <c r="X101" s="2">
        <f ca="1">IF($B101="",0,SUMIFS(UCRETLER!$J$7:$J$606,UCRETLER!$B$7:$B$606,$B101))</f>
        <v>0</v>
      </c>
      <c r="Y101" s="2">
        <f ca="1">IF($B101="",0,SUMIFS(UCRETLER!$K$7:$K$606,UCRETLER!$B$7:$B$606,$B101))</f>
        <v>0</v>
      </c>
      <c r="Z101" s="1">
        <f ca="1">IF($B101="",0,SUMIFS(UCRETLER!$L$7:$L$606,UCRETLER!$B$7:$B$606,$B101))</f>
        <v>0</v>
      </c>
      <c r="AA101" s="1">
        <f t="shared" ca="1" si="50"/>
        <v>0</v>
      </c>
      <c r="AB101" s="1">
        <f t="shared" ca="1" si="51"/>
        <v>0</v>
      </c>
      <c r="AC101" s="1">
        <f t="shared" ca="1" si="52"/>
        <v>0</v>
      </c>
      <c r="AD101" s="1">
        <f t="shared" ca="1" si="53"/>
        <v>0</v>
      </c>
      <c r="AE101" s="1">
        <f t="shared" ca="1" si="54"/>
        <v>0</v>
      </c>
      <c r="AF101" s="1" t="str">
        <f ca="1">IFERROR(MATCH(ROW()-6,MUSTERILER!$U$7:$U$156,0),"")</f>
        <v/>
      </c>
      <c r="AG101" s="1">
        <f ca="1">IF($B101="",0,SUMIFS(GELIR_GIDER!$G$7:$G$3001,GELIR_GIDER!$T$7:$T$3001,$B101))</f>
        <v>0</v>
      </c>
    </row>
    <row r="102" spans="1:33" ht="18" customHeight="1" x14ac:dyDescent="0.3">
      <c r="A102" s="2"/>
      <c r="B102" s="65" t="str">
        <f ca="1">IF($AF102="","",INDEX(MUSTERILER!$B$7:$B$156,$AF102))</f>
        <v/>
      </c>
      <c r="C102" s="74" t="str">
        <f ca="1">IF($AF102="","",INDEX(MUSTERILER!$C$7:$C$156,$AF102))</f>
        <v/>
      </c>
      <c r="D102" s="68" t="str">
        <f ca="1">IF($B102="","",SUMIFS(UCRETLER!$G$7:$G$606,UCRETLER!$B$7:$B$606,$B102,UCRETLER!$F$7:$F$606,"Haftalık",UCRETLER!$H$7:$H$606,"Aktif"))</f>
        <v/>
      </c>
      <c r="E102" s="68" t="str">
        <f ca="1">IF($B102="","",SUMIFS(UCRETLER!$G$7:$G$606,UCRETLER!$B$7:$B$606,$B102,UCRETLER!$F$7:$F$606,"Aylık",UCRETLER!$H$7:$H$606,"Aktif"))</f>
        <v/>
      </c>
      <c r="F102" s="68" t="str">
        <f ca="1">IF($B102="","",SUMIFS(MUSTERILER!$J$7:$J$156,MUSTERILER!$B$7:$B$156,$B102))</f>
        <v/>
      </c>
      <c r="G102" s="68" t="str">
        <f ca="1">IF($B102="","",SUMIFS(UCRETLER!$I$7:$I$606,UCRETLER!$B$7:$B$606,$B102)+SUMIFS(GELIR_GIDER!$G$7:$G$3001,GELIR_GIDER!$T$7:$T$3001,$B102))</f>
        <v/>
      </c>
      <c r="H102" s="68" t="str">
        <f t="shared" ca="1" si="37"/>
        <v/>
      </c>
      <c r="I102" s="68" t="str">
        <f ca="1">IF($B102="","",SUMIFS(TAHSILAT!$F$7:$F$2503,TAHSILAT!$C$7:$C$2503,$B102))</f>
        <v/>
      </c>
      <c r="J102" s="68" t="str">
        <f t="shared" ca="1" si="38"/>
        <v/>
      </c>
      <c r="K102" s="68" t="str">
        <f t="shared" ca="1" si="39"/>
        <v/>
      </c>
      <c r="L102" s="68" t="str">
        <f t="shared" ca="1" si="40"/>
        <v/>
      </c>
      <c r="M102" s="68" t="str">
        <f t="shared" ca="1" si="41"/>
        <v/>
      </c>
      <c r="N102" s="68" t="str">
        <f t="shared" ca="1" si="42"/>
        <v/>
      </c>
      <c r="O102" s="92" t="str">
        <f t="shared" ca="1" si="43"/>
        <v/>
      </c>
      <c r="P102" s="70" t="str">
        <f ca="1">IF($B102="","",IFERROR(LOOKUP(2,1/(TAHSILAT!$C$7:$C$2503=$B102),TAHSILAT!$E$7:$E$2503),""))</f>
        <v/>
      </c>
      <c r="Q102" s="65" t="str">
        <f t="shared" ca="1" si="44"/>
        <v/>
      </c>
      <c r="R102" s="74" t="str">
        <f t="shared" ca="1" si="45"/>
        <v/>
      </c>
      <c r="S102" s="93" t="str">
        <f t="shared" ca="1" si="46"/>
        <v/>
      </c>
      <c r="T102" s="70" t="str">
        <f ca="1">IF(OR($B102="",$AF102=""),"",IF(INDEX(MUSTERILER!$K$7:$K$156,$AF102)="","",INDEX(MUSTERILER!$K$7:$K$156,$AF102)))</f>
        <v/>
      </c>
      <c r="U102" s="93" t="str">
        <f t="shared" ca="1" si="47"/>
        <v/>
      </c>
      <c r="V102" s="68" t="str">
        <f t="shared" ca="1" si="48"/>
        <v/>
      </c>
      <c r="W102" s="65" t="str">
        <f t="shared" ca="1" si="49"/>
        <v/>
      </c>
      <c r="X102" s="2">
        <f ca="1">IF($B102="",0,SUMIFS(UCRETLER!$J$7:$J$606,UCRETLER!$B$7:$B$606,$B102))</f>
        <v>0</v>
      </c>
      <c r="Y102" s="2">
        <f ca="1">IF($B102="",0,SUMIFS(UCRETLER!$K$7:$K$606,UCRETLER!$B$7:$B$606,$B102))</f>
        <v>0</v>
      </c>
      <c r="Z102" s="1">
        <f ca="1">IF($B102="",0,SUMIFS(UCRETLER!$L$7:$L$606,UCRETLER!$B$7:$B$606,$B102))</f>
        <v>0</v>
      </c>
      <c r="AA102" s="1">
        <f t="shared" ca="1" si="50"/>
        <v>0</v>
      </c>
      <c r="AB102" s="1">
        <f t="shared" ca="1" si="51"/>
        <v>0</v>
      </c>
      <c r="AC102" s="1">
        <f t="shared" ca="1" si="52"/>
        <v>0</v>
      </c>
      <c r="AD102" s="1">
        <f t="shared" ca="1" si="53"/>
        <v>0</v>
      </c>
      <c r="AE102" s="1">
        <f t="shared" ca="1" si="54"/>
        <v>0</v>
      </c>
      <c r="AF102" s="1" t="str">
        <f ca="1">IFERROR(MATCH(ROW()-6,MUSTERILER!$U$7:$U$156,0),"")</f>
        <v/>
      </c>
      <c r="AG102" s="1">
        <f ca="1">IF($B102="",0,SUMIFS(GELIR_GIDER!$G$7:$G$3001,GELIR_GIDER!$T$7:$T$3001,$B102))</f>
        <v>0</v>
      </c>
    </row>
    <row r="103" spans="1:33" ht="18" customHeight="1" x14ac:dyDescent="0.3">
      <c r="A103" s="2"/>
      <c r="B103" s="65" t="str">
        <f ca="1">IF($AF103="","",INDEX(MUSTERILER!$B$7:$B$156,$AF103))</f>
        <v/>
      </c>
      <c r="C103" s="74" t="str">
        <f ca="1">IF($AF103="","",INDEX(MUSTERILER!$C$7:$C$156,$AF103))</f>
        <v/>
      </c>
      <c r="D103" s="68" t="str">
        <f ca="1">IF($B103="","",SUMIFS(UCRETLER!$G$7:$G$606,UCRETLER!$B$7:$B$606,$B103,UCRETLER!$F$7:$F$606,"Haftalık",UCRETLER!$H$7:$H$606,"Aktif"))</f>
        <v/>
      </c>
      <c r="E103" s="68" t="str">
        <f ca="1">IF($B103="","",SUMIFS(UCRETLER!$G$7:$G$606,UCRETLER!$B$7:$B$606,$B103,UCRETLER!$F$7:$F$606,"Aylık",UCRETLER!$H$7:$H$606,"Aktif"))</f>
        <v/>
      </c>
      <c r="F103" s="68" t="str">
        <f ca="1">IF($B103="","",SUMIFS(MUSTERILER!$J$7:$J$156,MUSTERILER!$B$7:$B$156,$B103))</f>
        <v/>
      </c>
      <c r="G103" s="68" t="str">
        <f ca="1">IF($B103="","",SUMIFS(UCRETLER!$I$7:$I$606,UCRETLER!$B$7:$B$606,$B103)+SUMIFS(GELIR_GIDER!$G$7:$G$3001,GELIR_GIDER!$T$7:$T$3001,$B103))</f>
        <v/>
      </c>
      <c r="H103" s="68" t="str">
        <f t="shared" ref="H103:H134" ca="1" si="55">IF($B103="","",$F103+$G103)</f>
        <v/>
      </c>
      <c r="I103" s="68" t="str">
        <f ca="1">IF($B103="","",SUMIFS(TAHSILAT!$F$7:$F$2503,TAHSILAT!$C$7:$C$2503,$B103))</f>
        <v/>
      </c>
      <c r="J103" s="68" t="str">
        <f t="shared" ref="J103:J134" ca="1" si="56">IF($B103="","",MAX(0,$H103-$I103))</f>
        <v/>
      </c>
      <c r="K103" s="68" t="str">
        <f t="shared" ref="K103:K134" ca="1" si="57">IF($B103="","",MAX(0,$J103-$L103-$M103-$N103))</f>
        <v/>
      </c>
      <c r="L103" s="68" t="str">
        <f t="shared" ref="L103:L134" ca="1" si="58">IF($B103="","",($AC103-$AD103)+IF(AND($AB103&gt;0,$T103&lt;&gt;"",$U103&gt;=8,$U103&lt;15),$AB103,0))</f>
        <v/>
      </c>
      <c r="M103" s="68" t="str">
        <f t="shared" ref="M103:M134" ca="1" si="59">IF($B103="","",($AD103-$AE103)+IF(AND($AB103&gt;0,$T103&lt;&gt;"",$U103&gt;=15,$U103&lt;29),$AB103,0))</f>
        <v/>
      </c>
      <c r="N103" s="68" t="str">
        <f t="shared" ref="N103:N134" ca="1" si="60">IF($B103="","",$AE103+IF(AND($AB103&gt;0,OR($T103="",$U103&gt;=29)),$AB103,0))</f>
        <v/>
      </c>
      <c r="O103" s="92" t="str">
        <f t="shared" ref="O103:O134" ca="1" si="61">IF($B103="","",IFERROR($I103/$H103,0))</f>
        <v/>
      </c>
      <c r="P103" s="70" t="str">
        <f ca="1">IF($B103="","",IFERROR(LOOKUP(2,1/(TAHSILAT!$C$7:$C$2503=$B103),TAHSILAT!$E$7:$E$2503),""))</f>
        <v/>
      </c>
      <c r="Q103" s="65" t="str">
        <f t="shared" ref="Q103:Q134" ca="1" si="62">IF($B103="","",IF($N103&gt;0,"KRİTİK",IF($M103&gt;0,"YÜKSEK",IF($L103&gt;0,"ORTA",IF($J103&gt;0,"İZLE","TEMİZ")))))</f>
        <v/>
      </c>
      <c r="R103" s="74" t="str">
        <f t="shared" ref="R103:R134" ca="1" si="63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93" t="str">
        <f t="shared" ref="S103:S134" ca="1" si="64">IF($B103="","",0)</f>
        <v/>
      </c>
      <c r="T103" s="70" t="str">
        <f ca="1">IF(OR($B103="",$AF103=""),"",IF(INDEX(MUSTERILER!$K$7:$K$156,$AF103)="","",INDEX(MUSTERILER!$K$7:$K$156,$AF103)))</f>
        <v/>
      </c>
      <c r="U103" s="93" t="str">
        <f t="shared" ref="U103:U134" ca="1" si="65">IF(OR($B103="",$T103=""),"",TODAY()-$T103)</f>
        <v/>
      </c>
      <c r="V103" s="68" t="str">
        <f t="shared" ref="V103:V134" ca="1" si="66">IF($B103="","",MAX(0,$I103-$H103))</f>
        <v/>
      </c>
      <c r="W103" s="65" t="str">
        <f t="shared" ref="W103:W134" ca="1" si="67">IF($B103="","",IF(AND(ABS($J103-($K103+$L103+$M103+$N103))&lt;0.01,ABS(($J103-$V103)-($H103-$I103))&lt;0.01),"UYGUN","İNCELE"))</f>
        <v/>
      </c>
      <c r="X103" s="2">
        <f ca="1">IF($B103="",0,SUMIFS(UCRETLER!$J$7:$J$606,UCRETLER!$B$7:$B$606,$B103))</f>
        <v>0</v>
      </c>
      <c r="Y103" s="2">
        <f ca="1">IF($B103="",0,SUMIFS(UCRETLER!$K$7:$K$606,UCRETLER!$B$7:$B$606,$B103))</f>
        <v>0</v>
      </c>
      <c r="Z103" s="1">
        <f ca="1">IF($B103="",0,SUMIFS(UCRETLER!$L$7:$L$606,UCRETLER!$B$7:$B$606,$B103))</f>
        <v>0</v>
      </c>
      <c r="AA103" s="1">
        <f t="shared" ref="AA103:AA134" ca="1" si="68">IF($B103="",0,MAX(0,$I103-$F103))</f>
        <v>0</v>
      </c>
      <c r="AB103" s="1">
        <f t="shared" ref="AB103:AB134" ca="1" si="69">IF($B103="",0,MAX(0,$F103-$I103))</f>
        <v>0</v>
      </c>
      <c r="AC103" s="1">
        <f t="shared" ref="AC103:AC134" ca="1" si="70">IF($B103="",0,MAX(0,$X103-$AA103))</f>
        <v>0</v>
      </c>
      <c r="AD103" s="1">
        <f t="shared" ref="AD103:AD134" ca="1" si="71">IF($B103="",0,MAX(0,$Y103-$AA103))</f>
        <v>0</v>
      </c>
      <c r="AE103" s="1">
        <f t="shared" ref="AE103:AE134" ca="1" si="72">IF($B103="",0,MAX(0,$Z103-$AA103))</f>
        <v>0</v>
      </c>
      <c r="AF103" s="1" t="str">
        <f ca="1">IFERROR(MATCH(ROW()-6,MUSTERILER!$U$7:$U$156,0),"")</f>
        <v/>
      </c>
      <c r="AG103" s="1">
        <f ca="1">IF($B103="",0,SUMIFS(GELIR_GIDER!$G$7:$G$3001,GELIR_GIDER!$T$7:$T$3001,$B103))</f>
        <v>0</v>
      </c>
    </row>
    <row r="104" spans="1:33" ht="18" customHeight="1" x14ac:dyDescent="0.3">
      <c r="A104" s="2"/>
      <c r="B104" s="65" t="str">
        <f ca="1">IF($AF104="","",INDEX(MUSTERILER!$B$7:$B$156,$AF104))</f>
        <v/>
      </c>
      <c r="C104" s="74" t="str">
        <f ca="1">IF($AF104="","",INDEX(MUSTERILER!$C$7:$C$156,$AF104))</f>
        <v/>
      </c>
      <c r="D104" s="68" t="str">
        <f ca="1">IF($B104="","",SUMIFS(UCRETLER!$G$7:$G$606,UCRETLER!$B$7:$B$606,$B104,UCRETLER!$F$7:$F$606,"Haftalık",UCRETLER!$H$7:$H$606,"Aktif"))</f>
        <v/>
      </c>
      <c r="E104" s="68" t="str">
        <f ca="1">IF($B104="","",SUMIFS(UCRETLER!$G$7:$G$606,UCRETLER!$B$7:$B$606,$B104,UCRETLER!$F$7:$F$606,"Aylık",UCRETLER!$H$7:$H$606,"Aktif"))</f>
        <v/>
      </c>
      <c r="F104" s="68" t="str">
        <f ca="1">IF($B104="","",SUMIFS(MUSTERILER!$J$7:$J$156,MUSTERILER!$B$7:$B$156,$B104))</f>
        <v/>
      </c>
      <c r="G104" s="68" t="str">
        <f ca="1">IF($B104="","",SUMIFS(UCRETLER!$I$7:$I$606,UCRETLER!$B$7:$B$606,$B104)+SUMIFS(GELIR_GIDER!$G$7:$G$3001,GELIR_GIDER!$T$7:$T$3001,$B104))</f>
        <v/>
      </c>
      <c r="H104" s="68" t="str">
        <f t="shared" ca="1" si="55"/>
        <v/>
      </c>
      <c r="I104" s="68" t="str">
        <f ca="1">IF($B104="","",SUMIFS(TAHSILAT!$F$7:$F$2503,TAHSILAT!$C$7:$C$2503,$B104))</f>
        <v/>
      </c>
      <c r="J104" s="68" t="str">
        <f t="shared" ca="1" si="56"/>
        <v/>
      </c>
      <c r="K104" s="68" t="str">
        <f t="shared" ca="1" si="57"/>
        <v/>
      </c>
      <c r="L104" s="68" t="str">
        <f t="shared" ca="1" si="58"/>
        <v/>
      </c>
      <c r="M104" s="68" t="str">
        <f t="shared" ca="1" si="59"/>
        <v/>
      </c>
      <c r="N104" s="68" t="str">
        <f t="shared" ca="1" si="60"/>
        <v/>
      </c>
      <c r="O104" s="92" t="str">
        <f t="shared" ca="1" si="61"/>
        <v/>
      </c>
      <c r="P104" s="70" t="str">
        <f ca="1">IF($B104="","",IFERROR(LOOKUP(2,1/(TAHSILAT!$C$7:$C$2503=$B104),TAHSILAT!$E$7:$E$2503),""))</f>
        <v/>
      </c>
      <c r="Q104" s="65" t="str">
        <f t="shared" ca="1" si="62"/>
        <v/>
      </c>
      <c r="R104" s="74" t="str">
        <f t="shared" ca="1" si="63"/>
        <v/>
      </c>
      <c r="S104" s="93" t="str">
        <f t="shared" ca="1" si="64"/>
        <v/>
      </c>
      <c r="T104" s="70" t="str">
        <f ca="1">IF(OR($B104="",$AF104=""),"",IF(INDEX(MUSTERILER!$K$7:$K$156,$AF104)="","",INDEX(MUSTERILER!$K$7:$K$156,$AF104)))</f>
        <v/>
      </c>
      <c r="U104" s="93" t="str">
        <f t="shared" ca="1" si="65"/>
        <v/>
      </c>
      <c r="V104" s="68" t="str">
        <f t="shared" ca="1" si="66"/>
        <v/>
      </c>
      <c r="W104" s="65" t="str">
        <f t="shared" ca="1" si="67"/>
        <v/>
      </c>
      <c r="X104" s="2">
        <f ca="1">IF($B104="",0,SUMIFS(UCRETLER!$J$7:$J$606,UCRETLER!$B$7:$B$606,$B104))</f>
        <v>0</v>
      </c>
      <c r="Y104" s="2">
        <f ca="1">IF($B104="",0,SUMIFS(UCRETLER!$K$7:$K$606,UCRETLER!$B$7:$B$606,$B104))</f>
        <v>0</v>
      </c>
      <c r="Z104" s="1">
        <f ca="1">IF($B104="",0,SUMIFS(UCRETLER!$L$7:$L$606,UCRETLER!$B$7:$B$606,$B104))</f>
        <v>0</v>
      </c>
      <c r="AA104" s="1">
        <f t="shared" ca="1" si="68"/>
        <v>0</v>
      </c>
      <c r="AB104" s="1">
        <f t="shared" ca="1" si="69"/>
        <v>0</v>
      </c>
      <c r="AC104" s="1">
        <f t="shared" ca="1" si="70"/>
        <v>0</v>
      </c>
      <c r="AD104" s="1">
        <f t="shared" ca="1" si="71"/>
        <v>0</v>
      </c>
      <c r="AE104" s="1">
        <f t="shared" ca="1" si="72"/>
        <v>0</v>
      </c>
      <c r="AF104" s="1" t="str">
        <f ca="1">IFERROR(MATCH(ROW()-6,MUSTERILER!$U$7:$U$156,0),"")</f>
        <v/>
      </c>
      <c r="AG104" s="1">
        <f ca="1">IF($B104="",0,SUMIFS(GELIR_GIDER!$G$7:$G$3001,GELIR_GIDER!$T$7:$T$3001,$B104))</f>
        <v>0</v>
      </c>
    </row>
    <row r="105" spans="1:33" ht="18" customHeight="1" x14ac:dyDescent="0.3">
      <c r="A105" s="2"/>
      <c r="B105" s="65" t="str">
        <f ca="1">IF($AF105="","",INDEX(MUSTERILER!$B$7:$B$156,$AF105))</f>
        <v/>
      </c>
      <c r="C105" s="74" t="str">
        <f ca="1">IF($AF105="","",INDEX(MUSTERILER!$C$7:$C$156,$AF105))</f>
        <v/>
      </c>
      <c r="D105" s="68" t="str">
        <f ca="1">IF($B105="","",SUMIFS(UCRETLER!$G$7:$G$606,UCRETLER!$B$7:$B$606,$B105,UCRETLER!$F$7:$F$606,"Haftalık",UCRETLER!$H$7:$H$606,"Aktif"))</f>
        <v/>
      </c>
      <c r="E105" s="68" t="str">
        <f ca="1">IF($B105="","",SUMIFS(UCRETLER!$G$7:$G$606,UCRETLER!$B$7:$B$606,$B105,UCRETLER!$F$7:$F$606,"Aylık",UCRETLER!$H$7:$H$606,"Aktif"))</f>
        <v/>
      </c>
      <c r="F105" s="68" t="str">
        <f ca="1">IF($B105="","",SUMIFS(MUSTERILER!$J$7:$J$156,MUSTERILER!$B$7:$B$156,$B105))</f>
        <v/>
      </c>
      <c r="G105" s="68" t="str">
        <f ca="1">IF($B105="","",SUMIFS(UCRETLER!$I$7:$I$606,UCRETLER!$B$7:$B$606,$B105)+SUMIFS(GELIR_GIDER!$G$7:$G$3001,GELIR_GIDER!$T$7:$T$3001,$B105))</f>
        <v/>
      </c>
      <c r="H105" s="68" t="str">
        <f t="shared" ca="1" si="55"/>
        <v/>
      </c>
      <c r="I105" s="68" t="str">
        <f ca="1">IF($B105="","",SUMIFS(TAHSILAT!$F$7:$F$2503,TAHSILAT!$C$7:$C$2503,$B105))</f>
        <v/>
      </c>
      <c r="J105" s="68" t="str">
        <f t="shared" ca="1" si="56"/>
        <v/>
      </c>
      <c r="K105" s="68" t="str">
        <f t="shared" ca="1" si="57"/>
        <v/>
      </c>
      <c r="L105" s="68" t="str">
        <f t="shared" ca="1" si="58"/>
        <v/>
      </c>
      <c r="M105" s="68" t="str">
        <f t="shared" ca="1" si="59"/>
        <v/>
      </c>
      <c r="N105" s="68" t="str">
        <f t="shared" ca="1" si="60"/>
        <v/>
      </c>
      <c r="O105" s="92" t="str">
        <f t="shared" ca="1" si="61"/>
        <v/>
      </c>
      <c r="P105" s="70" t="str">
        <f ca="1">IF($B105="","",IFERROR(LOOKUP(2,1/(TAHSILAT!$C$7:$C$2503=$B105),TAHSILAT!$E$7:$E$2503),""))</f>
        <v/>
      </c>
      <c r="Q105" s="65" t="str">
        <f t="shared" ca="1" si="62"/>
        <v/>
      </c>
      <c r="R105" s="74" t="str">
        <f t="shared" ca="1" si="63"/>
        <v/>
      </c>
      <c r="S105" s="93" t="str">
        <f t="shared" ca="1" si="64"/>
        <v/>
      </c>
      <c r="T105" s="70" t="str">
        <f ca="1">IF(OR($B105="",$AF105=""),"",IF(INDEX(MUSTERILER!$K$7:$K$156,$AF105)="","",INDEX(MUSTERILER!$K$7:$K$156,$AF105)))</f>
        <v/>
      </c>
      <c r="U105" s="93" t="str">
        <f t="shared" ca="1" si="65"/>
        <v/>
      </c>
      <c r="V105" s="68" t="str">
        <f t="shared" ca="1" si="66"/>
        <v/>
      </c>
      <c r="W105" s="65" t="str">
        <f t="shared" ca="1" si="67"/>
        <v/>
      </c>
      <c r="X105" s="2">
        <f ca="1">IF($B105="",0,SUMIFS(UCRETLER!$J$7:$J$606,UCRETLER!$B$7:$B$606,$B105))</f>
        <v>0</v>
      </c>
      <c r="Y105" s="2">
        <f ca="1">IF($B105="",0,SUMIFS(UCRETLER!$K$7:$K$606,UCRETLER!$B$7:$B$606,$B105))</f>
        <v>0</v>
      </c>
      <c r="Z105" s="1">
        <f ca="1">IF($B105="",0,SUMIFS(UCRETLER!$L$7:$L$606,UCRETLER!$B$7:$B$606,$B105))</f>
        <v>0</v>
      </c>
      <c r="AA105" s="1">
        <f t="shared" ca="1" si="68"/>
        <v>0</v>
      </c>
      <c r="AB105" s="1">
        <f t="shared" ca="1" si="69"/>
        <v>0</v>
      </c>
      <c r="AC105" s="1">
        <f t="shared" ca="1" si="70"/>
        <v>0</v>
      </c>
      <c r="AD105" s="1">
        <f t="shared" ca="1" si="71"/>
        <v>0</v>
      </c>
      <c r="AE105" s="1">
        <f t="shared" ca="1" si="72"/>
        <v>0</v>
      </c>
      <c r="AF105" s="1" t="str">
        <f ca="1">IFERROR(MATCH(ROW()-6,MUSTERILER!$U$7:$U$156,0),"")</f>
        <v/>
      </c>
      <c r="AG105" s="1">
        <f ca="1">IF($B105="",0,SUMIFS(GELIR_GIDER!$G$7:$G$3001,GELIR_GIDER!$T$7:$T$3001,$B105))</f>
        <v>0</v>
      </c>
    </row>
    <row r="106" spans="1:33" ht="18" customHeight="1" x14ac:dyDescent="0.3">
      <c r="A106" s="2"/>
      <c r="B106" s="65" t="str">
        <f ca="1">IF($AF106="","",INDEX(MUSTERILER!$B$7:$B$156,$AF106))</f>
        <v/>
      </c>
      <c r="C106" s="74" t="str">
        <f ca="1">IF($AF106="","",INDEX(MUSTERILER!$C$7:$C$156,$AF106))</f>
        <v/>
      </c>
      <c r="D106" s="68" t="str">
        <f ca="1">IF($B106="","",SUMIFS(UCRETLER!$G$7:$G$606,UCRETLER!$B$7:$B$606,$B106,UCRETLER!$F$7:$F$606,"Haftalık",UCRETLER!$H$7:$H$606,"Aktif"))</f>
        <v/>
      </c>
      <c r="E106" s="68" t="str">
        <f ca="1">IF($B106="","",SUMIFS(UCRETLER!$G$7:$G$606,UCRETLER!$B$7:$B$606,$B106,UCRETLER!$F$7:$F$606,"Aylık",UCRETLER!$H$7:$H$606,"Aktif"))</f>
        <v/>
      </c>
      <c r="F106" s="68" t="str">
        <f ca="1">IF($B106="","",SUMIFS(MUSTERILER!$J$7:$J$156,MUSTERILER!$B$7:$B$156,$B106))</f>
        <v/>
      </c>
      <c r="G106" s="68" t="str">
        <f ca="1">IF($B106="","",SUMIFS(UCRETLER!$I$7:$I$606,UCRETLER!$B$7:$B$606,$B106)+SUMIFS(GELIR_GIDER!$G$7:$G$3001,GELIR_GIDER!$T$7:$T$3001,$B106))</f>
        <v/>
      </c>
      <c r="H106" s="68" t="str">
        <f t="shared" ca="1" si="55"/>
        <v/>
      </c>
      <c r="I106" s="68" t="str">
        <f ca="1">IF($B106="","",SUMIFS(TAHSILAT!$F$7:$F$2503,TAHSILAT!$C$7:$C$2503,$B106))</f>
        <v/>
      </c>
      <c r="J106" s="68" t="str">
        <f t="shared" ca="1" si="56"/>
        <v/>
      </c>
      <c r="K106" s="68" t="str">
        <f t="shared" ca="1" si="57"/>
        <v/>
      </c>
      <c r="L106" s="68" t="str">
        <f t="shared" ca="1" si="58"/>
        <v/>
      </c>
      <c r="M106" s="68" t="str">
        <f t="shared" ca="1" si="59"/>
        <v/>
      </c>
      <c r="N106" s="68" t="str">
        <f t="shared" ca="1" si="60"/>
        <v/>
      </c>
      <c r="O106" s="92" t="str">
        <f t="shared" ca="1" si="61"/>
        <v/>
      </c>
      <c r="P106" s="70" t="str">
        <f ca="1">IF($B106="","",IFERROR(LOOKUP(2,1/(TAHSILAT!$C$7:$C$2503=$B106),TAHSILAT!$E$7:$E$2503),""))</f>
        <v/>
      </c>
      <c r="Q106" s="65" t="str">
        <f t="shared" ca="1" si="62"/>
        <v/>
      </c>
      <c r="R106" s="74" t="str">
        <f t="shared" ca="1" si="63"/>
        <v/>
      </c>
      <c r="S106" s="93" t="str">
        <f t="shared" ca="1" si="64"/>
        <v/>
      </c>
      <c r="T106" s="70" t="str">
        <f ca="1">IF(OR($B106="",$AF106=""),"",IF(INDEX(MUSTERILER!$K$7:$K$156,$AF106)="","",INDEX(MUSTERILER!$K$7:$K$156,$AF106)))</f>
        <v/>
      </c>
      <c r="U106" s="93" t="str">
        <f t="shared" ca="1" si="65"/>
        <v/>
      </c>
      <c r="V106" s="68" t="str">
        <f t="shared" ca="1" si="66"/>
        <v/>
      </c>
      <c r="W106" s="65" t="str">
        <f t="shared" ca="1" si="67"/>
        <v/>
      </c>
      <c r="X106" s="2">
        <f ca="1">IF($B106="",0,SUMIFS(UCRETLER!$J$7:$J$606,UCRETLER!$B$7:$B$606,$B106))</f>
        <v>0</v>
      </c>
      <c r="Y106" s="2">
        <f ca="1">IF($B106="",0,SUMIFS(UCRETLER!$K$7:$K$606,UCRETLER!$B$7:$B$606,$B106))</f>
        <v>0</v>
      </c>
      <c r="Z106" s="1">
        <f ca="1">IF($B106="",0,SUMIFS(UCRETLER!$L$7:$L$606,UCRETLER!$B$7:$B$606,$B106))</f>
        <v>0</v>
      </c>
      <c r="AA106" s="1">
        <f t="shared" ca="1" si="68"/>
        <v>0</v>
      </c>
      <c r="AB106" s="1">
        <f t="shared" ca="1" si="69"/>
        <v>0</v>
      </c>
      <c r="AC106" s="1">
        <f t="shared" ca="1" si="70"/>
        <v>0</v>
      </c>
      <c r="AD106" s="1">
        <f t="shared" ca="1" si="71"/>
        <v>0</v>
      </c>
      <c r="AE106" s="1">
        <f t="shared" ca="1" si="72"/>
        <v>0</v>
      </c>
      <c r="AF106" s="1" t="str">
        <f ca="1">IFERROR(MATCH(ROW()-6,MUSTERILER!$U$7:$U$156,0),"")</f>
        <v/>
      </c>
      <c r="AG106" s="1">
        <f ca="1">IF($B106="",0,SUMIFS(GELIR_GIDER!$G$7:$G$3001,GELIR_GIDER!$T$7:$T$3001,$B106))</f>
        <v>0</v>
      </c>
    </row>
    <row r="107" spans="1:33" ht="18" customHeight="1" x14ac:dyDescent="0.3">
      <c r="A107" s="2"/>
      <c r="B107" s="65" t="str">
        <f ca="1">IF($AF107="","",INDEX(MUSTERILER!$B$7:$B$156,$AF107))</f>
        <v/>
      </c>
      <c r="C107" s="74" t="str">
        <f ca="1">IF($AF107="","",INDEX(MUSTERILER!$C$7:$C$156,$AF107))</f>
        <v/>
      </c>
      <c r="D107" s="68" t="str">
        <f ca="1">IF($B107="","",SUMIFS(UCRETLER!$G$7:$G$606,UCRETLER!$B$7:$B$606,$B107,UCRETLER!$F$7:$F$606,"Haftalık",UCRETLER!$H$7:$H$606,"Aktif"))</f>
        <v/>
      </c>
      <c r="E107" s="68" t="str">
        <f ca="1">IF($B107="","",SUMIFS(UCRETLER!$G$7:$G$606,UCRETLER!$B$7:$B$606,$B107,UCRETLER!$F$7:$F$606,"Aylık",UCRETLER!$H$7:$H$606,"Aktif"))</f>
        <v/>
      </c>
      <c r="F107" s="68" t="str">
        <f ca="1">IF($B107="","",SUMIFS(MUSTERILER!$J$7:$J$156,MUSTERILER!$B$7:$B$156,$B107))</f>
        <v/>
      </c>
      <c r="G107" s="68" t="str">
        <f ca="1">IF($B107="","",SUMIFS(UCRETLER!$I$7:$I$606,UCRETLER!$B$7:$B$606,$B107)+SUMIFS(GELIR_GIDER!$G$7:$G$3001,GELIR_GIDER!$T$7:$T$3001,$B107))</f>
        <v/>
      </c>
      <c r="H107" s="68" t="str">
        <f t="shared" ca="1" si="55"/>
        <v/>
      </c>
      <c r="I107" s="68" t="str">
        <f ca="1">IF($B107="","",SUMIFS(TAHSILAT!$F$7:$F$2503,TAHSILAT!$C$7:$C$2503,$B107))</f>
        <v/>
      </c>
      <c r="J107" s="68" t="str">
        <f t="shared" ca="1" si="56"/>
        <v/>
      </c>
      <c r="K107" s="68" t="str">
        <f t="shared" ca="1" si="57"/>
        <v/>
      </c>
      <c r="L107" s="68" t="str">
        <f t="shared" ca="1" si="58"/>
        <v/>
      </c>
      <c r="M107" s="68" t="str">
        <f t="shared" ca="1" si="59"/>
        <v/>
      </c>
      <c r="N107" s="68" t="str">
        <f t="shared" ca="1" si="60"/>
        <v/>
      </c>
      <c r="O107" s="92" t="str">
        <f t="shared" ca="1" si="61"/>
        <v/>
      </c>
      <c r="P107" s="70" t="str">
        <f ca="1">IF($B107="","",IFERROR(LOOKUP(2,1/(TAHSILAT!$C$7:$C$2503=$B107),TAHSILAT!$E$7:$E$2503),""))</f>
        <v/>
      </c>
      <c r="Q107" s="65" t="str">
        <f t="shared" ca="1" si="62"/>
        <v/>
      </c>
      <c r="R107" s="74" t="str">
        <f t="shared" ca="1" si="63"/>
        <v/>
      </c>
      <c r="S107" s="93" t="str">
        <f t="shared" ca="1" si="64"/>
        <v/>
      </c>
      <c r="T107" s="70" t="str">
        <f ca="1">IF(OR($B107="",$AF107=""),"",IF(INDEX(MUSTERILER!$K$7:$K$156,$AF107)="","",INDEX(MUSTERILER!$K$7:$K$156,$AF107)))</f>
        <v/>
      </c>
      <c r="U107" s="93" t="str">
        <f t="shared" ca="1" si="65"/>
        <v/>
      </c>
      <c r="V107" s="68" t="str">
        <f t="shared" ca="1" si="66"/>
        <v/>
      </c>
      <c r="W107" s="65" t="str">
        <f t="shared" ca="1" si="67"/>
        <v/>
      </c>
      <c r="X107" s="2">
        <f ca="1">IF($B107="",0,SUMIFS(UCRETLER!$J$7:$J$606,UCRETLER!$B$7:$B$606,$B107))</f>
        <v>0</v>
      </c>
      <c r="Y107" s="2">
        <f ca="1">IF($B107="",0,SUMIFS(UCRETLER!$K$7:$K$606,UCRETLER!$B$7:$B$606,$B107))</f>
        <v>0</v>
      </c>
      <c r="Z107" s="1">
        <f ca="1">IF($B107="",0,SUMIFS(UCRETLER!$L$7:$L$606,UCRETLER!$B$7:$B$606,$B107))</f>
        <v>0</v>
      </c>
      <c r="AA107" s="1">
        <f t="shared" ca="1" si="68"/>
        <v>0</v>
      </c>
      <c r="AB107" s="1">
        <f t="shared" ca="1" si="69"/>
        <v>0</v>
      </c>
      <c r="AC107" s="1">
        <f t="shared" ca="1" si="70"/>
        <v>0</v>
      </c>
      <c r="AD107" s="1">
        <f t="shared" ca="1" si="71"/>
        <v>0</v>
      </c>
      <c r="AE107" s="1">
        <f t="shared" ca="1" si="72"/>
        <v>0</v>
      </c>
      <c r="AF107" s="1" t="str">
        <f ca="1">IFERROR(MATCH(ROW()-6,MUSTERILER!$U$7:$U$156,0),"")</f>
        <v/>
      </c>
      <c r="AG107" s="1">
        <f ca="1">IF($B107="",0,SUMIFS(GELIR_GIDER!$G$7:$G$3001,GELIR_GIDER!$T$7:$T$3001,$B107))</f>
        <v>0</v>
      </c>
    </row>
    <row r="108" spans="1:33" ht="18" customHeight="1" x14ac:dyDescent="0.3">
      <c r="A108" s="2"/>
      <c r="B108" s="65" t="str">
        <f ca="1">IF($AF108="","",INDEX(MUSTERILER!$B$7:$B$156,$AF108))</f>
        <v/>
      </c>
      <c r="C108" s="74" t="str">
        <f ca="1">IF($AF108="","",INDEX(MUSTERILER!$C$7:$C$156,$AF108))</f>
        <v/>
      </c>
      <c r="D108" s="68" t="str">
        <f ca="1">IF($B108="","",SUMIFS(UCRETLER!$G$7:$G$606,UCRETLER!$B$7:$B$606,$B108,UCRETLER!$F$7:$F$606,"Haftalık",UCRETLER!$H$7:$H$606,"Aktif"))</f>
        <v/>
      </c>
      <c r="E108" s="68" t="str">
        <f ca="1">IF($B108="","",SUMIFS(UCRETLER!$G$7:$G$606,UCRETLER!$B$7:$B$606,$B108,UCRETLER!$F$7:$F$606,"Aylık",UCRETLER!$H$7:$H$606,"Aktif"))</f>
        <v/>
      </c>
      <c r="F108" s="68" t="str">
        <f ca="1">IF($B108="","",SUMIFS(MUSTERILER!$J$7:$J$156,MUSTERILER!$B$7:$B$156,$B108))</f>
        <v/>
      </c>
      <c r="G108" s="68" t="str">
        <f ca="1">IF($B108="","",SUMIFS(UCRETLER!$I$7:$I$606,UCRETLER!$B$7:$B$606,$B108)+SUMIFS(GELIR_GIDER!$G$7:$G$3001,GELIR_GIDER!$T$7:$T$3001,$B108))</f>
        <v/>
      </c>
      <c r="H108" s="68" t="str">
        <f t="shared" ca="1" si="55"/>
        <v/>
      </c>
      <c r="I108" s="68" t="str">
        <f ca="1">IF($B108="","",SUMIFS(TAHSILAT!$F$7:$F$2503,TAHSILAT!$C$7:$C$2503,$B108))</f>
        <v/>
      </c>
      <c r="J108" s="68" t="str">
        <f t="shared" ca="1" si="56"/>
        <v/>
      </c>
      <c r="K108" s="68" t="str">
        <f t="shared" ca="1" si="57"/>
        <v/>
      </c>
      <c r="L108" s="68" t="str">
        <f t="shared" ca="1" si="58"/>
        <v/>
      </c>
      <c r="M108" s="68" t="str">
        <f t="shared" ca="1" si="59"/>
        <v/>
      </c>
      <c r="N108" s="68" t="str">
        <f t="shared" ca="1" si="60"/>
        <v/>
      </c>
      <c r="O108" s="92" t="str">
        <f t="shared" ca="1" si="61"/>
        <v/>
      </c>
      <c r="P108" s="70" t="str">
        <f ca="1">IF($B108="","",IFERROR(LOOKUP(2,1/(TAHSILAT!$C$7:$C$2503=$B108),TAHSILAT!$E$7:$E$2503),""))</f>
        <v/>
      </c>
      <c r="Q108" s="65" t="str">
        <f t="shared" ca="1" si="62"/>
        <v/>
      </c>
      <c r="R108" s="74" t="str">
        <f t="shared" ca="1" si="63"/>
        <v/>
      </c>
      <c r="S108" s="93" t="str">
        <f t="shared" ca="1" si="64"/>
        <v/>
      </c>
      <c r="T108" s="70" t="str">
        <f ca="1">IF(OR($B108="",$AF108=""),"",IF(INDEX(MUSTERILER!$K$7:$K$156,$AF108)="","",INDEX(MUSTERILER!$K$7:$K$156,$AF108)))</f>
        <v/>
      </c>
      <c r="U108" s="93" t="str">
        <f t="shared" ca="1" si="65"/>
        <v/>
      </c>
      <c r="V108" s="68" t="str">
        <f t="shared" ca="1" si="66"/>
        <v/>
      </c>
      <c r="W108" s="65" t="str">
        <f t="shared" ca="1" si="67"/>
        <v/>
      </c>
      <c r="X108" s="2">
        <f ca="1">IF($B108="",0,SUMIFS(UCRETLER!$J$7:$J$606,UCRETLER!$B$7:$B$606,$B108))</f>
        <v>0</v>
      </c>
      <c r="Y108" s="2">
        <f ca="1">IF($B108="",0,SUMIFS(UCRETLER!$K$7:$K$606,UCRETLER!$B$7:$B$606,$B108))</f>
        <v>0</v>
      </c>
      <c r="Z108" s="1">
        <f ca="1">IF($B108="",0,SUMIFS(UCRETLER!$L$7:$L$606,UCRETLER!$B$7:$B$606,$B108))</f>
        <v>0</v>
      </c>
      <c r="AA108" s="1">
        <f t="shared" ca="1" si="68"/>
        <v>0</v>
      </c>
      <c r="AB108" s="1">
        <f t="shared" ca="1" si="69"/>
        <v>0</v>
      </c>
      <c r="AC108" s="1">
        <f t="shared" ca="1" si="70"/>
        <v>0</v>
      </c>
      <c r="AD108" s="1">
        <f t="shared" ca="1" si="71"/>
        <v>0</v>
      </c>
      <c r="AE108" s="1">
        <f t="shared" ca="1" si="72"/>
        <v>0</v>
      </c>
      <c r="AF108" s="1" t="str">
        <f ca="1">IFERROR(MATCH(ROW()-6,MUSTERILER!$U$7:$U$156,0),"")</f>
        <v/>
      </c>
      <c r="AG108" s="1">
        <f ca="1">IF($B108="",0,SUMIFS(GELIR_GIDER!$G$7:$G$3001,GELIR_GIDER!$T$7:$T$3001,$B108))</f>
        <v>0</v>
      </c>
    </row>
    <row r="109" spans="1:33" ht="18" customHeight="1" x14ac:dyDescent="0.3">
      <c r="A109" s="2"/>
      <c r="B109" s="65" t="str">
        <f ca="1">IF($AF109="","",INDEX(MUSTERILER!$B$7:$B$156,$AF109))</f>
        <v/>
      </c>
      <c r="C109" s="74" t="str">
        <f ca="1">IF($AF109="","",INDEX(MUSTERILER!$C$7:$C$156,$AF109))</f>
        <v/>
      </c>
      <c r="D109" s="68" t="str">
        <f ca="1">IF($B109="","",SUMIFS(UCRETLER!$G$7:$G$606,UCRETLER!$B$7:$B$606,$B109,UCRETLER!$F$7:$F$606,"Haftalık",UCRETLER!$H$7:$H$606,"Aktif"))</f>
        <v/>
      </c>
      <c r="E109" s="68" t="str">
        <f ca="1">IF($B109="","",SUMIFS(UCRETLER!$G$7:$G$606,UCRETLER!$B$7:$B$606,$B109,UCRETLER!$F$7:$F$606,"Aylık",UCRETLER!$H$7:$H$606,"Aktif"))</f>
        <v/>
      </c>
      <c r="F109" s="68" t="str">
        <f ca="1">IF($B109="","",SUMIFS(MUSTERILER!$J$7:$J$156,MUSTERILER!$B$7:$B$156,$B109))</f>
        <v/>
      </c>
      <c r="G109" s="68" t="str">
        <f ca="1">IF($B109="","",SUMIFS(UCRETLER!$I$7:$I$606,UCRETLER!$B$7:$B$606,$B109)+SUMIFS(GELIR_GIDER!$G$7:$G$3001,GELIR_GIDER!$T$7:$T$3001,$B109))</f>
        <v/>
      </c>
      <c r="H109" s="68" t="str">
        <f t="shared" ca="1" si="55"/>
        <v/>
      </c>
      <c r="I109" s="68" t="str">
        <f ca="1">IF($B109="","",SUMIFS(TAHSILAT!$F$7:$F$2503,TAHSILAT!$C$7:$C$2503,$B109))</f>
        <v/>
      </c>
      <c r="J109" s="68" t="str">
        <f t="shared" ca="1" si="56"/>
        <v/>
      </c>
      <c r="K109" s="68" t="str">
        <f t="shared" ca="1" si="57"/>
        <v/>
      </c>
      <c r="L109" s="68" t="str">
        <f t="shared" ca="1" si="58"/>
        <v/>
      </c>
      <c r="M109" s="68" t="str">
        <f t="shared" ca="1" si="59"/>
        <v/>
      </c>
      <c r="N109" s="68" t="str">
        <f t="shared" ca="1" si="60"/>
        <v/>
      </c>
      <c r="O109" s="92" t="str">
        <f t="shared" ca="1" si="61"/>
        <v/>
      </c>
      <c r="P109" s="70" t="str">
        <f ca="1">IF($B109="","",IFERROR(LOOKUP(2,1/(TAHSILAT!$C$7:$C$2503=$B109),TAHSILAT!$E$7:$E$2503),""))</f>
        <v/>
      </c>
      <c r="Q109" s="65" t="str">
        <f t="shared" ca="1" si="62"/>
        <v/>
      </c>
      <c r="R109" s="74" t="str">
        <f t="shared" ca="1" si="63"/>
        <v/>
      </c>
      <c r="S109" s="93" t="str">
        <f t="shared" ca="1" si="64"/>
        <v/>
      </c>
      <c r="T109" s="70" t="str">
        <f ca="1">IF(OR($B109="",$AF109=""),"",IF(INDEX(MUSTERILER!$K$7:$K$156,$AF109)="","",INDEX(MUSTERILER!$K$7:$K$156,$AF109)))</f>
        <v/>
      </c>
      <c r="U109" s="93" t="str">
        <f t="shared" ca="1" si="65"/>
        <v/>
      </c>
      <c r="V109" s="68" t="str">
        <f t="shared" ca="1" si="66"/>
        <v/>
      </c>
      <c r="W109" s="65" t="str">
        <f t="shared" ca="1" si="67"/>
        <v/>
      </c>
      <c r="X109" s="2">
        <f ca="1">IF($B109="",0,SUMIFS(UCRETLER!$J$7:$J$606,UCRETLER!$B$7:$B$606,$B109))</f>
        <v>0</v>
      </c>
      <c r="Y109" s="2">
        <f ca="1">IF($B109="",0,SUMIFS(UCRETLER!$K$7:$K$606,UCRETLER!$B$7:$B$606,$B109))</f>
        <v>0</v>
      </c>
      <c r="Z109" s="1">
        <f ca="1">IF($B109="",0,SUMIFS(UCRETLER!$L$7:$L$606,UCRETLER!$B$7:$B$606,$B109))</f>
        <v>0</v>
      </c>
      <c r="AA109" s="1">
        <f t="shared" ca="1" si="68"/>
        <v>0</v>
      </c>
      <c r="AB109" s="1">
        <f t="shared" ca="1" si="69"/>
        <v>0</v>
      </c>
      <c r="AC109" s="1">
        <f t="shared" ca="1" si="70"/>
        <v>0</v>
      </c>
      <c r="AD109" s="1">
        <f t="shared" ca="1" si="71"/>
        <v>0</v>
      </c>
      <c r="AE109" s="1">
        <f t="shared" ca="1" si="72"/>
        <v>0</v>
      </c>
      <c r="AF109" s="1" t="str">
        <f ca="1">IFERROR(MATCH(ROW()-6,MUSTERILER!$U$7:$U$156,0),"")</f>
        <v/>
      </c>
      <c r="AG109" s="1">
        <f ca="1">IF($B109="",0,SUMIFS(GELIR_GIDER!$G$7:$G$3001,GELIR_GIDER!$T$7:$T$3001,$B109))</f>
        <v>0</v>
      </c>
    </row>
    <row r="110" spans="1:33" ht="18" customHeight="1" x14ac:dyDescent="0.3">
      <c r="A110" s="2"/>
      <c r="B110" s="65" t="str">
        <f ca="1">IF($AF110="","",INDEX(MUSTERILER!$B$7:$B$156,$AF110))</f>
        <v/>
      </c>
      <c r="C110" s="74" t="str">
        <f ca="1">IF($AF110="","",INDEX(MUSTERILER!$C$7:$C$156,$AF110))</f>
        <v/>
      </c>
      <c r="D110" s="68" t="str">
        <f ca="1">IF($B110="","",SUMIFS(UCRETLER!$G$7:$G$606,UCRETLER!$B$7:$B$606,$B110,UCRETLER!$F$7:$F$606,"Haftalık",UCRETLER!$H$7:$H$606,"Aktif"))</f>
        <v/>
      </c>
      <c r="E110" s="68" t="str">
        <f ca="1">IF($B110="","",SUMIFS(UCRETLER!$G$7:$G$606,UCRETLER!$B$7:$B$606,$B110,UCRETLER!$F$7:$F$606,"Aylık",UCRETLER!$H$7:$H$606,"Aktif"))</f>
        <v/>
      </c>
      <c r="F110" s="68" t="str">
        <f ca="1">IF($B110="","",SUMIFS(MUSTERILER!$J$7:$J$156,MUSTERILER!$B$7:$B$156,$B110))</f>
        <v/>
      </c>
      <c r="G110" s="68" t="str">
        <f ca="1">IF($B110="","",SUMIFS(UCRETLER!$I$7:$I$606,UCRETLER!$B$7:$B$606,$B110)+SUMIFS(GELIR_GIDER!$G$7:$G$3001,GELIR_GIDER!$T$7:$T$3001,$B110))</f>
        <v/>
      </c>
      <c r="H110" s="68" t="str">
        <f t="shared" ca="1" si="55"/>
        <v/>
      </c>
      <c r="I110" s="68" t="str">
        <f ca="1">IF($B110="","",SUMIFS(TAHSILAT!$F$7:$F$2503,TAHSILAT!$C$7:$C$2503,$B110))</f>
        <v/>
      </c>
      <c r="J110" s="68" t="str">
        <f t="shared" ca="1" si="56"/>
        <v/>
      </c>
      <c r="K110" s="68" t="str">
        <f t="shared" ca="1" si="57"/>
        <v/>
      </c>
      <c r="L110" s="68" t="str">
        <f t="shared" ca="1" si="58"/>
        <v/>
      </c>
      <c r="M110" s="68" t="str">
        <f t="shared" ca="1" si="59"/>
        <v/>
      </c>
      <c r="N110" s="68" t="str">
        <f t="shared" ca="1" si="60"/>
        <v/>
      </c>
      <c r="O110" s="92" t="str">
        <f t="shared" ca="1" si="61"/>
        <v/>
      </c>
      <c r="P110" s="70" t="str">
        <f ca="1">IF($B110="","",IFERROR(LOOKUP(2,1/(TAHSILAT!$C$7:$C$2503=$B110),TAHSILAT!$E$7:$E$2503),""))</f>
        <v/>
      </c>
      <c r="Q110" s="65" t="str">
        <f t="shared" ca="1" si="62"/>
        <v/>
      </c>
      <c r="R110" s="74" t="str">
        <f t="shared" ca="1" si="63"/>
        <v/>
      </c>
      <c r="S110" s="93" t="str">
        <f t="shared" ca="1" si="64"/>
        <v/>
      </c>
      <c r="T110" s="70" t="str">
        <f ca="1">IF(OR($B110="",$AF110=""),"",IF(INDEX(MUSTERILER!$K$7:$K$156,$AF110)="","",INDEX(MUSTERILER!$K$7:$K$156,$AF110)))</f>
        <v/>
      </c>
      <c r="U110" s="93" t="str">
        <f t="shared" ca="1" si="65"/>
        <v/>
      </c>
      <c r="V110" s="68" t="str">
        <f t="shared" ca="1" si="66"/>
        <v/>
      </c>
      <c r="W110" s="65" t="str">
        <f t="shared" ca="1" si="67"/>
        <v/>
      </c>
      <c r="X110" s="2">
        <f ca="1">IF($B110="",0,SUMIFS(UCRETLER!$J$7:$J$606,UCRETLER!$B$7:$B$606,$B110))</f>
        <v>0</v>
      </c>
      <c r="Y110" s="2">
        <f ca="1">IF($B110="",0,SUMIFS(UCRETLER!$K$7:$K$606,UCRETLER!$B$7:$B$606,$B110))</f>
        <v>0</v>
      </c>
      <c r="Z110" s="1">
        <f ca="1">IF($B110="",0,SUMIFS(UCRETLER!$L$7:$L$606,UCRETLER!$B$7:$B$606,$B110))</f>
        <v>0</v>
      </c>
      <c r="AA110" s="1">
        <f t="shared" ca="1" si="68"/>
        <v>0</v>
      </c>
      <c r="AB110" s="1">
        <f t="shared" ca="1" si="69"/>
        <v>0</v>
      </c>
      <c r="AC110" s="1">
        <f t="shared" ca="1" si="70"/>
        <v>0</v>
      </c>
      <c r="AD110" s="1">
        <f t="shared" ca="1" si="71"/>
        <v>0</v>
      </c>
      <c r="AE110" s="1">
        <f t="shared" ca="1" si="72"/>
        <v>0</v>
      </c>
      <c r="AF110" s="1" t="str">
        <f ca="1">IFERROR(MATCH(ROW()-6,MUSTERILER!$U$7:$U$156,0),"")</f>
        <v/>
      </c>
      <c r="AG110" s="1">
        <f ca="1">IF($B110="",0,SUMIFS(GELIR_GIDER!$G$7:$G$3001,GELIR_GIDER!$T$7:$T$3001,$B110))</f>
        <v>0</v>
      </c>
    </row>
    <row r="111" spans="1:33" ht="18" customHeight="1" x14ac:dyDescent="0.3">
      <c r="A111" s="2"/>
      <c r="B111" s="65" t="str">
        <f ca="1">IF($AF111="","",INDEX(MUSTERILER!$B$7:$B$156,$AF111))</f>
        <v/>
      </c>
      <c r="C111" s="74" t="str">
        <f ca="1">IF($AF111="","",INDEX(MUSTERILER!$C$7:$C$156,$AF111))</f>
        <v/>
      </c>
      <c r="D111" s="68" t="str">
        <f ca="1">IF($B111="","",SUMIFS(UCRETLER!$G$7:$G$606,UCRETLER!$B$7:$B$606,$B111,UCRETLER!$F$7:$F$606,"Haftalık",UCRETLER!$H$7:$H$606,"Aktif"))</f>
        <v/>
      </c>
      <c r="E111" s="68" t="str">
        <f ca="1">IF($B111="","",SUMIFS(UCRETLER!$G$7:$G$606,UCRETLER!$B$7:$B$606,$B111,UCRETLER!$F$7:$F$606,"Aylık",UCRETLER!$H$7:$H$606,"Aktif"))</f>
        <v/>
      </c>
      <c r="F111" s="68" t="str">
        <f ca="1">IF($B111="","",SUMIFS(MUSTERILER!$J$7:$J$156,MUSTERILER!$B$7:$B$156,$B111))</f>
        <v/>
      </c>
      <c r="G111" s="68" t="str">
        <f ca="1">IF($B111="","",SUMIFS(UCRETLER!$I$7:$I$606,UCRETLER!$B$7:$B$606,$B111)+SUMIFS(GELIR_GIDER!$G$7:$G$3001,GELIR_GIDER!$T$7:$T$3001,$B111))</f>
        <v/>
      </c>
      <c r="H111" s="68" t="str">
        <f t="shared" ca="1" si="55"/>
        <v/>
      </c>
      <c r="I111" s="68" t="str">
        <f ca="1">IF($B111="","",SUMIFS(TAHSILAT!$F$7:$F$2503,TAHSILAT!$C$7:$C$2503,$B111))</f>
        <v/>
      </c>
      <c r="J111" s="68" t="str">
        <f t="shared" ca="1" si="56"/>
        <v/>
      </c>
      <c r="K111" s="68" t="str">
        <f t="shared" ca="1" si="57"/>
        <v/>
      </c>
      <c r="L111" s="68" t="str">
        <f t="shared" ca="1" si="58"/>
        <v/>
      </c>
      <c r="M111" s="68" t="str">
        <f t="shared" ca="1" si="59"/>
        <v/>
      </c>
      <c r="N111" s="68" t="str">
        <f t="shared" ca="1" si="60"/>
        <v/>
      </c>
      <c r="O111" s="92" t="str">
        <f t="shared" ca="1" si="61"/>
        <v/>
      </c>
      <c r="P111" s="70" t="str">
        <f ca="1">IF($B111="","",IFERROR(LOOKUP(2,1/(TAHSILAT!$C$7:$C$2503=$B111),TAHSILAT!$E$7:$E$2503),""))</f>
        <v/>
      </c>
      <c r="Q111" s="65" t="str">
        <f t="shared" ca="1" si="62"/>
        <v/>
      </c>
      <c r="R111" s="74" t="str">
        <f t="shared" ca="1" si="63"/>
        <v/>
      </c>
      <c r="S111" s="93" t="str">
        <f t="shared" ca="1" si="64"/>
        <v/>
      </c>
      <c r="T111" s="70" t="str">
        <f ca="1">IF(OR($B111="",$AF111=""),"",IF(INDEX(MUSTERILER!$K$7:$K$156,$AF111)="","",INDEX(MUSTERILER!$K$7:$K$156,$AF111)))</f>
        <v/>
      </c>
      <c r="U111" s="93" t="str">
        <f t="shared" ca="1" si="65"/>
        <v/>
      </c>
      <c r="V111" s="68" t="str">
        <f t="shared" ca="1" si="66"/>
        <v/>
      </c>
      <c r="W111" s="65" t="str">
        <f t="shared" ca="1" si="67"/>
        <v/>
      </c>
      <c r="X111" s="2">
        <f ca="1">IF($B111="",0,SUMIFS(UCRETLER!$J$7:$J$606,UCRETLER!$B$7:$B$606,$B111))</f>
        <v>0</v>
      </c>
      <c r="Y111" s="2">
        <f ca="1">IF($B111="",0,SUMIFS(UCRETLER!$K$7:$K$606,UCRETLER!$B$7:$B$606,$B111))</f>
        <v>0</v>
      </c>
      <c r="Z111" s="1">
        <f ca="1">IF($B111="",0,SUMIFS(UCRETLER!$L$7:$L$606,UCRETLER!$B$7:$B$606,$B111))</f>
        <v>0</v>
      </c>
      <c r="AA111" s="1">
        <f t="shared" ca="1" si="68"/>
        <v>0</v>
      </c>
      <c r="AB111" s="1">
        <f t="shared" ca="1" si="69"/>
        <v>0</v>
      </c>
      <c r="AC111" s="1">
        <f t="shared" ca="1" si="70"/>
        <v>0</v>
      </c>
      <c r="AD111" s="1">
        <f t="shared" ca="1" si="71"/>
        <v>0</v>
      </c>
      <c r="AE111" s="1">
        <f t="shared" ca="1" si="72"/>
        <v>0</v>
      </c>
      <c r="AF111" s="1" t="str">
        <f ca="1">IFERROR(MATCH(ROW()-6,MUSTERILER!$U$7:$U$156,0),"")</f>
        <v/>
      </c>
      <c r="AG111" s="1">
        <f ca="1">IF($B111="",0,SUMIFS(GELIR_GIDER!$G$7:$G$3001,GELIR_GIDER!$T$7:$T$3001,$B111))</f>
        <v>0</v>
      </c>
    </row>
    <row r="112" spans="1:33" ht="18" customHeight="1" x14ac:dyDescent="0.3">
      <c r="A112" s="2"/>
      <c r="B112" s="65" t="str">
        <f ca="1">IF($AF112="","",INDEX(MUSTERILER!$B$7:$B$156,$AF112))</f>
        <v/>
      </c>
      <c r="C112" s="74" t="str">
        <f ca="1">IF($AF112="","",INDEX(MUSTERILER!$C$7:$C$156,$AF112))</f>
        <v/>
      </c>
      <c r="D112" s="68" t="str">
        <f ca="1">IF($B112="","",SUMIFS(UCRETLER!$G$7:$G$606,UCRETLER!$B$7:$B$606,$B112,UCRETLER!$F$7:$F$606,"Haftalık",UCRETLER!$H$7:$H$606,"Aktif"))</f>
        <v/>
      </c>
      <c r="E112" s="68" t="str">
        <f ca="1">IF($B112="","",SUMIFS(UCRETLER!$G$7:$G$606,UCRETLER!$B$7:$B$606,$B112,UCRETLER!$F$7:$F$606,"Aylık",UCRETLER!$H$7:$H$606,"Aktif"))</f>
        <v/>
      </c>
      <c r="F112" s="68" t="str">
        <f ca="1">IF($B112="","",SUMIFS(MUSTERILER!$J$7:$J$156,MUSTERILER!$B$7:$B$156,$B112))</f>
        <v/>
      </c>
      <c r="G112" s="68" t="str">
        <f ca="1">IF($B112="","",SUMIFS(UCRETLER!$I$7:$I$606,UCRETLER!$B$7:$B$606,$B112)+SUMIFS(GELIR_GIDER!$G$7:$G$3001,GELIR_GIDER!$T$7:$T$3001,$B112))</f>
        <v/>
      </c>
      <c r="H112" s="68" t="str">
        <f t="shared" ca="1" si="55"/>
        <v/>
      </c>
      <c r="I112" s="68" t="str">
        <f ca="1">IF($B112="","",SUMIFS(TAHSILAT!$F$7:$F$2503,TAHSILAT!$C$7:$C$2503,$B112))</f>
        <v/>
      </c>
      <c r="J112" s="68" t="str">
        <f t="shared" ca="1" si="56"/>
        <v/>
      </c>
      <c r="K112" s="68" t="str">
        <f t="shared" ca="1" si="57"/>
        <v/>
      </c>
      <c r="L112" s="68" t="str">
        <f t="shared" ca="1" si="58"/>
        <v/>
      </c>
      <c r="M112" s="68" t="str">
        <f t="shared" ca="1" si="59"/>
        <v/>
      </c>
      <c r="N112" s="68" t="str">
        <f t="shared" ca="1" si="60"/>
        <v/>
      </c>
      <c r="O112" s="92" t="str">
        <f t="shared" ca="1" si="61"/>
        <v/>
      </c>
      <c r="P112" s="70" t="str">
        <f ca="1">IF($B112="","",IFERROR(LOOKUP(2,1/(TAHSILAT!$C$7:$C$2503=$B112),TAHSILAT!$E$7:$E$2503),""))</f>
        <v/>
      </c>
      <c r="Q112" s="65" t="str">
        <f t="shared" ca="1" si="62"/>
        <v/>
      </c>
      <c r="R112" s="74" t="str">
        <f t="shared" ca="1" si="63"/>
        <v/>
      </c>
      <c r="S112" s="93" t="str">
        <f t="shared" ca="1" si="64"/>
        <v/>
      </c>
      <c r="T112" s="70" t="str">
        <f ca="1">IF(OR($B112="",$AF112=""),"",IF(INDEX(MUSTERILER!$K$7:$K$156,$AF112)="","",INDEX(MUSTERILER!$K$7:$K$156,$AF112)))</f>
        <v/>
      </c>
      <c r="U112" s="93" t="str">
        <f t="shared" ca="1" si="65"/>
        <v/>
      </c>
      <c r="V112" s="68" t="str">
        <f t="shared" ca="1" si="66"/>
        <v/>
      </c>
      <c r="W112" s="65" t="str">
        <f t="shared" ca="1" si="67"/>
        <v/>
      </c>
      <c r="X112" s="2">
        <f ca="1">IF($B112="",0,SUMIFS(UCRETLER!$J$7:$J$606,UCRETLER!$B$7:$B$606,$B112))</f>
        <v>0</v>
      </c>
      <c r="Y112" s="2">
        <f ca="1">IF($B112="",0,SUMIFS(UCRETLER!$K$7:$K$606,UCRETLER!$B$7:$B$606,$B112))</f>
        <v>0</v>
      </c>
      <c r="Z112" s="1">
        <f ca="1">IF($B112="",0,SUMIFS(UCRETLER!$L$7:$L$606,UCRETLER!$B$7:$B$606,$B112))</f>
        <v>0</v>
      </c>
      <c r="AA112" s="1">
        <f t="shared" ca="1" si="68"/>
        <v>0</v>
      </c>
      <c r="AB112" s="1">
        <f t="shared" ca="1" si="69"/>
        <v>0</v>
      </c>
      <c r="AC112" s="1">
        <f t="shared" ca="1" si="70"/>
        <v>0</v>
      </c>
      <c r="AD112" s="1">
        <f t="shared" ca="1" si="71"/>
        <v>0</v>
      </c>
      <c r="AE112" s="1">
        <f t="shared" ca="1" si="72"/>
        <v>0</v>
      </c>
      <c r="AF112" s="1" t="str">
        <f ca="1">IFERROR(MATCH(ROW()-6,MUSTERILER!$U$7:$U$156,0),"")</f>
        <v/>
      </c>
      <c r="AG112" s="1">
        <f ca="1">IF($B112="",0,SUMIFS(GELIR_GIDER!$G$7:$G$3001,GELIR_GIDER!$T$7:$T$3001,$B112))</f>
        <v>0</v>
      </c>
    </row>
    <row r="113" spans="1:33" ht="18" customHeight="1" x14ac:dyDescent="0.3">
      <c r="A113" s="2"/>
      <c r="B113" s="65" t="str">
        <f ca="1">IF($AF113="","",INDEX(MUSTERILER!$B$7:$B$156,$AF113))</f>
        <v/>
      </c>
      <c r="C113" s="74" t="str">
        <f ca="1">IF($AF113="","",INDEX(MUSTERILER!$C$7:$C$156,$AF113))</f>
        <v/>
      </c>
      <c r="D113" s="68" t="str">
        <f ca="1">IF($B113="","",SUMIFS(UCRETLER!$G$7:$G$606,UCRETLER!$B$7:$B$606,$B113,UCRETLER!$F$7:$F$606,"Haftalık",UCRETLER!$H$7:$H$606,"Aktif"))</f>
        <v/>
      </c>
      <c r="E113" s="68" t="str">
        <f ca="1">IF($B113="","",SUMIFS(UCRETLER!$G$7:$G$606,UCRETLER!$B$7:$B$606,$B113,UCRETLER!$F$7:$F$606,"Aylık",UCRETLER!$H$7:$H$606,"Aktif"))</f>
        <v/>
      </c>
      <c r="F113" s="68" t="str">
        <f ca="1">IF($B113="","",SUMIFS(MUSTERILER!$J$7:$J$156,MUSTERILER!$B$7:$B$156,$B113))</f>
        <v/>
      </c>
      <c r="G113" s="68" t="str">
        <f ca="1">IF($B113="","",SUMIFS(UCRETLER!$I$7:$I$606,UCRETLER!$B$7:$B$606,$B113)+SUMIFS(GELIR_GIDER!$G$7:$G$3001,GELIR_GIDER!$T$7:$T$3001,$B113))</f>
        <v/>
      </c>
      <c r="H113" s="68" t="str">
        <f t="shared" ca="1" si="55"/>
        <v/>
      </c>
      <c r="I113" s="68" t="str">
        <f ca="1">IF($B113="","",SUMIFS(TAHSILAT!$F$7:$F$2503,TAHSILAT!$C$7:$C$2503,$B113))</f>
        <v/>
      </c>
      <c r="J113" s="68" t="str">
        <f t="shared" ca="1" si="56"/>
        <v/>
      </c>
      <c r="K113" s="68" t="str">
        <f t="shared" ca="1" si="57"/>
        <v/>
      </c>
      <c r="L113" s="68" t="str">
        <f t="shared" ca="1" si="58"/>
        <v/>
      </c>
      <c r="M113" s="68" t="str">
        <f t="shared" ca="1" si="59"/>
        <v/>
      </c>
      <c r="N113" s="68" t="str">
        <f t="shared" ca="1" si="60"/>
        <v/>
      </c>
      <c r="O113" s="92" t="str">
        <f t="shared" ca="1" si="61"/>
        <v/>
      </c>
      <c r="P113" s="70" t="str">
        <f ca="1">IF($B113="","",IFERROR(LOOKUP(2,1/(TAHSILAT!$C$7:$C$2503=$B113),TAHSILAT!$E$7:$E$2503),""))</f>
        <v/>
      </c>
      <c r="Q113" s="65" t="str">
        <f t="shared" ca="1" si="62"/>
        <v/>
      </c>
      <c r="R113" s="74" t="str">
        <f t="shared" ca="1" si="63"/>
        <v/>
      </c>
      <c r="S113" s="93" t="str">
        <f t="shared" ca="1" si="64"/>
        <v/>
      </c>
      <c r="T113" s="70" t="str">
        <f ca="1">IF(OR($B113="",$AF113=""),"",IF(INDEX(MUSTERILER!$K$7:$K$156,$AF113)="","",INDEX(MUSTERILER!$K$7:$K$156,$AF113)))</f>
        <v/>
      </c>
      <c r="U113" s="93" t="str">
        <f t="shared" ca="1" si="65"/>
        <v/>
      </c>
      <c r="V113" s="68" t="str">
        <f t="shared" ca="1" si="66"/>
        <v/>
      </c>
      <c r="W113" s="65" t="str">
        <f t="shared" ca="1" si="67"/>
        <v/>
      </c>
      <c r="X113" s="2">
        <f ca="1">IF($B113="",0,SUMIFS(UCRETLER!$J$7:$J$606,UCRETLER!$B$7:$B$606,$B113))</f>
        <v>0</v>
      </c>
      <c r="Y113" s="2">
        <f ca="1">IF($B113="",0,SUMIFS(UCRETLER!$K$7:$K$606,UCRETLER!$B$7:$B$606,$B113))</f>
        <v>0</v>
      </c>
      <c r="Z113" s="1">
        <f ca="1">IF($B113="",0,SUMIFS(UCRETLER!$L$7:$L$606,UCRETLER!$B$7:$B$606,$B113))</f>
        <v>0</v>
      </c>
      <c r="AA113" s="1">
        <f t="shared" ca="1" si="68"/>
        <v>0</v>
      </c>
      <c r="AB113" s="1">
        <f t="shared" ca="1" si="69"/>
        <v>0</v>
      </c>
      <c r="AC113" s="1">
        <f t="shared" ca="1" si="70"/>
        <v>0</v>
      </c>
      <c r="AD113" s="1">
        <f t="shared" ca="1" si="71"/>
        <v>0</v>
      </c>
      <c r="AE113" s="1">
        <f t="shared" ca="1" si="72"/>
        <v>0</v>
      </c>
      <c r="AF113" s="1" t="str">
        <f ca="1">IFERROR(MATCH(ROW()-6,MUSTERILER!$U$7:$U$156,0),"")</f>
        <v/>
      </c>
      <c r="AG113" s="1">
        <f ca="1">IF($B113="",0,SUMIFS(GELIR_GIDER!$G$7:$G$3001,GELIR_GIDER!$T$7:$T$3001,$B113))</f>
        <v>0</v>
      </c>
    </row>
    <row r="114" spans="1:33" ht="18" customHeight="1" x14ac:dyDescent="0.3">
      <c r="A114" s="2"/>
      <c r="B114" s="65" t="str">
        <f ca="1">IF($AF114="","",INDEX(MUSTERILER!$B$7:$B$156,$AF114))</f>
        <v/>
      </c>
      <c r="C114" s="74" t="str">
        <f ca="1">IF($AF114="","",INDEX(MUSTERILER!$C$7:$C$156,$AF114))</f>
        <v/>
      </c>
      <c r="D114" s="68" t="str">
        <f ca="1">IF($B114="","",SUMIFS(UCRETLER!$G$7:$G$606,UCRETLER!$B$7:$B$606,$B114,UCRETLER!$F$7:$F$606,"Haftalık",UCRETLER!$H$7:$H$606,"Aktif"))</f>
        <v/>
      </c>
      <c r="E114" s="68" t="str">
        <f ca="1">IF($B114="","",SUMIFS(UCRETLER!$G$7:$G$606,UCRETLER!$B$7:$B$606,$B114,UCRETLER!$F$7:$F$606,"Aylık",UCRETLER!$H$7:$H$606,"Aktif"))</f>
        <v/>
      </c>
      <c r="F114" s="68" t="str">
        <f ca="1">IF($B114="","",SUMIFS(MUSTERILER!$J$7:$J$156,MUSTERILER!$B$7:$B$156,$B114))</f>
        <v/>
      </c>
      <c r="G114" s="68" t="str">
        <f ca="1">IF($B114="","",SUMIFS(UCRETLER!$I$7:$I$606,UCRETLER!$B$7:$B$606,$B114)+SUMIFS(GELIR_GIDER!$G$7:$G$3001,GELIR_GIDER!$T$7:$T$3001,$B114))</f>
        <v/>
      </c>
      <c r="H114" s="68" t="str">
        <f t="shared" ca="1" si="55"/>
        <v/>
      </c>
      <c r="I114" s="68" t="str">
        <f ca="1">IF($B114="","",SUMIFS(TAHSILAT!$F$7:$F$2503,TAHSILAT!$C$7:$C$2503,$B114))</f>
        <v/>
      </c>
      <c r="J114" s="68" t="str">
        <f t="shared" ca="1" si="56"/>
        <v/>
      </c>
      <c r="K114" s="68" t="str">
        <f t="shared" ca="1" si="57"/>
        <v/>
      </c>
      <c r="L114" s="68" t="str">
        <f t="shared" ca="1" si="58"/>
        <v/>
      </c>
      <c r="M114" s="68" t="str">
        <f t="shared" ca="1" si="59"/>
        <v/>
      </c>
      <c r="N114" s="68" t="str">
        <f t="shared" ca="1" si="60"/>
        <v/>
      </c>
      <c r="O114" s="92" t="str">
        <f t="shared" ca="1" si="61"/>
        <v/>
      </c>
      <c r="P114" s="70" t="str">
        <f ca="1">IF($B114="","",IFERROR(LOOKUP(2,1/(TAHSILAT!$C$7:$C$2503=$B114),TAHSILAT!$E$7:$E$2503),""))</f>
        <v/>
      </c>
      <c r="Q114" s="65" t="str">
        <f t="shared" ca="1" si="62"/>
        <v/>
      </c>
      <c r="R114" s="74" t="str">
        <f t="shared" ca="1" si="63"/>
        <v/>
      </c>
      <c r="S114" s="93" t="str">
        <f t="shared" ca="1" si="64"/>
        <v/>
      </c>
      <c r="T114" s="70" t="str">
        <f ca="1">IF(OR($B114="",$AF114=""),"",IF(INDEX(MUSTERILER!$K$7:$K$156,$AF114)="","",INDEX(MUSTERILER!$K$7:$K$156,$AF114)))</f>
        <v/>
      </c>
      <c r="U114" s="93" t="str">
        <f t="shared" ca="1" si="65"/>
        <v/>
      </c>
      <c r="V114" s="68" t="str">
        <f t="shared" ca="1" si="66"/>
        <v/>
      </c>
      <c r="W114" s="65" t="str">
        <f t="shared" ca="1" si="67"/>
        <v/>
      </c>
      <c r="X114" s="2">
        <f ca="1">IF($B114="",0,SUMIFS(UCRETLER!$J$7:$J$606,UCRETLER!$B$7:$B$606,$B114))</f>
        <v>0</v>
      </c>
      <c r="Y114" s="2">
        <f ca="1">IF($B114="",0,SUMIFS(UCRETLER!$K$7:$K$606,UCRETLER!$B$7:$B$606,$B114))</f>
        <v>0</v>
      </c>
      <c r="Z114" s="1">
        <f ca="1">IF($B114="",0,SUMIFS(UCRETLER!$L$7:$L$606,UCRETLER!$B$7:$B$606,$B114))</f>
        <v>0</v>
      </c>
      <c r="AA114" s="1">
        <f t="shared" ca="1" si="68"/>
        <v>0</v>
      </c>
      <c r="AB114" s="1">
        <f t="shared" ca="1" si="69"/>
        <v>0</v>
      </c>
      <c r="AC114" s="1">
        <f t="shared" ca="1" si="70"/>
        <v>0</v>
      </c>
      <c r="AD114" s="1">
        <f t="shared" ca="1" si="71"/>
        <v>0</v>
      </c>
      <c r="AE114" s="1">
        <f t="shared" ca="1" si="72"/>
        <v>0</v>
      </c>
      <c r="AF114" s="1" t="str">
        <f ca="1">IFERROR(MATCH(ROW()-6,MUSTERILER!$U$7:$U$156,0),"")</f>
        <v/>
      </c>
      <c r="AG114" s="1">
        <f ca="1">IF($B114="",0,SUMIFS(GELIR_GIDER!$G$7:$G$3001,GELIR_GIDER!$T$7:$T$3001,$B114))</f>
        <v>0</v>
      </c>
    </row>
    <row r="115" spans="1:33" ht="18" customHeight="1" x14ac:dyDescent="0.3">
      <c r="A115" s="2"/>
      <c r="B115" s="65" t="str">
        <f ca="1">IF($AF115="","",INDEX(MUSTERILER!$B$7:$B$156,$AF115))</f>
        <v/>
      </c>
      <c r="C115" s="74" t="str">
        <f ca="1">IF($AF115="","",INDEX(MUSTERILER!$C$7:$C$156,$AF115))</f>
        <v/>
      </c>
      <c r="D115" s="68" t="str">
        <f ca="1">IF($B115="","",SUMIFS(UCRETLER!$G$7:$G$606,UCRETLER!$B$7:$B$606,$B115,UCRETLER!$F$7:$F$606,"Haftalık",UCRETLER!$H$7:$H$606,"Aktif"))</f>
        <v/>
      </c>
      <c r="E115" s="68" t="str">
        <f ca="1">IF($B115="","",SUMIFS(UCRETLER!$G$7:$G$606,UCRETLER!$B$7:$B$606,$B115,UCRETLER!$F$7:$F$606,"Aylık",UCRETLER!$H$7:$H$606,"Aktif"))</f>
        <v/>
      </c>
      <c r="F115" s="68" t="str">
        <f ca="1">IF($B115="","",SUMIFS(MUSTERILER!$J$7:$J$156,MUSTERILER!$B$7:$B$156,$B115))</f>
        <v/>
      </c>
      <c r="G115" s="68" t="str">
        <f ca="1">IF($B115="","",SUMIFS(UCRETLER!$I$7:$I$606,UCRETLER!$B$7:$B$606,$B115)+SUMIFS(GELIR_GIDER!$G$7:$G$3001,GELIR_GIDER!$T$7:$T$3001,$B115))</f>
        <v/>
      </c>
      <c r="H115" s="68" t="str">
        <f t="shared" ca="1" si="55"/>
        <v/>
      </c>
      <c r="I115" s="68" t="str">
        <f ca="1">IF($B115="","",SUMIFS(TAHSILAT!$F$7:$F$2503,TAHSILAT!$C$7:$C$2503,$B115))</f>
        <v/>
      </c>
      <c r="J115" s="68" t="str">
        <f t="shared" ca="1" si="56"/>
        <v/>
      </c>
      <c r="K115" s="68" t="str">
        <f t="shared" ca="1" si="57"/>
        <v/>
      </c>
      <c r="L115" s="68" t="str">
        <f t="shared" ca="1" si="58"/>
        <v/>
      </c>
      <c r="M115" s="68" t="str">
        <f t="shared" ca="1" si="59"/>
        <v/>
      </c>
      <c r="N115" s="68" t="str">
        <f t="shared" ca="1" si="60"/>
        <v/>
      </c>
      <c r="O115" s="92" t="str">
        <f t="shared" ca="1" si="61"/>
        <v/>
      </c>
      <c r="P115" s="70" t="str">
        <f ca="1">IF($B115="","",IFERROR(LOOKUP(2,1/(TAHSILAT!$C$7:$C$2503=$B115),TAHSILAT!$E$7:$E$2503),""))</f>
        <v/>
      </c>
      <c r="Q115" s="65" t="str">
        <f t="shared" ca="1" si="62"/>
        <v/>
      </c>
      <c r="R115" s="74" t="str">
        <f t="shared" ca="1" si="63"/>
        <v/>
      </c>
      <c r="S115" s="93" t="str">
        <f t="shared" ca="1" si="64"/>
        <v/>
      </c>
      <c r="T115" s="70" t="str">
        <f ca="1">IF(OR($B115="",$AF115=""),"",IF(INDEX(MUSTERILER!$K$7:$K$156,$AF115)="","",INDEX(MUSTERILER!$K$7:$K$156,$AF115)))</f>
        <v/>
      </c>
      <c r="U115" s="93" t="str">
        <f t="shared" ca="1" si="65"/>
        <v/>
      </c>
      <c r="V115" s="68" t="str">
        <f t="shared" ca="1" si="66"/>
        <v/>
      </c>
      <c r="W115" s="65" t="str">
        <f t="shared" ca="1" si="67"/>
        <v/>
      </c>
      <c r="X115" s="2">
        <f ca="1">IF($B115="",0,SUMIFS(UCRETLER!$J$7:$J$606,UCRETLER!$B$7:$B$606,$B115))</f>
        <v>0</v>
      </c>
      <c r="Y115" s="2">
        <f ca="1">IF($B115="",0,SUMIFS(UCRETLER!$K$7:$K$606,UCRETLER!$B$7:$B$606,$B115))</f>
        <v>0</v>
      </c>
      <c r="Z115" s="1">
        <f ca="1">IF($B115="",0,SUMIFS(UCRETLER!$L$7:$L$606,UCRETLER!$B$7:$B$606,$B115))</f>
        <v>0</v>
      </c>
      <c r="AA115" s="1">
        <f t="shared" ca="1" si="68"/>
        <v>0</v>
      </c>
      <c r="AB115" s="1">
        <f t="shared" ca="1" si="69"/>
        <v>0</v>
      </c>
      <c r="AC115" s="1">
        <f t="shared" ca="1" si="70"/>
        <v>0</v>
      </c>
      <c r="AD115" s="1">
        <f t="shared" ca="1" si="71"/>
        <v>0</v>
      </c>
      <c r="AE115" s="1">
        <f t="shared" ca="1" si="72"/>
        <v>0</v>
      </c>
      <c r="AF115" s="1" t="str">
        <f ca="1">IFERROR(MATCH(ROW()-6,MUSTERILER!$U$7:$U$156,0),"")</f>
        <v/>
      </c>
      <c r="AG115" s="1">
        <f ca="1">IF($B115="",0,SUMIFS(GELIR_GIDER!$G$7:$G$3001,GELIR_GIDER!$T$7:$T$3001,$B115))</f>
        <v>0</v>
      </c>
    </row>
    <row r="116" spans="1:33" ht="18" customHeight="1" x14ac:dyDescent="0.3">
      <c r="A116" s="2"/>
      <c r="B116" s="65" t="str">
        <f ca="1">IF($AF116="","",INDEX(MUSTERILER!$B$7:$B$156,$AF116))</f>
        <v/>
      </c>
      <c r="C116" s="74" t="str">
        <f ca="1">IF($AF116="","",INDEX(MUSTERILER!$C$7:$C$156,$AF116))</f>
        <v/>
      </c>
      <c r="D116" s="68" t="str">
        <f ca="1">IF($B116="","",SUMIFS(UCRETLER!$G$7:$G$606,UCRETLER!$B$7:$B$606,$B116,UCRETLER!$F$7:$F$606,"Haftalık",UCRETLER!$H$7:$H$606,"Aktif"))</f>
        <v/>
      </c>
      <c r="E116" s="68" t="str">
        <f ca="1">IF($B116="","",SUMIFS(UCRETLER!$G$7:$G$606,UCRETLER!$B$7:$B$606,$B116,UCRETLER!$F$7:$F$606,"Aylık",UCRETLER!$H$7:$H$606,"Aktif"))</f>
        <v/>
      </c>
      <c r="F116" s="68" t="str">
        <f ca="1">IF($B116="","",SUMIFS(MUSTERILER!$J$7:$J$156,MUSTERILER!$B$7:$B$156,$B116))</f>
        <v/>
      </c>
      <c r="G116" s="68" t="str">
        <f ca="1">IF($B116="","",SUMIFS(UCRETLER!$I$7:$I$606,UCRETLER!$B$7:$B$606,$B116)+SUMIFS(GELIR_GIDER!$G$7:$G$3001,GELIR_GIDER!$T$7:$T$3001,$B116))</f>
        <v/>
      </c>
      <c r="H116" s="68" t="str">
        <f t="shared" ca="1" si="55"/>
        <v/>
      </c>
      <c r="I116" s="68" t="str">
        <f ca="1">IF($B116="","",SUMIFS(TAHSILAT!$F$7:$F$2503,TAHSILAT!$C$7:$C$2503,$B116))</f>
        <v/>
      </c>
      <c r="J116" s="68" t="str">
        <f t="shared" ca="1" si="56"/>
        <v/>
      </c>
      <c r="K116" s="68" t="str">
        <f t="shared" ca="1" si="57"/>
        <v/>
      </c>
      <c r="L116" s="68" t="str">
        <f t="shared" ca="1" si="58"/>
        <v/>
      </c>
      <c r="M116" s="68" t="str">
        <f t="shared" ca="1" si="59"/>
        <v/>
      </c>
      <c r="N116" s="68" t="str">
        <f t="shared" ca="1" si="60"/>
        <v/>
      </c>
      <c r="O116" s="92" t="str">
        <f t="shared" ca="1" si="61"/>
        <v/>
      </c>
      <c r="P116" s="70" t="str">
        <f ca="1">IF($B116="","",IFERROR(LOOKUP(2,1/(TAHSILAT!$C$7:$C$2503=$B116),TAHSILAT!$E$7:$E$2503),""))</f>
        <v/>
      </c>
      <c r="Q116" s="65" t="str">
        <f t="shared" ca="1" si="62"/>
        <v/>
      </c>
      <c r="R116" s="74" t="str">
        <f t="shared" ca="1" si="63"/>
        <v/>
      </c>
      <c r="S116" s="93" t="str">
        <f t="shared" ca="1" si="64"/>
        <v/>
      </c>
      <c r="T116" s="70" t="str">
        <f ca="1">IF(OR($B116="",$AF116=""),"",IF(INDEX(MUSTERILER!$K$7:$K$156,$AF116)="","",INDEX(MUSTERILER!$K$7:$K$156,$AF116)))</f>
        <v/>
      </c>
      <c r="U116" s="93" t="str">
        <f t="shared" ca="1" si="65"/>
        <v/>
      </c>
      <c r="V116" s="68" t="str">
        <f t="shared" ca="1" si="66"/>
        <v/>
      </c>
      <c r="W116" s="65" t="str">
        <f t="shared" ca="1" si="67"/>
        <v/>
      </c>
      <c r="X116" s="2">
        <f ca="1">IF($B116="",0,SUMIFS(UCRETLER!$J$7:$J$606,UCRETLER!$B$7:$B$606,$B116))</f>
        <v>0</v>
      </c>
      <c r="Y116" s="2">
        <f ca="1">IF($B116="",0,SUMIFS(UCRETLER!$K$7:$K$606,UCRETLER!$B$7:$B$606,$B116))</f>
        <v>0</v>
      </c>
      <c r="Z116" s="1">
        <f ca="1">IF($B116="",0,SUMIFS(UCRETLER!$L$7:$L$606,UCRETLER!$B$7:$B$606,$B116))</f>
        <v>0</v>
      </c>
      <c r="AA116" s="1">
        <f t="shared" ca="1" si="68"/>
        <v>0</v>
      </c>
      <c r="AB116" s="1">
        <f t="shared" ca="1" si="69"/>
        <v>0</v>
      </c>
      <c r="AC116" s="1">
        <f t="shared" ca="1" si="70"/>
        <v>0</v>
      </c>
      <c r="AD116" s="1">
        <f t="shared" ca="1" si="71"/>
        <v>0</v>
      </c>
      <c r="AE116" s="1">
        <f t="shared" ca="1" si="72"/>
        <v>0</v>
      </c>
      <c r="AF116" s="1" t="str">
        <f ca="1">IFERROR(MATCH(ROW()-6,MUSTERILER!$U$7:$U$156,0),"")</f>
        <v/>
      </c>
      <c r="AG116" s="1">
        <f ca="1">IF($B116="",0,SUMIFS(GELIR_GIDER!$G$7:$G$3001,GELIR_GIDER!$T$7:$T$3001,$B116))</f>
        <v>0</v>
      </c>
    </row>
    <row r="117" spans="1:33" ht="18" customHeight="1" x14ac:dyDescent="0.3">
      <c r="A117" s="2"/>
      <c r="B117" s="65" t="str">
        <f ca="1">IF($AF117="","",INDEX(MUSTERILER!$B$7:$B$156,$AF117))</f>
        <v/>
      </c>
      <c r="C117" s="74" t="str">
        <f ca="1">IF($AF117="","",INDEX(MUSTERILER!$C$7:$C$156,$AF117))</f>
        <v/>
      </c>
      <c r="D117" s="68" t="str">
        <f ca="1">IF($B117="","",SUMIFS(UCRETLER!$G$7:$G$606,UCRETLER!$B$7:$B$606,$B117,UCRETLER!$F$7:$F$606,"Haftalık",UCRETLER!$H$7:$H$606,"Aktif"))</f>
        <v/>
      </c>
      <c r="E117" s="68" t="str">
        <f ca="1">IF($B117="","",SUMIFS(UCRETLER!$G$7:$G$606,UCRETLER!$B$7:$B$606,$B117,UCRETLER!$F$7:$F$606,"Aylık",UCRETLER!$H$7:$H$606,"Aktif"))</f>
        <v/>
      </c>
      <c r="F117" s="68" t="str">
        <f ca="1">IF($B117="","",SUMIFS(MUSTERILER!$J$7:$J$156,MUSTERILER!$B$7:$B$156,$B117))</f>
        <v/>
      </c>
      <c r="G117" s="68" t="str">
        <f ca="1">IF($B117="","",SUMIFS(UCRETLER!$I$7:$I$606,UCRETLER!$B$7:$B$606,$B117)+SUMIFS(GELIR_GIDER!$G$7:$G$3001,GELIR_GIDER!$T$7:$T$3001,$B117))</f>
        <v/>
      </c>
      <c r="H117" s="68" t="str">
        <f t="shared" ca="1" si="55"/>
        <v/>
      </c>
      <c r="I117" s="68" t="str">
        <f ca="1">IF($B117="","",SUMIFS(TAHSILAT!$F$7:$F$2503,TAHSILAT!$C$7:$C$2503,$B117))</f>
        <v/>
      </c>
      <c r="J117" s="68" t="str">
        <f t="shared" ca="1" si="56"/>
        <v/>
      </c>
      <c r="K117" s="68" t="str">
        <f t="shared" ca="1" si="57"/>
        <v/>
      </c>
      <c r="L117" s="68" t="str">
        <f t="shared" ca="1" si="58"/>
        <v/>
      </c>
      <c r="M117" s="68" t="str">
        <f t="shared" ca="1" si="59"/>
        <v/>
      </c>
      <c r="N117" s="68" t="str">
        <f t="shared" ca="1" si="60"/>
        <v/>
      </c>
      <c r="O117" s="92" t="str">
        <f t="shared" ca="1" si="61"/>
        <v/>
      </c>
      <c r="P117" s="70" t="str">
        <f ca="1">IF($B117="","",IFERROR(LOOKUP(2,1/(TAHSILAT!$C$7:$C$2503=$B117),TAHSILAT!$E$7:$E$2503),""))</f>
        <v/>
      </c>
      <c r="Q117" s="65" t="str">
        <f t="shared" ca="1" si="62"/>
        <v/>
      </c>
      <c r="R117" s="74" t="str">
        <f t="shared" ca="1" si="63"/>
        <v/>
      </c>
      <c r="S117" s="93" t="str">
        <f t="shared" ca="1" si="64"/>
        <v/>
      </c>
      <c r="T117" s="70" t="str">
        <f ca="1">IF(OR($B117="",$AF117=""),"",IF(INDEX(MUSTERILER!$K$7:$K$156,$AF117)="","",INDEX(MUSTERILER!$K$7:$K$156,$AF117)))</f>
        <v/>
      </c>
      <c r="U117" s="93" t="str">
        <f t="shared" ca="1" si="65"/>
        <v/>
      </c>
      <c r="V117" s="68" t="str">
        <f t="shared" ca="1" si="66"/>
        <v/>
      </c>
      <c r="W117" s="65" t="str">
        <f t="shared" ca="1" si="67"/>
        <v/>
      </c>
      <c r="X117" s="2">
        <f ca="1">IF($B117="",0,SUMIFS(UCRETLER!$J$7:$J$606,UCRETLER!$B$7:$B$606,$B117))</f>
        <v>0</v>
      </c>
      <c r="Y117" s="2">
        <f ca="1">IF($B117="",0,SUMIFS(UCRETLER!$K$7:$K$606,UCRETLER!$B$7:$B$606,$B117))</f>
        <v>0</v>
      </c>
      <c r="Z117" s="1">
        <f ca="1">IF($B117="",0,SUMIFS(UCRETLER!$L$7:$L$606,UCRETLER!$B$7:$B$606,$B117))</f>
        <v>0</v>
      </c>
      <c r="AA117" s="1">
        <f t="shared" ca="1" si="68"/>
        <v>0</v>
      </c>
      <c r="AB117" s="1">
        <f t="shared" ca="1" si="69"/>
        <v>0</v>
      </c>
      <c r="AC117" s="1">
        <f t="shared" ca="1" si="70"/>
        <v>0</v>
      </c>
      <c r="AD117" s="1">
        <f t="shared" ca="1" si="71"/>
        <v>0</v>
      </c>
      <c r="AE117" s="1">
        <f t="shared" ca="1" si="72"/>
        <v>0</v>
      </c>
      <c r="AF117" s="1" t="str">
        <f ca="1">IFERROR(MATCH(ROW()-6,MUSTERILER!$U$7:$U$156,0),"")</f>
        <v/>
      </c>
      <c r="AG117" s="1">
        <f ca="1">IF($B117="",0,SUMIFS(GELIR_GIDER!$G$7:$G$3001,GELIR_GIDER!$T$7:$T$3001,$B117))</f>
        <v>0</v>
      </c>
    </row>
    <row r="118" spans="1:33" ht="18" customHeight="1" x14ac:dyDescent="0.3">
      <c r="A118" s="2"/>
      <c r="B118" s="65" t="str">
        <f ca="1">IF($AF118="","",INDEX(MUSTERILER!$B$7:$B$156,$AF118))</f>
        <v/>
      </c>
      <c r="C118" s="74" t="str">
        <f ca="1">IF($AF118="","",INDEX(MUSTERILER!$C$7:$C$156,$AF118))</f>
        <v/>
      </c>
      <c r="D118" s="68" t="str">
        <f ca="1">IF($B118="","",SUMIFS(UCRETLER!$G$7:$G$606,UCRETLER!$B$7:$B$606,$B118,UCRETLER!$F$7:$F$606,"Haftalık",UCRETLER!$H$7:$H$606,"Aktif"))</f>
        <v/>
      </c>
      <c r="E118" s="68" t="str">
        <f ca="1">IF($B118="","",SUMIFS(UCRETLER!$G$7:$G$606,UCRETLER!$B$7:$B$606,$B118,UCRETLER!$F$7:$F$606,"Aylık",UCRETLER!$H$7:$H$606,"Aktif"))</f>
        <v/>
      </c>
      <c r="F118" s="68" t="str">
        <f ca="1">IF($B118="","",SUMIFS(MUSTERILER!$J$7:$J$156,MUSTERILER!$B$7:$B$156,$B118))</f>
        <v/>
      </c>
      <c r="G118" s="68" t="str">
        <f ca="1">IF($B118="","",SUMIFS(UCRETLER!$I$7:$I$606,UCRETLER!$B$7:$B$606,$B118)+SUMIFS(GELIR_GIDER!$G$7:$G$3001,GELIR_GIDER!$T$7:$T$3001,$B118))</f>
        <v/>
      </c>
      <c r="H118" s="68" t="str">
        <f t="shared" ca="1" si="55"/>
        <v/>
      </c>
      <c r="I118" s="68" t="str">
        <f ca="1">IF($B118="","",SUMIFS(TAHSILAT!$F$7:$F$2503,TAHSILAT!$C$7:$C$2503,$B118))</f>
        <v/>
      </c>
      <c r="J118" s="68" t="str">
        <f t="shared" ca="1" si="56"/>
        <v/>
      </c>
      <c r="K118" s="68" t="str">
        <f t="shared" ca="1" si="57"/>
        <v/>
      </c>
      <c r="L118" s="68" t="str">
        <f t="shared" ca="1" si="58"/>
        <v/>
      </c>
      <c r="M118" s="68" t="str">
        <f t="shared" ca="1" si="59"/>
        <v/>
      </c>
      <c r="N118" s="68" t="str">
        <f t="shared" ca="1" si="60"/>
        <v/>
      </c>
      <c r="O118" s="92" t="str">
        <f t="shared" ca="1" si="61"/>
        <v/>
      </c>
      <c r="P118" s="70" t="str">
        <f ca="1">IF($B118="","",IFERROR(LOOKUP(2,1/(TAHSILAT!$C$7:$C$2503=$B118),TAHSILAT!$E$7:$E$2503),""))</f>
        <v/>
      </c>
      <c r="Q118" s="65" t="str">
        <f t="shared" ca="1" si="62"/>
        <v/>
      </c>
      <c r="R118" s="74" t="str">
        <f t="shared" ca="1" si="63"/>
        <v/>
      </c>
      <c r="S118" s="93" t="str">
        <f t="shared" ca="1" si="64"/>
        <v/>
      </c>
      <c r="T118" s="70" t="str">
        <f ca="1">IF(OR($B118="",$AF118=""),"",IF(INDEX(MUSTERILER!$K$7:$K$156,$AF118)="","",INDEX(MUSTERILER!$K$7:$K$156,$AF118)))</f>
        <v/>
      </c>
      <c r="U118" s="93" t="str">
        <f t="shared" ca="1" si="65"/>
        <v/>
      </c>
      <c r="V118" s="68" t="str">
        <f t="shared" ca="1" si="66"/>
        <v/>
      </c>
      <c r="W118" s="65" t="str">
        <f t="shared" ca="1" si="67"/>
        <v/>
      </c>
      <c r="X118" s="2">
        <f ca="1">IF($B118="",0,SUMIFS(UCRETLER!$J$7:$J$606,UCRETLER!$B$7:$B$606,$B118))</f>
        <v>0</v>
      </c>
      <c r="Y118" s="2">
        <f ca="1">IF($B118="",0,SUMIFS(UCRETLER!$K$7:$K$606,UCRETLER!$B$7:$B$606,$B118))</f>
        <v>0</v>
      </c>
      <c r="Z118" s="1">
        <f ca="1">IF($B118="",0,SUMIFS(UCRETLER!$L$7:$L$606,UCRETLER!$B$7:$B$606,$B118))</f>
        <v>0</v>
      </c>
      <c r="AA118" s="1">
        <f t="shared" ca="1" si="68"/>
        <v>0</v>
      </c>
      <c r="AB118" s="1">
        <f t="shared" ca="1" si="69"/>
        <v>0</v>
      </c>
      <c r="AC118" s="1">
        <f t="shared" ca="1" si="70"/>
        <v>0</v>
      </c>
      <c r="AD118" s="1">
        <f t="shared" ca="1" si="71"/>
        <v>0</v>
      </c>
      <c r="AE118" s="1">
        <f t="shared" ca="1" si="72"/>
        <v>0</v>
      </c>
      <c r="AF118" s="1" t="str">
        <f ca="1">IFERROR(MATCH(ROW()-6,MUSTERILER!$U$7:$U$156,0),"")</f>
        <v/>
      </c>
      <c r="AG118" s="1">
        <f ca="1">IF($B118="",0,SUMIFS(GELIR_GIDER!$G$7:$G$3001,GELIR_GIDER!$T$7:$T$3001,$B118))</f>
        <v>0</v>
      </c>
    </row>
    <row r="119" spans="1:33" ht="18" customHeight="1" x14ac:dyDescent="0.3">
      <c r="A119" s="2"/>
      <c r="B119" s="65" t="str">
        <f ca="1">IF($AF119="","",INDEX(MUSTERILER!$B$7:$B$156,$AF119))</f>
        <v/>
      </c>
      <c r="C119" s="74" t="str">
        <f ca="1">IF($AF119="","",INDEX(MUSTERILER!$C$7:$C$156,$AF119))</f>
        <v/>
      </c>
      <c r="D119" s="68" t="str">
        <f ca="1">IF($B119="","",SUMIFS(UCRETLER!$G$7:$G$606,UCRETLER!$B$7:$B$606,$B119,UCRETLER!$F$7:$F$606,"Haftalık",UCRETLER!$H$7:$H$606,"Aktif"))</f>
        <v/>
      </c>
      <c r="E119" s="68" t="str">
        <f ca="1">IF($B119="","",SUMIFS(UCRETLER!$G$7:$G$606,UCRETLER!$B$7:$B$606,$B119,UCRETLER!$F$7:$F$606,"Aylık",UCRETLER!$H$7:$H$606,"Aktif"))</f>
        <v/>
      </c>
      <c r="F119" s="68" t="str">
        <f ca="1">IF($B119="","",SUMIFS(MUSTERILER!$J$7:$J$156,MUSTERILER!$B$7:$B$156,$B119))</f>
        <v/>
      </c>
      <c r="G119" s="68" t="str">
        <f ca="1">IF($B119="","",SUMIFS(UCRETLER!$I$7:$I$606,UCRETLER!$B$7:$B$606,$B119)+SUMIFS(GELIR_GIDER!$G$7:$G$3001,GELIR_GIDER!$T$7:$T$3001,$B119))</f>
        <v/>
      </c>
      <c r="H119" s="68" t="str">
        <f t="shared" ca="1" si="55"/>
        <v/>
      </c>
      <c r="I119" s="68" t="str">
        <f ca="1">IF($B119="","",SUMIFS(TAHSILAT!$F$7:$F$2503,TAHSILAT!$C$7:$C$2503,$B119))</f>
        <v/>
      </c>
      <c r="J119" s="68" t="str">
        <f t="shared" ca="1" si="56"/>
        <v/>
      </c>
      <c r="K119" s="68" t="str">
        <f t="shared" ca="1" si="57"/>
        <v/>
      </c>
      <c r="L119" s="68" t="str">
        <f t="shared" ca="1" si="58"/>
        <v/>
      </c>
      <c r="M119" s="68" t="str">
        <f t="shared" ca="1" si="59"/>
        <v/>
      </c>
      <c r="N119" s="68" t="str">
        <f t="shared" ca="1" si="60"/>
        <v/>
      </c>
      <c r="O119" s="92" t="str">
        <f t="shared" ca="1" si="61"/>
        <v/>
      </c>
      <c r="P119" s="70" t="str">
        <f ca="1">IF($B119="","",IFERROR(LOOKUP(2,1/(TAHSILAT!$C$7:$C$2503=$B119),TAHSILAT!$E$7:$E$2503),""))</f>
        <v/>
      </c>
      <c r="Q119" s="65" t="str">
        <f t="shared" ca="1" si="62"/>
        <v/>
      </c>
      <c r="R119" s="74" t="str">
        <f t="shared" ca="1" si="63"/>
        <v/>
      </c>
      <c r="S119" s="93" t="str">
        <f t="shared" ca="1" si="64"/>
        <v/>
      </c>
      <c r="T119" s="70" t="str">
        <f ca="1">IF(OR($B119="",$AF119=""),"",IF(INDEX(MUSTERILER!$K$7:$K$156,$AF119)="","",INDEX(MUSTERILER!$K$7:$K$156,$AF119)))</f>
        <v/>
      </c>
      <c r="U119" s="93" t="str">
        <f t="shared" ca="1" si="65"/>
        <v/>
      </c>
      <c r="V119" s="68" t="str">
        <f t="shared" ca="1" si="66"/>
        <v/>
      </c>
      <c r="W119" s="65" t="str">
        <f t="shared" ca="1" si="67"/>
        <v/>
      </c>
      <c r="X119" s="2">
        <f ca="1">IF($B119="",0,SUMIFS(UCRETLER!$J$7:$J$606,UCRETLER!$B$7:$B$606,$B119))</f>
        <v>0</v>
      </c>
      <c r="Y119" s="2">
        <f ca="1">IF($B119="",0,SUMIFS(UCRETLER!$K$7:$K$606,UCRETLER!$B$7:$B$606,$B119))</f>
        <v>0</v>
      </c>
      <c r="Z119" s="1">
        <f ca="1">IF($B119="",0,SUMIFS(UCRETLER!$L$7:$L$606,UCRETLER!$B$7:$B$606,$B119))</f>
        <v>0</v>
      </c>
      <c r="AA119" s="1">
        <f t="shared" ca="1" si="68"/>
        <v>0</v>
      </c>
      <c r="AB119" s="1">
        <f t="shared" ca="1" si="69"/>
        <v>0</v>
      </c>
      <c r="AC119" s="1">
        <f t="shared" ca="1" si="70"/>
        <v>0</v>
      </c>
      <c r="AD119" s="1">
        <f t="shared" ca="1" si="71"/>
        <v>0</v>
      </c>
      <c r="AE119" s="1">
        <f t="shared" ca="1" si="72"/>
        <v>0</v>
      </c>
      <c r="AF119" s="1" t="str">
        <f ca="1">IFERROR(MATCH(ROW()-6,MUSTERILER!$U$7:$U$156,0),"")</f>
        <v/>
      </c>
      <c r="AG119" s="1">
        <f ca="1">IF($B119="",0,SUMIFS(GELIR_GIDER!$G$7:$G$3001,GELIR_GIDER!$T$7:$T$3001,$B119))</f>
        <v>0</v>
      </c>
    </row>
    <row r="120" spans="1:33" ht="18" customHeight="1" x14ac:dyDescent="0.3">
      <c r="A120" s="2"/>
      <c r="B120" s="65" t="str">
        <f ca="1">IF($AF120="","",INDEX(MUSTERILER!$B$7:$B$156,$AF120))</f>
        <v/>
      </c>
      <c r="C120" s="74" t="str">
        <f ca="1">IF($AF120="","",INDEX(MUSTERILER!$C$7:$C$156,$AF120))</f>
        <v/>
      </c>
      <c r="D120" s="68" t="str">
        <f ca="1">IF($B120="","",SUMIFS(UCRETLER!$G$7:$G$606,UCRETLER!$B$7:$B$606,$B120,UCRETLER!$F$7:$F$606,"Haftalık",UCRETLER!$H$7:$H$606,"Aktif"))</f>
        <v/>
      </c>
      <c r="E120" s="68" t="str">
        <f ca="1">IF($B120="","",SUMIFS(UCRETLER!$G$7:$G$606,UCRETLER!$B$7:$B$606,$B120,UCRETLER!$F$7:$F$606,"Aylık",UCRETLER!$H$7:$H$606,"Aktif"))</f>
        <v/>
      </c>
      <c r="F120" s="68" t="str">
        <f ca="1">IF($B120="","",SUMIFS(MUSTERILER!$J$7:$J$156,MUSTERILER!$B$7:$B$156,$B120))</f>
        <v/>
      </c>
      <c r="G120" s="68" t="str">
        <f ca="1">IF($B120="","",SUMIFS(UCRETLER!$I$7:$I$606,UCRETLER!$B$7:$B$606,$B120)+SUMIFS(GELIR_GIDER!$G$7:$G$3001,GELIR_GIDER!$T$7:$T$3001,$B120))</f>
        <v/>
      </c>
      <c r="H120" s="68" t="str">
        <f t="shared" ca="1" si="55"/>
        <v/>
      </c>
      <c r="I120" s="68" t="str">
        <f ca="1">IF($B120="","",SUMIFS(TAHSILAT!$F$7:$F$2503,TAHSILAT!$C$7:$C$2503,$B120))</f>
        <v/>
      </c>
      <c r="J120" s="68" t="str">
        <f t="shared" ca="1" si="56"/>
        <v/>
      </c>
      <c r="K120" s="68" t="str">
        <f t="shared" ca="1" si="57"/>
        <v/>
      </c>
      <c r="L120" s="68" t="str">
        <f t="shared" ca="1" si="58"/>
        <v/>
      </c>
      <c r="M120" s="68" t="str">
        <f t="shared" ca="1" si="59"/>
        <v/>
      </c>
      <c r="N120" s="68" t="str">
        <f t="shared" ca="1" si="60"/>
        <v/>
      </c>
      <c r="O120" s="92" t="str">
        <f t="shared" ca="1" si="61"/>
        <v/>
      </c>
      <c r="P120" s="70" t="str">
        <f ca="1">IF($B120="","",IFERROR(LOOKUP(2,1/(TAHSILAT!$C$7:$C$2503=$B120),TAHSILAT!$E$7:$E$2503),""))</f>
        <v/>
      </c>
      <c r="Q120" s="65" t="str">
        <f t="shared" ca="1" si="62"/>
        <v/>
      </c>
      <c r="R120" s="74" t="str">
        <f t="shared" ca="1" si="63"/>
        <v/>
      </c>
      <c r="S120" s="93" t="str">
        <f t="shared" ca="1" si="64"/>
        <v/>
      </c>
      <c r="T120" s="70" t="str">
        <f ca="1">IF(OR($B120="",$AF120=""),"",IF(INDEX(MUSTERILER!$K$7:$K$156,$AF120)="","",INDEX(MUSTERILER!$K$7:$K$156,$AF120)))</f>
        <v/>
      </c>
      <c r="U120" s="93" t="str">
        <f t="shared" ca="1" si="65"/>
        <v/>
      </c>
      <c r="V120" s="68" t="str">
        <f t="shared" ca="1" si="66"/>
        <v/>
      </c>
      <c r="W120" s="65" t="str">
        <f t="shared" ca="1" si="67"/>
        <v/>
      </c>
      <c r="X120" s="2">
        <f ca="1">IF($B120="",0,SUMIFS(UCRETLER!$J$7:$J$606,UCRETLER!$B$7:$B$606,$B120))</f>
        <v>0</v>
      </c>
      <c r="Y120" s="2">
        <f ca="1">IF($B120="",0,SUMIFS(UCRETLER!$K$7:$K$606,UCRETLER!$B$7:$B$606,$B120))</f>
        <v>0</v>
      </c>
      <c r="Z120" s="1">
        <f ca="1">IF($B120="",0,SUMIFS(UCRETLER!$L$7:$L$606,UCRETLER!$B$7:$B$606,$B120))</f>
        <v>0</v>
      </c>
      <c r="AA120" s="1">
        <f t="shared" ca="1" si="68"/>
        <v>0</v>
      </c>
      <c r="AB120" s="1">
        <f t="shared" ca="1" si="69"/>
        <v>0</v>
      </c>
      <c r="AC120" s="1">
        <f t="shared" ca="1" si="70"/>
        <v>0</v>
      </c>
      <c r="AD120" s="1">
        <f t="shared" ca="1" si="71"/>
        <v>0</v>
      </c>
      <c r="AE120" s="1">
        <f t="shared" ca="1" si="72"/>
        <v>0</v>
      </c>
      <c r="AF120" s="1" t="str">
        <f ca="1">IFERROR(MATCH(ROW()-6,MUSTERILER!$U$7:$U$156,0),"")</f>
        <v/>
      </c>
      <c r="AG120" s="1">
        <f ca="1">IF($B120="",0,SUMIFS(GELIR_GIDER!$G$7:$G$3001,GELIR_GIDER!$T$7:$T$3001,$B120))</f>
        <v>0</v>
      </c>
    </row>
    <row r="121" spans="1:33" ht="18" customHeight="1" x14ac:dyDescent="0.3">
      <c r="A121" s="2"/>
      <c r="B121" s="65" t="str">
        <f ca="1">IF($AF121="","",INDEX(MUSTERILER!$B$7:$B$156,$AF121))</f>
        <v/>
      </c>
      <c r="C121" s="74" t="str">
        <f ca="1">IF($AF121="","",INDEX(MUSTERILER!$C$7:$C$156,$AF121))</f>
        <v/>
      </c>
      <c r="D121" s="68" t="str">
        <f ca="1">IF($B121="","",SUMIFS(UCRETLER!$G$7:$G$606,UCRETLER!$B$7:$B$606,$B121,UCRETLER!$F$7:$F$606,"Haftalık",UCRETLER!$H$7:$H$606,"Aktif"))</f>
        <v/>
      </c>
      <c r="E121" s="68" t="str">
        <f ca="1">IF($B121="","",SUMIFS(UCRETLER!$G$7:$G$606,UCRETLER!$B$7:$B$606,$B121,UCRETLER!$F$7:$F$606,"Aylık",UCRETLER!$H$7:$H$606,"Aktif"))</f>
        <v/>
      </c>
      <c r="F121" s="68" t="str">
        <f ca="1">IF($B121="","",SUMIFS(MUSTERILER!$J$7:$J$156,MUSTERILER!$B$7:$B$156,$B121))</f>
        <v/>
      </c>
      <c r="G121" s="68" t="str">
        <f ca="1">IF($B121="","",SUMIFS(UCRETLER!$I$7:$I$606,UCRETLER!$B$7:$B$606,$B121)+SUMIFS(GELIR_GIDER!$G$7:$G$3001,GELIR_GIDER!$T$7:$T$3001,$B121))</f>
        <v/>
      </c>
      <c r="H121" s="68" t="str">
        <f t="shared" ca="1" si="55"/>
        <v/>
      </c>
      <c r="I121" s="68" t="str">
        <f ca="1">IF($B121="","",SUMIFS(TAHSILAT!$F$7:$F$2503,TAHSILAT!$C$7:$C$2503,$B121))</f>
        <v/>
      </c>
      <c r="J121" s="68" t="str">
        <f t="shared" ca="1" si="56"/>
        <v/>
      </c>
      <c r="K121" s="68" t="str">
        <f t="shared" ca="1" si="57"/>
        <v/>
      </c>
      <c r="L121" s="68" t="str">
        <f t="shared" ca="1" si="58"/>
        <v/>
      </c>
      <c r="M121" s="68" t="str">
        <f t="shared" ca="1" si="59"/>
        <v/>
      </c>
      <c r="N121" s="68" t="str">
        <f t="shared" ca="1" si="60"/>
        <v/>
      </c>
      <c r="O121" s="92" t="str">
        <f t="shared" ca="1" si="61"/>
        <v/>
      </c>
      <c r="P121" s="70" t="str">
        <f ca="1">IF($B121="","",IFERROR(LOOKUP(2,1/(TAHSILAT!$C$7:$C$2503=$B121),TAHSILAT!$E$7:$E$2503),""))</f>
        <v/>
      </c>
      <c r="Q121" s="65" t="str">
        <f t="shared" ca="1" si="62"/>
        <v/>
      </c>
      <c r="R121" s="74" t="str">
        <f t="shared" ca="1" si="63"/>
        <v/>
      </c>
      <c r="S121" s="93" t="str">
        <f t="shared" ca="1" si="64"/>
        <v/>
      </c>
      <c r="T121" s="70" t="str">
        <f ca="1">IF(OR($B121="",$AF121=""),"",IF(INDEX(MUSTERILER!$K$7:$K$156,$AF121)="","",INDEX(MUSTERILER!$K$7:$K$156,$AF121)))</f>
        <v/>
      </c>
      <c r="U121" s="93" t="str">
        <f t="shared" ca="1" si="65"/>
        <v/>
      </c>
      <c r="V121" s="68" t="str">
        <f t="shared" ca="1" si="66"/>
        <v/>
      </c>
      <c r="W121" s="65" t="str">
        <f t="shared" ca="1" si="67"/>
        <v/>
      </c>
      <c r="X121" s="2">
        <f ca="1">IF($B121="",0,SUMIFS(UCRETLER!$J$7:$J$606,UCRETLER!$B$7:$B$606,$B121))</f>
        <v>0</v>
      </c>
      <c r="Y121" s="2">
        <f ca="1">IF($B121="",0,SUMIFS(UCRETLER!$K$7:$K$606,UCRETLER!$B$7:$B$606,$B121))</f>
        <v>0</v>
      </c>
      <c r="Z121" s="1">
        <f ca="1">IF($B121="",0,SUMIFS(UCRETLER!$L$7:$L$606,UCRETLER!$B$7:$B$606,$B121))</f>
        <v>0</v>
      </c>
      <c r="AA121" s="1">
        <f t="shared" ca="1" si="68"/>
        <v>0</v>
      </c>
      <c r="AB121" s="1">
        <f t="shared" ca="1" si="69"/>
        <v>0</v>
      </c>
      <c r="AC121" s="1">
        <f t="shared" ca="1" si="70"/>
        <v>0</v>
      </c>
      <c r="AD121" s="1">
        <f t="shared" ca="1" si="71"/>
        <v>0</v>
      </c>
      <c r="AE121" s="1">
        <f t="shared" ca="1" si="72"/>
        <v>0</v>
      </c>
      <c r="AF121" s="1" t="str">
        <f ca="1">IFERROR(MATCH(ROW()-6,MUSTERILER!$U$7:$U$156,0),"")</f>
        <v/>
      </c>
      <c r="AG121" s="1">
        <f ca="1">IF($B121="",0,SUMIFS(GELIR_GIDER!$G$7:$G$3001,GELIR_GIDER!$T$7:$T$3001,$B121))</f>
        <v>0</v>
      </c>
    </row>
    <row r="122" spans="1:33" ht="18" customHeight="1" x14ac:dyDescent="0.3">
      <c r="A122" s="2"/>
      <c r="B122" s="65" t="str">
        <f ca="1">IF($AF122="","",INDEX(MUSTERILER!$B$7:$B$156,$AF122))</f>
        <v/>
      </c>
      <c r="C122" s="74" t="str">
        <f ca="1">IF($AF122="","",INDEX(MUSTERILER!$C$7:$C$156,$AF122))</f>
        <v/>
      </c>
      <c r="D122" s="68" t="str">
        <f ca="1">IF($B122="","",SUMIFS(UCRETLER!$G$7:$G$606,UCRETLER!$B$7:$B$606,$B122,UCRETLER!$F$7:$F$606,"Haftalık",UCRETLER!$H$7:$H$606,"Aktif"))</f>
        <v/>
      </c>
      <c r="E122" s="68" t="str">
        <f ca="1">IF($B122="","",SUMIFS(UCRETLER!$G$7:$G$606,UCRETLER!$B$7:$B$606,$B122,UCRETLER!$F$7:$F$606,"Aylık",UCRETLER!$H$7:$H$606,"Aktif"))</f>
        <v/>
      </c>
      <c r="F122" s="68" t="str">
        <f ca="1">IF($B122="","",SUMIFS(MUSTERILER!$J$7:$J$156,MUSTERILER!$B$7:$B$156,$B122))</f>
        <v/>
      </c>
      <c r="G122" s="68" t="str">
        <f ca="1">IF($B122="","",SUMIFS(UCRETLER!$I$7:$I$606,UCRETLER!$B$7:$B$606,$B122)+SUMIFS(GELIR_GIDER!$G$7:$G$3001,GELIR_GIDER!$T$7:$T$3001,$B122))</f>
        <v/>
      </c>
      <c r="H122" s="68" t="str">
        <f t="shared" ca="1" si="55"/>
        <v/>
      </c>
      <c r="I122" s="68" t="str">
        <f ca="1">IF($B122="","",SUMIFS(TAHSILAT!$F$7:$F$2503,TAHSILAT!$C$7:$C$2503,$B122))</f>
        <v/>
      </c>
      <c r="J122" s="68" t="str">
        <f t="shared" ca="1" si="56"/>
        <v/>
      </c>
      <c r="K122" s="68" t="str">
        <f t="shared" ca="1" si="57"/>
        <v/>
      </c>
      <c r="L122" s="68" t="str">
        <f t="shared" ca="1" si="58"/>
        <v/>
      </c>
      <c r="M122" s="68" t="str">
        <f t="shared" ca="1" si="59"/>
        <v/>
      </c>
      <c r="N122" s="68" t="str">
        <f t="shared" ca="1" si="60"/>
        <v/>
      </c>
      <c r="O122" s="92" t="str">
        <f t="shared" ca="1" si="61"/>
        <v/>
      </c>
      <c r="P122" s="70" t="str">
        <f ca="1">IF($B122="","",IFERROR(LOOKUP(2,1/(TAHSILAT!$C$7:$C$2503=$B122),TAHSILAT!$E$7:$E$2503),""))</f>
        <v/>
      </c>
      <c r="Q122" s="65" t="str">
        <f t="shared" ca="1" si="62"/>
        <v/>
      </c>
      <c r="R122" s="74" t="str">
        <f t="shared" ca="1" si="63"/>
        <v/>
      </c>
      <c r="S122" s="93" t="str">
        <f t="shared" ca="1" si="64"/>
        <v/>
      </c>
      <c r="T122" s="70" t="str">
        <f ca="1">IF(OR($B122="",$AF122=""),"",IF(INDEX(MUSTERILER!$K$7:$K$156,$AF122)="","",INDEX(MUSTERILER!$K$7:$K$156,$AF122)))</f>
        <v/>
      </c>
      <c r="U122" s="93" t="str">
        <f t="shared" ca="1" si="65"/>
        <v/>
      </c>
      <c r="V122" s="68" t="str">
        <f t="shared" ca="1" si="66"/>
        <v/>
      </c>
      <c r="W122" s="65" t="str">
        <f t="shared" ca="1" si="67"/>
        <v/>
      </c>
      <c r="X122" s="2">
        <f ca="1">IF($B122="",0,SUMIFS(UCRETLER!$J$7:$J$606,UCRETLER!$B$7:$B$606,$B122))</f>
        <v>0</v>
      </c>
      <c r="Y122" s="2">
        <f ca="1">IF($B122="",0,SUMIFS(UCRETLER!$K$7:$K$606,UCRETLER!$B$7:$B$606,$B122))</f>
        <v>0</v>
      </c>
      <c r="Z122" s="1">
        <f ca="1">IF($B122="",0,SUMIFS(UCRETLER!$L$7:$L$606,UCRETLER!$B$7:$B$606,$B122))</f>
        <v>0</v>
      </c>
      <c r="AA122" s="1">
        <f t="shared" ca="1" si="68"/>
        <v>0</v>
      </c>
      <c r="AB122" s="1">
        <f t="shared" ca="1" si="69"/>
        <v>0</v>
      </c>
      <c r="AC122" s="1">
        <f t="shared" ca="1" si="70"/>
        <v>0</v>
      </c>
      <c r="AD122" s="1">
        <f t="shared" ca="1" si="71"/>
        <v>0</v>
      </c>
      <c r="AE122" s="1">
        <f t="shared" ca="1" si="72"/>
        <v>0</v>
      </c>
      <c r="AF122" s="1" t="str">
        <f ca="1">IFERROR(MATCH(ROW()-6,MUSTERILER!$U$7:$U$156,0),"")</f>
        <v/>
      </c>
      <c r="AG122" s="1">
        <f ca="1">IF($B122="",0,SUMIFS(GELIR_GIDER!$G$7:$G$3001,GELIR_GIDER!$T$7:$T$3001,$B122))</f>
        <v>0</v>
      </c>
    </row>
    <row r="123" spans="1:33" ht="18" customHeight="1" x14ac:dyDescent="0.3">
      <c r="A123" s="2"/>
      <c r="B123" s="65" t="str">
        <f ca="1">IF($AF123="","",INDEX(MUSTERILER!$B$7:$B$156,$AF123))</f>
        <v/>
      </c>
      <c r="C123" s="74" t="str">
        <f ca="1">IF($AF123="","",INDEX(MUSTERILER!$C$7:$C$156,$AF123))</f>
        <v/>
      </c>
      <c r="D123" s="68" t="str">
        <f ca="1">IF($B123="","",SUMIFS(UCRETLER!$G$7:$G$606,UCRETLER!$B$7:$B$606,$B123,UCRETLER!$F$7:$F$606,"Haftalık",UCRETLER!$H$7:$H$606,"Aktif"))</f>
        <v/>
      </c>
      <c r="E123" s="68" t="str">
        <f ca="1">IF($B123="","",SUMIFS(UCRETLER!$G$7:$G$606,UCRETLER!$B$7:$B$606,$B123,UCRETLER!$F$7:$F$606,"Aylık",UCRETLER!$H$7:$H$606,"Aktif"))</f>
        <v/>
      </c>
      <c r="F123" s="68" t="str">
        <f ca="1">IF($B123="","",SUMIFS(MUSTERILER!$J$7:$J$156,MUSTERILER!$B$7:$B$156,$B123))</f>
        <v/>
      </c>
      <c r="G123" s="68" t="str">
        <f ca="1">IF($B123="","",SUMIFS(UCRETLER!$I$7:$I$606,UCRETLER!$B$7:$B$606,$B123)+SUMIFS(GELIR_GIDER!$G$7:$G$3001,GELIR_GIDER!$T$7:$T$3001,$B123))</f>
        <v/>
      </c>
      <c r="H123" s="68" t="str">
        <f t="shared" ca="1" si="55"/>
        <v/>
      </c>
      <c r="I123" s="68" t="str">
        <f ca="1">IF($B123="","",SUMIFS(TAHSILAT!$F$7:$F$2503,TAHSILAT!$C$7:$C$2503,$B123))</f>
        <v/>
      </c>
      <c r="J123" s="68" t="str">
        <f t="shared" ca="1" si="56"/>
        <v/>
      </c>
      <c r="K123" s="68" t="str">
        <f t="shared" ca="1" si="57"/>
        <v/>
      </c>
      <c r="L123" s="68" t="str">
        <f t="shared" ca="1" si="58"/>
        <v/>
      </c>
      <c r="M123" s="68" t="str">
        <f t="shared" ca="1" si="59"/>
        <v/>
      </c>
      <c r="N123" s="68" t="str">
        <f t="shared" ca="1" si="60"/>
        <v/>
      </c>
      <c r="O123" s="92" t="str">
        <f t="shared" ca="1" si="61"/>
        <v/>
      </c>
      <c r="P123" s="70" t="str">
        <f ca="1">IF($B123="","",IFERROR(LOOKUP(2,1/(TAHSILAT!$C$7:$C$2503=$B123),TAHSILAT!$E$7:$E$2503),""))</f>
        <v/>
      </c>
      <c r="Q123" s="65" t="str">
        <f t="shared" ca="1" si="62"/>
        <v/>
      </c>
      <c r="R123" s="74" t="str">
        <f t="shared" ca="1" si="63"/>
        <v/>
      </c>
      <c r="S123" s="93" t="str">
        <f t="shared" ca="1" si="64"/>
        <v/>
      </c>
      <c r="T123" s="70" t="str">
        <f ca="1">IF(OR($B123="",$AF123=""),"",IF(INDEX(MUSTERILER!$K$7:$K$156,$AF123)="","",INDEX(MUSTERILER!$K$7:$K$156,$AF123)))</f>
        <v/>
      </c>
      <c r="U123" s="93" t="str">
        <f t="shared" ca="1" si="65"/>
        <v/>
      </c>
      <c r="V123" s="68" t="str">
        <f t="shared" ca="1" si="66"/>
        <v/>
      </c>
      <c r="W123" s="65" t="str">
        <f t="shared" ca="1" si="67"/>
        <v/>
      </c>
      <c r="X123" s="2">
        <f ca="1">IF($B123="",0,SUMIFS(UCRETLER!$J$7:$J$606,UCRETLER!$B$7:$B$606,$B123))</f>
        <v>0</v>
      </c>
      <c r="Y123" s="2">
        <f ca="1">IF($B123="",0,SUMIFS(UCRETLER!$K$7:$K$606,UCRETLER!$B$7:$B$606,$B123))</f>
        <v>0</v>
      </c>
      <c r="Z123" s="1">
        <f ca="1">IF($B123="",0,SUMIFS(UCRETLER!$L$7:$L$606,UCRETLER!$B$7:$B$606,$B123))</f>
        <v>0</v>
      </c>
      <c r="AA123" s="1">
        <f t="shared" ca="1" si="68"/>
        <v>0</v>
      </c>
      <c r="AB123" s="1">
        <f t="shared" ca="1" si="69"/>
        <v>0</v>
      </c>
      <c r="AC123" s="1">
        <f t="shared" ca="1" si="70"/>
        <v>0</v>
      </c>
      <c r="AD123" s="1">
        <f t="shared" ca="1" si="71"/>
        <v>0</v>
      </c>
      <c r="AE123" s="1">
        <f t="shared" ca="1" si="72"/>
        <v>0</v>
      </c>
      <c r="AF123" s="1" t="str">
        <f ca="1">IFERROR(MATCH(ROW()-6,MUSTERILER!$U$7:$U$156,0),"")</f>
        <v/>
      </c>
      <c r="AG123" s="1">
        <f ca="1">IF($B123="",0,SUMIFS(GELIR_GIDER!$G$7:$G$3001,GELIR_GIDER!$T$7:$T$3001,$B123))</f>
        <v>0</v>
      </c>
    </row>
    <row r="124" spans="1:33" ht="18" customHeight="1" x14ac:dyDescent="0.3">
      <c r="A124" s="2"/>
      <c r="B124" s="65" t="str">
        <f ca="1">IF($AF124="","",INDEX(MUSTERILER!$B$7:$B$156,$AF124))</f>
        <v/>
      </c>
      <c r="C124" s="74" t="str">
        <f ca="1">IF($AF124="","",INDEX(MUSTERILER!$C$7:$C$156,$AF124))</f>
        <v/>
      </c>
      <c r="D124" s="68" t="str">
        <f ca="1">IF($B124="","",SUMIFS(UCRETLER!$G$7:$G$606,UCRETLER!$B$7:$B$606,$B124,UCRETLER!$F$7:$F$606,"Haftalık",UCRETLER!$H$7:$H$606,"Aktif"))</f>
        <v/>
      </c>
      <c r="E124" s="68" t="str">
        <f ca="1">IF($B124="","",SUMIFS(UCRETLER!$G$7:$G$606,UCRETLER!$B$7:$B$606,$B124,UCRETLER!$F$7:$F$606,"Aylık",UCRETLER!$H$7:$H$606,"Aktif"))</f>
        <v/>
      </c>
      <c r="F124" s="68" t="str">
        <f ca="1">IF($B124="","",SUMIFS(MUSTERILER!$J$7:$J$156,MUSTERILER!$B$7:$B$156,$B124))</f>
        <v/>
      </c>
      <c r="G124" s="68" t="str">
        <f ca="1">IF($B124="","",SUMIFS(UCRETLER!$I$7:$I$606,UCRETLER!$B$7:$B$606,$B124)+SUMIFS(GELIR_GIDER!$G$7:$G$3001,GELIR_GIDER!$T$7:$T$3001,$B124))</f>
        <v/>
      </c>
      <c r="H124" s="68" t="str">
        <f t="shared" ca="1" si="55"/>
        <v/>
      </c>
      <c r="I124" s="68" t="str">
        <f ca="1">IF($B124="","",SUMIFS(TAHSILAT!$F$7:$F$2503,TAHSILAT!$C$7:$C$2503,$B124))</f>
        <v/>
      </c>
      <c r="J124" s="68" t="str">
        <f t="shared" ca="1" si="56"/>
        <v/>
      </c>
      <c r="K124" s="68" t="str">
        <f t="shared" ca="1" si="57"/>
        <v/>
      </c>
      <c r="L124" s="68" t="str">
        <f t="shared" ca="1" si="58"/>
        <v/>
      </c>
      <c r="M124" s="68" t="str">
        <f t="shared" ca="1" si="59"/>
        <v/>
      </c>
      <c r="N124" s="68" t="str">
        <f t="shared" ca="1" si="60"/>
        <v/>
      </c>
      <c r="O124" s="92" t="str">
        <f t="shared" ca="1" si="61"/>
        <v/>
      </c>
      <c r="P124" s="70" t="str">
        <f ca="1">IF($B124="","",IFERROR(LOOKUP(2,1/(TAHSILAT!$C$7:$C$2503=$B124),TAHSILAT!$E$7:$E$2503),""))</f>
        <v/>
      </c>
      <c r="Q124" s="65" t="str">
        <f t="shared" ca="1" si="62"/>
        <v/>
      </c>
      <c r="R124" s="74" t="str">
        <f t="shared" ca="1" si="63"/>
        <v/>
      </c>
      <c r="S124" s="93" t="str">
        <f t="shared" ca="1" si="64"/>
        <v/>
      </c>
      <c r="T124" s="70" t="str">
        <f ca="1">IF(OR($B124="",$AF124=""),"",IF(INDEX(MUSTERILER!$K$7:$K$156,$AF124)="","",INDEX(MUSTERILER!$K$7:$K$156,$AF124)))</f>
        <v/>
      </c>
      <c r="U124" s="93" t="str">
        <f t="shared" ca="1" si="65"/>
        <v/>
      </c>
      <c r="V124" s="68" t="str">
        <f t="shared" ca="1" si="66"/>
        <v/>
      </c>
      <c r="W124" s="65" t="str">
        <f t="shared" ca="1" si="67"/>
        <v/>
      </c>
      <c r="X124" s="2">
        <f ca="1">IF($B124="",0,SUMIFS(UCRETLER!$J$7:$J$606,UCRETLER!$B$7:$B$606,$B124))</f>
        <v>0</v>
      </c>
      <c r="Y124" s="2">
        <f ca="1">IF($B124="",0,SUMIFS(UCRETLER!$K$7:$K$606,UCRETLER!$B$7:$B$606,$B124))</f>
        <v>0</v>
      </c>
      <c r="Z124" s="1">
        <f ca="1">IF($B124="",0,SUMIFS(UCRETLER!$L$7:$L$606,UCRETLER!$B$7:$B$606,$B124))</f>
        <v>0</v>
      </c>
      <c r="AA124" s="1">
        <f t="shared" ca="1" si="68"/>
        <v>0</v>
      </c>
      <c r="AB124" s="1">
        <f t="shared" ca="1" si="69"/>
        <v>0</v>
      </c>
      <c r="AC124" s="1">
        <f t="shared" ca="1" si="70"/>
        <v>0</v>
      </c>
      <c r="AD124" s="1">
        <f t="shared" ca="1" si="71"/>
        <v>0</v>
      </c>
      <c r="AE124" s="1">
        <f t="shared" ca="1" si="72"/>
        <v>0</v>
      </c>
      <c r="AF124" s="1" t="str">
        <f ca="1">IFERROR(MATCH(ROW()-6,MUSTERILER!$U$7:$U$156,0),"")</f>
        <v/>
      </c>
      <c r="AG124" s="1">
        <f ca="1">IF($B124="",0,SUMIFS(GELIR_GIDER!$G$7:$G$3001,GELIR_GIDER!$T$7:$T$3001,$B124))</f>
        <v>0</v>
      </c>
    </row>
    <row r="125" spans="1:33" ht="18" customHeight="1" x14ac:dyDescent="0.3">
      <c r="A125" s="2"/>
      <c r="B125" s="65" t="str">
        <f ca="1">IF($AF125="","",INDEX(MUSTERILER!$B$7:$B$156,$AF125))</f>
        <v/>
      </c>
      <c r="C125" s="74" t="str">
        <f ca="1">IF($AF125="","",INDEX(MUSTERILER!$C$7:$C$156,$AF125))</f>
        <v/>
      </c>
      <c r="D125" s="68" t="str">
        <f ca="1">IF($B125="","",SUMIFS(UCRETLER!$G$7:$G$606,UCRETLER!$B$7:$B$606,$B125,UCRETLER!$F$7:$F$606,"Haftalık",UCRETLER!$H$7:$H$606,"Aktif"))</f>
        <v/>
      </c>
      <c r="E125" s="68" t="str">
        <f ca="1">IF($B125="","",SUMIFS(UCRETLER!$G$7:$G$606,UCRETLER!$B$7:$B$606,$B125,UCRETLER!$F$7:$F$606,"Aylık",UCRETLER!$H$7:$H$606,"Aktif"))</f>
        <v/>
      </c>
      <c r="F125" s="68" t="str">
        <f ca="1">IF($B125="","",SUMIFS(MUSTERILER!$J$7:$J$156,MUSTERILER!$B$7:$B$156,$B125))</f>
        <v/>
      </c>
      <c r="G125" s="68" t="str">
        <f ca="1">IF($B125="","",SUMIFS(UCRETLER!$I$7:$I$606,UCRETLER!$B$7:$B$606,$B125)+SUMIFS(GELIR_GIDER!$G$7:$G$3001,GELIR_GIDER!$T$7:$T$3001,$B125))</f>
        <v/>
      </c>
      <c r="H125" s="68" t="str">
        <f t="shared" ca="1" si="55"/>
        <v/>
      </c>
      <c r="I125" s="68" t="str">
        <f ca="1">IF($B125="","",SUMIFS(TAHSILAT!$F$7:$F$2503,TAHSILAT!$C$7:$C$2503,$B125))</f>
        <v/>
      </c>
      <c r="J125" s="68" t="str">
        <f t="shared" ca="1" si="56"/>
        <v/>
      </c>
      <c r="K125" s="68" t="str">
        <f t="shared" ca="1" si="57"/>
        <v/>
      </c>
      <c r="L125" s="68" t="str">
        <f t="shared" ca="1" si="58"/>
        <v/>
      </c>
      <c r="M125" s="68" t="str">
        <f t="shared" ca="1" si="59"/>
        <v/>
      </c>
      <c r="N125" s="68" t="str">
        <f t="shared" ca="1" si="60"/>
        <v/>
      </c>
      <c r="O125" s="92" t="str">
        <f t="shared" ca="1" si="61"/>
        <v/>
      </c>
      <c r="P125" s="70" t="str">
        <f ca="1">IF($B125="","",IFERROR(LOOKUP(2,1/(TAHSILAT!$C$7:$C$2503=$B125),TAHSILAT!$E$7:$E$2503),""))</f>
        <v/>
      </c>
      <c r="Q125" s="65" t="str">
        <f t="shared" ca="1" si="62"/>
        <v/>
      </c>
      <c r="R125" s="74" t="str">
        <f t="shared" ca="1" si="63"/>
        <v/>
      </c>
      <c r="S125" s="93" t="str">
        <f t="shared" ca="1" si="64"/>
        <v/>
      </c>
      <c r="T125" s="70" t="str">
        <f ca="1">IF(OR($B125="",$AF125=""),"",IF(INDEX(MUSTERILER!$K$7:$K$156,$AF125)="","",INDEX(MUSTERILER!$K$7:$K$156,$AF125)))</f>
        <v/>
      </c>
      <c r="U125" s="93" t="str">
        <f t="shared" ca="1" si="65"/>
        <v/>
      </c>
      <c r="V125" s="68" t="str">
        <f t="shared" ca="1" si="66"/>
        <v/>
      </c>
      <c r="W125" s="65" t="str">
        <f t="shared" ca="1" si="67"/>
        <v/>
      </c>
      <c r="X125" s="2">
        <f ca="1">IF($B125="",0,SUMIFS(UCRETLER!$J$7:$J$606,UCRETLER!$B$7:$B$606,$B125))</f>
        <v>0</v>
      </c>
      <c r="Y125" s="2">
        <f ca="1">IF($B125="",0,SUMIFS(UCRETLER!$K$7:$K$606,UCRETLER!$B$7:$B$606,$B125))</f>
        <v>0</v>
      </c>
      <c r="Z125" s="1">
        <f ca="1">IF($B125="",0,SUMIFS(UCRETLER!$L$7:$L$606,UCRETLER!$B$7:$B$606,$B125))</f>
        <v>0</v>
      </c>
      <c r="AA125" s="1">
        <f t="shared" ca="1" si="68"/>
        <v>0</v>
      </c>
      <c r="AB125" s="1">
        <f t="shared" ca="1" si="69"/>
        <v>0</v>
      </c>
      <c r="AC125" s="1">
        <f t="shared" ca="1" si="70"/>
        <v>0</v>
      </c>
      <c r="AD125" s="1">
        <f t="shared" ca="1" si="71"/>
        <v>0</v>
      </c>
      <c r="AE125" s="1">
        <f t="shared" ca="1" si="72"/>
        <v>0</v>
      </c>
      <c r="AF125" s="1" t="str">
        <f ca="1">IFERROR(MATCH(ROW()-6,MUSTERILER!$U$7:$U$156,0),"")</f>
        <v/>
      </c>
      <c r="AG125" s="1">
        <f ca="1">IF($B125="",0,SUMIFS(GELIR_GIDER!$G$7:$G$3001,GELIR_GIDER!$T$7:$T$3001,$B125))</f>
        <v>0</v>
      </c>
    </row>
    <row r="126" spans="1:33" ht="18" customHeight="1" x14ac:dyDescent="0.3">
      <c r="A126" s="2"/>
      <c r="B126" s="65" t="str">
        <f ca="1">IF($AF126="","",INDEX(MUSTERILER!$B$7:$B$156,$AF126))</f>
        <v/>
      </c>
      <c r="C126" s="74" t="str">
        <f ca="1">IF($AF126="","",INDEX(MUSTERILER!$C$7:$C$156,$AF126))</f>
        <v/>
      </c>
      <c r="D126" s="68" t="str">
        <f ca="1">IF($B126="","",SUMIFS(UCRETLER!$G$7:$G$606,UCRETLER!$B$7:$B$606,$B126,UCRETLER!$F$7:$F$606,"Haftalık",UCRETLER!$H$7:$H$606,"Aktif"))</f>
        <v/>
      </c>
      <c r="E126" s="68" t="str">
        <f ca="1">IF($B126="","",SUMIFS(UCRETLER!$G$7:$G$606,UCRETLER!$B$7:$B$606,$B126,UCRETLER!$F$7:$F$606,"Aylık",UCRETLER!$H$7:$H$606,"Aktif"))</f>
        <v/>
      </c>
      <c r="F126" s="68" t="str">
        <f ca="1">IF($B126="","",SUMIFS(MUSTERILER!$J$7:$J$156,MUSTERILER!$B$7:$B$156,$B126))</f>
        <v/>
      </c>
      <c r="G126" s="68" t="str">
        <f ca="1">IF($B126="","",SUMIFS(UCRETLER!$I$7:$I$606,UCRETLER!$B$7:$B$606,$B126)+SUMIFS(GELIR_GIDER!$G$7:$G$3001,GELIR_GIDER!$T$7:$T$3001,$B126))</f>
        <v/>
      </c>
      <c r="H126" s="68" t="str">
        <f t="shared" ca="1" si="55"/>
        <v/>
      </c>
      <c r="I126" s="68" t="str">
        <f ca="1">IF($B126="","",SUMIFS(TAHSILAT!$F$7:$F$2503,TAHSILAT!$C$7:$C$2503,$B126))</f>
        <v/>
      </c>
      <c r="J126" s="68" t="str">
        <f t="shared" ca="1" si="56"/>
        <v/>
      </c>
      <c r="K126" s="68" t="str">
        <f t="shared" ca="1" si="57"/>
        <v/>
      </c>
      <c r="L126" s="68" t="str">
        <f t="shared" ca="1" si="58"/>
        <v/>
      </c>
      <c r="M126" s="68" t="str">
        <f t="shared" ca="1" si="59"/>
        <v/>
      </c>
      <c r="N126" s="68" t="str">
        <f t="shared" ca="1" si="60"/>
        <v/>
      </c>
      <c r="O126" s="92" t="str">
        <f t="shared" ca="1" si="61"/>
        <v/>
      </c>
      <c r="P126" s="70" t="str">
        <f ca="1">IF($B126="","",IFERROR(LOOKUP(2,1/(TAHSILAT!$C$7:$C$2503=$B126),TAHSILAT!$E$7:$E$2503),""))</f>
        <v/>
      </c>
      <c r="Q126" s="65" t="str">
        <f t="shared" ca="1" si="62"/>
        <v/>
      </c>
      <c r="R126" s="74" t="str">
        <f t="shared" ca="1" si="63"/>
        <v/>
      </c>
      <c r="S126" s="93" t="str">
        <f t="shared" ca="1" si="64"/>
        <v/>
      </c>
      <c r="T126" s="70" t="str">
        <f ca="1">IF(OR($B126="",$AF126=""),"",IF(INDEX(MUSTERILER!$K$7:$K$156,$AF126)="","",INDEX(MUSTERILER!$K$7:$K$156,$AF126)))</f>
        <v/>
      </c>
      <c r="U126" s="93" t="str">
        <f t="shared" ca="1" si="65"/>
        <v/>
      </c>
      <c r="V126" s="68" t="str">
        <f t="shared" ca="1" si="66"/>
        <v/>
      </c>
      <c r="W126" s="65" t="str">
        <f t="shared" ca="1" si="67"/>
        <v/>
      </c>
      <c r="X126" s="2">
        <f ca="1">IF($B126="",0,SUMIFS(UCRETLER!$J$7:$J$606,UCRETLER!$B$7:$B$606,$B126))</f>
        <v>0</v>
      </c>
      <c r="Y126" s="2">
        <f ca="1">IF($B126="",0,SUMIFS(UCRETLER!$K$7:$K$606,UCRETLER!$B$7:$B$606,$B126))</f>
        <v>0</v>
      </c>
      <c r="Z126" s="1">
        <f ca="1">IF($B126="",0,SUMIFS(UCRETLER!$L$7:$L$606,UCRETLER!$B$7:$B$606,$B126))</f>
        <v>0</v>
      </c>
      <c r="AA126" s="1">
        <f t="shared" ca="1" si="68"/>
        <v>0</v>
      </c>
      <c r="AB126" s="1">
        <f t="shared" ca="1" si="69"/>
        <v>0</v>
      </c>
      <c r="AC126" s="1">
        <f t="shared" ca="1" si="70"/>
        <v>0</v>
      </c>
      <c r="AD126" s="1">
        <f t="shared" ca="1" si="71"/>
        <v>0</v>
      </c>
      <c r="AE126" s="1">
        <f t="shared" ca="1" si="72"/>
        <v>0</v>
      </c>
      <c r="AF126" s="1" t="str">
        <f ca="1">IFERROR(MATCH(ROW()-6,MUSTERILER!$U$7:$U$156,0),"")</f>
        <v/>
      </c>
      <c r="AG126" s="1">
        <f ca="1">IF($B126="",0,SUMIFS(GELIR_GIDER!$G$7:$G$3001,GELIR_GIDER!$T$7:$T$3001,$B126))</f>
        <v>0</v>
      </c>
    </row>
    <row r="127" spans="1:33" ht="18" customHeight="1" x14ac:dyDescent="0.3">
      <c r="A127" s="2"/>
      <c r="B127" s="65" t="str">
        <f ca="1">IF($AF127="","",INDEX(MUSTERILER!$B$7:$B$156,$AF127))</f>
        <v/>
      </c>
      <c r="C127" s="74" t="str">
        <f ca="1">IF($AF127="","",INDEX(MUSTERILER!$C$7:$C$156,$AF127))</f>
        <v/>
      </c>
      <c r="D127" s="68" t="str">
        <f ca="1">IF($B127="","",SUMIFS(UCRETLER!$G$7:$G$606,UCRETLER!$B$7:$B$606,$B127,UCRETLER!$F$7:$F$606,"Haftalık",UCRETLER!$H$7:$H$606,"Aktif"))</f>
        <v/>
      </c>
      <c r="E127" s="68" t="str">
        <f ca="1">IF($B127="","",SUMIFS(UCRETLER!$G$7:$G$606,UCRETLER!$B$7:$B$606,$B127,UCRETLER!$F$7:$F$606,"Aylık",UCRETLER!$H$7:$H$606,"Aktif"))</f>
        <v/>
      </c>
      <c r="F127" s="68" t="str">
        <f ca="1">IF($B127="","",SUMIFS(MUSTERILER!$J$7:$J$156,MUSTERILER!$B$7:$B$156,$B127))</f>
        <v/>
      </c>
      <c r="G127" s="68" t="str">
        <f ca="1">IF($B127="","",SUMIFS(UCRETLER!$I$7:$I$606,UCRETLER!$B$7:$B$606,$B127)+SUMIFS(GELIR_GIDER!$G$7:$G$3001,GELIR_GIDER!$T$7:$T$3001,$B127))</f>
        <v/>
      </c>
      <c r="H127" s="68" t="str">
        <f t="shared" ca="1" si="55"/>
        <v/>
      </c>
      <c r="I127" s="68" t="str">
        <f ca="1">IF($B127="","",SUMIFS(TAHSILAT!$F$7:$F$2503,TAHSILAT!$C$7:$C$2503,$B127))</f>
        <v/>
      </c>
      <c r="J127" s="68" t="str">
        <f t="shared" ca="1" si="56"/>
        <v/>
      </c>
      <c r="K127" s="68" t="str">
        <f t="shared" ca="1" si="57"/>
        <v/>
      </c>
      <c r="L127" s="68" t="str">
        <f t="shared" ca="1" si="58"/>
        <v/>
      </c>
      <c r="M127" s="68" t="str">
        <f t="shared" ca="1" si="59"/>
        <v/>
      </c>
      <c r="N127" s="68" t="str">
        <f t="shared" ca="1" si="60"/>
        <v/>
      </c>
      <c r="O127" s="92" t="str">
        <f t="shared" ca="1" si="61"/>
        <v/>
      </c>
      <c r="P127" s="70" t="str">
        <f ca="1">IF($B127="","",IFERROR(LOOKUP(2,1/(TAHSILAT!$C$7:$C$2503=$B127),TAHSILAT!$E$7:$E$2503),""))</f>
        <v/>
      </c>
      <c r="Q127" s="65" t="str">
        <f t="shared" ca="1" si="62"/>
        <v/>
      </c>
      <c r="R127" s="74" t="str">
        <f t="shared" ca="1" si="63"/>
        <v/>
      </c>
      <c r="S127" s="93" t="str">
        <f t="shared" ca="1" si="64"/>
        <v/>
      </c>
      <c r="T127" s="70" t="str">
        <f ca="1">IF(OR($B127="",$AF127=""),"",IF(INDEX(MUSTERILER!$K$7:$K$156,$AF127)="","",INDEX(MUSTERILER!$K$7:$K$156,$AF127)))</f>
        <v/>
      </c>
      <c r="U127" s="93" t="str">
        <f t="shared" ca="1" si="65"/>
        <v/>
      </c>
      <c r="V127" s="68" t="str">
        <f t="shared" ca="1" si="66"/>
        <v/>
      </c>
      <c r="W127" s="65" t="str">
        <f t="shared" ca="1" si="67"/>
        <v/>
      </c>
      <c r="X127" s="2">
        <f ca="1">IF($B127="",0,SUMIFS(UCRETLER!$J$7:$J$606,UCRETLER!$B$7:$B$606,$B127))</f>
        <v>0</v>
      </c>
      <c r="Y127" s="2">
        <f ca="1">IF($B127="",0,SUMIFS(UCRETLER!$K$7:$K$606,UCRETLER!$B$7:$B$606,$B127))</f>
        <v>0</v>
      </c>
      <c r="Z127" s="1">
        <f ca="1">IF($B127="",0,SUMIFS(UCRETLER!$L$7:$L$606,UCRETLER!$B$7:$B$606,$B127))</f>
        <v>0</v>
      </c>
      <c r="AA127" s="1">
        <f t="shared" ca="1" si="68"/>
        <v>0</v>
      </c>
      <c r="AB127" s="1">
        <f t="shared" ca="1" si="69"/>
        <v>0</v>
      </c>
      <c r="AC127" s="1">
        <f t="shared" ca="1" si="70"/>
        <v>0</v>
      </c>
      <c r="AD127" s="1">
        <f t="shared" ca="1" si="71"/>
        <v>0</v>
      </c>
      <c r="AE127" s="1">
        <f t="shared" ca="1" si="72"/>
        <v>0</v>
      </c>
      <c r="AF127" s="1" t="str">
        <f ca="1">IFERROR(MATCH(ROW()-6,MUSTERILER!$U$7:$U$156,0),"")</f>
        <v/>
      </c>
      <c r="AG127" s="1">
        <f ca="1">IF($B127="",0,SUMIFS(GELIR_GIDER!$G$7:$G$3001,GELIR_GIDER!$T$7:$T$3001,$B127))</f>
        <v>0</v>
      </c>
    </row>
    <row r="128" spans="1:33" ht="18" customHeight="1" x14ac:dyDescent="0.3">
      <c r="A128" s="2"/>
      <c r="B128" s="65" t="str">
        <f ca="1">IF($AF128="","",INDEX(MUSTERILER!$B$7:$B$156,$AF128))</f>
        <v/>
      </c>
      <c r="C128" s="74" t="str">
        <f ca="1">IF($AF128="","",INDEX(MUSTERILER!$C$7:$C$156,$AF128))</f>
        <v/>
      </c>
      <c r="D128" s="68" t="str">
        <f ca="1">IF($B128="","",SUMIFS(UCRETLER!$G$7:$G$606,UCRETLER!$B$7:$B$606,$B128,UCRETLER!$F$7:$F$606,"Haftalık",UCRETLER!$H$7:$H$606,"Aktif"))</f>
        <v/>
      </c>
      <c r="E128" s="68" t="str">
        <f ca="1">IF($B128="","",SUMIFS(UCRETLER!$G$7:$G$606,UCRETLER!$B$7:$B$606,$B128,UCRETLER!$F$7:$F$606,"Aylık",UCRETLER!$H$7:$H$606,"Aktif"))</f>
        <v/>
      </c>
      <c r="F128" s="68" t="str">
        <f ca="1">IF($B128="","",SUMIFS(MUSTERILER!$J$7:$J$156,MUSTERILER!$B$7:$B$156,$B128))</f>
        <v/>
      </c>
      <c r="G128" s="68" t="str">
        <f ca="1">IF($B128="","",SUMIFS(UCRETLER!$I$7:$I$606,UCRETLER!$B$7:$B$606,$B128)+SUMIFS(GELIR_GIDER!$G$7:$G$3001,GELIR_GIDER!$T$7:$T$3001,$B128))</f>
        <v/>
      </c>
      <c r="H128" s="68" t="str">
        <f t="shared" ca="1" si="55"/>
        <v/>
      </c>
      <c r="I128" s="68" t="str">
        <f ca="1">IF($B128="","",SUMIFS(TAHSILAT!$F$7:$F$2503,TAHSILAT!$C$7:$C$2503,$B128))</f>
        <v/>
      </c>
      <c r="J128" s="68" t="str">
        <f t="shared" ca="1" si="56"/>
        <v/>
      </c>
      <c r="K128" s="68" t="str">
        <f t="shared" ca="1" si="57"/>
        <v/>
      </c>
      <c r="L128" s="68" t="str">
        <f t="shared" ca="1" si="58"/>
        <v/>
      </c>
      <c r="M128" s="68" t="str">
        <f t="shared" ca="1" si="59"/>
        <v/>
      </c>
      <c r="N128" s="68" t="str">
        <f t="shared" ca="1" si="60"/>
        <v/>
      </c>
      <c r="O128" s="92" t="str">
        <f t="shared" ca="1" si="61"/>
        <v/>
      </c>
      <c r="P128" s="70" t="str">
        <f ca="1">IF($B128="","",IFERROR(LOOKUP(2,1/(TAHSILAT!$C$7:$C$2503=$B128),TAHSILAT!$E$7:$E$2503),""))</f>
        <v/>
      </c>
      <c r="Q128" s="65" t="str">
        <f t="shared" ca="1" si="62"/>
        <v/>
      </c>
      <c r="R128" s="74" t="str">
        <f t="shared" ca="1" si="63"/>
        <v/>
      </c>
      <c r="S128" s="93" t="str">
        <f t="shared" ca="1" si="64"/>
        <v/>
      </c>
      <c r="T128" s="70" t="str">
        <f ca="1">IF(OR($B128="",$AF128=""),"",IF(INDEX(MUSTERILER!$K$7:$K$156,$AF128)="","",INDEX(MUSTERILER!$K$7:$K$156,$AF128)))</f>
        <v/>
      </c>
      <c r="U128" s="93" t="str">
        <f t="shared" ca="1" si="65"/>
        <v/>
      </c>
      <c r="V128" s="68" t="str">
        <f t="shared" ca="1" si="66"/>
        <v/>
      </c>
      <c r="W128" s="65" t="str">
        <f t="shared" ca="1" si="67"/>
        <v/>
      </c>
      <c r="X128" s="2">
        <f ca="1">IF($B128="",0,SUMIFS(UCRETLER!$J$7:$J$606,UCRETLER!$B$7:$B$606,$B128))</f>
        <v>0</v>
      </c>
      <c r="Y128" s="2">
        <f ca="1">IF($B128="",0,SUMIFS(UCRETLER!$K$7:$K$606,UCRETLER!$B$7:$B$606,$B128))</f>
        <v>0</v>
      </c>
      <c r="Z128" s="1">
        <f ca="1">IF($B128="",0,SUMIFS(UCRETLER!$L$7:$L$606,UCRETLER!$B$7:$B$606,$B128))</f>
        <v>0</v>
      </c>
      <c r="AA128" s="1">
        <f t="shared" ca="1" si="68"/>
        <v>0</v>
      </c>
      <c r="AB128" s="1">
        <f t="shared" ca="1" si="69"/>
        <v>0</v>
      </c>
      <c r="AC128" s="1">
        <f t="shared" ca="1" si="70"/>
        <v>0</v>
      </c>
      <c r="AD128" s="1">
        <f t="shared" ca="1" si="71"/>
        <v>0</v>
      </c>
      <c r="AE128" s="1">
        <f t="shared" ca="1" si="72"/>
        <v>0</v>
      </c>
      <c r="AF128" s="1" t="str">
        <f ca="1">IFERROR(MATCH(ROW()-6,MUSTERILER!$U$7:$U$156,0),"")</f>
        <v/>
      </c>
      <c r="AG128" s="1">
        <f ca="1">IF($B128="",0,SUMIFS(GELIR_GIDER!$G$7:$G$3001,GELIR_GIDER!$T$7:$T$3001,$B128))</f>
        <v>0</v>
      </c>
    </row>
    <row r="129" spans="1:33" ht="18" customHeight="1" x14ac:dyDescent="0.3">
      <c r="A129" s="2"/>
      <c r="B129" s="65" t="str">
        <f ca="1">IF($AF129="","",INDEX(MUSTERILER!$B$7:$B$156,$AF129))</f>
        <v/>
      </c>
      <c r="C129" s="74" t="str">
        <f ca="1">IF($AF129="","",INDEX(MUSTERILER!$C$7:$C$156,$AF129))</f>
        <v/>
      </c>
      <c r="D129" s="68" t="str">
        <f ca="1">IF($B129="","",SUMIFS(UCRETLER!$G$7:$G$606,UCRETLER!$B$7:$B$606,$B129,UCRETLER!$F$7:$F$606,"Haftalık",UCRETLER!$H$7:$H$606,"Aktif"))</f>
        <v/>
      </c>
      <c r="E129" s="68" t="str">
        <f ca="1">IF($B129="","",SUMIFS(UCRETLER!$G$7:$G$606,UCRETLER!$B$7:$B$606,$B129,UCRETLER!$F$7:$F$606,"Aylık",UCRETLER!$H$7:$H$606,"Aktif"))</f>
        <v/>
      </c>
      <c r="F129" s="68" t="str">
        <f ca="1">IF($B129="","",SUMIFS(MUSTERILER!$J$7:$J$156,MUSTERILER!$B$7:$B$156,$B129))</f>
        <v/>
      </c>
      <c r="G129" s="68" t="str">
        <f ca="1">IF($B129="","",SUMIFS(UCRETLER!$I$7:$I$606,UCRETLER!$B$7:$B$606,$B129)+SUMIFS(GELIR_GIDER!$G$7:$G$3001,GELIR_GIDER!$T$7:$T$3001,$B129))</f>
        <v/>
      </c>
      <c r="H129" s="68" t="str">
        <f t="shared" ca="1" si="55"/>
        <v/>
      </c>
      <c r="I129" s="68" t="str">
        <f ca="1">IF($B129="","",SUMIFS(TAHSILAT!$F$7:$F$2503,TAHSILAT!$C$7:$C$2503,$B129))</f>
        <v/>
      </c>
      <c r="J129" s="68" t="str">
        <f t="shared" ca="1" si="56"/>
        <v/>
      </c>
      <c r="K129" s="68" t="str">
        <f t="shared" ca="1" si="57"/>
        <v/>
      </c>
      <c r="L129" s="68" t="str">
        <f t="shared" ca="1" si="58"/>
        <v/>
      </c>
      <c r="M129" s="68" t="str">
        <f t="shared" ca="1" si="59"/>
        <v/>
      </c>
      <c r="N129" s="68" t="str">
        <f t="shared" ca="1" si="60"/>
        <v/>
      </c>
      <c r="O129" s="92" t="str">
        <f t="shared" ca="1" si="61"/>
        <v/>
      </c>
      <c r="P129" s="70" t="str">
        <f ca="1">IF($B129="","",IFERROR(LOOKUP(2,1/(TAHSILAT!$C$7:$C$2503=$B129),TAHSILAT!$E$7:$E$2503),""))</f>
        <v/>
      </c>
      <c r="Q129" s="65" t="str">
        <f t="shared" ca="1" si="62"/>
        <v/>
      </c>
      <c r="R129" s="74" t="str">
        <f t="shared" ca="1" si="63"/>
        <v/>
      </c>
      <c r="S129" s="93" t="str">
        <f t="shared" ca="1" si="64"/>
        <v/>
      </c>
      <c r="T129" s="70" t="str">
        <f ca="1">IF(OR($B129="",$AF129=""),"",IF(INDEX(MUSTERILER!$K$7:$K$156,$AF129)="","",INDEX(MUSTERILER!$K$7:$K$156,$AF129)))</f>
        <v/>
      </c>
      <c r="U129" s="93" t="str">
        <f t="shared" ca="1" si="65"/>
        <v/>
      </c>
      <c r="V129" s="68" t="str">
        <f t="shared" ca="1" si="66"/>
        <v/>
      </c>
      <c r="W129" s="65" t="str">
        <f t="shared" ca="1" si="67"/>
        <v/>
      </c>
      <c r="X129" s="2">
        <f ca="1">IF($B129="",0,SUMIFS(UCRETLER!$J$7:$J$606,UCRETLER!$B$7:$B$606,$B129))</f>
        <v>0</v>
      </c>
      <c r="Y129" s="2">
        <f ca="1">IF($B129="",0,SUMIFS(UCRETLER!$K$7:$K$606,UCRETLER!$B$7:$B$606,$B129))</f>
        <v>0</v>
      </c>
      <c r="Z129" s="1">
        <f ca="1">IF($B129="",0,SUMIFS(UCRETLER!$L$7:$L$606,UCRETLER!$B$7:$B$606,$B129))</f>
        <v>0</v>
      </c>
      <c r="AA129" s="1">
        <f t="shared" ca="1" si="68"/>
        <v>0</v>
      </c>
      <c r="AB129" s="1">
        <f t="shared" ca="1" si="69"/>
        <v>0</v>
      </c>
      <c r="AC129" s="1">
        <f t="shared" ca="1" si="70"/>
        <v>0</v>
      </c>
      <c r="AD129" s="1">
        <f t="shared" ca="1" si="71"/>
        <v>0</v>
      </c>
      <c r="AE129" s="1">
        <f t="shared" ca="1" si="72"/>
        <v>0</v>
      </c>
      <c r="AF129" s="1" t="str">
        <f ca="1">IFERROR(MATCH(ROW()-6,MUSTERILER!$U$7:$U$156,0),"")</f>
        <v/>
      </c>
      <c r="AG129" s="1">
        <f ca="1">IF($B129="",0,SUMIFS(GELIR_GIDER!$G$7:$G$3001,GELIR_GIDER!$T$7:$T$3001,$B129))</f>
        <v>0</v>
      </c>
    </row>
    <row r="130" spans="1:33" ht="18" customHeight="1" x14ac:dyDescent="0.3">
      <c r="A130" s="2"/>
      <c r="B130" s="65" t="str">
        <f ca="1">IF($AF130="","",INDEX(MUSTERILER!$B$7:$B$156,$AF130))</f>
        <v/>
      </c>
      <c r="C130" s="74" t="str">
        <f ca="1">IF($AF130="","",INDEX(MUSTERILER!$C$7:$C$156,$AF130))</f>
        <v/>
      </c>
      <c r="D130" s="68" t="str">
        <f ca="1">IF($B130="","",SUMIFS(UCRETLER!$G$7:$G$606,UCRETLER!$B$7:$B$606,$B130,UCRETLER!$F$7:$F$606,"Haftalık",UCRETLER!$H$7:$H$606,"Aktif"))</f>
        <v/>
      </c>
      <c r="E130" s="68" t="str">
        <f ca="1">IF($B130="","",SUMIFS(UCRETLER!$G$7:$G$606,UCRETLER!$B$7:$B$606,$B130,UCRETLER!$F$7:$F$606,"Aylık",UCRETLER!$H$7:$H$606,"Aktif"))</f>
        <v/>
      </c>
      <c r="F130" s="68" t="str">
        <f ca="1">IF($B130="","",SUMIFS(MUSTERILER!$J$7:$J$156,MUSTERILER!$B$7:$B$156,$B130))</f>
        <v/>
      </c>
      <c r="G130" s="68" t="str">
        <f ca="1">IF($B130="","",SUMIFS(UCRETLER!$I$7:$I$606,UCRETLER!$B$7:$B$606,$B130)+SUMIFS(GELIR_GIDER!$G$7:$G$3001,GELIR_GIDER!$T$7:$T$3001,$B130))</f>
        <v/>
      </c>
      <c r="H130" s="68" t="str">
        <f t="shared" ca="1" si="55"/>
        <v/>
      </c>
      <c r="I130" s="68" t="str">
        <f ca="1">IF($B130="","",SUMIFS(TAHSILAT!$F$7:$F$2503,TAHSILAT!$C$7:$C$2503,$B130))</f>
        <v/>
      </c>
      <c r="J130" s="68" t="str">
        <f t="shared" ca="1" si="56"/>
        <v/>
      </c>
      <c r="K130" s="68" t="str">
        <f t="shared" ca="1" si="57"/>
        <v/>
      </c>
      <c r="L130" s="68" t="str">
        <f t="shared" ca="1" si="58"/>
        <v/>
      </c>
      <c r="M130" s="68" t="str">
        <f t="shared" ca="1" si="59"/>
        <v/>
      </c>
      <c r="N130" s="68" t="str">
        <f t="shared" ca="1" si="60"/>
        <v/>
      </c>
      <c r="O130" s="92" t="str">
        <f t="shared" ca="1" si="61"/>
        <v/>
      </c>
      <c r="P130" s="70" t="str">
        <f ca="1">IF($B130="","",IFERROR(LOOKUP(2,1/(TAHSILAT!$C$7:$C$2503=$B130),TAHSILAT!$E$7:$E$2503),""))</f>
        <v/>
      </c>
      <c r="Q130" s="65" t="str">
        <f t="shared" ca="1" si="62"/>
        <v/>
      </c>
      <c r="R130" s="74" t="str">
        <f t="shared" ca="1" si="63"/>
        <v/>
      </c>
      <c r="S130" s="93" t="str">
        <f t="shared" ca="1" si="64"/>
        <v/>
      </c>
      <c r="T130" s="70" t="str">
        <f ca="1">IF(OR($B130="",$AF130=""),"",IF(INDEX(MUSTERILER!$K$7:$K$156,$AF130)="","",INDEX(MUSTERILER!$K$7:$K$156,$AF130)))</f>
        <v/>
      </c>
      <c r="U130" s="93" t="str">
        <f t="shared" ca="1" si="65"/>
        <v/>
      </c>
      <c r="V130" s="68" t="str">
        <f t="shared" ca="1" si="66"/>
        <v/>
      </c>
      <c r="W130" s="65" t="str">
        <f t="shared" ca="1" si="67"/>
        <v/>
      </c>
      <c r="X130" s="2">
        <f ca="1">IF($B130="",0,SUMIFS(UCRETLER!$J$7:$J$606,UCRETLER!$B$7:$B$606,$B130))</f>
        <v>0</v>
      </c>
      <c r="Y130" s="2">
        <f ca="1">IF($B130="",0,SUMIFS(UCRETLER!$K$7:$K$606,UCRETLER!$B$7:$B$606,$B130))</f>
        <v>0</v>
      </c>
      <c r="Z130" s="1">
        <f ca="1">IF($B130="",0,SUMIFS(UCRETLER!$L$7:$L$606,UCRETLER!$B$7:$B$606,$B130))</f>
        <v>0</v>
      </c>
      <c r="AA130" s="1">
        <f t="shared" ca="1" si="68"/>
        <v>0</v>
      </c>
      <c r="AB130" s="1">
        <f t="shared" ca="1" si="69"/>
        <v>0</v>
      </c>
      <c r="AC130" s="1">
        <f t="shared" ca="1" si="70"/>
        <v>0</v>
      </c>
      <c r="AD130" s="1">
        <f t="shared" ca="1" si="71"/>
        <v>0</v>
      </c>
      <c r="AE130" s="1">
        <f t="shared" ca="1" si="72"/>
        <v>0</v>
      </c>
      <c r="AF130" s="1" t="str">
        <f ca="1">IFERROR(MATCH(ROW()-6,MUSTERILER!$U$7:$U$156,0),"")</f>
        <v/>
      </c>
      <c r="AG130" s="1">
        <f ca="1">IF($B130="",0,SUMIFS(GELIR_GIDER!$G$7:$G$3001,GELIR_GIDER!$T$7:$T$3001,$B130))</f>
        <v>0</v>
      </c>
    </row>
    <row r="131" spans="1:33" ht="18" customHeight="1" x14ac:dyDescent="0.3">
      <c r="A131" s="2"/>
      <c r="B131" s="65" t="str">
        <f ca="1">IF($AF131="","",INDEX(MUSTERILER!$B$7:$B$156,$AF131))</f>
        <v/>
      </c>
      <c r="C131" s="74" t="str">
        <f ca="1">IF($AF131="","",INDEX(MUSTERILER!$C$7:$C$156,$AF131))</f>
        <v/>
      </c>
      <c r="D131" s="68" t="str">
        <f ca="1">IF($B131="","",SUMIFS(UCRETLER!$G$7:$G$606,UCRETLER!$B$7:$B$606,$B131,UCRETLER!$F$7:$F$606,"Haftalık",UCRETLER!$H$7:$H$606,"Aktif"))</f>
        <v/>
      </c>
      <c r="E131" s="68" t="str">
        <f ca="1">IF($B131="","",SUMIFS(UCRETLER!$G$7:$G$606,UCRETLER!$B$7:$B$606,$B131,UCRETLER!$F$7:$F$606,"Aylık",UCRETLER!$H$7:$H$606,"Aktif"))</f>
        <v/>
      </c>
      <c r="F131" s="68" t="str">
        <f ca="1">IF($B131="","",SUMIFS(MUSTERILER!$J$7:$J$156,MUSTERILER!$B$7:$B$156,$B131))</f>
        <v/>
      </c>
      <c r="G131" s="68" t="str">
        <f ca="1">IF($B131="","",SUMIFS(UCRETLER!$I$7:$I$606,UCRETLER!$B$7:$B$606,$B131)+SUMIFS(GELIR_GIDER!$G$7:$G$3001,GELIR_GIDER!$T$7:$T$3001,$B131))</f>
        <v/>
      </c>
      <c r="H131" s="68" t="str">
        <f t="shared" ca="1" si="55"/>
        <v/>
      </c>
      <c r="I131" s="68" t="str">
        <f ca="1">IF($B131="","",SUMIFS(TAHSILAT!$F$7:$F$2503,TAHSILAT!$C$7:$C$2503,$B131))</f>
        <v/>
      </c>
      <c r="J131" s="68" t="str">
        <f t="shared" ca="1" si="56"/>
        <v/>
      </c>
      <c r="K131" s="68" t="str">
        <f t="shared" ca="1" si="57"/>
        <v/>
      </c>
      <c r="L131" s="68" t="str">
        <f t="shared" ca="1" si="58"/>
        <v/>
      </c>
      <c r="M131" s="68" t="str">
        <f t="shared" ca="1" si="59"/>
        <v/>
      </c>
      <c r="N131" s="68" t="str">
        <f t="shared" ca="1" si="60"/>
        <v/>
      </c>
      <c r="O131" s="92" t="str">
        <f t="shared" ca="1" si="61"/>
        <v/>
      </c>
      <c r="P131" s="70" t="str">
        <f ca="1">IF($B131="","",IFERROR(LOOKUP(2,1/(TAHSILAT!$C$7:$C$2503=$B131),TAHSILAT!$E$7:$E$2503),""))</f>
        <v/>
      </c>
      <c r="Q131" s="65" t="str">
        <f t="shared" ca="1" si="62"/>
        <v/>
      </c>
      <c r="R131" s="74" t="str">
        <f t="shared" ca="1" si="63"/>
        <v/>
      </c>
      <c r="S131" s="93" t="str">
        <f t="shared" ca="1" si="64"/>
        <v/>
      </c>
      <c r="T131" s="70" t="str">
        <f ca="1">IF(OR($B131="",$AF131=""),"",IF(INDEX(MUSTERILER!$K$7:$K$156,$AF131)="","",INDEX(MUSTERILER!$K$7:$K$156,$AF131)))</f>
        <v/>
      </c>
      <c r="U131" s="93" t="str">
        <f t="shared" ca="1" si="65"/>
        <v/>
      </c>
      <c r="V131" s="68" t="str">
        <f t="shared" ca="1" si="66"/>
        <v/>
      </c>
      <c r="W131" s="65" t="str">
        <f t="shared" ca="1" si="67"/>
        <v/>
      </c>
      <c r="X131" s="2">
        <f ca="1">IF($B131="",0,SUMIFS(UCRETLER!$J$7:$J$606,UCRETLER!$B$7:$B$606,$B131))</f>
        <v>0</v>
      </c>
      <c r="Y131" s="2">
        <f ca="1">IF($B131="",0,SUMIFS(UCRETLER!$K$7:$K$606,UCRETLER!$B$7:$B$606,$B131))</f>
        <v>0</v>
      </c>
      <c r="Z131" s="1">
        <f ca="1">IF($B131="",0,SUMIFS(UCRETLER!$L$7:$L$606,UCRETLER!$B$7:$B$606,$B131))</f>
        <v>0</v>
      </c>
      <c r="AA131" s="1">
        <f t="shared" ca="1" si="68"/>
        <v>0</v>
      </c>
      <c r="AB131" s="1">
        <f t="shared" ca="1" si="69"/>
        <v>0</v>
      </c>
      <c r="AC131" s="1">
        <f t="shared" ca="1" si="70"/>
        <v>0</v>
      </c>
      <c r="AD131" s="1">
        <f t="shared" ca="1" si="71"/>
        <v>0</v>
      </c>
      <c r="AE131" s="1">
        <f t="shared" ca="1" si="72"/>
        <v>0</v>
      </c>
      <c r="AF131" s="1" t="str">
        <f ca="1">IFERROR(MATCH(ROW()-6,MUSTERILER!$U$7:$U$156,0),"")</f>
        <v/>
      </c>
      <c r="AG131" s="1">
        <f ca="1">IF($B131="",0,SUMIFS(GELIR_GIDER!$G$7:$G$3001,GELIR_GIDER!$T$7:$T$3001,$B131))</f>
        <v>0</v>
      </c>
    </row>
    <row r="132" spans="1:33" ht="18" customHeight="1" x14ac:dyDescent="0.3">
      <c r="A132" s="2"/>
      <c r="B132" s="65" t="str">
        <f ca="1">IF($AF132="","",INDEX(MUSTERILER!$B$7:$B$156,$AF132))</f>
        <v/>
      </c>
      <c r="C132" s="74" t="str">
        <f ca="1">IF($AF132="","",INDEX(MUSTERILER!$C$7:$C$156,$AF132))</f>
        <v/>
      </c>
      <c r="D132" s="68" t="str">
        <f ca="1">IF($B132="","",SUMIFS(UCRETLER!$G$7:$G$606,UCRETLER!$B$7:$B$606,$B132,UCRETLER!$F$7:$F$606,"Haftalık",UCRETLER!$H$7:$H$606,"Aktif"))</f>
        <v/>
      </c>
      <c r="E132" s="68" t="str">
        <f ca="1">IF($B132="","",SUMIFS(UCRETLER!$G$7:$G$606,UCRETLER!$B$7:$B$606,$B132,UCRETLER!$F$7:$F$606,"Aylık",UCRETLER!$H$7:$H$606,"Aktif"))</f>
        <v/>
      </c>
      <c r="F132" s="68" t="str">
        <f ca="1">IF($B132="","",SUMIFS(MUSTERILER!$J$7:$J$156,MUSTERILER!$B$7:$B$156,$B132))</f>
        <v/>
      </c>
      <c r="G132" s="68" t="str">
        <f ca="1">IF($B132="","",SUMIFS(UCRETLER!$I$7:$I$606,UCRETLER!$B$7:$B$606,$B132)+SUMIFS(GELIR_GIDER!$G$7:$G$3001,GELIR_GIDER!$T$7:$T$3001,$B132))</f>
        <v/>
      </c>
      <c r="H132" s="68" t="str">
        <f t="shared" ca="1" si="55"/>
        <v/>
      </c>
      <c r="I132" s="68" t="str">
        <f ca="1">IF($B132="","",SUMIFS(TAHSILAT!$F$7:$F$2503,TAHSILAT!$C$7:$C$2503,$B132))</f>
        <v/>
      </c>
      <c r="J132" s="68" t="str">
        <f t="shared" ca="1" si="56"/>
        <v/>
      </c>
      <c r="K132" s="68" t="str">
        <f t="shared" ca="1" si="57"/>
        <v/>
      </c>
      <c r="L132" s="68" t="str">
        <f t="shared" ca="1" si="58"/>
        <v/>
      </c>
      <c r="M132" s="68" t="str">
        <f t="shared" ca="1" si="59"/>
        <v/>
      </c>
      <c r="N132" s="68" t="str">
        <f t="shared" ca="1" si="60"/>
        <v/>
      </c>
      <c r="O132" s="92" t="str">
        <f t="shared" ca="1" si="61"/>
        <v/>
      </c>
      <c r="P132" s="70" t="str">
        <f ca="1">IF($B132="","",IFERROR(LOOKUP(2,1/(TAHSILAT!$C$7:$C$2503=$B132),TAHSILAT!$E$7:$E$2503),""))</f>
        <v/>
      </c>
      <c r="Q132" s="65" t="str">
        <f t="shared" ca="1" si="62"/>
        <v/>
      </c>
      <c r="R132" s="74" t="str">
        <f t="shared" ca="1" si="63"/>
        <v/>
      </c>
      <c r="S132" s="93" t="str">
        <f t="shared" ca="1" si="64"/>
        <v/>
      </c>
      <c r="T132" s="70" t="str">
        <f ca="1">IF(OR($B132="",$AF132=""),"",IF(INDEX(MUSTERILER!$K$7:$K$156,$AF132)="","",INDEX(MUSTERILER!$K$7:$K$156,$AF132)))</f>
        <v/>
      </c>
      <c r="U132" s="93" t="str">
        <f t="shared" ca="1" si="65"/>
        <v/>
      </c>
      <c r="V132" s="68" t="str">
        <f t="shared" ca="1" si="66"/>
        <v/>
      </c>
      <c r="W132" s="65" t="str">
        <f t="shared" ca="1" si="67"/>
        <v/>
      </c>
      <c r="X132" s="2">
        <f ca="1">IF($B132="",0,SUMIFS(UCRETLER!$J$7:$J$606,UCRETLER!$B$7:$B$606,$B132))</f>
        <v>0</v>
      </c>
      <c r="Y132" s="2">
        <f ca="1">IF($B132="",0,SUMIFS(UCRETLER!$K$7:$K$606,UCRETLER!$B$7:$B$606,$B132))</f>
        <v>0</v>
      </c>
      <c r="Z132" s="1">
        <f ca="1">IF($B132="",0,SUMIFS(UCRETLER!$L$7:$L$606,UCRETLER!$B$7:$B$606,$B132))</f>
        <v>0</v>
      </c>
      <c r="AA132" s="1">
        <f t="shared" ca="1" si="68"/>
        <v>0</v>
      </c>
      <c r="AB132" s="1">
        <f t="shared" ca="1" si="69"/>
        <v>0</v>
      </c>
      <c r="AC132" s="1">
        <f t="shared" ca="1" si="70"/>
        <v>0</v>
      </c>
      <c r="AD132" s="1">
        <f t="shared" ca="1" si="71"/>
        <v>0</v>
      </c>
      <c r="AE132" s="1">
        <f t="shared" ca="1" si="72"/>
        <v>0</v>
      </c>
      <c r="AF132" s="1" t="str">
        <f ca="1">IFERROR(MATCH(ROW()-6,MUSTERILER!$U$7:$U$156,0),"")</f>
        <v/>
      </c>
      <c r="AG132" s="1">
        <f ca="1">IF($B132="",0,SUMIFS(GELIR_GIDER!$G$7:$G$3001,GELIR_GIDER!$T$7:$T$3001,$B132))</f>
        <v>0</v>
      </c>
    </row>
    <row r="133" spans="1:33" ht="18" customHeight="1" x14ac:dyDescent="0.3">
      <c r="A133" s="2"/>
      <c r="B133" s="65" t="str">
        <f ca="1">IF($AF133="","",INDEX(MUSTERILER!$B$7:$B$156,$AF133))</f>
        <v/>
      </c>
      <c r="C133" s="74" t="str">
        <f ca="1">IF($AF133="","",INDEX(MUSTERILER!$C$7:$C$156,$AF133))</f>
        <v/>
      </c>
      <c r="D133" s="68" t="str">
        <f ca="1">IF($B133="","",SUMIFS(UCRETLER!$G$7:$G$606,UCRETLER!$B$7:$B$606,$B133,UCRETLER!$F$7:$F$606,"Haftalık",UCRETLER!$H$7:$H$606,"Aktif"))</f>
        <v/>
      </c>
      <c r="E133" s="68" t="str">
        <f ca="1">IF($B133="","",SUMIFS(UCRETLER!$G$7:$G$606,UCRETLER!$B$7:$B$606,$B133,UCRETLER!$F$7:$F$606,"Aylık",UCRETLER!$H$7:$H$606,"Aktif"))</f>
        <v/>
      </c>
      <c r="F133" s="68" t="str">
        <f ca="1">IF($B133="","",SUMIFS(MUSTERILER!$J$7:$J$156,MUSTERILER!$B$7:$B$156,$B133))</f>
        <v/>
      </c>
      <c r="G133" s="68" t="str">
        <f ca="1">IF($B133="","",SUMIFS(UCRETLER!$I$7:$I$606,UCRETLER!$B$7:$B$606,$B133)+SUMIFS(GELIR_GIDER!$G$7:$G$3001,GELIR_GIDER!$T$7:$T$3001,$B133))</f>
        <v/>
      </c>
      <c r="H133" s="68" t="str">
        <f t="shared" ca="1" si="55"/>
        <v/>
      </c>
      <c r="I133" s="68" t="str">
        <f ca="1">IF($B133="","",SUMIFS(TAHSILAT!$F$7:$F$2503,TAHSILAT!$C$7:$C$2503,$B133))</f>
        <v/>
      </c>
      <c r="J133" s="68" t="str">
        <f t="shared" ca="1" si="56"/>
        <v/>
      </c>
      <c r="K133" s="68" t="str">
        <f t="shared" ca="1" si="57"/>
        <v/>
      </c>
      <c r="L133" s="68" t="str">
        <f t="shared" ca="1" si="58"/>
        <v/>
      </c>
      <c r="M133" s="68" t="str">
        <f t="shared" ca="1" si="59"/>
        <v/>
      </c>
      <c r="N133" s="68" t="str">
        <f t="shared" ca="1" si="60"/>
        <v/>
      </c>
      <c r="O133" s="92" t="str">
        <f t="shared" ca="1" si="61"/>
        <v/>
      </c>
      <c r="P133" s="70" t="str">
        <f ca="1">IF($B133="","",IFERROR(LOOKUP(2,1/(TAHSILAT!$C$7:$C$2503=$B133),TAHSILAT!$E$7:$E$2503),""))</f>
        <v/>
      </c>
      <c r="Q133" s="65" t="str">
        <f t="shared" ca="1" si="62"/>
        <v/>
      </c>
      <c r="R133" s="74" t="str">
        <f t="shared" ca="1" si="63"/>
        <v/>
      </c>
      <c r="S133" s="93" t="str">
        <f t="shared" ca="1" si="64"/>
        <v/>
      </c>
      <c r="T133" s="70" t="str">
        <f ca="1">IF(OR($B133="",$AF133=""),"",IF(INDEX(MUSTERILER!$K$7:$K$156,$AF133)="","",INDEX(MUSTERILER!$K$7:$K$156,$AF133)))</f>
        <v/>
      </c>
      <c r="U133" s="93" t="str">
        <f t="shared" ca="1" si="65"/>
        <v/>
      </c>
      <c r="V133" s="68" t="str">
        <f t="shared" ca="1" si="66"/>
        <v/>
      </c>
      <c r="W133" s="65" t="str">
        <f t="shared" ca="1" si="67"/>
        <v/>
      </c>
      <c r="X133" s="2">
        <f ca="1">IF($B133="",0,SUMIFS(UCRETLER!$J$7:$J$606,UCRETLER!$B$7:$B$606,$B133))</f>
        <v>0</v>
      </c>
      <c r="Y133" s="2">
        <f ca="1">IF($B133="",0,SUMIFS(UCRETLER!$K$7:$K$606,UCRETLER!$B$7:$B$606,$B133))</f>
        <v>0</v>
      </c>
      <c r="Z133" s="1">
        <f ca="1">IF($B133="",0,SUMIFS(UCRETLER!$L$7:$L$606,UCRETLER!$B$7:$B$606,$B133))</f>
        <v>0</v>
      </c>
      <c r="AA133" s="1">
        <f t="shared" ca="1" si="68"/>
        <v>0</v>
      </c>
      <c r="AB133" s="1">
        <f t="shared" ca="1" si="69"/>
        <v>0</v>
      </c>
      <c r="AC133" s="1">
        <f t="shared" ca="1" si="70"/>
        <v>0</v>
      </c>
      <c r="AD133" s="1">
        <f t="shared" ca="1" si="71"/>
        <v>0</v>
      </c>
      <c r="AE133" s="1">
        <f t="shared" ca="1" si="72"/>
        <v>0</v>
      </c>
      <c r="AF133" s="1" t="str">
        <f ca="1">IFERROR(MATCH(ROW()-6,MUSTERILER!$U$7:$U$156,0),"")</f>
        <v/>
      </c>
      <c r="AG133" s="1">
        <f ca="1">IF($B133="",0,SUMIFS(GELIR_GIDER!$G$7:$G$3001,GELIR_GIDER!$T$7:$T$3001,$B133))</f>
        <v>0</v>
      </c>
    </row>
    <row r="134" spans="1:33" ht="18" customHeight="1" x14ac:dyDescent="0.3">
      <c r="A134" s="2"/>
      <c r="B134" s="65" t="str">
        <f ca="1">IF($AF134="","",INDEX(MUSTERILER!$B$7:$B$156,$AF134))</f>
        <v/>
      </c>
      <c r="C134" s="74" t="str">
        <f ca="1">IF($AF134="","",INDEX(MUSTERILER!$C$7:$C$156,$AF134))</f>
        <v/>
      </c>
      <c r="D134" s="68" t="str">
        <f ca="1">IF($B134="","",SUMIFS(UCRETLER!$G$7:$G$606,UCRETLER!$B$7:$B$606,$B134,UCRETLER!$F$7:$F$606,"Haftalık",UCRETLER!$H$7:$H$606,"Aktif"))</f>
        <v/>
      </c>
      <c r="E134" s="68" t="str">
        <f ca="1">IF($B134="","",SUMIFS(UCRETLER!$G$7:$G$606,UCRETLER!$B$7:$B$606,$B134,UCRETLER!$F$7:$F$606,"Aylık",UCRETLER!$H$7:$H$606,"Aktif"))</f>
        <v/>
      </c>
      <c r="F134" s="68" t="str">
        <f ca="1">IF($B134="","",SUMIFS(MUSTERILER!$J$7:$J$156,MUSTERILER!$B$7:$B$156,$B134))</f>
        <v/>
      </c>
      <c r="G134" s="68" t="str">
        <f ca="1">IF($B134="","",SUMIFS(UCRETLER!$I$7:$I$606,UCRETLER!$B$7:$B$606,$B134)+SUMIFS(GELIR_GIDER!$G$7:$G$3001,GELIR_GIDER!$T$7:$T$3001,$B134))</f>
        <v/>
      </c>
      <c r="H134" s="68" t="str">
        <f t="shared" ca="1" si="55"/>
        <v/>
      </c>
      <c r="I134" s="68" t="str">
        <f ca="1">IF($B134="","",SUMIFS(TAHSILAT!$F$7:$F$2503,TAHSILAT!$C$7:$C$2503,$B134))</f>
        <v/>
      </c>
      <c r="J134" s="68" t="str">
        <f t="shared" ca="1" si="56"/>
        <v/>
      </c>
      <c r="K134" s="68" t="str">
        <f t="shared" ca="1" si="57"/>
        <v/>
      </c>
      <c r="L134" s="68" t="str">
        <f t="shared" ca="1" si="58"/>
        <v/>
      </c>
      <c r="M134" s="68" t="str">
        <f t="shared" ca="1" si="59"/>
        <v/>
      </c>
      <c r="N134" s="68" t="str">
        <f t="shared" ca="1" si="60"/>
        <v/>
      </c>
      <c r="O134" s="92" t="str">
        <f t="shared" ca="1" si="61"/>
        <v/>
      </c>
      <c r="P134" s="70" t="str">
        <f ca="1">IF($B134="","",IFERROR(LOOKUP(2,1/(TAHSILAT!$C$7:$C$2503=$B134),TAHSILAT!$E$7:$E$2503),""))</f>
        <v/>
      </c>
      <c r="Q134" s="65" t="str">
        <f t="shared" ca="1" si="62"/>
        <v/>
      </c>
      <c r="R134" s="74" t="str">
        <f t="shared" ca="1" si="63"/>
        <v/>
      </c>
      <c r="S134" s="93" t="str">
        <f t="shared" ca="1" si="64"/>
        <v/>
      </c>
      <c r="T134" s="70" t="str">
        <f ca="1">IF(OR($B134="",$AF134=""),"",IF(INDEX(MUSTERILER!$K$7:$K$156,$AF134)="","",INDEX(MUSTERILER!$K$7:$K$156,$AF134)))</f>
        <v/>
      </c>
      <c r="U134" s="93" t="str">
        <f t="shared" ca="1" si="65"/>
        <v/>
      </c>
      <c r="V134" s="68" t="str">
        <f t="shared" ca="1" si="66"/>
        <v/>
      </c>
      <c r="W134" s="65" t="str">
        <f t="shared" ca="1" si="67"/>
        <v/>
      </c>
      <c r="X134" s="2">
        <f ca="1">IF($B134="",0,SUMIFS(UCRETLER!$J$7:$J$606,UCRETLER!$B$7:$B$606,$B134))</f>
        <v>0</v>
      </c>
      <c r="Y134" s="2">
        <f ca="1">IF($B134="",0,SUMIFS(UCRETLER!$K$7:$K$606,UCRETLER!$B$7:$B$606,$B134))</f>
        <v>0</v>
      </c>
      <c r="Z134" s="1">
        <f ca="1">IF($B134="",0,SUMIFS(UCRETLER!$L$7:$L$606,UCRETLER!$B$7:$B$606,$B134))</f>
        <v>0</v>
      </c>
      <c r="AA134" s="1">
        <f t="shared" ca="1" si="68"/>
        <v>0</v>
      </c>
      <c r="AB134" s="1">
        <f t="shared" ca="1" si="69"/>
        <v>0</v>
      </c>
      <c r="AC134" s="1">
        <f t="shared" ca="1" si="70"/>
        <v>0</v>
      </c>
      <c r="AD134" s="1">
        <f t="shared" ca="1" si="71"/>
        <v>0</v>
      </c>
      <c r="AE134" s="1">
        <f t="shared" ca="1" si="72"/>
        <v>0</v>
      </c>
      <c r="AF134" s="1" t="str">
        <f ca="1">IFERROR(MATCH(ROW()-6,MUSTERILER!$U$7:$U$156,0),"")</f>
        <v/>
      </c>
      <c r="AG134" s="1">
        <f ca="1">IF($B134="",0,SUMIFS(GELIR_GIDER!$G$7:$G$3001,GELIR_GIDER!$T$7:$T$3001,$B134))</f>
        <v>0</v>
      </c>
    </row>
    <row r="135" spans="1:33" ht="18" customHeight="1" x14ac:dyDescent="0.3">
      <c r="A135" s="2"/>
      <c r="B135" s="65" t="str">
        <f ca="1">IF($AF135="","",INDEX(MUSTERILER!$B$7:$B$156,$AF135))</f>
        <v/>
      </c>
      <c r="C135" s="74" t="str">
        <f ca="1">IF($AF135="","",INDEX(MUSTERILER!$C$7:$C$156,$AF135))</f>
        <v/>
      </c>
      <c r="D135" s="68" t="str">
        <f ca="1">IF($B135="","",SUMIFS(UCRETLER!$G$7:$G$606,UCRETLER!$B$7:$B$606,$B135,UCRETLER!$F$7:$F$606,"Haftalık",UCRETLER!$H$7:$H$606,"Aktif"))</f>
        <v/>
      </c>
      <c r="E135" s="68" t="str">
        <f ca="1">IF($B135="","",SUMIFS(UCRETLER!$G$7:$G$606,UCRETLER!$B$7:$B$606,$B135,UCRETLER!$F$7:$F$606,"Aylık",UCRETLER!$H$7:$H$606,"Aktif"))</f>
        <v/>
      </c>
      <c r="F135" s="68" t="str">
        <f ca="1">IF($B135="","",SUMIFS(MUSTERILER!$J$7:$J$156,MUSTERILER!$B$7:$B$156,$B135))</f>
        <v/>
      </c>
      <c r="G135" s="68" t="str">
        <f ca="1">IF($B135="","",SUMIFS(UCRETLER!$I$7:$I$606,UCRETLER!$B$7:$B$606,$B135)+SUMIFS(GELIR_GIDER!$G$7:$G$3001,GELIR_GIDER!$T$7:$T$3001,$B135))</f>
        <v/>
      </c>
      <c r="H135" s="68" t="str">
        <f t="shared" ref="H135:H156" ca="1" si="73">IF($B135="","",$F135+$G135)</f>
        <v/>
      </c>
      <c r="I135" s="68" t="str">
        <f ca="1">IF($B135="","",SUMIFS(TAHSILAT!$F$7:$F$2503,TAHSILAT!$C$7:$C$2503,$B135))</f>
        <v/>
      </c>
      <c r="J135" s="68" t="str">
        <f t="shared" ref="J135:J156" ca="1" si="74">IF($B135="","",MAX(0,$H135-$I135))</f>
        <v/>
      </c>
      <c r="K135" s="68" t="str">
        <f t="shared" ref="K135:K156" ca="1" si="75">IF($B135="","",MAX(0,$J135-$L135-$M135-$N135))</f>
        <v/>
      </c>
      <c r="L135" s="68" t="str">
        <f t="shared" ref="L135:L156" ca="1" si="76">IF($B135="","",($AC135-$AD135)+IF(AND($AB135&gt;0,$T135&lt;&gt;"",$U135&gt;=8,$U135&lt;15),$AB135,0))</f>
        <v/>
      </c>
      <c r="M135" s="68" t="str">
        <f t="shared" ref="M135:M156" ca="1" si="77">IF($B135="","",($AD135-$AE135)+IF(AND($AB135&gt;0,$T135&lt;&gt;"",$U135&gt;=15,$U135&lt;29),$AB135,0))</f>
        <v/>
      </c>
      <c r="N135" s="68" t="str">
        <f t="shared" ref="N135:N156" ca="1" si="78">IF($B135="","",$AE135+IF(AND($AB135&gt;0,OR($T135="",$U135&gt;=29)),$AB135,0))</f>
        <v/>
      </c>
      <c r="O135" s="92" t="str">
        <f t="shared" ref="O135:O156" ca="1" si="79">IF($B135="","",IFERROR($I135/$H135,0))</f>
        <v/>
      </c>
      <c r="P135" s="70" t="str">
        <f ca="1">IF($B135="","",IFERROR(LOOKUP(2,1/(TAHSILAT!$C$7:$C$2503=$B135),TAHSILAT!$E$7:$E$2503),""))</f>
        <v/>
      </c>
      <c r="Q135" s="65" t="str">
        <f t="shared" ref="Q135:Q156" ca="1" si="80">IF($B135="","",IF($N135&gt;0,"KRİTİK",IF($M135&gt;0,"YÜKSEK",IF($L135&gt;0,"ORTA",IF($J135&gt;0,"İZLE","TEMİZ")))))</f>
        <v/>
      </c>
      <c r="R135" s="74" t="str">
        <f t="shared" ref="R135:R156" ca="1" si="81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93" t="str">
        <f t="shared" ref="S135:S156" ca="1" si="82">IF($B135="","",0)</f>
        <v/>
      </c>
      <c r="T135" s="70" t="str">
        <f ca="1">IF(OR($B135="",$AF135=""),"",IF(INDEX(MUSTERILER!$K$7:$K$156,$AF135)="","",INDEX(MUSTERILER!$K$7:$K$156,$AF135)))</f>
        <v/>
      </c>
      <c r="U135" s="93" t="str">
        <f t="shared" ref="U135:U156" ca="1" si="83">IF(OR($B135="",$T135=""),"",TODAY()-$T135)</f>
        <v/>
      </c>
      <c r="V135" s="68" t="str">
        <f t="shared" ref="V135:V156" ca="1" si="84">IF($B135="","",MAX(0,$I135-$H135))</f>
        <v/>
      </c>
      <c r="W135" s="65" t="str">
        <f t="shared" ref="W135:W156" ca="1" si="85">IF($B135="","",IF(AND(ABS($J135-($K135+$L135+$M135+$N135))&lt;0.01,ABS(($J135-$V135)-($H135-$I135))&lt;0.01),"UYGUN","İNCELE"))</f>
        <v/>
      </c>
      <c r="X135" s="2">
        <f ca="1">IF($B135="",0,SUMIFS(UCRETLER!$J$7:$J$606,UCRETLER!$B$7:$B$606,$B135))</f>
        <v>0</v>
      </c>
      <c r="Y135" s="2">
        <f ca="1">IF($B135="",0,SUMIFS(UCRETLER!$K$7:$K$606,UCRETLER!$B$7:$B$606,$B135))</f>
        <v>0</v>
      </c>
      <c r="Z135" s="1">
        <f ca="1">IF($B135="",0,SUMIFS(UCRETLER!$L$7:$L$606,UCRETLER!$B$7:$B$606,$B135))</f>
        <v>0</v>
      </c>
      <c r="AA135" s="1">
        <f t="shared" ref="AA135:AA156" ca="1" si="86">IF($B135="",0,MAX(0,$I135-$F135))</f>
        <v>0</v>
      </c>
      <c r="AB135" s="1">
        <f t="shared" ref="AB135:AB156" ca="1" si="87">IF($B135="",0,MAX(0,$F135-$I135))</f>
        <v>0</v>
      </c>
      <c r="AC135" s="1">
        <f t="shared" ref="AC135:AC156" ca="1" si="88">IF($B135="",0,MAX(0,$X135-$AA135))</f>
        <v>0</v>
      </c>
      <c r="AD135" s="1">
        <f t="shared" ref="AD135:AD156" ca="1" si="89">IF($B135="",0,MAX(0,$Y135-$AA135))</f>
        <v>0</v>
      </c>
      <c r="AE135" s="1">
        <f t="shared" ref="AE135:AE156" ca="1" si="90">IF($B135="",0,MAX(0,$Z135-$AA135))</f>
        <v>0</v>
      </c>
      <c r="AF135" s="1" t="str">
        <f ca="1">IFERROR(MATCH(ROW()-6,MUSTERILER!$U$7:$U$156,0),"")</f>
        <v/>
      </c>
      <c r="AG135" s="1">
        <f ca="1">IF($B135="",0,SUMIFS(GELIR_GIDER!$G$7:$G$3001,GELIR_GIDER!$T$7:$T$3001,$B135))</f>
        <v>0</v>
      </c>
    </row>
    <row r="136" spans="1:33" ht="18" customHeight="1" x14ac:dyDescent="0.3">
      <c r="A136" s="2"/>
      <c r="B136" s="65" t="str">
        <f ca="1">IF($AF136="","",INDEX(MUSTERILER!$B$7:$B$156,$AF136))</f>
        <v/>
      </c>
      <c r="C136" s="74" t="str">
        <f ca="1">IF($AF136="","",INDEX(MUSTERILER!$C$7:$C$156,$AF136))</f>
        <v/>
      </c>
      <c r="D136" s="68" t="str">
        <f ca="1">IF($B136="","",SUMIFS(UCRETLER!$G$7:$G$606,UCRETLER!$B$7:$B$606,$B136,UCRETLER!$F$7:$F$606,"Haftalık",UCRETLER!$H$7:$H$606,"Aktif"))</f>
        <v/>
      </c>
      <c r="E136" s="68" t="str">
        <f ca="1">IF($B136="","",SUMIFS(UCRETLER!$G$7:$G$606,UCRETLER!$B$7:$B$606,$B136,UCRETLER!$F$7:$F$606,"Aylık",UCRETLER!$H$7:$H$606,"Aktif"))</f>
        <v/>
      </c>
      <c r="F136" s="68" t="str">
        <f ca="1">IF($B136="","",SUMIFS(MUSTERILER!$J$7:$J$156,MUSTERILER!$B$7:$B$156,$B136))</f>
        <v/>
      </c>
      <c r="G136" s="68" t="str">
        <f ca="1">IF($B136="","",SUMIFS(UCRETLER!$I$7:$I$606,UCRETLER!$B$7:$B$606,$B136)+SUMIFS(GELIR_GIDER!$G$7:$G$3001,GELIR_GIDER!$T$7:$T$3001,$B136))</f>
        <v/>
      </c>
      <c r="H136" s="68" t="str">
        <f t="shared" ca="1" si="73"/>
        <v/>
      </c>
      <c r="I136" s="68" t="str">
        <f ca="1">IF($B136="","",SUMIFS(TAHSILAT!$F$7:$F$2503,TAHSILAT!$C$7:$C$2503,$B136))</f>
        <v/>
      </c>
      <c r="J136" s="68" t="str">
        <f t="shared" ca="1" si="74"/>
        <v/>
      </c>
      <c r="K136" s="68" t="str">
        <f t="shared" ca="1" si="75"/>
        <v/>
      </c>
      <c r="L136" s="68" t="str">
        <f t="shared" ca="1" si="76"/>
        <v/>
      </c>
      <c r="M136" s="68" t="str">
        <f t="shared" ca="1" si="77"/>
        <v/>
      </c>
      <c r="N136" s="68" t="str">
        <f t="shared" ca="1" si="78"/>
        <v/>
      </c>
      <c r="O136" s="92" t="str">
        <f t="shared" ca="1" si="79"/>
        <v/>
      </c>
      <c r="P136" s="70" t="str">
        <f ca="1">IF($B136="","",IFERROR(LOOKUP(2,1/(TAHSILAT!$C$7:$C$2503=$B136),TAHSILAT!$E$7:$E$2503),""))</f>
        <v/>
      </c>
      <c r="Q136" s="65" t="str">
        <f t="shared" ca="1" si="80"/>
        <v/>
      </c>
      <c r="R136" s="74" t="str">
        <f t="shared" ca="1" si="81"/>
        <v/>
      </c>
      <c r="S136" s="93" t="str">
        <f t="shared" ca="1" si="82"/>
        <v/>
      </c>
      <c r="T136" s="70" t="str">
        <f ca="1">IF(OR($B136="",$AF136=""),"",IF(INDEX(MUSTERILER!$K$7:$K$156,$AF136)="","",INDEX(MUSTERILER!$K$7:$K$156,$AF136)))</f>
        <v/>
      </c>
      <c r="U136" s="93" t="str">
        <f t="shared" ca="1" si="83"/>
        <v/>
      </c>
      <c r="V136" s="68" t="str">
        <f t="shared" ca="1" si="84"/>
        <v/>
      </c>
      <c r="W136" s="65" t="str">
        <f t="shared" ca="1" si="85"/>
        <v/>
      </c>
      <c r="X136" s="2">
        <f ca="1">IF($B136="",0,SUMIFS(UCRETLER!$J$7:$J$606,UCRETLER!$B$7:$B$606,$B136))</f>
        <v>0</v>
      </c>
      <c r="Y136" s="2">
        <f ca="1">IF($B136="",0,SUMIFS(UCRETLER!$K$7:$K$606,UCRETLER!$B$7:$B$606,$B136))</f>
        <v>0</v>
      </c>
      <c r="Z136" s="1">
        <f ca="1">IF($B136="",0,SUMIFS(UCRETLER!$L$7:$L$606,UCRETLER!$B$7:$B$606,$B136))</f>
        <v>0</v>
      </c>
      <c r="AA136" s="1">
        <f t="shared" ca="1" si="86"/>
        <v>0</v>
      </c>
      <c r="AB136" s="1">
        <f t="shared" ca="1" si="87"/>
        <v>0</v>
      </c>
      <c r="AC136" s="1">
        <f t="shared" ca="1" si="88"/>
        <v>0</v>
      </c>
      <c r="AD136" s="1">
        <f t="shared" ca="1" si="89"/>
        <v>0</v>
      </c>
      <c r="AE136" s="1">
        <f t="shared" ca="1" si="90"/>
        <v>0</v>
      </c>
      <c r="AF136" s="1" t="str">
        <f ca="1">IFERROR(MATCH(ROW()-6,MUSTERILER!$U$7:$U$156,0),"")</f>
        <v/>
      </c>
      <c r="AG136" s="1">
        <f ca="1">IF($B136="",0,SUMIFS(GELIR_GIDER!$G$7:$G$3001,GELIR_GIDER!$T$7:$T$3001,$B136))</f>
        <v>0</v>
      </c>
    </row>
    <row r="137" spans="1:33" ht="18" customHeight="1" x14ac:dyDescent="0.3">
      <c r="A137" s="2"/>
      <c r="B137" s="65" t="str">
        <f ca="1">IF($AF137="","",INDEX(MUSTERILER!$B$7:$B$156,$AF137))</f>
        <v/>
      </c>
      <c r="C137" s="74" t="str">
        <f ca="1">IF($AF137="","",INDEX(MUSTERILER!$C$7:$C$156,$AF137))</f>
        <v/>
      </c>
      <c r="D137" s="68" t="str">
        <f ca="1">IF($B137="","",SUMIFS(UCRETLER!$G$7:$G$606,UCRETLER!$B$7:$B$606,$B137,UCRETLER!$F$7:$F$606,"Haftalık",UCRETLER!$H$7:$H$606,"Aktif"))</f>
        <v/>
      </c>
      <c r="E137" s="68" t="str">
        <f ca="1">IF($B137="","",SUMIFS(UCRETLER!$G$7:$G$606,UCRETLER!$B$7:$B$606,$B137,UCRETLER!$F$7:$F$606,"Aylık",UCRETLER!$H$7:$H$606,"Aktif"))</f>
        <v/>
      </c>
      <c r="F137" s="68" t="str">
        <f ca="1">IF($B137="","",SUMIFS(MUSTERILER!$J$7:$J$156,MUSTERILER!$B$7:$B$156,$B137))</f>
        <v/>
      </c>
      <c r="G137" s="68" t="str">
        <f ca="1">IF($B137="","",SUMIFS(UCRETLER!$I$7:$I$606,UCRETLER!$B$7:$B$606,$B137)+SUMIFS(GELIR_GIDER!$G$7:$G$3001,GELIR_GIDER!$T$7:$T$3001,$B137))</f>
        <v/>
      </c>
      <c r="H137" s="68" t="str">
        <f t="shared" ca="1" si="73"/>
        <v/>
      </c>
      <c r="I137" s="68" t="str">
        <f ca="1">IF($B137="","",SUMIFS(TAHSILAT!$F$7:$F$2503,TAHSILAT!$C$7:$C$2503,$B137))</f>
        <v/>
      </c>
      <c r="J137" s="68" t="str">
        <f t="shared" ca="1" si="74"/>
        <v/>
      </c>
      <c r="K137" s="68" t="str">
        <f t="shared" ca="1" si="75"/>
        <v/>
      </c>
      <c r="L137" s="68" t="str">
        <f t="shared" ca="1" si="76"/>
        <v/>
      </c>
      <c r="M137" s="68" t="str">
        <f t="shared" ca="1" si="77"/>
        <v/>
      </c>
      <c r="N137" s="68" t="str">
        <f t="shared" ca="1" si="78"/>
        <v/>
      </c>
      <c r="O137" s="92" t="str">
        <f t="shared" ca="1" si="79"/>
        <v/>
      </c>
      <c r="P137" s="70" t="str">
        <f ca="1">IF($B137="","",IFERROR(LOOKUP(2,1/(TAHSILAT!$C$7:$C$2503=$B137),TAHSILAT!$E$7:$E$2503),""))</f>
        <v/>
      </c>
      <c r="Q137" s="65" t="str">
        <f t="shared" ca="1" si="80"/>
        <v/>
      </c>
      <c r="R137" s="74" t="str">
        <f t="shared" ca="1" si="81"/>
        <v/>
      </c>
      <c r="S137" s="93" t="str">
        <f t="shared" ca="1" si="82"/>
        <v/>
      </c>
      <c r="T137" s="70" t="str">
        <f ca="1">IF(OR($B137="",$AF137=""),"",IF(INDEX(MUSTERILER!$K$7:$K$156,$AF137)="","",INDEX(MUSTERILER!$K$7:$K$156,$AF137)))</f>
        <v/>
      </c>
      <c r="U137" s="93" t="str">
        <f t="shared" ca="1" si="83"/>
        <v/>
      </c>
      <c r="V137" s="68" t="str">
        <f t="shared" ca="1" si="84"/>
        <v/>
      </c>
      <c r="W137" s="65" t="str">
        <f t="shared" ca="1" si="85"/>
        <v/>
      </c>
      <c r="X137" s="2">
        <f ca="1">IF($B137="",0,SUMIFS(UCRETLER!$J$7:$J$606,UCRETLER!$B$7:$B$606,$B137))</f>
        <v>0</v>
      </c>
      <c r="Y137" s="2">
        <f ca="1">IF($B137="",0,SUMIFS(UCRETLER!$K$7:$K$606,UCRETLER!$B$7:$B$606,$B137))</f>
        <v>0</v>
      </c>
      <c r="Z137" s="1">
        <f ca="1">IF($B137="",0,SUMIFS(UCRETLER!$L$7:$L$606,UCRETLER!$B$7:$B$606,$B137))</f>
        <v>0</v>
      </c>
      <c r="AA137" s="1">
        <f t="shared" ca="1" si="86"/>
        <v>0</v>
      </c>
      <c r="AB137" s="1">
        <f t="shared" ca="1" si="87"/>
        <v>0</v>
      </c>
      <c r="AC137" s="1">
        <f t="shared" ca="1" si="88"/>
        <v>0</v>
      </c>
      <c r="AD137" s="1">
        <f t="shared" ca="1" si="89"/>
        <v>0</v>
      </c>
      <c r="AE137" s="1">
        <f t="shared" ca="1" si="90"/>
        <v>0</v>
      </c>
      <c r="AF137" s="1" t="str">
        <f ca="1">IFERROR(MATCH(ROW()-6,MUSTERILER!$U$7:$U$156,0),"")</f>
        <v/>
      </c>
      <c r="AG137" s="1">
        <f ca="1">IF($B137="",0,SUMIFS(GELIR_GIDER!$G$7:$G$3001,GELIR_GIDER!$T$7:$T$3001,$B137))</f>
        <v>0</v>
      </c>
    </row>
    <row r="138" spans="1:33" ht="18" customHeight="1" x14ac:dyDescent="0.3">
      <c r="A138" s="2"/>
      <c r="B138" s="65" t="str">
        <f ca="1">IF($AF138="","",INDEX(MUSTERILER!$B$7:$B$156,$AF138))</f>
        <v/>
      </c>
      <c r="C138" s="74" t="str">
        <f ca="1">IF($AF138="","",INDEX(MUSTERILER!$C$7:$C$156,$AF138))</f>
        <v/>
      </c>
      <c r="D138" s="68" t="str">
        <f ca="1">IF($B138="","",SUMIFS(UCRETLER!$G$7:$G$606,UCRETLER!$B$7:$B$606,$B138,UCRETLER!$F$7:$F$606,"Haftalık",UCRETLER!$H$7:$H$606,"Aktif"))</f>
        <v/>
      </c>
      <c r="E138" s="68" t="str">
        <f ca="1">IF($B138="","",SUMIFS(UCRETLER!$G$7:$G$606,UCRETLER!$B$7:$B$606,$B138,UCRETLER!$F$7:$F$606,"Aylık",UCRETLER!$H$7:$H$606,"Aktif"))</f>
        <v/>
      </c>
      <c r="F138" s="68" t="str">
        <f ca="1">IF($B138="","",SUMIFS(MUSTERILER!$J$7:$J$156,MUSTERILER!$B$7:$B$156,$B138))</f>
        <v/>
      </c>
      <c r="G138" s="68" t="str">
        <f ca="1">IF($B138="","",SUMIFS(UCRETLER!$I$7:$I$606,UCRETLER!$B$7:$B$606,$B138)+SUMIFS(GELIR_GIDER!$G$7:$G$3001,GELIR_GIDER!$T$7:$T$3001,$B138))</f>
        <v/>
      </c>
      <c r="H138" s="68" t="str">
        <f t="shared" ca="1" si="73"/>
        <v/>
      </c>
      <c r="I138" s="68" t="str">
        <f ca="1">IF($B138="","",SUMIFS(TAHSILAT!$F$7:$F$2503,TAHSILAT!$C$7:$C$2503,$B138))</f>
        <v/>
      </c>
      <c r="J138" s="68" t="str">
        <f t="shared" ca="1" si="74"/>
        <v/>
      </c>
      <c r="K138" s="68" t="str">
        <f t="shared" ca="1" si="75"/>
        <v/>
      </c>
      <c r="L138" s="68" t="str">
        <f t="shared" ca="1" si="76"/>
        <v/>
      </c>
      <c r="M138" s="68" t="str">
        <f t="shared" ca="1" si="77"/>
        <v/>
      </c>
      <c r="N138" s="68" t="str">
        <f t="shared" ca="1" si="78"/>
        <v/>
      </c>
      <c r="O138" s="92" t="str">
        <f t="shared" ca="1" si="79"/>
        <v/>
      </c>
      <c r="P138" s="70" t="str">
        <f ca="1">IF($B138="","",IFERROR(LOOKUP(2,1/(TAHSILAT!$C$7:$C$2503=$B138),TAHSILAT!$E$7:$E$2503),""))</f>
        <v/>
      </c>
      <c r="Q138" s="65" t="str">
        <f t="shared" ca="1" si="80"/>
        <v/>
      </c>
      <c r="R138" s="74" t="str">
        <f t="shared" ca="1" si="81"/>
        <v/>
      </c>
      <c r="S138" s="93" t="str">
        <f t="shared" ca="1" si="82"/>
        <v/>
      </c>
      <c r="T138" s="70" t="str">
        <f ca="1">IF(OR($B138="",$AF138=""),"",IF(INDEX(MUSTERILER!$K$7:$K$156,$AF138)="","",INDEX(MUSTERILER!$K$7:$K$156,$AF138)))</f>
        <v/>
      </c>
      <c r="U138" s="93" t="str">
        <f t="shared" ca="1" si="83"/>
        <v/>
      </c>
      <c r="V138" s="68" t="str">
        <f t="shared" ca="1" si="84"/>
        <v/>
      </c>
      <c r="W138" s="65" t="str">
        <f t="shared" ca="1" si="85"/>
        <v/>
      </c>
      <c r="X138" s="2">
        <f ca="1">IF($B138="",0,SUMIFS(UCRETLER!$J$7:$J$606,UCRETLER!$B$7:$B$606,$B138))</f>
        <v>0</v>
      </c>
      <c r="Y138" s="2">
        <f ca="1">IF($B138="",0,SUMIFS(UCRETLER!$K$7:$K$606,UCRETLER!$B$7:$B$606,$B138))</f>
        <v>0</v>
      </c>
      <c r="Z138" s="1">
        <f ca="1">IF($B138="",0,SUMIFS(UCRETLER!$L$7:$L$606,UCRETLER!$B$7:$B$606,$B138))</f>
        <v>0</v>
      </c>
      <c r="AA138" s="1">
        <f t="shared" ca="1" si="86"/>
        <v>0</v>
      </c>
      <c r="AB138" s="1">
        <f t="shared" ca="1" si="87"/>
        <v>0</v>
      </c>
      <c r="AC138" s="1">
        <f t="shared" ca="1" si="88"/>
        <v>0</v>
      </c>
      <c r="AD138" s="1">
        <f t="shared" ca="1" si="89"/>
        <v>0</v>
      </c>
      <c r="AE138" s="1">
        <f t="shared" ca="1" si="90"/>
        <v>0</v>
      </c>
      <c r="AF138" s="1" t="str">
        <f ca="1">IFERROR(MATCH(ROW()-6,MUSTERILER!$U$7:$U$156,0),"")</f>
        <v/>
      </c>
      <c r="AG138" s="1">
        <f ca="1">IF($B138="",0,SUMIFS(GELIR_GIDER!$G$7:$G$3001,GELIR_GIDER!$T$7:$T$3001,$B138))</f>
        <v>0</v>
      </c>
    </row>
    <row r="139" spans="1:33" ht="18" customHeight="1" x14ac:dyDescent="0.3">
      <c r="A139" s="2"/>
      <c r="B139" s="65" t="str">
        <f ca="1">IF($AF139="","",INDEX(MUSTERILER!$B$7:$B$156,$AF139))</f>
        <v/>
      </c>
      <c r="C139" s="74" t="str">
        <f ca="1">IF($AF139="","",INDEX(MUSTERILER!$C$7:$C$156,$AF139))</f>
        <v/>
      </c>
      <c r="D139" s="68" t="str">
        <f ca="1">IF($B139="","",SUMIFS(UCRETLER!$G$7:$G$606,UCRETLER!$B$7:$B$606,$B139,UCRETLER!$F$7:$F$606,"Haftalık",UCRETLER!$H$7:$H$606,"Aktif"))</f>
        <v/>
      </c>
      <c r="E139" s="68" t="str">
        <f ca="1">IF($B139="","",SUMIFS(UCRETLER!$G$7:$G$606,UCRETLER!$B$7:$B$606,$B139,UCRETLER!$F$7:$F$606,"Aylık",UCRETLER!$H$7:$H$606,"Aktif"))</f>
        <v/>
      </c>
      <c r="F139" s="68" t="str">
        <f ca="1">IF($B139="","",SUMIFS(MUSTERILER!$J$7:$J$156,MUSTERILER!$B$7:$B$156,$B139))</f>
        <v/>
      </c>
      <c r="G139" s="68" t="str">
        <f ca="1">IF($B139="","",SUMIFS(UCRETLER!$I$7:$I$606,UCRETLER!$B$7:$B$606,$B139)+SUMIFS(GELIR_GIDER!$G$7:$G$3001,GELIR_GIDER!$T$7:$T$3001,$B139))</f>
        <v/>
      </c>
      <c r="H139" s="68" t="str">
        <f t="shared" ca="1" si="73"/>
        <v/>
      </c>
      <c r="I139" s="68" t="str">
        <f ca="1">IF($B139="","",SUMIFS(TAHSILAT!$F$7:$F$2503,TAHSILAT!$C$7:$C$2503,$B139))</f>
        <v/>
      </c>
      <c r="J139" s="68" t="str">
        <f t="shared" ca="1" si="74"/>
        <v/>
      </c>
      <c r="K139" s="68" t="str">
        <f t="shared" ca="1" si="75"/>
        <v/>
      </c>
      <c r="L139" s="68" t="str">
        <f t="shared" ca="1" si="76"/>
        <v/>
      </c>
      <c r="M139" s="68" t="str">
        <f t="shared" ca="1" si="77"/>
        <v/>
      </c>
      <c r="N139" s="68" t="str">
        <f t="shared" ca="1" si="78"/>
        <v/>
      </c>
      <c r="O139" s="92" t="str">
        <f t="shared" ca="1" si="79"/>
        <v/>
      </c>
      <c r="P139" s="70" t="str">
        <f ca="1">IF($B139="","",IFERROR(LOOKUP(2,1/(TAHSILAT!$C$7:$C$2503=$B139),TAHSILAT!$E$7:$E$2503),""))</f>
        <v/>
      </c>
      <c r="Q139" s="65" t="str">
        <f t="shared" ca="1" si="80"/>
        <v/>
      </c>
      <c r="R139" s="74" t="str">
        <f t="shared" ca="1" si="81"/>
        <v/>
      </c>
      <c r="S139" s="93" t="str">
        <f t="shared" ca="1" si="82"/>
        <v/>
      </c>
      <c r="T139" s="70" t="str">
        <f ca="1">IF(OR($B139="",$AF139=""),"",IF(INDEX(MUSTERILER!$K$7:$K$156,$AF139)="","",INDEX(MUSTERILER!$K$7:$K$156,$AF139)))</f>
        <v/>
      </c>
      <c r="U139" s="93" t="str">
        <f t="shared" ca="1" si="83"/>
        <v/>
      </c>
      <c r="V139" s="68" t="str">
        <f t="shared" ca="1" si="84"/>
        <v/>
      </c>
      <c r="W139" s="65" t="str">
        <f t="shared" ca="1" si="85"/>
        <v/>
      </c>
      <c r="X139" s="2">
        <f ca="1">IF($B139="",0,SUMIFS(UCRETLER!$J$7:$J$606,UCRETLER!$B$7:$B$606,$B139))</f>
        <v>0</v>
      </c>
      <c r="Y139" s="2">
        <f ca="1">IF($B139="",0,SUMIFS(UCRETLER!$K$7:$K$606,UCRETLER!$B$7:$B$606,$B139))</f>
        <v>0</v>
      </c>
      <c r="Z139" s="1">
        <f ca="1">IF($B139="",0,SUMIFS(UCRETLER!$L$7:$L$606,UCRETLER!$B$7:$B$606,$B139))</f>
        <v>0</v>
      </c>
      <c r="AA139" s="1">
        <f t="shared" ca="1" si="86"/>
        <v>0</v>
      </c>
      <c r="AB139" s="1">
        <f t="shared" ca="1" si="87"/>
        <v>0</v>
      </c>
      <c r="AC139" s="1">
        <f t="shared" ca="1" si="88"/>
        <v>0</v>
      </c>
      <c r="AD139" s="1">
        <f t="shared" ca="1" si="89"/>
        <v>0</v>
      </c>
      <c r="AE139" s="1">
        <f t="shared" ca="1" si="90"/>
        <v>0</v>
      </c>
      <c r="AF139" s="1" t="str">
        <f ca="1">IFERROR(MATCH(ROW()-6,MUSTERILER!$U$7:$U$156,0),"")</f>
        <v/>
      </c>
      <c r="AG139" s="1">
        <f ca="1">IF($B139="",0,SUMIFS(GELIR_GIDER!$G$7:$G$3001,GELIR_GIDER!$T$7:$T$3001,$B139))</f>
        <v>0</v>
      </c>
    </row>
    <row r="140" spans="1:33" ht="18" customHeight="1" x14ac:dyDescent="0.3">
      <c r="A140" s="2"/>
      <c r="B140" s="65" t="str">
        <f ca="1">IF($AF140="","",INDEX(MUSTERILER!$B$7:$B$156,$AF140))</f>
        <v/>
      </c>
      <c r="C140" s="74" t="str">
        <f ca="1">IF($AF140="","",INDEX(MUSTERILER!$C$7:$C$156,$AF140))</f>
        <v/>
      </c>
      <c r="D140" s="68" t="str">
        <f ca="1">IF($B140="","",SUMIFS(UCRETLER!$G$7:$G$606,UCRETLER!$B$7:$B$606,$B140,UCRETLER!$F$7:$F$606,"Haftalık",UCRETLER!$H$7:$H$606,"Aktif"))</f>
        <v/>
      </c>
      <c r="E140" s="68" t="str">
        <f ca="1">IF($B140="","",SUMIFS(UCRETLER!$G$7:$G$606,UCRETLER!$B$7:$B$606,$B140,UCRETLER!$F$7:$F$606,"Aylık",UCRETLER!$H$7:$H$606,"Aktif"))</f>
        <v/>
      </c>
      <c r="F140" s="68" t="str">
        <f ca="1">IF($B140="","",SUMIFS(MUSTERILER!$J$7:$J$156,MUSTERILER!$B$7:$B$156,$B140))</f>
        <v/>
      </c>
      <c r="G140" s="68" t="str">
        <f ca="1">IF($B140="","",SUMIFS(UCRETLER!$I$7:$I$606,UCRETLER!$B$7:$B$606,$B140)+SUMIFS(GELIR_GIDER!$G$7:$G$3001,GELIR_GIDER!$T$7:$T$3001,$B140))</f>
        <v/>
      </c>
      <c r="H140" s="68" t="str">
        <f t="shared" ca="1" si="73"/>
        <v/>
      </c>
      <c r="I140" s="68" t="str">
        <f ca="1">IF($B140="","",SUMIFS(TAHSILAT!$F$7:$F$2503,TAHSILAT!$C$7:$C$2503,$B140))</f>
        <v/>
      </c>
      <c r="J140" s="68" t="str">
        <f t="shared" ca="1" si="74"/>
        <v/>
      </c>
      <c r="K140" s="68" t="str">
        <f t="shared" ca="1" si="75"/>
        <v/>
      </c>
      <c r="L140" s="68" t="str">
        <f t="shared" ca="1" si="76"/>
        <v/>
      </c>
      <c r="M140" s="68" t="str">
        <f t="shared" ca="1" si="77"/>
        <v/>
      </c>
      <c r="N140" s="68" t="str">
        <f t="shared" ca="1" si="78"/>
        <v/>
      </c>
      <c r="O140" s="92" t="str">
        <f t="shared" ca="1" si="79"/>
        <v/>
      </c>
      <c r="P140" s="70" t="str">
        <f ca="1">IF($B140="","",IFERROR(LOOKUP(2,1/(TAHSILAT!$C$7:$C$2503=$B140),TAHSILAT!$E$7:$E$2503),""))</f>
        <v/>
      </c>
      <c r="Q140" s="65" t="str">
        <f t="shared" ca="1" si="80"/>
        <v/>
      </c>
      <c r="R140" s="74" t="str">
        <f t="shared" ca="1" si="81"/>
        <v/>
      </c>
      <c r="S140" s="93" t="str">
        <f t="shared" ca="1" si="82"/>
        <v/>
      </c>
      <c r="T140" s="70" t="str">
        <f ca="1">IF(OR($B140="",$AF140=""),"",IF(INDEX(MUSTERILER!$K$7:$K$156,$AF140)="","",INDEX(MUSTERILER!$K$7:$K$156,$AF140)))</f>
        <v/>
      </c>
      <c r="U140" s="93" t="str">
        <f t="shared" ca="1" si="83"/>
        <v/>
      </c>
      <c r="V140" s="68" t="str">
        <f t="shared" ca="1" si="84"/>
        <v/>
      </c>
      <c r="W140" s="65" t="str">
        <f t="shared" ca="1" si="85"/>
        <v/>
      </c>
      <c r="X140" s="2">
        <f ca="1">IF($B140="",0,SUMIFS(UCRETLER!$J$7:$J$606,UCRETLER!$B$7:$B$606,$B140))</f>
        <v>0</v>
      </c>
      <c r="Y140" s="2">
        <f ca="1">IF($B140="",0,SUMIFS(UCRETLER!$K$7:$K$606,UCRETLER!$B$7:$B$606,$B140))</f>
        <v>0</v>
      </c>
      <c r="Z140" s="1">
        <f ca="1">IF($B140="",0,SUMIFS(UCRETLER!$L$7:$L$606,UCRETLER!$B$7:$B$606,$B140))</f>
        <v>0</v>
      </c>
      <c r="AA140" s="1">
        <f t="shared" ca="1" si="86"/>
        <v>0</v>
      </c>
      <c r="AB140" s="1">
        <f t="shared" ca="1" si="87"/>
        <v>0</v>
      </c>
      <c r="AC140" s="1">
        <f t="shared" ca="1" si="88"/>
        <v>0</v>
      </c>
      <c r="AD140" s="1">
        <f t="shared" ca="1" si="89"/>
        <v>0</v>
      </c>
      <c r="AE140" s="1">
        <f t="shared" ca="1" si="90"/>
        <v>0</v>
      </c>
      <c r="AF140" s="1" t="str">
        <f ca="1">IFERROR(MATCH(ROW()-6,MUSTERILER!$U$7:$U$156,0),"")</f>
        <v/>
      </c>
      <c r="AG140" s="1">
        <f ca="1">IF($B140="",0,SUMIFS(GELIR_GIDER!$G$7:$G$3001,GELIR_GIDER!$T$7:$T$3001,$B140))</f>
        <v>0</v>
      </c>
    </row>
    <row r="141" spans="1:33" ht="18" customHeight="1" x14ac:dyDescent="0.3">
      <c r="A141" s="2"/>
      <c r="B141" s="65" t="str">
        <f ca="1">IF($AF141="","",INDEX(MUSTERILER!$B$7:$B$156,$AF141))</f>
        <v/>
      </c>
      <c r="C141" s="74" t="str">
        <f ca="1">IF($AF141="","",INDEX(MUSTERILER!$C$7:$C$156,$AF141))</f>
        <v/>
      </c>
      <c r="D141" s="68" t="str">
        <f ca="1">IF($B141="","",SUMIFS(UCRETLER!$G$7:$G$606,UCRETLER!$B$7:$B$606,$B141,UCRETLER!$F$7:$F$606,"Haftalık",UCRETLER!$H$7:$H$606,"Aktif"))</f>
        <v/>
      </c>
      <c r="E141" s="68" t="str">
        <f ca="1">IF($B141="","",SUMIFS(UCRETLER!$G$7:$G$606,UCRETLER!$B$7:$B$606,$B141,UCRETLER!$F$7:$F$606,"Aylık",UCRETLER!$H$7:$H$606,"Aktif"))</f>
        <v/>
      </c>
      <c r="F141" s="68" t="str">
        <f ca="1">IF($B141="","",SUMIFS(MUSTERILER!$J$7:$J$156,MUSTERILER!$B$7:$B$156,$B141))</f>
        <v/>
      </c>
      <c r="G141" s="68" t="str">
        <f ca="1">IF($B141="","",SUMIFS(UCRETLER!$I$7:$I$606,UCRETLER!$B$7:$B$606,$B141)+SUMIFS(GELIR_GIDER!$G$7:$G$3001,GELIR_GIDER!$T$7:$T$3001,$B141))</f>
        <v/>
      </c>
      <c r="H141" s="68" t="str">
        <f t="shared" ca="1" si="73"/>
        <v/>
      </c>
      <c r="I141" s="68" t="str">
        <f ca="1">IF($B141="","",SUMIFS(TAHSILAT!$F$7:$F$2503,TAHSILAT!$C$7:$C$2503,$B141))</f>
        <v/>
      </c>
      <c r="J141" s="68" t="str">
        <f t="shared" ca="1" si="74"/>
        <v/>
      </c>
      <c r="K141" s="68" t="str">
        <f t="shared" ca="1" si="75"/>
        <v/>
      </c>
      <c r="L141" s="68" t="str">
        <f t="shared" ca="1" si="76"/>
        <v/>
      </c>
      <c r="M141" s="68" t="str">
        <f t="shared" ca="1" si="77"/>
        <v/>
      </c>
      <c r="N141" s="68" t="str">
        <f t="shared" ca="1" si="78"/>
        <v/>
      </c>
      <c r="O141" s="92" t="str">
        <f t="shared" ca="1" si="79"/>
        <v/>
      </c>
      <c r="P141" s="70" t="str">
        <f ca="1">IF($B141="","",IFERROR(LOOKUP(2,1/(TAHSILAT!$C$7:$C$2503=$B141),TAHSILAT!$E$7:$E$2503),""))</f>
        <v/>
      </c>
      <c r="Q141" s="65" t="str">
        <f t="shared" ca="1" si="80"/>
        <v/>
      </c>
      <c r="R141" s="74" t="str">
        <f t="shared" ca="1" si="81"/>
        <v/>
      </c>
      <c r="S141" s="93" t="str">
        <f t="shared" ca="1" si="82"/>
        <v/>
      </c>
      <c r="T141" s="70" t="str">
        <f ca="1">IF(OR($B141="",$AF141=""),"",IF(INDEX(MUSTERILER!$K$7:$K$156,$AF141)="","",INDEX(MUSTERILER!$K$7:$K$156,$AF141)))</f>
        <v/>
      </c>
      <c r="U141" s="93" t="str">
        <f t="shared" ca="1" si="83"/>
        <v/>
      </c>
      <c r="V141" s="68" t="str">
        <f t="shared" ca="1" si="84"/>
        <v/>
      </c>
      <c r="W141" s="65" t="str">
        <f t="shared" ca="1" si="85"/>
        <v/>
      </c>
      <c r="X141" s="2">
        <f ca="1">IF($B141="",0,SUMIFS(UCRETLER!$J$7:$J$606,UCRETLER!$B$7:$B$606,$B141))</f>
        <v>0</v>
      </c>
      <c r="Y141" s="2">
        <f ca="1">IF($B141="",0,SUMIFS(UCRETLER!$K$7:$K$606,UCRETLER!$B$7:$B$606,$B141))</f>
        <v>0</v>
      </c>
      <c r="Z141" s="1">
        <f ca="1">IF($B141="",0,SUMIFS(UCRETLER!$L$7:$L$606,UCRETLER!$B$7:$B$606,$B141))</f>
        <v>0</v>
      </c>
      <c r="AA141" s="1">
        <f t="shared" ca="1" si="86"/>
        <v>0</v>
      </c>
      <c r="AB141" s="1">
        <f t="shared" ca="1" si="87"/>
        <v>0</v>
      </c>
      <c r="AC141" s="1">
        <f t="shared" ca="1" si="88"/>
        <v>0</v>
      </c>
      <c r="AD141" s="1">
        <f t="shared" ca="1" si="89"/>
        <v>0</v>
      </c>
      <c r="AE141" s="1">
        <f t="shared" ca="1" si="90"/>
        <v>0</v>
      </c>
      <c r="AF141" s="1" t="str">
        <f ca="1">IFERROR(MATCH(ROW()-6,MUSTERILER!$U$7:$U$156,0),"")</f>
        <v/>
      </c>
      <c r="AG141" s="1">
        <f ca="1">IF($B141="",0,SUMIFS(GELIR_GIDER!$G$7:$G$3001,GELIR_GIDER!$T$7:$T$3001,$B141))</f>
        <v>0</v>
      </c>
    </row>
    <row r="142" spans="1:33" ht="18" customHeight="1" x14ac:dyDescent="0.3">
      <c r="A142" s="2"/>
      <c r="B142" s="65" t="str">
        <f ca="1">IF($AF142="","",INDEX(MUSTERILER!$B$7:$B$156,$AF142))</f>
        <v/>
      </c>
      <c r="C142" s="74" t="str">
        <f ca="1">IF($AF142="","",INDEX(MUSTERILER!$C$7:$C$156,$AF142))</f>
        <v/>
      </c>
      <c r="D142" s="68" t="str">
        <f ca="1">IF($B142="","",SUMIFS(UCRETLER!$G$7:$G$606,UCRETLER!$B$7:$B$606,$B142,UCRETLER!$F$7:$F$606,"Haftalık",UCRETLER!$H$7:$H$606,"Aktif"))</f>
        <v/>
      </c>
      <c r="E142" s="68" t="str">
        <f ca="1">IF($B142="","",SUMIFS(UCRETLER!$G$7:$G$606,UCRETLER!$B$7:$B$606,$B142,UCRETLER!$F$7:$F$606,"Aylık",UCRETLER!$H$7:$H$606,"Aktif"))</f>
        <v/>
      </c>
      <c r="F142" s="68" t="str">
        <f ca="1">IF($B142="","",SUMIFS(MUSTERILER!$J$7:$J$156,MUSTERILER!$B$7:$B$156,$B142))</f>
        <v/>
      </c>
      <c r="G142" s="68" t="str">
        <f ca="1">IF($B142="","",SUMIFS(UCRETLER!$I$7:$I$606,UCRETLER!$B$7:$B$606,$B142)+SUMIFS(GELIR_GIDER!$G$7:$G$3001,GELIR_GIDER!$T$7:$T$3001,$B142))</f>
        <v/>
      </c>
      <c r="H142" s="68" t="str">
        <f t="shared" ca="1" si="73"/>
        <v/>
      </c>
      <c r="I142" s="68" t="str">
        <f ca="1">IF($B142="","",SUMIFS(TAHSILAT!$F$7:$F$2503,TAHSILAT!$C$7:$C$2503,$B142))</f>
        <v/>
      </c>
      <c r="J142" s="68" t="str">
        <f t="shared" ca="1" si="74"/>
        <v/>
      </c>
      <c r="K142" s="68" t="str">
        <f t="shared" ca="1" si="75"/>
        <v/>
      </c>
      <c r="L142" s="68" t="str">
        <f t="shared" ca="1" si="76"/>
        <v/>
      </c>
      <c r="M142" s="68" t="str">
        <f t="shared" ca="1" si="77"/>
        <v/>
      </c>
      <c r="N142" s="68" t="str">
        <f t="shared" ca="1" si="78"/>
        <v/>
      </c>
      <c r="O142" s="92" t="str">
        <f t="shared" ca="1" si="79"/>
        <v/>
      </c>
      <c r="P142" s="70" t="str">
        <f ca="1">IF($B142="","",IFERROR(LOOKUP(2,1/(TAHSILAT!$C$7:$C$2503=$B142),TAHSILAT!$E$7:$E$2503),""))</f>
        <v/>
      </c>
      <c r="Q142" s="65" t="str">
        <f t="shared" ca="1" si="80"/>
        <v/>
      </c>
      <c r="R142" s="74" t="str">
        <f t="shared" ca="1" si="81"/>
        <v/>
      </c>
      <c r="S142" s="93" t="str">
        <f t="shared" ca="1" si="82"/>
        <v/>
      </c>
      <c r="T142" s="70" t="str">
        <f ca="1">IF(OR($B142="",$AF142=""),"",IF(INDEX(MUSTERILER!$K$7:$K$156,$AF142)="","",INDEX(MUSTERILER!$K$7:$K$156,$AF142)))</f>
        <v/>
      </c>
      <c r="U142" s="93" t="str">
        <f t="shared" ca="1" si="83"/>
        <v/>
      </c>
      <c r="V142" s="68" t="str">
        <f t="shared" ca="1" si="84"/>
        <v/>
      </c>
      <c r="W142" s="65" t="str">
        <f t="shared" ca="1" si="85"/>
        <v/>
      </c>
      <c r="X142" s="2">
        <f ca="1">IF($B142="",0,SUMIFS(UCRETLER!$J$7:$J$606,UCRETLER!$B$7:$B$606,$B142))</f>
        <v>0</v>
      </c>
      <c r="Y142" s="2">
        <f ca="1">IF($B142="",0,SUMIFS(UCRETLER!$K$7:$K$606,UCRETLER!$B$7:$B$606,$B142))</f>
        <v>0</v>
      </c>
      <c r="Z142" s="1">
        <f ca="1">IF($B142="",0,SUMIFS(UCRETLER!$L$7:$L$606,UCRETLER!$B$7:$B$606,$B142))</f>
        <v>0</v>
      </c>
      <c r="AA142" s="1">
        <f t="shared" ca="1" si="86"/>
        <v>0</v>
      </c>
      <c r="AB142" s="1">
        <f t="shared" ca="1" si="87"/>
        <v>0</v>
      </c>
      <c r="AC142" s="1">
        <f t="shared" ca="1" si="88"/>
        <v>0</v>
      </c>
      <c r="AD142" s="1">
        <f t="shared" ca="1" si="89"/>
        <v>0</v>
      </c>
      <c r="AE142" s="1">
        <f t="shared" ca="1" si="90"/>
        <v>0</v>
      </c>
      <c r="AF142" s="1" t="str">
        <f ca="1">IFERROR(MATCH(ROW()-6,MUSTERILER!$U$7:$U$156,0),"")</f>
        <v/>
      </c>
      <c r="AG142" s="1">
        <f ca="1">IF($B142="",0,SUMIFS(GELIR_GIDER!$G$7:$G$3001,GELIR_GIDER!$T$7:$T$3001,$B142))</f>
        <v>0</v>
      </c>
    </row>
    <row r="143" spans="1:33" ht="18" customHeight="1" x14ac:dyDescent="0.3">
      <c r="A143" s="2"/>
      <c r="B143" s="65" t="str">
        <f ca="1">IF($AF143="","",INDEX(MUSTERILER!$B$7:$B$156,$AF143))</f>
        <v/>
      </c>
      <c r="C143" s="74" t="str">
        <f ca="1">IF($AF143="","",INDEX(MUSTERILER!$C$7:$C$156,$AF143))</f>
        <v/>
      </c>
      <c r="D143" s="68" t="str">
        <f ca="1">IF($B143="","",SUMIFS(UCRETLER!$G$7:$G$606,UCRETLER!$B$7:$B$606,$B143,UCRETLER!$F$7:$F$606,"Haftalık",UCRETLER!$H$7:$H$606,"Aktif"))</f>
        <v/>
      </c>
      <c r="E143" s="68" t="str">
        <f ca="1">IF($B143="","",SUMIFS(UCRETLER!$G$7:$G$606,UCRETLER!$B$7:$B$606,$B143,UCRETLER!$F$7:$F$606,"Aylık",UCRETLER!$H$7:$H$606,"Aktif"))</f>
        <v/>
      </c>
      <c r="F143" s="68" t="str">
        <f ca="1">IF($B143="","",SUMIFS(MUSTERILER!$J$7:$J$156,MUSTERILER!$B$7:$B$156,$B143))</f>
        <v/>
      </c>
      <c r="G143" s="68" t="str">
        <f ca="1">IF($B143="","",SUMIFS(UCRETLER!$I$7:$I$606,UCRETLER!$B$7:$B$606,$B143)+SUMIFS(GELIR_GIDER!$G$7:$G$3001,GELIR_GIDER!$T$7:$T$3001,$B143))</f>
        <v/>
      </c>
      <c r="H143" s="68" t="str">
        <f t="shared" ca="1" si="73"/>
        <v/>
      </c>
      <c r="I143" s="68" t="str">
        <f ca="1">IF($B143="","",SUMIFS(TAHSILAT!$F$7:$F$2503,TAHSILAT!$C$7:$C$2503,$B143))</f>
        <v/>
      </c>
      <c r="J143" s="68" t="str">
        <f t="shared" ca="1" si="74"/>
        <v/>
      </c>
      <c r="K143" s="68" t="str">
        <f t="shared" ca="1" si="75"/>
        <v/>
      </c>
      <c r="L143" s="68" t="str">
        <f t="shared" ca="1" si="76"/>
        <v/>
      </c>
      <c r="M143" s="68" t="str">
        <f t="shared" ca="1" si="77"/>
        <v/>
      </c>
      <c r="N143" s="68" t="str">
        <f t="shared" ca="1" si="78"/>
        <v/>
      </c>
      <c r="O143" s="92" t="str">
        <f t="shared" ca="1" si="79"/>
        <v/>
      </c>
      <c r="P143" s="70" t="str">
        <f ca="1">IF($B143="","",IFERROR(LOOKUP(2,1/(TAHSILAT!$C$7:$C$2503=$B143),TAHSILAT!$E$7:$E$2503),""))</f>
        <v/>
      </c>
      <c r="Q143" s="65" t="str">
        <f t="shared" ca="1" si="80"/>
        <v/>
      </c>
      <c r="R143" s="74" t="str">
        <f t="shared" ca="1" si="81"/>
        <v/>
      </c>
      <c r="S143" s="93" t="str">
        <f t="shared" ca="1" si="82"/>
        <v/>
      </c>
      <c r="T143" s="70" t="str">
        <f ca="1">IF(OR($B143="",$AF143=""),"",IF(INDEX(MUSTERILER!$K$7:$K$156,$AF143)="","",INDEX(MUSTERILER!$K$7:$K$156,$AF143)))</f>
        <v/>
      </c>
      <c r="U143" s="93" t="str">
        <f t="shared" ca="1" si="83"/>
        <v/>
      </c>
      <c r="V143" s="68" t="str">
        <f t="shared" ca="1" si="84"/>
        <v/>
      </c>
      <c r="W143" s="65" t="str">
        <f t="shared" ca="1" si="85"/>
        <v/>
      </c>
      <c r="X143" s="2">
        <f ca="1">IF($B143="",0,SUMIFS(UCRETLER!$J$7:$J$606,UCRETLER!$B$7:$B$606,$B143))</f>
        <v>0</v>
      </c>
      <c r="Y143" s="2">
        <f ca="1">IF($B143="",0,SUMIFS(UCRETLER!$K$7:$K$606,UCRETLER!$B$7:$B$606,$B143))</f>
        <v>0</v>
      </c>
      <c r="Z143" s="1">
        <f ca="1">IF($B143="",0,SUMIFS(UCRETLER!$L$7:$L$606,UCRETLER!$B$7:$B$606,$B143))</f>
        <v>0</v>
      </c>
      <c r="AA143" s="1">
        <f t="shared" ca="1" si="86"/>
        <v>0</v>
      </c>
      <c r="AB143" s="1">
        <f t="shared" ca="1" si="87"/>
        <v>0</v>
      </c>
      <c r="AC143" s="1">
        <f t="shared" ca="1" si="88"/>
        <v>0</v>
      </c>
      <c r="AD143" s="1">
        <f t="shared" ca="1" si="89"/>
        <v>0</v>
      </c>
      <c r="AE143" s="1">
        <f t="shared" ca="1" si="90"/>
        <v>0</v>
      </c>
      <c r="AF143" s="1" t="str">
        <f ca="1">IFERROR(MATCH(ROW()-6,MUSTERILER!$U$7:$U$156,0),"")</f>
        <v/>
      </c>
      <c r="AG143" s="1">
        <f ca="1">IF($B143="",0,SUMIFS(GELIR_GIDER!$G$7:$G$3001,GELIR_GIDER!$T$7:$T$3001,$B143))</f>
        <v>0</v>
      </c>
    </row>
    <row r="144" spans="1:33" ht="18" customHeight="1" x14ac:dyDescent="0.3">
      <c r="A144" s="2"/>
      <c r="B144" s="65" t="str">
        <f ca="1">IF($AF144="","",INDEX(MUSTERILER!$B$7:$B$156,$AF144))</f>
        <v/>
      </c>
      <c r="C144" s="74" t="str">
        <f ca="1">IF($AF144="","",INDEX(MUSTERILER!$C$7:$C$156,$AF144))</f>
        <v/>
      </c>
      <c r="D144" s="68" t="str">
        <f ca="1">IF($B144="","",SUMIFS(UCRETLER!$G$7:$G$606,UCRETLER!$B$7:$B$606,$B144,UCRETLER!$F$7:$F$606,"Haftalık",UCRETLER!$H$7:$H$606,"Aktif"))</f>
        <v/>
      </c>
      <c r="E144" s="68" t="str">
        <f ca="1">IF($B144="","",SUMIFS(UCRETLER!$G$7:$G$606,UCRETLER!$B$7:$B$606,$B144,UCRETLER!$F$7:$F$606,"Aylık",UCRETLER!$H$7:$H$606,"Aktif"))</f>
        <v/>
      </c>
      <c r="F144" s="68" t="str">
        <f ca="1">IF($B144="","",SUMIFS(MUSTERILER!$J$7:$J$156,MUSTERILER!$B$7:$B$156,$B144))</f>
        <v/>
      </c>
      <c r="G144" s="68" t="str">
        <f ca="1">IF($B144="","",SUMIFS(UCRETLER!$I$7:$I$606,UCRETLER!$B$7:$B$606,$B144)+SUMIFS(GELIR_GIDER!$G$7:$G$3001,GELIR_GIDER!$T$7:$T$3001,$B144))</f>
        <v/>
      </c>
      <c r="H144" s="68" t="str">
        <f t="shared" ca="1" si="73"/>
        <v/>
      </c>
      <c r="I144" s="68" t="str">
        <f ca="1">IF($B144="","",SUMIFS(TAHSILAT!$F$7:$F$2503,TAHSILAT!$C$7:$C$2503,$B144))</f>
        <v/>
      </c>
      <c r="J144" s="68" t="str">
        <f t="shared" ca="1" si="74"/>
        <v/>
      </c>
      <c r="K144" s="68" t="str">
        <f t="shared" ca="1" si="75"/>
        <v/>
      </c>
      <c r="L144" s="68" t="str">
        <f t="shared" ca="1" si="76"/>
        <v/>
      </c>
      <c r="M144" s="68" t="str">
        <f t="shared" ca="1" si="77"/>
        <v/>
      </c>
      <c r="N144" s="68" t="str">
        <f t="shared" ca="1" si="78"/>
        <v/>
      </c>
      <c r="O144" s="92" t="str">
        <f t="shared" ca="1" si="79"/>
        <v/>
      </c>
      <c r="P144" s="70" t="str">
        <f ca="1">IF($B144="","",IFERROR(LOOKUP(2,1/(TAHSILAT!$C$7:$C$2503=$B144),TAHSILAT!$E$7:$E$2503),""))</f>
        <v/>
      </c>
      <c r="Q144" s="65" t="str">
        <f t="shared" ca="1" si="80"/>
        <v/>
      </c>
      <c r="R144" s="74" t="str">
        <f t="shared" ca="1" si="81"/>
        <v/>
      </c>
      <c r="S144" s="93" t="str">
        <f t="shared" ca="1" si="82"/>
        <v/>
      </c>
      <c r="T144" s="70" t="str">
        <f ca="1">IF(OR($B144="",$AF144=""),"",IF(INDEX(MUSTERILER!$K$7:$K$156,$AF144)="","",INDEX(MUSTERILER!$K$7:$K$156,$AF144)))</f>
        <v/>
      </c>
      <c r="U144" s="93" t="str">
        <f t="shared" ca="1" si="83"/>
        <v/>
      </c>
      <c r="V144" s="68" t="str">
        <f t="shared" ca="1" si="84"/>
        <v/>
      </c>
      <c r="W144" s="65" t="str">
        <f t="shared" ca="1" si="85"/>
        <v/>
      </c>
      <c r="X144" s="2">
        <f ca="1">IF($B144="",0,SUMIFS(UCRETLER!$J$7:$J$606,UCRETLER!$B$7:$B$606,$B144))</f>
        <v>0</v>
      </c>
      <c r="Y144" s="2">
        <f ca="1">IF($B144="",0,SUMIFS(UCRETLER!$K$7:$K$606,UCRETLER!$B$7:$B$606,$B144))</f>
        <v>0</v>
      </c>
      <c r="Z144" s="1">
        <f ca="1">IF($B144="",0,SUMIFS(UCRETLER!$L$7:$L$606,UCRETLER!$B$7:$B$606,$B144))</f>
        <v>0</v>
      </c>
      <c r="AA144" s="1">
        <f t="shared" ca="1" si="86"/>
        <v>0</v>
      </c>
      <c r="AB144" s="1">
        <f t="shared" ca="1" si="87"/>
        <v>0</v>
      </c>
      <c r="AC144" s="1">
        <f t="shared" ca="1" si="88"/>
        <v>0</v>
      </c>
      <c r="AD144" s="1">
        <f t="shared" ca="1" si="89"/>
        <v>0</v>
      </c>
      <c r="AE144" s="1">
        <f t="shared" ca="1" si="90"/>
        <v>0</v>
      </c>
      <c r="AF144" s="1" t="str">
        <f ca="1">IFERROR(MATCH(ROW()-6,MUSTERILER!$U$7:$U$156,0),"")</f>
        <v/>
      </c>
      <c r="AG144" s="1">
        <f ca="1">IF($B144="",0,SUMIFS(GELIR_GIDER!$G$7:$G$3001,GELIR_GIDER!$T$7:$T$3001,$B144))</f>
        <v>0</v>
      </c>
    </row>
    <row r="145" spans="1:33" ht="18" customHeight="1" x14ac:dyDescent="0.3">
      <c r="A145" s="2"/>
      <c r="B145" s="65" t="str">
        <f ca="1">IF($AF145="","",INDEX(MUSTERILER!$B$7:$B$156,$AF145))</f>
        <v/>
      </c>
      <c r="C145" s="74" t="str">
        <f ca="1">IF($AF145="","",INDEX(MUSTERILER!$C$7:$C$156,$AF145))</f>
        <v/>
      </c>
      <c r="D145" s="68" t="str">
        <f ca="1">IF($B145="","",SUMIFS(UCRETLER!$G$7:$G$606,UCRETLER!$B$7:$B$606,$B145,UCRETLER!$F$7:$F$606,"Haftalık",UCRETLER!$H$7:$H$606,"Aktif"))</f>
        <v/>
      </c>
      <c r="E145" s="68" t="str">
        <f ca="1">IF($B145="","",SUMIFS(UCRETLER!$G$7:$G$606,UCRETLER!$B$7:$B$606,$B145,UCRETLER!$F$7:$F$606,"Aylık",UCRETLER!$H$7:$H$606,"Aktif"))</f>
        <v/>
      </c>
      <c r="F145" s="68" t="str">
        <f ca="1">IF($B145="","",SUMIFS(MUSTERILER!$J$7:$J$156,MUSTERILER!$B$7:$B$156,$B145))</f>
        <v/>
      </c>
      <c r="G145" s="68" t="str">
        <f ca="1">IF($B145="","",SUMIFS(UCRETLER!$I$7:$I$606,UCRETLER!$B$7:$B$606,$B145)+SUMIFS(GELIR_GIDER!$G$7:$G$3001,GELIR_GIDER!$T$7:$T$3001,$B145))</f>
        <v/>
      </c>
      <c r="H145" s="68" t="str">
        <f t="shared" ca="1" si="73"/>
        <v/>
      </c>
      <c r="I145" s="68" t="str">
        <f ca="1">IF($B145="","",SUMIFS(TAHSILAT!$F$7:$F$2503,TAHSILAT!$C$7:$C$2503,$B145))</f>
        <v/>
      </c>
      <c r="J145" s="68" t="str">
        <f t="shared" ca="1" si="74"/>
        <v/>
      </c>
      <c r="K145" s="68" t="str">
        <f t="shared" ca="1" si="75"/>
        <v/>
      </c>
      <c r="L145" s="68" t="str">
        <f t="shared" ca="1" si="76"/>
        <v/>
      </c>
      <c r="M145" s="68" t="str">
        <f t="shared" ca="1" si="77"/>
        <v/>
      </c>
      <c r="N145" s="68" t="str">
        <f t="shared" ca="1" si="78"/>
        <v/>
      </c>
      <c r="O145" s="92" t="str">
        <f t="shared" ca="1" si="79"/>
        <v/>
      </c>
      <c r="P145" s="70" t="str">
        <f ca="1">IF($B145="","",IFERROR(LOOKUP(2,1/(TAHSILAT!$C$7:$C$2503=$B145),TAHSILAT!$E$7:$E$2503),""))</f>
        <v/>
      </c>
      <c r="Q145" s="65" t="str">
        <f t="shared" ca="1" si="80"/>
        <v/>
      </c>
      <c r="R145" s="74" t="str">
        <f t="shared" ca="1" si="81"/>
        <v/>
      </c>
      <c r="S145" s="93" t="str">
        <f t="shared" ca="1" si="82"/>
        <v/>
      </c>
      <c r="T145" s="70" t="str">
        <f ca="1">IF(OR($B145="",$AF145=""),"",IF(INDEX(MUSTERILER!$K$7:$K$156,$AF145)="","",INDEX(MUSTERILER!$K$7:$K$156,$AF145)))</f>
        <v/>
      </c>
      <c r="U145" s="93" t="str">
        <f t="shared" ca="1" si="83"/>
        <v/>
      </c>
      <c r="V145" s="68" t="str">
        <f t="shared" ca="1" si="84"/>
        <v/>
      </c>
      <c r="W145" s="65" t="str">
        <f t="shared" ca="1" si="85"/>
        <v/>
      </c>
      <c r="X145" s="2">
        <f ca="1">IF($B145="",0,SUMIFS(UCRETLER!$J$7:$J$606,UCRETLER!$B$7:$B$606,$B145))</f>
        <v>0</v>
      </c>
      <c r="Y145" s="2">
        <f ca="1">IF($B145="",0,SUMIFS(UCRETLER!$K$7:$K$606,UCRETLER!$B$7:$B$606,$B145))</f>
        <v>0</v>
      </c>
      <c r="Z145" s="1">
        <f ca="1">IF($B145="",0,SUMIFS(UCRETLER!$L$7:$L$606,UCRETLER!$B$7:$B$606,$B145))</f>
        <v>0</v>
      </c>
      <c r="AA145" s="1">
        <f t="shared" ca="1" si="86"/>
        <v>0</v>
      </c>
      <c r="AB145" s="1">
        <f t="shared" ca="1" si="87"/>
        <v>0</v>
      </c>
      <c r="AC145" s="1">
        <f t="shared" ca="1" si="88"/>
        <v>0</v>
      </c>
      <c r="AD145" s="1">
        <f t="shared" ca="1" si="89"/>
        <v>0</v>
      </c>
      <c r="AE145" s="1">
        <f t="shared" ca="1" si="90"/>
        <v>0</v>
      </c>
      <c r="AF145" s="1" t="str">
        <f ca="1">IFERROR(MATCH(ROW()-6,MUSTERILER!$U$7:$U$156,0),"")</f>
        <v/>
      </c>
      <c r="AG145" s="1">
        <f ca="1">IF($B145="",0,SUMIFS(GELIR_GIDER!$G$7:$G$3001,GELIR_GIDER!$T$7:$T$3001,$B145))</f>
        <v>0</v>
      </c>
    </row>
    <row r="146" spans="1:33" ht="18" customHeight="1" x14ac:dyDescent="0.3">
      <c r="A146" s="2"/>
      <c r="B146" s="65" t="str">
        <f ca="1">IF($AF146="","",INDEX(MUSTERILER!$B$7:$B$156,$AF146))</f>
        <v/>
      </c>
      <c r="C146" s="74" t="str">
        <f ca="1">IF($AF146="","",INDEX(MUSTERILER!$C$7:$C$156,$AF146))</f>
        <v/>
      </c>
      <c r="D146" s="68" t="str">
        <f ca="1">IF($B146="","",SUMIFS(UCRETLER!$G$7:$G$606,UCRETLER!$B$7:$B$606,$B146,UCRETLER!$F$7:$F$606,"Haftalık",UCRETLER!$H$7:$H$606,"Aktif"))</f>
        <v/>
      </c>
      <c r="E146" s="68" t="str">
        <f ca="1">IF($B146="","",SUMIFS(UCRETLER!$G$7:$G$606,UCRETLER!$B$7:$B$606,$B146,UCRETLER!$F$7:$F$606,"Aylık",UCRETLER!$H$7:$H$606,"Aktif"))</f>
        <v/>
      </c>
      <c r="F146" s="68" t="str">
        <f ca="1">IF($B146="","",SUMIFS(MUSTERILER!$J$7:$J$156,MUSTERILER!$B$7:$B$156,$B146))</f>
        <v/>
      </c>
      <c r="G146" s="68" t="str">
        <f ca="1">IF($B146="","",SUMIFS(UCRETLER!$I$7:$I$606,UCRETLER!$B$7:$B$606,$B146)+SUMIFS(GELIR_GIDER!$G$7:$G$3001,GELIR_GIDER!$T$7:$T$3001,$B146))</f>
        <v/>
      </c>
      <c r="H146" s="68" t="str">
        <f t="shared" ca="1" si="73"/>
        <v/>
      </c>
      <c r="I146" s="68" t="str">
        <f ca="1">IF($B146="","",SUMIFS(TAHSILAT!$F$7:$F$2503,TAHSILAT!$C$7:$C$2503,$B146))</f>
        <v/>
      </c>
      <c r="J146" s="68" t="str">
        <f t="shared" ca="1" si="74"/>
        <v/>
      </c>
      <c r="K146" s="68" t="str">
        <f t="shared" ca="1" si="75"/>
        <v/>
      </c>
      <c r="L146" s="68" t="str">
        <f t="shared" ca="1" si="76"/>
        <v/>
      </c>
      <c r="M146" s="68" t="str">
        <f t="shared" ca="1" si="77"/>
        <v/>
      </c>
      <c r="N146" s="68" t="str">
        <f t="shared" ca="1" si="78"/>
        <v/>
      </c>
      <c r="O146" s="92" t="str">
        <f t="shared" ca="1" si="79"/>
        <v/>
      </c>
      <c r="P146" s="70" t="str">
        <f ca="1">IF($B146="","",IFERROR(LOOKUP(2,1/(TAHSILAT!$C$7:$C$2503=$B146),TAHSILAT!$E$7:$E$2503),""))</f>
        <v/>
      </c>
      <c r="Q146" s="65" t="str">
        <f t="shared" ca="1" si="80"/>
        <v/>
      </c>
      <c r="R146" s="74" t="str">
        <f t="shared" ca="1" si="81"/>
        <v/>
      </c>
      <c r="S146" s="93" t="str">
        <f t="shared" ca="1" si="82"/>
        <v/>
      </c>
      <c r="T146" s="70" t="str">
        <f ca="1">IF(OR($B146="",$AF146=""),"",IF(INDEX(MUSTERILER!$K$7:$K$156,$AF146)="","",INDEX(MUSTERILER!$K$7:$K$156,$AF146)))</f>
        <v/>
      </c>
      <c r="U146" s="93" t="str">
        <f t="shared" ca="1" si="83"/>
        <v/>
      </c>
      <c r="V146" s="68" t="str">
        <f t="shared" ca="1" si="84"/>
        <v/>
      </c>
      <c r="W146" s="65" t="str">
        <f t="shared" ca="1" si="85"/>
        <v/>
      </c>
      <c r="X146" s="2">
        <f ca="1">IF($B146="",0,SUMIFS(UCRETLER!$J$7:$J$606,UCRETLER!$B$7:$B$606,$B146))</f>
        <v>0</v>
      </c>
      <c r="Y146" s="2">
        <f ca="1">IF($B146="",0,SUMIFS(UCRETLER!$K$7:$K$606,UCRETLER!$B$7:$B$606,$B146))</f>
        <v>0</v>
      </c>
      <c r="Z146" s="1">
        <f ca="1">IF($B146="",0,SUMIFS(UCRETLER!$L$7:$L$606,UCRETLER!$B$7:$B$606,$B146))</f>
        <v>0</v>
      </c>
      <c r="AA146" s="1">
        <f t="shared" ca="1" si="86"/>
        <v>0</v>
      </c>
      <c r="AB146" s="1">
        <f t="shared" ca="1" si="87"/>
        <v>0</v>
      </c>
      <c r="AC146" s="1">
        <f t="shared" ca="1" si="88"/>
        <v>0</v>
      </c>
      <c r="AD146" s="1">
        <f t="shared" ca="1" si="89"/>
        <v>0</v>
      </c>
      <c r="AE146" s="1">
        <f t="shared" ca="1" si="90"/>
        <v>0</v>
      </c>
      <c r="AF146" s="1" t="str">
        <f ca="1">IFERROR(MATCH(ROW()-6,MUSTERILER!$U$7:$U$156,0),"")</f>
        <v/>
      </c>
      <c r="AG146" s="1">
        <f ca="1">IF($B146="",0,SUMIFS(GELIR_GIDER!$G$7:$G$3001,GELIR_GIDER!$T$7:$T$3001,$B146))</f>
        <v>0</v>
      </c>
    </row>
    <row r="147" spans="1:33" ht="18" customHeight="1" x14ac:dyDescent="0.3">
      <c r="A147" s="2"/>
      <c r="B147" s="65" t="str">
        <f ca="1">IF($AF147="","",INDEX(MUSTERILER!$B$7:$B$156,$AF147))</f>
        <v/>
      </c>
      <c r="C147" s="74" t="str">
        <f ca="1">IF($AF147="","",INDEX(MUSTERILER!$C$7:$C$156,$AF147))</f>
        <v/>
      </c>
      <c r="D147" s="68" t="str">
        <f ca="1">IF($B147="","",SUMIFS(UCRETLER!$G$7:$G$606,UCRETLER!$B$7:$B$606,$B147,UCRETLER!$F$7:$F$606,"Haftalık",UCRETLER!$H$7:$H$606,"Aktif"))</f>
        <v/>
      </c>
      <c r="E147" s="68" t="str">
        <f ca="1">IF($B147="","",SUMIFS(UCRETLER!$G$7:$G$606,UCRETLER!$B$7:$B$606,$B147,UCRETLER!$F$7:$F$606,"Aylık",UCRETLER!$H$7:$H$606,"Aktif"))</f>
        <v/>
      </c>
      <c r="F147" s="68" t="str">
        <f ca="1">IF($B147="","",SUMIFS(MUSTERILER!$J$7:$J$156,MUSTERILER!$B$7:$B$156,$B147))</f>
        <v/>
      </c>
      <c r="G147" s="68" t="str">
        <f ca="1">IF($B147="","",SUMIFS(UCRETLER!$I$7:$I$606,UCRETLER!$B$7:$B$606,$B147)+SUMIFS(GELIR_GIDER!$G$7:$G$3001,GELIR_GIDER!$T$7:$T$3001,$B147))</f>
        <v/>
      </c>
      <c r="H147" s="68" t="str">
        <f t="shared" ca="1" si="73"/>
        <v/>
      </c>
      <c r="I147" s="68" t="str">
        <f ca="1">IF($B147="","",SUMIFS(TAHSILAT!$F$7:$F$2503,TAHSILAT!$C$7:$C$2503,$B147))</f>
        <v/>
      </c>
      <c r="J147" s="68" t="str">
        <f t="shared" ca="1" si="74"/>
        <v/>
      </c>
      <c r="K147" s="68" t="str">
        <f t="shared" ca="1" si="75"/>
        <v/>
      </c>
      <c r="L147" s="68" t="str">
        <f t="shared" ca="1" si="76"/>
        <v/>
      </c>
      <c r="M147" s="68" t="str">
        <f t="shared" ca="1" si="77"/>
        <v/>
      </c>
      <c r="N147" s="68" t="str">
        <f t="shared" ca="1" si="78"/>
        <v/>
      </c>
      <c r="O147" s="92" t="str">
        <f t="shared" ca="1" si="79"/>
        <v/>
      </c>
      <c r="P147" s="70" t="str">
        <f ca="1">IF($B147="","",IFERROR(LOOKUP(2,1/(TAHSILAT!$C$7:$C$2503=$B147),TAHSILAT!$E$7:$E$2503),""))</f>
        <v/>
      </c>
      <c r="Q147" s="65" t="str">
        <f t="shared" ca="1" si="80"/>
        <v/>
      </c>
      <c r="R147" s="74" t="str">
        <f t="shared" ca="1" si="81"/>
        <v/>
      </c>
      <c r="S147" s="93" t="str">
        <f t="shared" ca="1" si="82"/>
        <v/>
      </c>
      <c r="T147" s="70" t="str">
        <f ca="1">IF(OR($B147="",$AF147=""),"",IF(INDEX(MUSTERILER!$K$7:$K$156,$AF147)="","",INDEX(MUSTERILER!$K$7:$K$156,$AF147)))</f>
        <v/>
      </c>
      <c r="U147" s="93" t="str">
        <f t="shared" ca="1" si="83"/>
        <v/>
      </c>
      <c r="V147" s="68" t="str">
        <f t="shared" ca="1" si="84"/>
        <v/>
      </c>
      <c r="W147" s="65" t="str">
        <f t="shared" ca="1" si="85"/>
        <v/>
      </c>
      <c r="X147" s="2">
        <f ca="1">IF($B147="",0,SUMIFS(UCRETLER!$J$7:$J$606,UCRETLER!$B$7:$B$606,$B147))</f>
        <v>0</v>
      </c>
      <c r="Y147" s="2">
        <f ca="1">IF($B147="",0,SUMIFS(UCRETLER!$K$7:$K$606,UCRETLER!$B$7:$B$606,$B147))</f>
        <v>0</v>
      </c>
      <c r="Z147" s="1">
        <f ca="1">IF($B147="",0,SUMIFS(UCRETLER!$L$7:$L$606,UCRETLER!$B$7:$B$606,$B147))</f>
        <v>0</v>
      </c>
      <c r="AA147" s="1">
        <f t="shared" ca="1" si="86"/>
        <v>0</v>
      </c>
      <c r="AB147" s="1">
        <f t="shared" ca="1" si="87"/>
        <v>0</v>
      </c>
      <c r="AC147" s="1">
        <f t="shared" ca="1" si="88"/>
        <v>0</v>
      </c>
      <c r="AD147" s="1">
        <f t="shared" ca="1" si="89"/>
        <v>0</v>
      </c>
      <c r="AE147" s="1">
        <f t="shared" ca="1" si="90"/>
        <v>0</v>
      </c>
      <c r="AF147" s="1" t="str">
        <f ca="1">IFERROR(MATCH(ROW()-6,MUSTERILER!$U$7:$U$156,0),"")</f>
        <v/>
      </c>
      <c r="AG147" s="1">
        <f ca="1">IF($B147="",0,SUMIFS(GELIR_GIDER!$G$7:$G$3001,GELIR_GIDER!$T$7:$T$3001,$B147))</f>
        <v>0</v>
      </c>
    </row>
    <row r="148" spans="1:33" ht="18" customHeight="1" x14ac:dyDescent="0.3">
      <c r="A148" s="2"/>
      <c r="B148" s="65" t="str">
        <f ca="1">IF($AF148="","",INDEX(MUSTERILER!$B$7:$B$156,$AF148))</f>
        <v/>
      </c>
      <c r="C148" s="74" t="str">
        <f ca="1">IF($AF148="","",INDEX(MUSTERILER!$C$7:$C$156,$AF148))</f>
        <v/>
      </c>
      <c r="D148" s="68" t="str">
        <f ca="1">IF($B148="","",SUMIFS(UCRETLER!$G$7:$G$606,UCRETLER!$B$7:$B$606,$B148,UCRETLER!$F$7:$F$606,"Haftalık",UCRETLER!$H$7:$H$606,"Aktif"))</f>
        <v/>
      </c>
      <c r="E148" s="68" t="str">
        <f ca="1">IF($B148="","",SUMIFS(UCRETLER!$G$7:$G$606,UCRETLER!$B$7:$B$606,$B148,UCRETLER!$F$7:$F$606,"Aylık",UCRETLER!$H$7:$H$606,"Aktif"))</f>
        <v/>
      </c>
      <c r="F148" s="68" t="str">
        <f ca="1">IF($B148="","",SUMIFS(MUSTERILER!$J$7:$J$156,MUSTERILER!$B$7:$B$156,$B148))</f>
        <v/>
      </c>
      <c r="G148" s="68" t="str">
        <f ca="1">IF($B148="","",SUMIFS(UCRETLER!$I$7:$I$606,UCRETLER!$B$7:$B$606,$B148)+SUMIFS(GELIR_GIDER!$G$7:$G$3001,GELIR_GIDER!$T$7:$T$3001,$B148))</f>
        <v/>
      </c>
      <c r="H148" s="68" t="str">
        <f t="shared" ca="1" si="73"/>
        <v/>
      </c>
      <c r="I148" s="68" t="str">
        <f ca="1">IF($B148="","",SUMIFS(TAHSILAT!$F$7:$F$2503,TAHSILAT!$C$7:$C$2503,$B148))</f>
        <v/>
      </c>
      <c r="J148" s="68" t="str">
        <f t="shared" ca="1" si="74"/>
        <v/>
      </c>
      <c r="K148" s="68" t="str">
        <f t="shared" ca="1" si="75"/>
        <v/>
      </c>
      <c r="L148" s="68" t="str">
        <f t="shared" ca="1" si="76"/>
        <v/>
      </c>
      <c r="M148" s="68" t="str">
        <f t="shared" ca="1" si="77"/>
        <v/>
      </c>
      <c r="N148" s="68" t="str">
        <f t="shared" ca="1" si="78"/>
        <v/>
      </c>
      <c r="O148" s="92" t="str">
        <f t="shared" ca="1" si="79"/>
        <v/>
      </c>
      <c r="P148" s="70" t="str">
        <f ca="1">IF($B148="","",IFERROR(LOOKUP(2,1/(TAHSILAT!$C$7:$C$2503=$B148),TAHSILAT!$E$7:$E$2503),""))</f>
        <v/>
      </c>
      <c r="Q148" s="65" t="str">
        <f t="shared" ca="1" si="80"/>
        <v/>
      </c>
      <c r="R148" s="74" t="str">
        <f t="shared" ca="1" si="81"/>
        <v/>
      </c>
      <c r="S148" s="93" t="str">
        <f t="shared" ca="1" si="82"/>
        <v/>
      </c>
      <c r="T148" s="70" t="str">
        <f ca="1">IF(OR($B148="",$AF148=""),"",IF(INDEX(MUSTERILER!$K$7:$K$156,$AF148)="","",INDEX(MUSTERILER!$K$7:$K$156,$AF148)))</f>
        <v/>
      </c>
      <c r="U148" s="93" t="str">
        <f t="shared" ca="1" si="83"/>
        <v/>
      </c>
      <c r="V148" s="68" t="str">
        <f t="shared" ca="1" si="84"/>
        <v/>
      </c>
      <c r="W148" s="65" t="str">
        <f t="shared" ca="1" si="85"/>
        <v/>
      </c>
      <c r="X148" s="2">
        <f ca="1">IF($B148="",0,SUMIFS(UCRETLER!$J$7:$J$606,UCRETLER!$B$7:$B$606,$B148))</f>
        <v>0</v>
      </c>
      <c r="Y148" s="2">
        <f ca="1">IF($B148="",0,SUMIFS(UCRETLER!$K$7:$K$606,UCRETLER!$B$7:$B$606,$B148))</f>
        <v>0</v>
      </c>
      <c r="Z148" s="1">
        <f ca="1">IF($B148="",0,SUMIFS(UCRETLER!$L$7:$L$606,UCRETLER!$B$7:$B$606,$B148))</f>
        <v>0</v>
      </c>
      <c r="AA148" s="1">
        <f t="shared" ca="1" si="86"/>
        <v>0</v>
      </c>
      <c r="AB148" s="1">
        <f t="shared" ca="1" si="87"/>
        <v>0</v>
      </c>
      <c r="AC148" s="1">
        <f t="shared" ca="1" si="88"/>
        <v>0</v>
      </c>
      <c r="AD148" s="1">
        <f t="shared" ca="1" si="89"/>
        <v>0</v>
      </c>
      <c r="AE148" s="1">
        <f t="shared" ca="1" si="90"/>
        <v>0</v>
      </c>
      <c r="AF148" s="1" t="str">
        <f ca="1">IFERROR(MATCH(ROW()-6,MUSTERILER!$U$7:$U$156,0),"")</f>
        <v/>
      </c>
      <c r="AG148" s="1">
        <f ca="1">IF($B148="",0,SUMIFS(GELIR_GIDER!$G$7:$G$3001,GELIR_GIDER!$T$7:$T$3001,$B148))</f>
        <v>0</v>
      </c>
    </row>
    <row r="149" spans="1:33" ht="18" customHeight="1" x14ac:dyDescent="0.3">
      <c r="A149" s="2"/>
      <c r="B149" s="65" t="str">
        <f ca="1">IF($AF149="","",INDEX(MUSTERILER!$B$7:$B$156,$AF149))</f>
        <v/>
      </c>
      <c r="C149" s="74" t="str">
        <f ca="1">IF($AF149="","",INDEX(MUSTERILER!$C$7:$C$156,$AF149))</f>
        <v/>
      </c>
      <c r="D149" s="68" t="str">
        <f ca="1">IF($B149="","",SUMIFS(UCRETLER!$G$7:$G$606,UCRETLER!$B$7:$B$606,$B149,UCRETLER!$F$7:$F$606,"Haftalık",UCRETLER!$H$7:$H$606,"Aktif"))</f>
        <v/>
      </c>
      <c r="E149" s="68" t="str">
        <f ca="1">IF($B149="","",SUMIFS(UCRETLER!$G$7:$G$606,UCRETLER!$B$7:$B$606,$B149,UCRETLER!$F$7:$F$606,"Aylık",UCRETLER!$H$7:$H$606,"Aktif"))</f>
        <v/>
      </c>
      <c r="F149" s="68" t="str">
        <f ca="1">IF($B149="","",SUMIFS(MUSTERILER!$J$7:$J$156,MUSTERILER!$B$7:$B$156,$B149))</f>
        <v/>
      </c>
      <c r="G149" s="68" t="str">
        <f ca="1">IF($B149="","",SUMIFS(UCRETLER!$I$7:$I$606,UCRETLER!$B$7:$B$606,$B149)+SUMIFS(GELIR_GIDER!$G$7:$G$3001,GELIR_GIDER!$T$7:$T$3001,$B149))</f>
        <v/>
      </c>
      <c r="H149" s="68" t="str">
        <f t="shared" ca="1" si="73"/>
        <v/>
      </c>
      <c r="I149" s="68" t="str">
        <f ca="1">IF($B149="","",SUMIFS(TAHSILAT!$F$7:$F$2503,TAHSILAT!$C$7:$C$2503,$B149))</f>
        <v/>
      </c>
      <c r="J149" s="68" t="str">
        <f t="shared" ca="1" si="74"/>
        <v/>
      </c>
      <c r="K149" s="68" t="str">
        <f t="shared" ca="1" si="75"/>
        <v/>
      </c>
      <c r="L149" s="68" t="str">
        <f t="shared" ca="1" si="76"/>
        <v/>
      </c>
      <c r="M149" s="68" t="str">
        <f t="shared" ca="1" si="77"/>
        <v/>
      </c>
      <c r="N149" s="68" t="str">
        <f t="shared" ca="1" si="78"/>
        <v/>
      </c>
      <c r="O149" s="92" t="str">
        <f t="shared" ca="1" si="79"/>
        <v/>
      </c>
      <c r="P149" s="70" t="str">
        <f ca="1">IF($B149="","",IFERROR(LOOKUP(2,1/(TAHSILAT!$C$7:$C$2503=$B149),TAHSILAT!$E$7:$E$2503),""))</f>
        <v/>
      </c>
      <c r="Q149" s="65" t="str">
        <f t="shared" ca="1" si="80"/>
        <v/>
      </c>
      <c r="R149" s="74" t="str">
        <f t="shared" ca="1" si="81"/>
        <v/>
      </c>
      <c r="S149" s="93" t="str">
        <f t="shared" ca="1" si="82"/>
        <v/>
      </c>
      <c r="T149" s="70" t="str">
        <f ca="1">IF(OR($B149="",$AF149=""),"",IF(INDEX(MUSTERILER!$K$7:$K$156,$AF149)="","",INDEX(MUSTERILER!$K$7:$K$156,$AF149)))</f>
        <v/>
      </c>
      <c r="U149" s="93" t="str">
        <f t="shared" ca="1" si="83"/>
        <v/>
      </c>
      <c r="V149" s="68" t="str">
        <f t="shared" ca="1" si="84"/>
        <v/>
      </c>
      <c r="W149" s="65" t="str">
        <f t="shared" ca="1" si="85"/>
        <v/>
      </c>
      <c r="X149" s="2">
        <f ca="1">IF($B149="",0,SUMIFS(UCRETLER!$J$7:$J$606,UCRETLER!$B$7:$B$606,$B149))</f>
        <v>0</v>
      </c>
      <c r="Y149" s="2">
        <f ca="1">IF($B149="",0,SUMIFS(UCRETLER!$K$7:$K$606,UCRETLER!$B$7:$B$606,$B149))</f>
        <v>0</v>
      </c>
      <c r="Z149" s="1">
        <f ca="1">IF($B149="",0,SUMIFS(UCRETLER!$L$7:$L$606,UCRETLER!$B$7:$B$606,$B149))</f>
        <v>0</v>
      </c>
      <c r="AA149" s="1">
        <f t="shared" ca="1" si="86"/>
        <v>0</v>
      </c>
      <c r="AB149" s="1">
        <f t="shared" ca="1" si="87"/>
        <v>0</v>
      </c>
      <c r="AC149" s="1">
        <f t="shared" ca="1" si="88"/>
        <v>0</v>
      </c>
      <c r="AD149" s="1">
        <f t="shared" ca="1" si="89"/>
        <v>0</v>
      </c>
      <c r="AE149" s="1">
        <f t="shared" ca="1" si="90"/>
        <v>0</v>
      </c>
      <c r="AF149" s="1" t="str">
        <f ca="1">IFERROR(MATCH(ROW()-6,MUSTERILER!$U$7:$U$156,0),"")</f>
        <v/>
      </c>
      <c r="AG149" s="1">
        <f ca="1">IF($B149="",0,SUMIFS(GELIR_GIDER!$G$7:$G$3001,GELIR_GIDER!$T$7:$T$3001,$B149))</f>
        <v>0</v>
      </c>
    </row>
    <row r="150" spans="1:33" ht="18" customHeight="1" x14ac:dyDescent="0.3">
      <c r="A150" s="2"/>
      <c r="B150" s="65" t="str">
        <f ca="1">IF($AF150="","",INDEX(MUSTERILER!$B$7:$B$156,$AF150))</f>
        <v/>
      </c>
      <c r="C150" s="74" t="str">
        <f ca="1">IF($AF150="","",INDEX(MUSTERILER!$C$7:$C$156,$AF150))</f>
        <v/>
      </c>
      <c r="D150" s="68" t="str">
        <f ca="1">IF($B150="","",SUMIFS(UCRETLER!$G$7:$G$606,UCRETLER!$B$7:$B$606,$B150,UCRETLER!$F$7:$F$606,"Haftalık",UCRETLER!$H$7:$H$606,"Aktif"))</f>
        <v/>
      </c>
      <c r="E150" s="68" t="str">
        <f ca="1">IF($B150="","",SUMIFS(UCRETLER!$G$7:$G$606,UCRETLER!$B$7:$B$606,$B150,UCRETLER!$F$7:$F$606,"Aylık",UCRETLER!$H$7:$H$606,"Aktif"))</f>
        <v/>
      </c>
      <c r="F150" s="68" t="str">
        <f ca="1">IF($B150="","",SUMIFS(MUSTERILER!$J$7:$J$156,MUSTERILER!$B$7:$B$156,$B150))</f>
        <v/>
      </c>
      <c r="G150" s="68" t="str">
        <f ca="1">IF($B150="","",SUMIFS(UCRETLER!$I$7:$I$606,UCRETLER!$B$7:$B$606,$B150)+SUMIFS(GELIR_GIDER!$G$7:$G$3001,GELIR_GIDER!$T$7:$T$3001,$B150))</f>
        <v/>
      </c>
      <c r="H150" s="68" t="str">
        <f t="shared" ca="1" si="73"/>
        <v/>
      </c>
      <c r="I150" s="68" t="str">
        <f ca="1">IF($B150="","",SUMIFS(TAHSILAT!$F$7:$F$2503,TAHSILAT!$C$7:$C$2503,$B150))</f>
        <v/>
      </c>
      <c r="J150" s="68" t="str">
        <f t="shared" ca="1" si="74"/>
        <v/>
      </c>
      <c r="K150" s="68" t="str">
        <f t="shared" ca="1" si="75"/>
        <v/>
      </c>
      <c r="L150" s="68" t="str">
        <f t="shared" ca="1" si="76"/>
        <v/>
      </c>
      <c r="M150" s="68" t="str">
        <f t="shared" ca="1" si="77"/>
        <v/>
      </c>
      <c r="N150" s="68" t="str">
        <f t="shared" ca="1" si="78"/>
        <v/>
      </c>
      <c r="O150" s="92" t="str">
        <f t="shared" ca="1" si="79"/>
        <v/>
      </c>
      <c r="P150" s="70" t="str">
        <f ca="1">IF($B150="","",IFERROR(LOOKUP(2,1/(TAHSILAT!$C$7:$C$2503=$B150),TAHSILAT!$E$7:$E$2503),""))</f>
        <v/>
      </c>
      <c r="Q150" s="65" t="str">
        <f t="shared" ca="1" si="80"/>
        <v/>
      </c>
      <c r="R150" s="74" t="str">
        <f t="shared" ca="1" si="81"/>
        <v/>
      </c>
      <c r="S150" s="93" t="str">
        <f t="shared" ca="1" si="82"/>
        <v/>
      </c>
      <c r="T150" s="70" t="str">
        <f ca="1">IF(OR($B150="",$AF150=""),"",IF(INDEX(MUSTERILER!$K$7:$K$156,$AF150)="","",INDEX(MUSTERILER!$K$7:$K$156,$AF150)))</f>
        <v/>
      </c>
      <c r="U150" s="93" t="str">
        <f t="shared" ca="1" si="83"/>
        <v/>
      </c>
      <c r="V150" s="68" t="str">
        <f t="shared" ca="1" si="84"/>
        <v/>
      </c>
      <c r="W150" s="65" t="str">
        <f t="shared" ca="1" si="85"/>
        <v/>
      </c>
      <c r="X150" s="2">
        <f ca="1">IF($B150="",0,SUMIFS(UCRETLER!$J$7:$J$606,UCRETLER!$B$7:$B$606,$B150))</f>
        <v>0</v>
      </c>
      <c r="Y150" s="2">
        <f ca="1">IF($B150="",0,SUMIFS(UCRETLER!$K$7:$K$606,UCRETLER!$B$7:$B$606,$B150))</f>
        <v>0</v>
      </c>
      <c r="Z150" s="1">
        <f ca="1">IF($B150="",0,SUMIFS(UCRETLER!$L$7:$L$606,UCRETLER!$B$7:$B$606,$B150))</f>
        <v>0</v>
      </c>
      <c r="AA150" s="1">
        <f t="shared" ca="1" si="86"/>
        <v>0</v>
      </c>
      <c r="AB150" s="1">
        <f t="shared" ca="1" si="87"/>
        <v>0</v>
      </c>
      <c r="AC150" s="1">
        <f t="shared" ca="1" si="88"/>
        <v>0</v>
      </c>
      <c r="AD150" s="1">
        <f t="shared" ca="1" si="89"/>
        <v>0</v>
      </c>
      <c r="AE150" s="1">
        <f t="shared" ca="1" si="90"/>
        <v>0</v>
      </c>
      <c r="AF150" s="1" t="str">
        <f ca="1">IFERROR(MATCH(ROW()-6,MUSTERILER!$U$7:$U$156,0),"")</f>
        <v/>
      </c>
      <c r="AG150" s="1">
        <f ca="1">IF($B150="",0,SUMIFS(GELIR_GIDER!$G$7:$G$3001,GELIR_GIDER!$T$7:$T$3001,$B150))</f>
        <v>0</v>
      </c>
    </row>
    <row r="151" spans="1:33" ht="18" customHeight="1" x14ac:dyDescent="0.3">
      <c r="A151" s="2"/>
      <c r="B151" s="65" t="str">
        <f ca="1">IF($AF151="","",INDEX(MUSTERILER!$B$7:$B$156,$AF151))</f>
        <v/>
      </c>
      <c r="C151" s="74" t="str">
        <f ca="1">IF($AF151="","",INDEX(MUSTERILER!$C$7:$C$156,$AF151))</f>
        <v/>
      </c>
      <c r="D151" s="68" t="str">
        <f ca="1">IF($B151="","",SUMIFS(UCRETLER!$G$7:$G$606,UCRETLER!$B$7:$B$606,$B151,UCRETLER!$F$7:$F$606,"Haftalık",UCRETLER!$H$7:$H$606,"Aktif"))</f>
        <v/>
      </c>
      <c r="E151" s="68" t="str">
        <f ca="1">IF($B151="","",SUMIFS(UCRETLER!$G$7:$G$606,UCRETLER!$B$7:$B$606,$B151,UCRETLER!$F$7:$F$606,"Aylık",UCRETLER!$H$7:$H$606,"Aktif"))</f>
        <v/>
      </c>
      <c r="F151" s="68" t="str">
        <f ca="1">IF($B151="","",SUMIFS(MUSTERILER!$J$7:$J$156,MUSTERILER!$B$7:$B$156,$B151))</f>
        <v/>
      </c>
      <c r="G151" s="68" t="str">
        <f ca="1">IF($B151="","",SUMIFS(UCRETLER!$I$7:$I$606,UCRETLER!$B$7:$B$606,$B151)+SUMIFS(GELIR_GIDER!$G$7:$G$3001,GELIR_GIDER!$T$7:$T$3001,$B151))</f>
        <v/>
      </c>
      <c r="H151" s="68" t="str">
        <f t="shared" ca="1" si="73"/>
        <v/>
      </c>
      <c r="I151" s="68" t="str">
        <f ca="1">IF($B151="","",SUMIFS(TAHSILAT!$F$7:$F$2503,TAHSILAT!$C$7:$C$2503,$B151))</f>
        <v/>
      </c>
      <c r="J151" s="68" t="str">
        <f t="shared" ca="1" si="74"/>
        <v/>
      </c>
      <c r="K151" s="68" t="str">
        <f t="shared" ca="1" si="75"/>
        <v/>
      </c>
      <c r="L151" s="68" t="str">
        <f t="shared" ca="1" si="76"/>
        <v/>
      </c>
      <c r="M151" s="68" t="str">
        <f t="shared" ca="1" si="77"/>
        <v/>
      </c>
      <c r="N151" s="68" t="str">
        <f t="shared" ca="1" si="78"/>
        <v/>
      </c>
      <c r="O151" s="92" t="str">
        <f t="shared" ca="1" si="79"/>
        <v/>
      </c>
      <c r="P151" s="70" t="str">
        <f ca="1">IF($B151="","",IFERROR(LOOKUP(2,1/(TAHSILAT!$C$7:$C$2503=$B151),TAHSILAT!$E$7:$E$2503),""))</f>
        <v/>
      </c>
      <c r="Q151" s="65" t="str">
        <f t="shared" ca="1" si="80"/>
        <v/>
      </c>
      <c r="R151" s="74" t="str">
        <f t="shared" ca="1" si="81"/>
        <v/>
      </c>
      <c r="S151" s="93" t="str">
        <f t="shared" ca="1" si="82"/>
        <v/>
      </c>
      <c r="T151" s="70" t="str">
        <f ca="1">IF(OR($B151="",$AF151=""),"",IF(INDEX(MUSTERILER!$K$7:$K$156,$AF151)="","",INDEX(MUSTERILER!$K$7:$K$156,$AF151)))</f>
        <v/>
      </c>
      <c r="U151" s="93" t="str">
        <f t="shared" ca="1" si="83"/>
        <v/>
      </c>
      <c r="V151" s="68" t="str">
        <f t="shared" ca="1" si="84"/>
        <v/>
      </c>
      <c r="W151" s="65" t="str">
        <f t="shared" ca="1" si="85"/>
        <v/>
      </c>
      <c r="X151" s="2">
        <f ca="1">IF($B151="",0,SUMIFS(UCRETLER!$J$7:$J$606,UCRETLER!$B$7:$B$606,$B151))</f>
        <v>0</v>
      </c>
      <c r="Y151" s="2">
        <f ca="1">IF($B151="",0,SUMIFS(UCRETLER!$K$7:$K$606,UCRETLER!$B$7:$B$606,$B151))</f>
        <v>0</v>
      </c>
      <c r="Z151" s="1">
        <f ca="1">IF($B151="",0,SUMIFS(UCRETLER!$L$7:$L$606,UCRETLER!$B$7:$B$606,$B151))</f>
        <v>0</v>
      </c>
      <c r="AA151" s="1">
        <f t="shared" ca="1" si="86"/>
        <v>0</v>
      </c>
      <c r="AB151" s="1">
        <f t="shared" ca="1" si="87"/>
        <v>0</v>
      </c>
      <c r="AC151" s="1">
        <f t="shared" ca="1" si="88"/>
        <v>0</v>
      </c>
      <c r="AD151" s="1">
        <f t="shared" ca="1" si="89"/>
        <v>0</v>
      </c>
      <c r="AE151" s="1">
        <f t="shared" ca="1" si="90"/>
        <v>0</v>
      </c>
      <c r="AF151" s="1" t="str">
        <f ca="1">IFERROR(MATCH(ROW()-6,MUSTERILER!$U$7:$U$156,0),"")</f>
        <v/>
      </c>
      <c r="AG151" s="1">
        <f ca="1">IF($B151="",0,SUMIFS(GELIR_GIDER!$G$7:$G$3001,GELIR_GIDER!$T$7:$T$3001,$B151))</f>
        <v>0</v>
      </c>
    </row>
    <row r="152" spans="1:33" ht="18" customHeight="1" x14ac:dyDescent="0.3">
      <c r="A152" s="2"/>
      <c r="B152" s="65" t="str">
        <f ca="1">IF($AF152="","",INDEX(MUSTERILER!$B$7:$B$156,$AF152))</f>
        <v/>
      </c>
      <c r="C152" s="74" t="str">
        <f ca="1">IF($AF152="","",INDEX(MUSTERILER!$C$7:$C$156,$AF152))</f>
        <v/>
      </c>
      <c r="D152" s="68" t="str">
        <f ca="1">IF($B152="","",SUMIFS(UCRETLER!$G$7:$G$606,UCRETLER!$B$7:$B$606,$B152,UCRETLER!$F$7:$F$606,"Haftalık",UCRETLER!$H$7:$H$606,"Aktif"))</f>
        <v/>
      </c>
      <c r="E152" s="68" t="str">
        <f ca="1">IF($B152="","",SUMIFS(UCRETLER!$G$7:$G$606,UCRETLER!$B$7:$B$606,$B152,UCRETLER!$F$7:$F$606,"Aylık",UCRETLER!$H$7:$H$606,"Aktif"))</f>
        <v/>
      </c>
      <c r="F152" s="68" t="str">
        <f ca="1">IF($B152="","",SUMIFS(MUSTERILER!$J$7:$J$156,MUSTERILER!$B$7:$B$156,$B152))</f>
        <v/>
      </c>
      <c r="G152" s="68" t="str">
        <f ca="1">IF($B152="","",SUMIFS(UCRETLER!$I$7:$I$606,UCRETLER!$B$7:$B$606,$B152)+SUMIFS(GELIR_GIDER!$G$7:$G$3001,GELIR_GIDER!$T$7:$T$3001,$B152))</f>
        <v/>
      </c>
      <c r="H152" s="68" t="str">
        <f t="shared" ca="1" si="73"/>
        <v/>
      </c>
      <c r="I152" s="68" t="str">
        <f ca="1">IF($B152="","",SUMIFS(TAHSILAT!$F$7:$F$2503,TAHSILAT!$C$7:$C$2503,$B152))</f>
        <v/>
      </c>
      <c r="J152" s="68" t="str">
        <f t="shared" ca="1" si="74"/>
        <v/>
      </c>
      <c r="K152" s="68" t="str">
        <f t="shared" ca="1" si="75"/>
        <v/>
      </c>
      <c r="L152" s="68" t="str">
        <f t="shared" ca="1" si="76"/>
        <v/>
      </c>
      <c r="M152" s="68" t="str">
        <f t="shared" ca="1" si="77"/>
        <v/>
      </c>
      <c r="N152" s="68" t="str">
        <f t="shared" ca="1" si="78"/>
        <v/>
      </c>
      <c r="O152" s="92" t="str">
        <f t="shared" ca="1" si="79"/>
        <v/>
      </c>
      <c r="P152" s="70" t="str">
        <f ca="1">IF($B152="","",IFERROR(LOOKUP(2,1/(TAHSILAT!$C$7:$C$2503=$B152),TAHSILAT!$E$7:$E$2503),""))</f>
        <v/>
      </c>
      <c r="Q152" s="65" t="str">
        <f t="shared" ca="1" si="80"/>
        <v/>
      </c>
      <c r="R152" s="74" t="str">
        <f t="shared" ca="1" si="81"/>
        <v/>
      </c>
      <c r="S152" s="93" t="str">
        <f t="shared" ca="1" si="82"/>
        <v/>
      </c>
      <c r="T152" s="70" t="str">
        <f ca="1">IF(OR($B152="",$AF152=""),"",IF(INDEX(MUSTERILER!$K$7:$K$156,$AF152)="","",INDEX(MUSTERILER!$K$7:$K$156,$AF152)))</f>
        <v/>
      </c>
      <c r="U152" s="93" t="str">
        <f t="shared" ca="1" si="83"/>
        <v/>
      </c>
      <c r="V152" s="68" t="str">
        <f t="shared" ca="1" si="84"/>
        <v/>
      </c>
      <c r="W152" s="65" t="str">
        <f t="shared" ca="1" si="85"/>
        <v/>
      </c>
      <c r="X152" s="2">
        <f ca="1">IF($B152="",0,SUMIFS(UCRETLER!$J$7:$J$606,UCRETLER!$B$7:$B$606,$B152))</f>
        <v>0</v>
      </c>
      <c r="Y152" s="2">
        <f ca="1">IF($B152="",0,SUMIFS(UCRETLER!$K$7:$K$606,UCRETLER!$B$7:$B$606,$B152))</f>
        <v>0</v>
      </c>
      <c r="Z152" s="1">
        <f ca="1">IF($B152="",0,SUMIFS(UCRETLER!$L$7:$L$606,UCRETLER!$B$7:$B$606,$B152))</f>
        <v>0</v>
      </c>
      <c r="AA152" s="1">
        <f t="shared" ca="1" si="86"/>
        <v>0</v>
      </c>
      <c r="AB152" s="1">
        <f t="shared" ca="1" si="87"/>
        <v>0</v>
      </c>
      <c r="AC152" s="1">
        <f t="shared" ca="1" si="88"/>
        <v>0</v>
      </c>
      <c r="AD152" s="1">
        <f t="shared" ca="1" si="89"/>
        <v>0</v>
      </c>
      <c r="AE152" s="1">
        <f t="shared" ca="1" si="90"/>
        <v>0</v>
      </c>
      <c r="AF152" s="1" t="str">
        <f ca="1">IFERROR(MATCH(ROW()-6,MUSTERILER!$U$7:$U$156,0),"")</f>
        <v/>
      </c>
      <c r="AG152" s="1">
        <f ca="1">IF($B152="",0,SUMIFS(GELIR_GIDER!$G$7:$G$3001,GELIR_GIDER!$T$7:$T$3001,$B152))</f>
        <v>0</v>
      </c>
    </row>
    <row r="153" spans="1:33" ht="18" customHeight="1" x14ac:dyDescent="0.3">
      <c r="A153" s="2"/>
      <c r="B153" s="65" t="str">
        <f ca="1">IF($AF153="","",INDEX(MUSTERILER!$B$7:$B$156,$AF153))</f>
        <v/>
      </c>
      <c r="C153" s="74" t="str">
        <f ca="1">IF($AF153="","",INDEX(MUSTERILER!$C$7:$C$156,$AF153))</f>
        <v/>
      </c>
      <c r="D153" s="68" t="str">
        <f ca="1">IF($B153="","",SUMIFS(UCRETLER!$G$7:$G$606,UCRETLER!$B$7:$B$606,$B153,UCRETLER!$F$7:$F$606,"Haftalık",UCRETLER!$H$7:$H$606,"Aktif"))</f>
        <v/>
      </c>
      <c r="E153" s="68" t="str">
        <f ca="1">IF($B153="","",SUMIFS(UCRETLER!$G$7:$G$606,UCRETLER!$B$7:$B$606,$B153,UCRETLER!$F$7:$F$606,"Aylık",UCRETLER!$H$7:$H$606,"Aktif"))</f>
        <v/>
      </c>
      <c r="F153" s="68" t="str">
        <f ca="1">IF($B153="","",SUMIFS(MUSTERILER!$J$7:$J$156,MUSTERILER!$B$7:$B$156,$B153))</f>
        <v/>
      </c>
      <c r="G153" s="68" t="str">
        <f ca="1">IF($B153="","",SUMIFS(UCRETLER!$I$7:$I$606,UCRETLER!$B$7:$B$606,$B153)+SUMIFS(GELIR_GIDER!$G$7:$G$3001,GELIR_GIDER!$T$7:$T$3001,$B153))</f>
        <v/>
      </c>
      <c r="H153" s="68" t="str">
        <f t="shared" ca="1" si="73"/>
        <v/>
      </c>
      <c r="I153" s="68" t="str">
        <f ca="1">IF($B153="","",SUMIFS(TAHSILAT!$F$7:$F$2503,TAHSILAT!$C$7:$C$2503,$B153))</f>
        <v/>
      </c>
      <c r="J153" s="68" t="str">
        <f t="shared" ca="1" si="74"/>
        <v/>
      </c>
      <c r="K153" s="68" t="str">
        <f t="shared" ca="1" si="75"/>
        <v/>
      </c>
      <c r="L153" s="68" t="str">
        <f t="shared" ca="1" si="76"/>
        <v/>
      </c>
      <c r="M153" s="68" t="str">
        <f t="shared" ca="1" si="77"/>
        <v/>
      </c>
      <c r="N153" s="68" t="str">
        <f t="shared" ca="1" si="78"/>
        <v/>
      </c>
      <c r="O153" s="92" t="str">
        <f t="shared" ca="1" si="79"/>
        <v/>
      </c>
      <c r="P153" s="70" t="str">
        <f ca="1">IF($B153="","",IFERROR(LOOKUP(2,1/(TAHSILAT!$C$7:$C$2503=$B153),TAHSILAT!$E$7:$E$2503),""))</f>
        <v/>
      </c>
      <c r="Q153" s="65" t="str">
        <f t="shared" ca="1" si="80"/>
        <v/>
      </c>
      <c r="R153" s="74" t="str">
        <f t="shared" ca="1" si="81"/>
        <v/>
      </c>
      <c r="S153" s="93" t="str">
        <f t="shared" ca="1" si="82"/>
        <v/>
      </c>
      <c r="T153" s="70" t="str">
        <f ca="1">IF(OR($B153="",$AF153=""),"",IF(INDEX(MUSTERILER!$K$7:$K$156,$AF153)="","",INDEX(MUSTERILER!$K$7:$K$156,$AF153)))</f>
        <v/>
      </c>
      <c r="U153" s="93" t="str">
        <f t="shared" ca="1" si="83"/>
        <v/>
      </c>
      <c r="V153" s="68" t="str">
        <f t="shared" ca="1" si="84"/>
        <v/>
      </c>
      <c r="W153" s="65" t="str">
        <f t="shared" ca="1" si="85"/>
        <v/>
      </c>
      <c r="X153" s="2">
        <f ca="1">IF($B153="",0,SUMIFS(UCRETLER!$J$7:$J$606,UCRETLER!$B$7:$B$606,$B153))</f>
        <v>0</v>
      </c>
      <c r="Y153" s="2">
        <f ca="1">IF($B153="",0,SUMIFS(UCRETLER!$K$7:$K$606,UCRETLER!$B$7:$B$606,$B153))</f>
        <v>0</v>
      </c>
      <c r="Z153" s="1">
        <f ca="1">IF($B153="",0,SUMIFS(UCRETLER!$L$7:$L$606,UCRETLER!$B$7:$B$606,$B153))</f>
        <v>0</v>
      </c>
      <c r="AA153" s="1">
        <f t="shared" ca="1" si="86"/>
        <v>0</v>
      </c>
      <c r="AB153" s="1">
        <f t="shared" ca="1" si="87"/>
        <v>0</v>
      </c>
      <c r="AC153" s="1">
        <f t="shared" ca="1" si="88"/>
        <v>0</v>
      </c>
      <c r="AD153" s="1">
        <f t="shared" ca="1" si="89"/>
        <v>0</v>
      </c>
      <c r="AE153" s="1">
        <f t="shared" ca="1" si="90"/>
        <v>0</v>
      </c>
      <c r="AF153" s="1" t="str">
        <f ca="1">IFERROR(MATCH(ROW()-6,MUSTERILER!$U$7:$U$156,0),"")</f>
        <v/>
      </c>
      <c r="AG153" s="1">
        <f ca="1">IF($B153="",0,SUMIFS(GELIR_GIDER!$G$7:$G$3001,GELIR_GIDER!$T$7:$T$3001,$B153))</f>
        <v>0</v>
      </c>
    </row>
    <row r="154" spans="1:33" ht="18" customHeight="1" x14ac:dyDescent="0.3">
      <c r="A154" s="2"/>
      <c r="B154" s="65" t="str">
        <f ca="1">IF($AF154="","",INDEX(MUSTERILER!$B$7:$B$156,$AF154))</f>
        <v/>
      </c>
      <c r="C154" s="74" t="str">
        <f ca="1">IF($AF154="","",INDEX(MUSTERILER!$C$7:$C$156,$AF154))</f>
        <v/>
      </c>
      <c r="D154" s="68" t="str">
        <f ca="1">IF($B154="","",SUMIFS(UCRETLER!$G$7:$G$606,UCRETLER!$B$7:$B$606,$B154,UCRETLER!$F$7:$F$606,"Haftalık",UCRETLER!$H$7:$H$606,"Aktif"))</f>
        <v/>
      </c>
      <c r="E154" s="68" t="str">
        <f ca="1">IF($B154="","",SUMIFS(UCRETLER!$G$7:$G$606,UCRETLER!$B$7:$B$606,$B154,UCRETLER!$F$7:$F$606,"Aylık",UCRETLER!$H$7:$H$606,"Aktif"))</f>
        <v/>
      </c>
      <c r="F154" s="68" t="str">
        <f ca="1">IF($B154="","",SUMIFS(MUSTERILER!$J$7:$J$156,MUSTERILER!$B$7:$B$156,$B154))</f>
        <v/>
      </c>
      <c r="G154" s="68" t="str">
        <f ca="1">IF($B154="","",SUMIFS(UCRETLER!$I$7:$I$606,UCRETLER!$B$7:$B$606,$B154)+SUMIFS(GELIR_GIDER!$G$7:$G$3001,GELIR_GIDER!$T$7:$T$3001,$B154))</f>
        <v/>
      </c>
      <c r="H154" s="68" t="str">
        <f t="shared" ca="1" si="73"/>
        <v/>
      </c>
      <c r="I154" s="68" t="str">
        <f ca="1">IF($B154="","",SUMIFS(TAHSILAT!$F$7:$F$2503,TAHSILAT!$C$7:$C$2503,$B154))</f>
        <v/>
      </c>
      <c r="J154" s="68" t="str">
        <f t="shared" ca="1" si="74"/>
        <v/>
      </c>
      <c r="K154" s="68" t="str">
        <f t="shared" ca="1" si="75"/>
        <v/>
      </c>
      <c r="L154" s="68" t="str">
        <f t="shared" ca="1" si="76"/>
        <v/>
      </c>
      <c r="M154" s="68" t="str">
        <f t="shared" ca="1" si="77"/>
        <v/>
      </c>
      <c r="N154" s="68" t="str">
        <f t="shared" ca="1" si="78"/>
        <v/>
      </c>
      <c r="O154" s="92" t="str">
        <f t="shared" ca="1" si="79"/>
        <v/>
      </c>
      <c r="P154" s="70" t="str">
        <f ca="1">IF($B154="","",IFERROR(LOOKUP(2,1/(TAHSILAT!$C$7:$C$2503=$B154),TAHSILAT!$E$7:$E$2503),""))</f>
        <v/>
      </c>
      <c r="Q154" s="65" t="str">
        <f t="shared" ca="1" si="80"/>
        <v/>
      </c>
      <c r="R154" s="74" t="str">
        <f t="shared" ca="1" si="81"/>
        <v/>
      </c>
      <c r="S154" s="93" t="str">
        <f t="shared" ca="1" si="82"/>
        <v/>
      </c>
      <c r="T154" s="70" t="str">
        <f ca="1">IF(OR($B154="",$AF154=""),"",IF(INDEX(MUSTERILER!$K$7:$K$156,$AF154)="","",INDEX(MUSTERILER!$K$7:$K$156,$AF154)))</f>
        <v/>
      </c>
      <c r="U154" s="93" t="str">
        <f t="shared" ca="1" si="83"/>
        <v/>
      </c>
      <c r="V154" s="68" t="str">
        <f t="shared" ca="1" si="84"/>
        <v/>
      </c>
      <c r="W154" s="65" t="str">
        <f t="shared" ca="1" si="85"/>
        <v/>
      </c>
      <c r="X154" s="2">
        <f ca="1">IF($B154="",0,SUMIFS(UCRETLER!$J$7:$J$606,UCRETLER!$B$7:$B$606,$B154))</f>
        <v>0</v>
      </c>
      <c r="Y154" s="2">
        <f ca="1">IF($B154="",0,SUMIFS(UCRETLER!$K$7:$K$606,UCRETLER!$B$7:$B$606,$B154))</f>
        <v>0</v>
      </c>
      <c r="Z154" s="1">
        <f ca="1">IF($B154="",0,SUMIFS(UCRETLER!$L$7:$L$606,UCRETLER!$B$7:$B$606,$B154))</f>
        <v>0</v>
      </c>
      <c r="AA154" s="1">
        <f t="shared" ca="1" si="86"/>
        <v>0</v>
      </c>
      <c r="AB154" s="1">
        <f t="shared" ca="1" si="87"/>
        <v>0</v>
      </c>
      <c r="AC154" s="1">
        <f t="shared" ca="1" si="88"/>
        <v>0</v>
      </c>
      <c r="AD154" s="1">
        <f t="shared" ca="1" si="89"/>
        <v>0</v>
      </c>
      <c r="AE154" s="1">
        <f t="shared" ca="1" si="90"/>
        <v>0</v>
      </c>
      <c r="AF154" s="1" t="str">
        <f ca="1">IFERROR(MATCH(ROW()-6,MUSTERILER!$U$7:$U$156,0),"")</f>
        <v/>
      </c>
      <c r="AG154" s="1">
        <f ca="1">IF($B154="",0,SUMIFS(GELIR_GIDER!$G$7:$G$3001,GELIR_GIDER!$T$7:$T$3001,$B154))</f>
        <v>0</v>
      </c>
    </row>
    <row r="155" spans="1:33" ht="18" customHeight="1" x14ac:dyDescent="0.3">
      <c r="A155" s="2"/>
      <c r="B155" s="65" t="str">
        <f ca="1">IF($AF155="","",INDEX(MUSTERILER!$B$7:$B$156,$AF155))</f>
        <v/>
      </c>
      <c r="C155" s="74" t="str">
        <f ca="1">IF($AF155="","",INDEX(MUSTERILER!$C$7:$C$156,$AF155))</f>
        <v/>
      </c>
      <c r="D155" s="68" t="str">
        <f ca="1">IF($B155="","",SUMIFS(UCRETLER!$G$7:$G$606,UCRETLER!$B$7:$B$606,$B155,UCRETLER!$F$7:$F$606,"Haftalık",UCRETLER!$H$7:$H$606,"Aktif"))</f>
        <v/>
      </c>
      <c r="E155" s="68" t="str">
        <f ca="1">IF($B155="","",SUMIFS(UCRETLER!$G$7:$G$606,UCRETLER!$B$7:$B$606,$B155,UCRETLER!$F$7:$F$606,"Aylık",UCRETLER!$H$7:$H$606,"Aktif"))</f>
        <v/>
      </c>
      <c r="F155" s="68" t="str">
        <f ca="1">IF($B155="","",SUMIFS(MUSTERILER!$J$7:$J$156,MUSTERILER!$B$7:$B$156,$B155))</f>
        <v/>
      </c>
      <c r="G155" s="68" t="str">
        <f ca="1">IF($B155="","",SUMIFS(UCRETLER!$I$7:$I$606,UCRETLER!$B$7:$B$606,$B155)+SUMIFS(GELIR_GIDER!$G$7:$G$3001,GELIR_GIDER!$T$7:$T$3001,$B155))</f>
        <v/>
      </c>
      <c r="H155" s="68" t="str">
        <f t="shared" ca="1" si="73"/>
        <v/>
      </c>
      <c r="I155" s="68" t="str">
        <f ca="1">IF($B155="","",SUMIFS(TAHSILAT!$F$7:$F$2503,TAHSILAT!$C$7:$C$2503,$B155))</f>
        <v/>
      </c>
      <c r="J155" s="68" t="str">
        <f t="shared" ca="1" si="74"/>
        <v/>
      </c>
      <c r="K155" s="68" t="str">
        <f t="shared" ca="1" si="75"/>
        <v/>
      </c>
      <c r="L155" s="68" t="str">
        <f t="shared" ca="1" si="76"/>
        <v/>
      </c>
      <c r="M155" s="68" t="str">
        <f t="shared" ca="1" si="77"/>
        <v/>
      </c>
      <c r="N155" s="68" t="str">
        <f t="shared" ca="1" si="78"/>
        <v/>
      </c>
      <c r="O155" s="92" t="str">
        <f t="shared" ca="1" si="79"/>
        <v/>
      </c>
      <c r="P155" s="70" t="str">
        <f ca="1">IF($B155="","",IFERROR(LOOKUP(2,1/(TAHSILAT!$C$7:$C$2503=$B155),TAHSILAT!$E$7:$E$2503),""))</f>
        <v/>
      </c>
      <c r="Q155" s="65" t="str">
        <f t="shared" ca="1" si="80"/>
        <v/>
      </c>
      <c r="R155" s="74" t="str">
        <f t="shared" ca="1" si="81"/>
        <v/>
      </c>
      <c r="S155" s="93" t="str">
        <f t="shared" ca="1" si="82"/>
        <v/>
      </c>
      <c r="T155" s="70" t="str">
        <f ca="1">IF(OR($B155="",$AF155=""),"",IF(INDEX(MUSTERILER!$K$7:$K$156,$AF155)="","",INDEX(MUSTERILER!$K$7:$K$156,$AF155)))</f>
        <v/>
      </c>
      <c r="U155" s="93" t="str">
        <f t="shared" ca="1" si="83"/>
        <v/>
      </c>
      <c r="V155" s="68" t="str">
        <f t="shared" ca="1" si="84"/>
        <v/>
      </c>
      <c r="W155" s="65" t="str">
        <f t="shared" ca="1" si="85"/>
        <v/>
      </c>
      <c r="X155" s="2">
        <f ca="1">IF($B155="",0,SUMIFS(UCRETLER!$J$7:$J$606,UCRETLER!$B$7:$B$606,$B155))</f>
        <v>0</v>
      </c>
      <c r="Y155" s="2">
        <f ca="1">IF($B155="",0,SUMIFS(UCRETLER!$K$7:$K$606,UCRETLER!$B$7:$B$606,$B155))</f>
        <v>0</v>
      </c>
      <c r="Z155" s="1">
        <f ca="1">IF($B155="",0,SUMIFS(UCRETLER!$L$7:$L$606,UCRETLER!$B$7:$B$606,$B155))</f>
        <v>0</v>
      </c>
      <c r="AA155" s="1">
        <f t="shared" ca="1" si="86"/>
        <v>0</v>
      </c>
      <c r="AB155" s="1">
        <f t="shared" ca="1" si="87"/>
        <v>0</v>
      </c>
      <c r="AC155" s="1">
        <f t="shared" ca="1" si="88"/>
        <v>0</v>
      </c>
      <c r="AD155" s="1">
        <f t="shared" ca="1" si="89"/>
        <v>0</v>
      </c>
      <c r="AE155" s="1">
        <f t="shared" ca="1" si="90"/>
        <v>0</v>
      </c>
      <c r="AF155" s="1" t="str">
        <f ca="1">IFERROR(MATCH(ROW()-6,MUSTERILER!$U$7:$U$156,0),"")</f>
        <v/>
      </c>
      <c r="AG155" s="1">
        <f ca="1">IF($B155="",0,SUMIFS(GELIR_GIDER!$G$7:$G$3001,GELIR_GIDER!$T$7:$T$3001,$B155))</f>
        <v>0</v>
      </c>
    </row>
    <row r="156" spans="1:33" ht="18" customHeight="1" x14ac:dyDescent="0.3">
      <c r="A156" s="2"/>
      <c r="B156" s="65" t="str">
        <f ca="1">IF($AF156="","",INDEX(MUSTERILER!$B$7:$B$156,$AF156))</f>
        <v/>
      </c>
      <c r="C156" s="74" t="str">
        <f ca="1">IF($AF156="","",INDEX(MUSTERILER!$C$7:$C$156,$AF156))</f>
        <v/>
      </c>
      <c r="D156" s="68" t="str">
        <f ca="1">IF($B156="","",SUMIFS(UCRETLER!$G$7:$G$606,UCRETLER!$B$7:$B$606,$B156,UCRETLER!$F$7:$F$606,"Haftalık",UCRETLER!$H$7:$H$606,"Aktif"))</f>
        <v/>
      </c>
      <c r="E156" s="68" t="str">
        <f ca="1">IF($B156="","",SUMIFS(UCRETLER!$G$7:$G$606,UCRETLER!$B$7:$B$606,$B156,UCRETLER!$F$7:$F$606,"Aylık",UCRETLER!$H$7:$H$606,"Aktif"))</f>
        <v/>
      </c>
      <c r="F156" s="68" t="str">
        <f ca="1">IF($B156="","",SUMIFS(MUSTERILER!$J$7:$J$156,MUSTERILER!$B$7:$B$156,$B156))</f>
        <v/>
      </c>
      <c r="G156" s="68" t="str">
        <f ca="1">IF($B156="","",SUMIFS(UCRETLER!$I$7:$I$606,UCRETLER!$B$7:$B$606,$B156)+SUMIFS(GELIR_GIDER!$G$7:$G$3001,GELIR_GIDER!$T$7:$T$3001,$B156))</f>
        <v/>
      </c>
      <c r="H156" s="68" t="str">
        <f t="shared" ca="1" si="73"/>
        <v/>
      </c>
      <c r="I156" s="68" t="str">
        <f ca="1">IF($B156="","",SUMIFS(TAHSILAT!$F$7:$F$2503,TAHSILAT!$C$7:$C$2503,$B156))</f>
        <v/>
      </c>
      <c r="J156" s="68" t="str">
        <f t="shared" ca="1" si="74"/>
        <v/>
      </c>
      <c r="K156" s="68" t="str">
        <f t="shared" ca="1" si="75"/>
        <v/>
      </c>
      <c r="L156" s="68" t="str">
        <f t="shared" ca="1" si="76"/>
        <v/>
      </c>
      <c r="M156" s="68" t="str">
        <f t="shared" ca="1" si="77"/>
        <v/>
      </c>
      <c r="N156" s="68" t="str">
        <f t="shared" ca="1" si="78"/>
        <v/>
      </c>
      <c r="O156" s="92" t="str">
        <f t="shared" ca="1" si="79"/>
        <v/>
      </c>
      <c r="P156" s="70" t="str">
        <f ca="1">IF($B156="","",IFERROR(LOOKUP(2,1/(TAHSILAT!$C$7:$C$2503=$B156),TAHSILAT!$E$7:$E$2503),""))</f>
        <v/>
      </c>
      <c r="Q156" s="65" t="str">
        <f t="shared" ca="1" si="80"/>
        <v/>
      </c>
      <c r="R156" s="74" t="str">
        <f t="shared" ca="1" si="81"/>
        <v/>
      </c>
      <c r="S156" s="93" t="str">
        <f t="shared" ca="1" si="82"/>
        <v/>
      </c>
      <c r="T156" s="70" t="str">
        <f ca="1">IF(OR($B156="",$AF156=""),"",IF(INDEX(MUSTERILER!$K$7:$K$156,$AF156)="","",INDEX(MUSTERILER!$K$7:$K$156,$AF156)))</f>
        <v/>
      </c>
      <c r="U156" s="93" t="str">
        <f t="shared" ca="1" si="83"/>
        <v/>
      </c>
      <c r="V156" s="68" t="str">
        <f t="shared" ca="1" si="84"/>
        <v/>
      </c>
      <c r="W156" s="65" t="str">
        <f t="shared" ca="1" si="85"/>
        <v/>
      </c>
      <c r="X156" s="2">
        <f ca="1">IF($B156="",0,SUMIFS(UCRETLER!$J$7:$J$606,UCRETLER!$B$7:$B$606,$B156))</f>
        <v>0</v>
      </c>
      <c r="Y156" s="2">
        <f ca="1">IF($B156="",0,SUMIFS(UCRETLER!$K$7:$K$606,UCRETLER!$B$7:$B$606,$B156))</f>
        <v>0</v>
      </c>
      <c r="Z156" s="1">
        <f ca="1">IF($B156="",0,SUMIFS(UCRETLER!$L$7:$L$606,UCRETLER!$B$7:$B$606,$B156))</f>
        <v>0</v>
      </c>
      <c r="AA156" s="1">
        <f t="shared" ca="1" si="86"/>
        <v>0</v>
      </c>
      <c r="AB156" s="1">
        <f t="shared" ca="1" si="87"/>
        <v>0</v>
      </c>
      <c r="AC156" s="1">
        <f t="shared" ca="1" si="88"/>
        <v>0</v>
      </c>
      <c r="AD156" s="1">
        <f t="shared" ca="1" si="89"/>
        <v>0</v>
      </c>
      <c r="AE156" s="1">
        <f t="shared" ca="1" si="90"/>
        <v>0</v>
      </c>
      <c r="AF156" s="1" t="str">
        <f ca="1">IFERROR(MATCH(ROW()-6,MUSTERILER!$U$7:$U$156,0),"")</f>
        <v/>
      </c>
      <c r="AG156" s="1">
        <f ca="1">IF($B156="",0,SUMIFS(GELIR_GIDER!$G$7:$G$3001,GELIR_GIDER!$T$7:$T$3001,$B156))</f>
        <v>0</v>
      </c>
    </row>
    <row r="157" spans="1:33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9438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7" activeCellId="1" sqref="H7 J7"/>
    </sheetView>
  </sheetViews>
  <sheetFormatPr defaultColWidth="8" defaultRowHeight="14.25" customHeight="1" x14ac:dyDescent="0.25"/>
  <cols>
    <col min="1" max="1" width="2.28515625" customWidth="1"/>
    <col min="2" max="2" width="22.28515625" customWidth="1"/>
    <col min="3" max="4" width="11.140625" customWidth="1"/>
    <col min="5" max="5" width="14.85546875" customWidth="1"/>
    <col min="6" max="6" width="15.7109375" customWidth="1"/>
    <col min="7" max="7" width="14.5703125" bestFit="1" customWidth="1"/>
    <col min="8" max="8" width="31.5703125" customWidth="1"/>
    <col min="9" max="9" width="14.140625" customWidth="1"/>
    <col min="10" max="10" width="16.140625" bestFit="1" customWidth="1"/>
    <col min="11" max="11" width="19" customWidth="1"/>
    <col min="12" max="13" width="2.28515625" customWidth="1"/>
  </cols>
  <sheetData>
    <row r="1" spans="1:13" ht="37.5" customHeight="1" x14ac:dyDescent="0.3">
      <c r="A1" s="209" t="s">
        <v>548</v>
      </c>
      <c r="B1" s="171"/>
      <c r="C1" s="171"/>
      <c r="D1" s="171"/>
      <c r="E1" s="171"/>
      <c r="F1" s="208" t="s">
        <v>1037</v>
      </c>
      <c r="G1" s="171"/>
      <c r="H1" s="171"/>
      <c r="I1" s="171"/>
      <c r="J1" s="171"/>
      <c r="K1" s="171"/>
      <c r="L1" s="171"/>
      <c r="M1" s="13"/>
    </row>
    <row r="2" spans="1:13" ht="21.75" customHeight="1" x14ac:dyDescent="0.3">
      <c r="A2" s="210" t="s">
        <v>1038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"/>
    </row>
    <row r="3" spans="1:13" ht="19.5" customHeight="1" x14ac:dyDescent="0.3">
      <c r="A3" s="2"/>
      <c r="B3" s="50" t="s">
        <v>1039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1040</v>
      </c>
      <c r="I4" s="2"/>
      <c r="J4" s="2"/>
      <c r="K4" s="2"/>
      <c r="L4" s="2"/>
      <c r="M4" s="2"/>
    </row>
    <row r="5" spans="1:13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3">
      <c r="A6" s="2"/>
      <c r="B6" s="58" t="s">
        <v>1041</v>
      </c>
      <c r="C6" s="57" t="s">
        <v>759</v>
      </c>
      <c r="D6" s="57" t="s">
        <v>555</v>
      </c>
      <c r="E6" s="59" t="s">
        <v>1042</v>
      </c>
      <c r="F6" s="59" t="s">
        <v>1043</v>
      </c>
      <c r="G6" s="59" t="s">
        <v>1044</v>
      </c>
      <c r="H6" s="59" t="s">
        <v>1045</v>
      </c>
      <c r="I6" s="59" t="s">
        <v>1046</v>
      </c>
      <c r="J6" s="59" t="s">
        <v>1047</v>
      </c>
      <c r="K6" s="59" t="s">
        <v>1048</v>
      </c>
      <c r="L6" s="59" t="s">
        <v>555</v>
      </c>
      <c r="M6" s="59" t="s">
        <v>1049</v>
      </c>
    </row>
    <row r="7" spans="1:13" ht="18" customHeight="1" x14ac:dyDescent="0.3">
      <c r="A7" s="2"/>
      <c r="B7" s="61" t="s">
        <v>717</v>
      </c>
      <c r="C7" s="60" t="s">
        <v>1050</v>
      </c>
      <c r="D7" s="60" t="s">
        <v>571</v>
      </c>
      <c r="E7" s="67">
        <v>0</v>
      </c>
      <c r="F7" s="68">
        <f>IF($B7="","",SUMIFS(TAHSILAT!$F$7:$F$2503,TAHSILAT!$G$7:$G$2503,$B7,TAHSILAT!$H$7:$H$2503,"&lt;&gt;Mahsup"))</f>
        <v>1762850</v>
      </c>
      <c r="G7" s="68">
        <f>IF($B7="","",SUMIFS(GELIR_GIDER!$G$7:$G$3001,GELIR_GIDER!$D$7:$D$3001,"Gelir",GELIR_GIDER!$H$7:$H$3001,$B7,GELIR_GIDER!$I$7:$I$3001,"Evet"))</f>
        <v>407200</v>
      </c>
      <c r="H7" s="68">
        <f>IF($B7="","",SUMIFS(GELIR_GIDER!$G$7:$G$3001,GELIR_GIDER!$D$7:$D$3001,"Gider",GELIR_GIDER!$H$7:$H$3001,$B7,GELIR_GIDER!$I$7:$I$3001,"Evet"))</f>
        <v>1235687.98</v>
      </c>
      <c r="I7" s="68">
        <f>IF($B7="","",SUMIFS(VIRMAN!$F$7:$F$406,VIRMAN!$E$7:$E$406,$B7))</f>
        <v>47000</v>
      </c>
      <c r="J7" s="68">
        <f>IF($B7="","",SUMIFS(VIRMAN!$F$7:$F$406,VIRMAN!$D$7:$D$406,$B7))</f>
        <v>1514462.04</v>
      </c>
      <c r="K7" s="68">
        <f t="shared" ref="K7:K16" si="0">IF($B7="","",$E7+$F7+$G7-$H7+$I7-$J7)</f>
        <v>-533100.02</v>
      </c>
      <c r="L7" s="68" t="str">
        <f t="shared" ref="L7:L16" si="1">IF($B7="","",IF($K7&lt;0,"EKSİ — açılış/eksik nakit girişini kontrol et","UYGUN"))</f>
        <v>EKSİ — açılış/eksik nakit girişini kontrol et</v>
      </c>
      <c r="M7" s="68">
        <f t="shared" ref="M7:M16" si="2">IF($B7="","",MAX(0,-$K7))</f>
        <v>533100.02</v>
      </c>
    </row>
    <row r="8" spans="1:13" ht="18" customHeight="1" x14ac:dyDescent="0.3">
      <c r="A8" s="2"/>
      <c r="B8" s="61" t="s">
        <v>972</v>
      </c>
      <c r="C8" s="60" t="s">
        <v>1311</v>
      </c>
      <c r="D8" s="60" t="s">
        <v>571</v>
      </c>
      <c r="E8" s="67">
        <v>0</v>
      </c>
      <c r="F8" s="68">
        <f>IF($B8="","",SUMIFS(TAHSILAT!$F$7:$F$2503,TAHSILAT!$G$7:$G$2503,$B8,TAHSILAT!$H$7:$H$2503,"&lt;&gt;Mahsup"))</f>
        <v>0</v>
      </c>
      <c r="G8" s="68">
        <f>IF($B8="","",SUMIFS(GELIR_GIDER!$G$7:$G$3001,GELIR_GIDER!$D$7:$D$3001,"Gelir",GELIR_GIDER!$H$7:$H$3001,$B8,GELIR_GIDER!$I$7:$I$3001,"Evet"))</f>
        <v>0</v>
      </c>
      <c r="H8" s="68">
        <f>IF($B8="","",SUMIFS(GELIR_GIDER!$G$7:$G$3001,GELIR_GIDER!$D$7:$D$3001,"Gider",GELIR_GIDER!$H$7:$H$3001,$B8,GELIR_GIDER!$I$7:$I$3001,"Evet"))</f>
        <v>0</v>
      </c>
      <c r="I8" s="68">
        <f>IF($B8="","",SUMIFS(VIRMAN!$F$7:$F$406,VIRMAN!$E$7:$E$406,$B8))</f>
        <v>634731.02</v>
      </c>
      <c r="J8" s="68">
        <f>IF($B8="","",SUMIFS(VIRMAN!$F$7:$F$406,VIRMAN!$D$7:$D$406,$B8))</f>
        <v>0</v>
      </c>
      <c r="K8" s="68">
        <f t="shared" si="0"/>
        <v>634731.02</v>
      </c>
      <c r="L8" s="68" t="str">
        <f t="shared" si="1"/>
        <v>UYGUN</v>
      </c>
      <c r="M8" s="68">
        <f t="shared" si="2"/>
        <v>0</v>
      </c>
    </row>
    <row r="9" spans="1:13" ht="18" customHeight="1" x14ac:dyDescent="0.3">
      <c r="A9" s="2"/>
      <c r="B9" s="61" t="s">
        <v>723</v>
      </c>
      <c r="C9" s="60" t="s">
        <v>1311</v>
      </c>
      <c r="D9" s="60" t="s">
        <v>571</v>
      </c>
      <c r="E9" s="67">
        <v>0</v>
      </c>
      <c r="F9" s="68">
        <f>IF($B9="","",SUMIFS(TAHSILAT!$F$7:$F$2503,TAHSILAT!$G$7:$G$2503,$B9,TAHSILAT!$H$7:$H$2503,"&lt;&gt;Mahsup"))</f>
        <v>536650</v>
      </c>
      <c r="G9" s="68">
        <f>IF($B9="","",SUMIFS(GELIR_GIDER!$G$7:$G$3001,GELIR_GIDER!$D$7:$D$3001,"Gelir",GELIR_GIDER!$H$7:$H$3001,$B9,GELIR_GIDER!$I$7:$I$3001,"Evet"))</f>
        <v>76050</v>
      </c>
      <c r="H9" s="68">
        <f>IF($B9="","",SUMIFS(GELIR_GIDER!$G$7:$G$3001,GELIR_GIDER!$D$7:$D$3001,"Gider",GELIR_GIDER!$H$7:$H$3001,$B9,GELIR_GIDER!$I$7:$I$3001,"Evet"))</f>
        <v>0</v>
      </c>
      <c r="I9" s="68">
        <f>IF($B9="","",SUMIFS(VIRMAN!$F$7:$F$406,VIRMAN!$E$7:$E$406,$B9))</f>
        <v>879731.02</v>
      </c>
      <c r="J9" s="68">
        <f>IF($B9="","",SUMIFS(VIRMAN!$F$7:$F$406,VIRMAN!$D$7:$D$406,$B9))</f>
        <v>47000</v>
      </c>
      <c r="K9" s="68">
        <f t="shared" si="0"/>
        <v>1445431.02</v>
      </c>
      <c r="L9" s="68" t="str">
        <f t="shared" si="1"/>
        <v>UYGUN</v>
      </c>
      <c r="M9" s="68">
        <f t="shared" si="2"/>
        <v>0</v>
      </c>
    </row>
    <row r="10" spans="1:13" ht="18" customHeight="1" x14ac:dyDescent="0.3">
      <c r="A10" s="2"/>
      <c r="B10" s="61" t="s">
        <v>1051</v>
      </c>
      <c r="C10" s="60" t="s">
        <v>1052</v>
      </c>
      <c r="D10" s="60" t="s">
        <v>571</v>
      </c>
      <c r="E10" s="67">
        <v>0</v>
      </c>
      <c r="F10" s="68">
        <f>IF($B10="","",SUMIFS(TAHSILAT!$F$7:$F$2503,TAHSILAT!$G$7:$G$2503,$B10,TAHSILAT!$H$7:$H$2503,"&lt;&gt;Mahsup"))</f>
        <v>0</v>
      </c>
      <c r="G10" s="68">
        <f>IF($B10="","",SUMIFS(GELIR_GIDER!$G$7:$G$3001,GELIR_GIDER!$D$7:$D$3001,"Gelir",GELIR_GIDER!$H$7:$H$3001,$B10,GELIR_GIDER!$I$7:$I$3001,"Evet"))</f>
        <v>0</v>
      </c>
      <c r="H10" s="68">
        <f>IF($B10="","",SUMIFS(GELIR_GIDER!$G$7:$G$3001,GELIR_GIDER!$D$7:$D$3001,"Gider",GELIR_GIDER!$H$7:$H$3001,$B10,GELIR_GIDER!$I$7:$I$3001,"Evet"))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68" t="str">
        <f t="shared" si="1"/>
        <v>UYGUN</v>
      </c>
      <c r="M10" s="68">
        <f t="shared" si="2"/>
        <v>0</v>
      </c>
    </row>
    <row r="11" spans="1:13" ht="18" customHeight="1" x14ac:dyDescent="0.3">
      <c r="A11" s="2"/>
      <c r="B11" s="61" t="s">
        <v>1053</v>
      </c>
      <c r="C11" s="60" t="s">
        <v>1052</v>
      </c>
      <c r="D11" s="60" t="s">
        <v>571</v>
      </c>
      <c r="E11" s="67">
        <v>0</v>
      </c>
      <c r="F11" s="68">
        <f>IF($B11="","",SUMIFS(TAHSILAT!$F$7:$F$2503,TAHSILAT!$G$7:$G$2503,$B11,TAHSILAT!$H$7:$H$2503,"&lt;&gt;Mahsup"))</f>
        <v>0</v>
      </c>
      <c r="G11" s="68">
        <f>IF($B11="","",SUMIFS(GELIR_GIDER!$G$7:$G$3001,GELIR_GIDER!$D$7:$D$3001,"Gelir",GELIR_GIDER!$H$7:$H$3001,$B11,GELIR_GIDER!$I$7:$I$3001,"Evet"))</f>
        <v>0</v>
      </c>
      <c r="H11" s="68">
        <f>IF($B11="","",SUMIFS(GELIR_GIDER!$G$7:$G$3001,GELIR_GIDER!$D$7:$D$3001,"Gider",GELIR_GIDER!$H$7:$H$3001,$B11,GELIR_GIDER!$I$7:$I$3001,"Evet"))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68" t="str">
        <f t="shared" si="1"/>
        <v>UYGUN</v>
      </c>
      <c r="M11" s="68">
        <f t="shared" si="2"/>
        <v>0</v>
      </c>
    </row>
    <row r="12" spans="1:13" ht="18" customHeight="1" x14ac:dyDescent="0.3">
      <c r="A12" s="2"/>
      <c r="B12" s="61"/>
      <c r="C12" s="60"/>
      <c r="D12" s="60"/>
      <c r="E12" s="67"/>
      <c r="F12" s="68" t="str">
        <f>IF($B12="","",SUMIFS(TAHSILAT!$F$7:$F$2503,TAHSILAT!$G$7:$G$2503,$B12,TAHSILAT!$H$7:$H$2503,"&lt;&gt;Mahsup"))</f>
        <v/>
      </c>
      <c r="G12" s="68" t="str">
        <f>IF($B12="","",SUMIFS(GELIR_GIDER!$G$7:$G$3001,GELIR_GIDER!$D$7:$D$3001,"Gelir",GELIR_GIDER!$H$7:$H$3001,$B12,GELIR_GIDER!$I$7:$I$3001,"Evet"))</f>
        <v/>
      </c>
      <c r="H12" s="68" t="str">
        <f>IF($B12="","",SUMIFS(GELIR_GIDER!$G$7:$G$3001,GELIR_GIDER!$D$7:$D$3001,"Gider",GELIR_GIDER!$H$7:$H$3001,$B12,GELIR_GIDER!$I$7:$I$3001,"Evet"))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68" t="str">
        <f t="shared" si="1"/>
        <v/>
      </c>
      <c r="M12" s="68" t="str">
        <f t="shared" si="2"/>
        <v/>
      </c>
    </row>
    <row r="13" spans="1:13" ht="18" customHeight="1" x14ac:dyDescent="0.3">
      <c r="A13" s="2"/>
      <c r="B13" s="61"/>
      <c r="C13" s="60"/>
      <c r="D13" s="60"/>
      <c r="E13" s="67"/>
      <c r="F13" s="68" t="str">
        <f>IF($B13="","",SUMIFS(TAHSILAT!$F$7:$F$2503,TAHSILAT!$G$7:$G$2503,$B13,TAHSILAT!$H$7:$H$2503,"&lt;&gt;Mahsup"))</f>
        <v/>
      </c>
      <c r="G13" s="68" t="str">
        <f>IF($B13="","",SUMIFS(GELIR_GIDER!$G$7:$G$3001,GELIR_GIDER!$D$7:$D$3001,"Gelir",GELIR_GIDER!$H$7:$H$3001,$B13,GELIR_GIDER!$I$7:$I$3001,"Evet"))</f>
        <v/>
      </c>
      <c r="H13" s="68" t="str">
        <f>IF($B13="","",SUMIFS(GELIR_GIDER!$G$7:$G$3001,GELIR_GIDER!$D$7:$D$3001,"Gider",GELIR_GIDER!$H$7:$H$3001,$B13,GELIR_GIDER!$I$7:$I$3001,"Evet"))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68" t="str">
        <f t="shared" si="1"/>
        <v/>
      </c>
      <c r="M13" s="68" t="str">
        <f t="shared" si="2"/>
        <v/>
      </c>
    </row>
    <row r="14" spans="1:13" ht="18" customHeight="1" x14ac:dyDescent="0.3">
      <c r="A14" s="2"/>
      <c r="B14" s="61"/>
      <c r="C14" s="60"/>
      <c r="D14" s="60"/>
      <c r="E14" s="67"/>
      <c r="F14" s="68" t="str">
        <f>IF($B14="","",SUMIFS(TAHSILAT!$F$7:$F$2503,TAHSILAT!$G$7:$G$2503,$B14,TAHSILAT!$H$7:$H$2503,"&lt;&gt;Mahsup"))</f>
        <v/>
      </c>
      <c r="G14" s="68" t="str">
        <f>IF($B14="","",SUMIFS(GELIR_GIDER!$G$7:$G$3001,GELIR_GIDER!$D$7:$D$3001,"Gelir",GELIR_GIDER!$H$7:$H$3001,$B14,GELIR_GIDER!$I$7:$I$3001,"Evet"))</f>
        <v/>
      </c>
      <c r="H14" s="68" t="str">
        <f>IF($B14="","",SUMIFS(GELIR_GIDER!$G$7:$G$3001,GELIR_GIDER!$D$7:$D$3001,"Gider",GELIR_GIDER!$H$7:$H$3001,$B14,GELIR_GIDER!$I$7:$I$3001,"Evet"))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68" t="str">
        <f t="shared" si="1"/>
        <v/>
      </c>
      <c r="M14" s="68" t="str">
        <f t="shared" si="2"/>
        <v/>
      </c>
    </row>
    <row r="15" spans="1:13" ht="18" customHeight="1" x14ac:dyDescent="0.3">
      <c r="A15" s="2"/>
      <c r="B15" s="61"/>
      <c r="C15" s="60"/>
      <c r="D15" s="60"/>
      <c r="E15" s="67"/>
      <c r="F15" s="68" t="str">
        <f>IF($B15="","",SUMIFS(TAHSILAT!$F$7:$F$2503,TAHSILAT!$G$7:$G$2503,$B15,TAHSILAT!$H$7:$H$2503,"&lt;&gt;Mahsup"))</f>
        <v/>
      </c>
      <c r="G15" s="68" t="str">
        <f>IF($B15="","",SUMIFS(GELIR_GIDER!$G$7:$G$3001,GELIR_GIDER!$D$7:$D$3001,"Gelir",GELIR_GIDER!$H$7:$H$3001,$B15,GELIR_GIDER!$I$7:$I$3001,"Evet"))</f>
        <v/>
      </c>
      <c r="H15" s="68" t="str">
        <f>IF($B15="","",SUMIFS(GELIR_GIDER!$G$7:$G$3001,GELIR_GIDER!$D$7:$D$3001,"Gider",GELIR_GIDER!$H$7:$H$3001,$B15,GELIR_GIDER!$I$7:$I$3001,"Evet"))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68" t="str">
        <f t="shared" si="1"/>
        <v/>
      </c>
      <c r="M15" s="68" t="str">
        <f t="shared" si="2"/>
        <v/>
      </c>
    </row>
    <row r="16" spans="1:13" ht="18" customHeight="1" x14ac:dyDescent="0.3">
      <c r="A16" s="2"/>
      <c r="B16" s="61"/>
      <c r="C16" s="60"/>
      <c r="D16" s="60"/>
      <c r="E16" s="67"/>
      <c r="F16" s="68" t="str">
        <f>IF($B16="","",SUMIFS(TAHSILAT!$F$7:$F$2503,TAHSILAT!$G$7:$G$2503,$B16,TAHSILAT!$H$7:$H$2503,"&lt;&gt;Mahsup"))</f>
        <v/>
      </c>
      <c r="G16" s="68" t="str">
        <f>IF($B16="","",SUMIFS(GELIR_GIDER!$G$7:$G$3001,GELIR_GIDER!$D$7:$D$3001,"Gelir",GELIR_GIDER!$H$7:$H$3001,$B16,GELIR_GIDER!$I$7:$I$3001,"Evet"))</f>
        <v/>
      </c>
      <c r="H16" s="68" t="str">
        <f>IF($B16="","",SUMIFS(GELIR_GIDER!$G$7:$G$3001,GELIR_GIDER!$D$7:$D$3001,"Gider",GELIR_GIDER!$H$7:$H$3001,$B16,GELIR_GIDER!$I$7:$I$3001,"Evet"))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68" t="str">
        <f t="shared" si="1"/>
        <v/>
      </c>
      <c r="M16" s="68" t="str">
        <f t="shared" si="2"/>
        <v/>
      </c>
    </row>
    <row r="17" spans="1:13" ht="18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3">
      <c r="A18" s="2"/>
      <c r="B18" s="54" t="s">
        <v>1312</v>
      </c>
      <c r="C18" s="53"/>
      <c r="D18" s="53"/>
      <c r="E18" s="53"/>
      <c r="F18" s="53"/>
      <c r="G18" s="53"/>
      <c r="H18" s="53"/>
      <c r="I18" s="53"/>
      <c r="J18" s="53"/>
      <c r="K18" s="94">
        <f>SUMIFS($K$7:$K$16,$C$7:$C$16,"Kasa")+SUMIFS($K$7:$K$16,$C$7:$C$16,"Banka")</f>
        <v>-533100.02</v>
      </c>
      <c r="L18" s="2"/>
      <c r="M18" s="2"/>
    </row>
    <row r="19" spans="1:13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2:L2"/>
    <mergeCell ref="A1:E1"/>
    <mergeCell ref="F1:L1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, Banka veya Ortak Cari seçin." promptTitle="Geçersiz tür" prompt="Kasa, Banka veya Ortak Cari seçin." sqref="C7:C16" xr:uid="{00000000-0002-0000-0A00-000000000000}">
      <formula1>"Kasa,Banka,Ortak Cari"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B29D5"/>
    <pageSetUpPr fitToPage="1"/>
  </sheetPr>
  <dimension ref="A1:AA44"/>
  <sheetViews>
    <sheetView showGridLines="0" zoomScaleNormal="100" workbookViewId="0">
      <pane xSplit="2" ySplit="6" topLeftCell="C7" activePane="bottomRight" state="frozen"/>
      <selection pane="topRight" activeCell="F1" sqref="F1"/>
      <selection pane="bottomLeft" activeCell="A7" sqref="A7"/>
      <selection pane="bottomRight" activeCell="A14" sqref="A14"/>
    </sheetView>
  </sheetViews>
  <sheetFormatPr defaultColWidth="8" defaultRowHeight="14.25" customHeight="1" x14ac:dyDescent="0.25"/>
  <cols>
    <col min="1" max="1" width="2.28515625" customWidth="1"/>
    <col min="2" max="2" width="17.7109375" customWidth="1"/>
    <col min="3" max="3" width="21.28515625" customWidth="1"/>
    <col min="4" max="4" width="15.7109375" customWidth="1"/>
    <col min="5" max="5" width="13.42578125" customWidth="1"/>
    <col min="6" max="7" width="14.85546875" customWidth="1"/>
    <col min="8" max="8" width="16.140625" customWidth="1"/>
    <col min="9" max="9" width="16.5703125" customWidth="1"/>
    <col min="10" max="10" width="12" customWidth="1"/>
    <col min="11" max="11" width="13" customWidth="1"/>
    <col min="12" max="12" width="18.28515625" bestFit="1" customWidth="1"/>
    <col min="13" max="14" width="14.5703125" bestFit="1" customWidth="1"/>
    <col min="15" max="15" width="17.28515625" bestFit="1" customWidth="1"/>
    <col min="16" max="17" width="14.7109375" bestFit="1" customWidth="1"/>
    <col min="18" max="18" width="17" bestFit="1" customWidth="1"/>
    <col min="19" max="19" width="20.7109375" bestFit="1" customWidth="1"/>
    <col min="20" max="20" width="13" customWidth="1"/>
    <col min="21" max="22" width="2.28515625" customWidth="1"/>
    <col min="24" max="27" width="12" hidden="1" customWidth="1"/>
  </cols>
  <sheetData>
    <row r="1" spans="1:27" ht="37.5" customHeight="1" x14ac:dyDescent="0.3">
      <c r="A1" s="218" t="s">
        <v>1054</v>
      </c>
      <c r="B1" s="171"/>
      <c r="C1" s="171"/>
      <c r="D1" s="171"/>
      <c r="E1" s="171"/>
      <c r="F1" s="208" t="s">
        <v>1055</v>
      </c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3"/>
      <c r="V1" s="13"/>
      <c r="W1" s="1"/>
      <c r="X1" s="1"/>
      <c r="Y1" s="1"/>
      <c r="Z1" s="1"/>
      <c r="AA1" s="1"/>
    </row>
    <row r="2" spans="1:27" ht="21.75" customHeight="1" x14ac:dyDescent="0.3">
      <c r="A2" s="219" t="s">
        <v>1056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4"/>
      <c r="V2" s="14"/>
      <c r="W2" s="1"/>
      <c r="X2" s="1"/>
      <c r="Y2" s="1"/>
      <c r="Z2" s="1"/>
      <c r="AA2" s="1"/>
    </row>
    <row r="3" spans="1:27" ht="19.5" customHeight="1" x14ac:dyDescent="0.3">
      <c r="A3" s="2"/>
      <c r="B3" s="50" t="s">
        <v>1313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s">
        <v>1314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3">
      <c r="A5" s="2"/>
      <c r="B5" s="54" t="s">
        <v>1057</v>
      </c>
      <c r="C5" s="56">
        <f t="shared" ref="C5:I5" si="0">SUM(C7:C42)</f>
        <v>16896286</v>
      </c>
      <c r="D5" s="56">
        <f t="shared" si="0"/>
        <v>2299500</v>
      </c>
      <c r="E5" s="56">
        <f t="shared" si="0"/>
        <v>483250</v>
      </c>
      <c r="F5" s="56">
        <f t="shared" si="0"/>
        <v>2782750</v>
      </c>
      <c r="G5" s="56">
        <f t="shared" si="0"/>
        <v>1235687.98</v>
      </c>
      <c r="H5" s="56">
        <f t="shared" si="0"/>
        <v>16143848.02</v>
      </c>
      <c r="I5" s="56">
        <f t="shared" si="0"/>
        <v>1547062.02</v>
      </c>
      <c r="J5" s="53"/>
      <c r="K5" s="53"/>
      <c r="L5" s="56">
        <f>SUM(L7:L42)</f>
        <v>49880784.850000024</v>
      </c>
      <c r="M5" s="56">
        <f>SUM(M7:M42)</f>
        <v>773531.01</v>
      </c>
      <c r="N5" s="56">
        <f>SUM(N7:N42)</f>
        <v>773531.01</v>
      </c>
      <c r="O5" s="53"/>
      <c r="P5" s="53">
        <f>SUM(P7:P42)</f>
        <v>634731.02</v>
      </c>
      <c r="Q5" s="53">
        <f>SUM(Q7:Q42)</f>
        <v>634731.02</v>
      </c>
      <c r="R5" s="53">
        <f>R42</f>
        <v>277599.98</v>
      </c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3">
      <c r="A6" s="2"/>
      <c r="B6" s="57" t="s">
        <v>715</v>
      </c>
      <c r="C6" s="59" t="s">
        <v>1058</v>
      </c>
      <c r="D6" s="59" t="s">
        <v>1059</v>
      </c>
      <c r="E6" s="59" t="s">
        <v>1060</v>
      </c>
      <c r="F6" s="59" t="s">
        <v>1061</v>
      </c>
      <c r="G6" s="59" t="s">
        <v>1062</v>
      </c>
      <c r="H6" s="59" t="s">
        <v>1063</v>
      </c>
      <c r="I6" s="59" t="s">
        <v>1064</v>
      </c>
      <c r="J6" s="57" t="s">
        <v>1065</v>
      </c>
      <c r="K6" s="59" t="s">
        <v>1066</v>
      </c>
      <c r="L6" s="59" t="s">
        <v>1067</v>
      </c>
      <c r="M6" s="59" t="s">
        <v>1068</v>
      </c>
      <c r="N6" s="59" t="s">
        <v>1069</v>
      </c>
      <c r="O6" s="57" t="s">
        <v>1070</v>
      </c>
      <c r="P6" s="59" t="s">
        <v>1071</v>
      </c>
      <c r="Q6" s="59" t="s">
        <v>1072</v>
      </c>
      <c r="R6" s="59" t="s">
        <v>1073</v>
      </c>
      <c r="S6" s="57" t="s">
        <v>691</v>
      </c>
      <c r="T6" s="57" t="s">
        <v>1074</v>
      </c>
      <c r="U6" s="2"/>
      <c r="V6" s="2"/>
      <c r="W6" s="1"/>
      <c r="X6" s="1"/>
      <c r="Y6" s="1"/>
      <c r="Z6" s="1"/>
      <c r="AA6" s="1"/>
    </row>
    <row r="7" spans="1:27" ht="18" customHeight="1" x14ac:dyDescent="0.3">
      <c r="A7" s="2"/>
      <c r="B7" s="73">
        <v>46023</v>
      </c>
      <c r="C7" s="95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$3001,GELIR_GIDER!$V$7:$V$3001,1,GELIR_GIDER!$C$7:$C$3001,"&gt;="&amp;$B7,GELIR_GIDER!$C$7:$C$3001,"&lt;"&amp;EDATE($B7,1))</f>
        <v>447251</v>
      </c>
      <c r="D7" s="95">
        <f>SUMIFS(TAHSILAT!$F$7:$F$2503,TAHSILAT!$E$7:$E$2503,"&gt;="&amp;$B7,TAHSILAT!$E$7:$E$2503,"&lt;"&amp;EDATE($B7,1),TAHSILAT!$H$7:$H$2503,"&lt;&gt;Mahsup")</f>
        <v>364900</v>
      </c>
      <c r="E7" s="95">
        <f>SUMIFS(GELIR_GIDER!$G$7:$G$3001,GELIR_GIDER!$D$7:$D$3001,"Gelir",GELIR_GIDER!$C$7:$C$3001,"&gt;="&amp;$B7,GELIR_GIDER!$C$7:$C$3001,"&lt;"&amp;EDATE($B7,1),GELIR_GIDER!$I$7:$I$3001,"Evet")</f>
        <v>0</v>
      </c>
      <c r="F7" s="95">
        <f t="shared" ref="F7:F42" si="1">$D7+$E7</f>
        <v>364900</v>
      </c>
      <c r="G7" s="95">
        <f>SUMIFS(GELIR_GIDER!$G$7:$G$3001,GELIR_GIDER!$D$7:$D$3001,"Gider",GELIR_GIDER!$C$7:$C$3001,"&gt;="&amp;$B7,GELIR_GIDER!$C$7:$C$3001,"&lt;"&amp;EDATE($B7,1),GELIR_GIDER!$I$7:$I$3001,"Evet")</f>
        <v>109333.81999999999</v>
      </c>
      <c r="H7" s="95">
        <f>$C7+$E7-SUMIFS(GELIR_GIDER!$G$7:$G$3001,GELIR_GIDER!$D$7:$D$3001,"Gider",GELIR_GIDER!$C$7:$C$3001,"&gt;="&amp;$B7,GELIR_GIDER!$C$7:$C$3001,"&lt;"&amp;EDATE($B7,1))</f>
        <v>337917.18</v>
      </c>
      <c r="I7" s="95">
        <f t="shared" ref="I7:I42" si="2">$F7-$G7</f>
        <v>255566.18</v>
      </c>
      <c r="J7" s="92">
        <f t="shared" ref="J7:J42" si="3">IFERROR($D7/$C7,0)</f>
        <v>0.81587296618677208</v>
      </c>
      <c r="K7" s="95">
        <f>SISTEM!$C$13</f>
        <v>0</v>
      </c>
      <c r="L7" s="95">
        <f>MAX(0,SUM($I$7:$I7)-$K7)</f>
        <v>255566.18</v>
      </c>
      <c r="M7" s="95">
        <f t="shared" ref="M7:M42" si="4">$Y7*$Z7</f>
        <v>127783.09</v>
      </c>
      <c r="N7" s="95">
        <f t="shared" ref="N7:N42" si="5">$Y7*$AA7</f>
        <v>127783.09</v>
      </c>
      <c r="O7" s="60" t="s">
        <v>1075</v>
      </c>
      <c r="P7" s="95">
        <f>SUMIFS(VIRMAN!$F$7:$F$406,VIRMAN!$E$7:$E$406,SISTEM!$C$9,VIRMAN!$C$7:$C$406,"&gt;="&amp;$B7,VIRMAN!$C$7:$C$406,"&lt;"&amp;EDATE($B7,1),VIRMAN!$G$7:$G$406,"KÂR PAYI / AVANS*")</f>
        <v>127783.09</v>
      </c>
      <c r="Q7" s="95">
        <f>SUMIFS(VIRMAN!$F$7:$F$406,VIRMAN!$E$7:$E$406,SISTEM!$C$10,VIRMAN!$C$7:$C$406,"&gt;="&amp;$B7,VIRMAN!$C$7:$C$406,"&lt;"&amp;EDATE($B7,1),VIRMAN!$G$7:$G$406,"KÂR PAYI / AVANS*")</f>
        <v>127783.09</v>
      </c>
      <c r="R7" s="95">
        <f>SUM($M$7:$M7)+SUM($N$7:$N7)-SUM($P$7:$P7)-SUM($Q$7:$Q7)</f>
        <v>0</v>
      </c>
      <c r="S7" s="65" t="str">
        <f ca="1">IF($B7&gt;=DATE(YEAR(TODAY()),MONTH(TODAY()),1),"AÇIK",IF(COUNTIFS(SISTEM!$C$23:$C$91,"KRİTİK",SISTEM!$F$23:$F$91,"KALDI")&gt;0,"KAPATILAMAZ",IF(COUNTIF(SISTEM!$F$23:$F$91,"KALDI")=0,"KAPANABİLİR","UYARI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7" s="65" t="str">
        <f ca="1">IF(ABS($Y7-$M7-$N7)&gt;0.01,"PAY HATASI",IF($S7="KAPATILAMAZ",IFERROR("KAPATILAMAZ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edin"),IF($O7="Evet","KAPANDI","AÇIK")))</f>
        <v>AÇIK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$3001,GELIR_GIDER!$V$7:$V$3001,1,GELIR_GIDER!$C$7:$C$3001,"&lt;="&amp;EOMONTH($B7,0))</f>
        <v>447251</v>
      </c>
      <c r="Y7" s="1">
        <f t="shared" ref="Y7:Y42" si="6">$L7-N($L6)</f>
        <v>255566.18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3">
      <c r="A8" s="2"/>
      <c r="B8" s="73">
        <v>46054</v>
      </c>
      <c r="C8" s="95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$3001,GELIR_GIDER!$V$7:$V$3001,1,GELIR_GIDER!$C$7:$C$3001,"&gt;="&amp;$B8,GELIR_GIDER!$C$7:$C$3001,"&lt;"&amp;EDATE($B8,1))</f>
        <v>383501</v>
      </c>
      <c r="D8" s="95">
        <f>SUMIFS(TAHSILAT!$F$7:$F$2503,TAHSILAT!$E$7:$E$2503,"&gt;="&amp;$B8,TAHSILAT!$E$7:$E$2503,"&lt;"&amp;EDATE($B8,1),TAHSILAT!$H$7:$H$2503,"&lt;&gt;Mahsup")</f>
        <v>205500</v>
      </c>
      <c r="E8" s="95">
        <f>SUMIFS(GELIR_GIDER!$G$7:$G$3001,GELIR_GIDER!$D$7:$D$3001,"Gelir",GELIR_GIDER!$C$7:$C$3001,"&gt;="&amp;$B8,GELIR_GIDER!$C$7:$C$3001,"&lt;"&amp;EDATE($B8,1),GELIR_GIDER!$I$7:$I$3001,"Evet")</f>
        <v>97200</v>
      </c>
      <c r="F8" s="95">
        <f t="shared" si="1"/>
        <v>302700</v>
      </c>
      <c r="G8" s="95">
        <f>SUMIFS(GELIR_GIDER!$G$7:$G$3001,GELIR_GIDER!$D$7:$D$3001,"Gider",GELIR_GIDER!$C$7:$C$3001,"&gt;="&amp;$B8,GELIR_GIDER!$C$7:$C$3001,"&lt;"&amp;EDATE($B8,1),GELIR_GIDER!$I$7:$I$3001,"Evet")</f>
        <v>282078.19000000006</v>
      </c>
      <c r="H8" s="95">
        <f>$C8+$E8-SUMIFS(GELIR_GIDER!$G$7:$G$3001,GELIR_GIDER!$D$7:$D$3001,"Gider",GELIR_GIDER!$C$7:$C$3001,"&gt;="&amp;$B8,GELIR_GIDER!$C$7:$C$3001,"&lt;"&amp;EDATE($B8,1))</f>
        <v>198622.80999999994</v>
      </c>
      <c r="I8" s="95">
        <f t="shared" si="2"/>
        <v>20621.809999999939</v>
      </c>
      <c r="J8" s="92">
        <f t="shared" si="3"/>
        <v>0.5358525792631571</v>
      </c>
      <c r="K8" s="95">
        <f>SISTEM!$C$13</f>
        <v>0</v>
      </c>
      <c r="L8" s="95">
        <f>MAX(0,SUM($I$7:$I8)-$K8)</f>
        <v>276187.98999999993</v>
      </c>
      <c r="M8" s="95">
        <f t="shared" si="4"/>
        <v>10310.90499999997</v>
      </c>
      <c r="N8" s="95">
        <f t="shared" si="5"/>
        <v>10310.90499999997</v>
      </c>
      <c r="O8" s="60" t="s">
        <v>1075</v>
      </c>
      <c r="P8" s="95">
        <f>SUMIFS(VIRMAN!$F$7:$F$406,VIRMAN!$E$7:$E$406,SISTEM!$C$9,VIRMAN!$C$7:$C$406,"&gt;="&amp;$B8,VIRMAN!$C$7:$C$406,"&lt;"&amp;EDATE($B8,1),VIRMAN!$G$7:$G$406,"KÂR PAYI / AVANS*")</f>
        <v>10310.91</v>
      </c>
      <c r="Q8" s="95">
        <f>SUMIFS(VIRMAN!$F$7:$F$406,VIRMAN!$E$7:$E$406,SISTEM!$C$10,VIRMAN!$C$7:$C$406,"&gt;="&amp;$B8,VIRMAN!$C$7:$C$406,"&lt;"&amp;EDATE($B8,1),VIRMAN!$G$7:$G$406,"KÂR PAYI / AVANS*")</f>
        <v>10310.91</v>
      </c>
      <c r="R8" s="95">
        <f>SUM($M$7:$M8)+SUM($N$7:$N8)-SUM($P$7:$P8)-SUM($Q$7:$Q8)</f>
        <v>-1.0000000067520887E-2</v>
      </c>
      <c r="S8" s="65" t="str">
        <f ca="1">IF($B8&gt;=DATE(YEAR(TODAY()),MONTH(TODAY()),1),"AÇIK",IF(COUNTIFS(SISTEM!$C$23:$C$91,"KRİTİK",SISTEM!$F$23:$F$91,"KALDI")&gt;0,"KAPATILAMAZ",IF(COUNTIF(SISTEM!$F$23:$F$91,"KALDI")=0,"KAPANABİLİR","UYARI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8" s="65" t="str">
        <f ca="1">IF(ABS($Y8-$M8-$N8)&gt;0.01,"PAY HATASI",IF($S8="KAPATILAMAZ",IFERROR("KAPATILAMAZ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edin"),IF($O8="Evet","KAPANDI","AÇIK")))</f>
        <v>AÇIK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$3001,GELIR_GIDER!$V$7:$V$3001,1,GELIR_GIDER!$C$7:$C$3001,"&lt;="&amp;EOMONTH($B8,0))</f>
        <v>830752</v>
      </c>
      <c r="Y8" s="1">
        <f t="shared" si="6"/>
        <v>20621.809999999939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3">
      <c r="A9" s="2"/>
      <c r="B9" s="73">
        <v>46082</v>
      </c>
      <c r="C9" s="95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$3001,GELIR_GIDER!$V$7:$V$3001,1,GELIR_GIDER!$C$7:$C$3001,"&gt;="&amp;$B9,GELIR_GIDER!$C$7:$C$3001,"&lt;"&amp;EDATE($B9,1))</f>
        <v>393501</v>
      </c>
      <c r="D9" s="95">
        <f>SUMIFS(TAHSILAT!$F$7:$F$2503,TAHSILAT!$E$7:$E$2503,"&gt;="&amp;$B9,TAHSILAT!$E$7:$E$2503,"&lt;"&amp;EDATE($B9,1),TAHSILAT!$H$7:$H$2503,"&lt;&gt;Mahsup")</f>
        <v>263250</v>
      </c>
      <c r="E9" s="95">
        <f>SUMIFS(GELIR_GIDER!$G$7:$G$3001,GELIR_GIDER!$D$7:$D$3001,"Gelir",GELIR_GIDER!$C$7:$C$3001,"&gt;="&amp;$B9,GELIR_GIDER!$C$7:$C$3001,"&lt;"&amp;EDATE($B9,1),GELIR_GIDER!$I$7:$I$3001,"Evet")</f>
        <v>50000</v>
      </c>
      <c r="F9" s="95">
        <f t="shared" si="1"/>
        <v>313250</v>
      </c>
      <c r="G9" s="95">
        <f>SUMIFS(GELIR_GIDER!$G$7:$G$3001,GELIR_GIDER!$D$7:$D$3001,"Gider",GELIR_GIDER!$C$7:$C$3001,"&gt;="&amp;$B9,GELIR_GIDER!$C$7:$C$3001,"&lt;"&amp;EDATE($B9,1),GELIR_GIDER!$I$7:$I$3001,"Evet")</f>
        <v>158407.97</v>
      </c>
      <c r="H9" s="95">
        <f>$C9+$E9-SUMIFS(GELIR_GIDER!$G$7:$G$3001,GELIR_GIDER!$D$7:$D$3001,"Gider",GELIR_GIDER!$C$7:$C$3001,"&gt;="&amp;$B9,GELIR_GIDER!$C$7:$C$3001,"&lt;"&amp;EDATE($B9,1))</f>
        <v>285093.03000000003</v>
      </c>
      <c r="I9" s="95">
        <f t="shared" si="2"/>
        <v>154842.03</v>
      </c>
      <c r="J9" s="92">
        <f t="shared" si="3"/>
        <v>0.66899448794285143</v>
      </c>
      <c r="K9" s="95">
        <f>SISTEM!$C$13</f>
        <v>0</v>
      </c>
      <c r="L9" s="95">
        <f>MAX(0,SUM($I$7:$I9)-$K9)</f>
        <v>431030.0199999999</v>
      </c>
      <c r="M9" s="95">
        <f t="shared" si="4"/>
        <v>77421.014999999985</v>
      </c>
      <c r="N9" s="95">
        <f t="shared" si="5"/>
        <v>77421.014999999985</v>
      </c>
      <c r="O9" s="60" t="s">
        <v>1075</v>
      </c>
      <c r="P9" s="95">
        <f>SUMIFS(VIRMAN!$F$7:$F$406,VIRMAN!$E$7:$E$406,SISTEM!$C$9,VIRMAN!$C$7:$C$406,"&gt;="&amp;$B9,VIRMAN!$C$7:$C$406,"&lt;"&amp;EDATE($B9,1),VIRMAN!$G$7:$G$406,"KÂR PAYI / AVANS*")</f>
        <v>77421.02</v>
      </c>
      <c r="Q9" s="95">
        <f>SUMIFS(VIRMAN!$F$7:$F$406,VIRMAN!$E$7:$E$406,SISTEM!$C$10,VIRMAN!$C$7:$C$406,"&gt;="&amp;$B9,VIRMAN!$C$7:$C$406,"&lt;"&amp;EDATE($B9,1),VIRMAN!$G$7:$G$406,"KÂR PAYI / AVANS*")</f>
        <v>77421.02</v>
      </c>
      <c r="R9" s="95">
        <f>SUM($M$7:$M9)+SUM($N$7:$N9)-SUM($P$7:$P9)-SUM($Q$7:$Q9)</f>
        <v>-2.0000000135041773E-2</v>
      </c>
      <c r="S9" s="65" t="str">
        <f ca="1">IF($B9&gt;=DATE(YEAR(TODAY()),MONTH(TODAY()),1),"AÇIK",IF(COUNTIFS(SISTEM!$C$23:$C$91,"KRİTİK",SISTEM!$F$23:$F$91,"KALDI")&gt;0,"KAPATILAMAZ",IF(COUNTIF(SISTEM!$F$23:$F$91,"KALDI")=0,"KAPANABİLİR","UYARI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9" s="65" t="str">
        <f ca="1">IF(ABS($Y9-$M9-$N9)&gt;0.01,"PAY HATASI",IF($S9="KAPATILAMAZ",IFERROR("KAPATILAMAZ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edin"),IF($O9="Evet","KAPANDI","AÇIK")))</f>
        <v>AÇIK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$3001,GELIR_GIDER!$V$7:$V$3001,1,GELIR_GIDER!$C$7:$C$3001,"&lt;="&amp;EOMONTH($B9,0))</f>
        <v>1224253</v>
      </c>
      <c r="Y9" s="1">
        <f t="shared" si="6"/>
        <v>154842.02999999997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3">
      <c r="A10" s="2"/>
      <c r="B10" s="73">
        <v>46113</v>
      </c>
      <c r="C10" s="95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$3001,GELIR_GIDER!$V$7:$V$3001,1,GELIR_GIDER!$C$7:$C$3001,"&gt;="&amp;$B10,GELIR_GIDER!$C$7:$C$3001,"&lt;"&amp;EDATE($B10,1))</f>
        <v>413501</v>
      </c>
      <c r="D10" s="95">
        <f>SUMIFS(TAHSILAT!$F$7:$F$2503,TAHSILAT!$E$7:$E$2503,"&gt;="&amp;$B10,TAHSILAT!$E$7:$E$2503,"&lt;"&amp;EDATE($B10,1),TAHSILAT!$H$7:$H$2503,"&lt;&gt;Mahsup")</f>
        <v>283700</v>
      </c>
      <c r="E10" s="95">
        <f>SUMIFS(GELIR_GIDER!$G$7:$G$3001,GELIR_GIDER!$D$7:$D$3001,"Gelir",GELIR_GIDER!$C$7:$C$3001,"&gt;="&amp;$B10,GELIR_GIDER!$C$7:$C$3001,"&lt;"&amp;EDATE($B10,1),GELIR_GIDER!$I$7:$I$3001,"Evet")</f>
        <v>147600</v>
      </c>
      <c r="F10" s="95">
        <f t="shared" si="1"/>
        <v>431300</v>
      </c>
      <c r="G10" s="95">
        <f>SUMIFS(GELIR_GIDER!$G$7:$G$3001,GELIR_GIDER!$D$7:$D$3001,"Gider",GELIR_GIDER!$C$7:$C$3001,"&gt;="&amp;$B10,GELIR_GIDER!$C$7:$C$3001,"&lt;"&amp;EDATE($B10,1),GELIR_GIDER!$I$7:$I$3001,"Evet")</f>
        <v>156594</v>
      </c>
      <c r="H10" s="95">
        <f>$C10+$E10-SUMIFS(GELIR_GIDER!$G$7:$G$3001,GELIR_GIDER!$D$7:$D$3001,"Gider",GELIR_GIDER!$C$7:$C$3001,"&gt;="&amp;$B10,GELIR_GIDER!$C$7:$C$3001,"&lt;"&amp;EDATE($B10,1))</f>
        <v>404507</v>
      </c>
      <c r="I10" s="95">
        <f t="shared" si="2"/>
        <v>274706</v>
      </c>
      <c r="J10" s="92">
        <f t="shared" si="3"/>
        <v>0.68609265757519333</v>
      </c>
      <c r="K10" s="95">
        <f>SISTEM!$C$13</f>
        <v>0</v>
      </c>
      <c r="L10" s="95">
        <f>MAX(0,SUM($I$7:$I10)-$K10)</f>
        <v>705736.0199999999</v>
      </c>
      <c r="M10" s="95">
        <f t="shared" si="4"/>
        <v>137353</v>
      </c>
      <c r="N10" s="95">
        <f t="shared" si="5"/>
        <v>137353</v>
      </c>
      <c r="O10" s="60" t="s">
        <v>1075</v>
      </c>
      <c r="P10" s="95">
        <f>SUMIFS(VIRMAN!$F$7:$F$406,VIRMAN!$E$7:$E$406,SISTEM!$C$9,VIRMAN!$C$7:$C$406,"&gt;="&amp;$B10,VIRMAN!$C$7:$C$406,"&lt;"&amp;EDATE($B10,1),VIRMAN!$G$7:$G$406,"KÂR PAYI / AVANS*")</f>
        <v>137353</v>
      </c>
      <c r="Q10" s="95">
        <f>SUMIFS(VIRMAN!$F$7:$F$406,VIRMAN!$E$7:$E$406,SISTEM!$C$10,VIRMAN!$C$7:$C$406,"&gt;="&amp;$B10,VIRMAN!$C$7:$C$406,"&lt;"&amp;EDATE($B10,1),VIRMAN!$G$7:$G$406,"KÂR PAYI / AVANS*")</f>
        <v>137353</v>
      </c>
      <c r="R10" s="95">
        <f>SUM($M$7:$M10)+SUM($N$7:$N10)-SUM($P$7:$P10)-SUM($Q$7:$Q10)</f>
        <v>-2.0000000135041773E-2</v>
      </c>
      <c r="S10" s="65" t="str">
        <f ca="1">IF($B10&gt;=DATE(YEAR(TODAY()),MONTH(TODAY()),1),"AÇIK",IF(COUNTIFS(SISTEM!$C$23:$C$91,"KRİTİK",SISTEM!$F$23:$F$91,"KALDI")&gt;0,"KAPATILAMAZ",IF(COUNTIF(SISTEM!$F$23:$F$91,"KALDI")=0,"KAPANABİLİR","UYARI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0" s="65" t="str">
        <f ca="1">IF(ABS($Y10-$M10-$N10)&gt;0.01,"PAY HATASI",IF($S10="KAPATILAMAZ",IFERROR("KAPATILAMAZ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edin"),IF($O10="Evet","KAPANDI","AÇIK")))</f>
        <v>AÇIK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$3001,GELIR_GIDER!$V$7:$V$3001,1,GELIR_GIDER!$C$7:$C$3001,"&lt;="&amp;EOMONTH($B10,0))</f>
        <v>1637754</v>
      </c>
      <c r="Y10" s="1">
        <f t="shared" si="6"/>
        <v>274706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3">
      <c r="A11" s="2"/>
      <c r="B11" s="73">
        <v>46143</v>
      </c>
      <c r="C11" s="95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$3001,GELIR_GIDER!$V$7:$V$3001,1,GELIR_GIDER!$C$7:$C$3001,"&gt;="&amp;$B11,GELIR_GIDER!$C$7:$C$3001,"&lt;"&amp;EDATE($B11,1))</f>
        <v>494251</v>
      </c>
      <c r="D11" s="95">
        <f>SUMIFS(TAHSILAT!$F$7:$F$2503,TAHSILAT!$E$7:$E$2503,"&gt;="&amp;$B11,TAHSILAT!$E$7:$E$2503,"&lt;"&amp;EDATE($B11,1),TAHSILAT!$H$7:$H$2503,"&lt;&gt;Mahsup")</f>
        <v>350150</v>
      </c>
      <c r="E11" s="95">
        <f>SUMIFS(GELIR_GIDER!$G$7:$G$3001,GELIR_GIDER!$D$7:$D$3001,"Gelir",GELIR_GIDER!$C$7:$C$3001,"&gt;="&amp;$B11,GELIR_GIDER!$C$7:$C$3001,"&lt;"&amp;EDATE($B11,1),GELIR_GIDER!$I$7:$I$3001,"Evet")</f>
        <v>67250</v>
      </c>
      <c r="F11" s="95">
        <f t="shared" si="1"/>
        <v>417400</v>
      </c>
      <c r="G11" s="95">
        <f>SUMIFS(GELIR_GIDER!$G$7:$G$3001,GELIR_GIDER!$D$7:$D$3001,"Gider",GELIR_GIDER!$C$7:$C$3001,"&gt;="&amp;$B11,GELIR_GIDER!$C$7:$C$3001,"&lt;"&amp;EDATE($B11,1),GELIR_GIDER!$I$7:$I$3001,"Evet")</f>
        <v>197854</v>
      </c>
      <c r="H11" s="95">
        <f>$C11+$E11-SUMIFS(GELIR_GIDER!$G$7:$G$3001,GELIR_GIDER!$D$7:$D$3001,"Gider",GELIR_GIDER!$C$7:$C$3001,"&gt;="&amp;$B11,GELIR_GIDER!$C$7:$C$3001,"&lt;"&amp;EDATE($B11,1))</f>
        <v>363647</v>
      </c>
      <c r="I11" s="95">
        <f t="shared" si="2"/>
        <v>219546</v>
      </c>
      <c r="J11" s="92">
        <f t="shared" si="3"/>
        <v>0.70844570875931456</v>
      </c>
      <c r="K11" s="95">
        <f>SISTEM!$C$13</f>
        <v>0</v>
      </c>
      <c r="L11" s="95">
        <f>MAX(0,SUM($I$7:$I11)-$K11)</f>
        <v>925282.0199999999</v>
      </c>
      <c r="M11" s="95">
        <f t="shared" si="4"/>
        <v>109773</v>
      </c>
      <c r="N11" s="95">
        <f t="shared" si="5"/>
        <v>109773</v>
      </c>
      <c r="O11" s="60" t="s">
        <v>1075</v>
      </c>
      <c r="P11" s="95">
        <f>SUMIFS(VIRMAN!$F$7:$F$406,VIRMAN!$E$7:$E$406,SISTEM!$C$9,VIRMAN!$C$7:$C$406,"&gt;="&amp;$B11,VIRMAN!$C$7:$C$406,"&lt;"&amp;EDATE($B11,1),VIRMAN!$G$7:$G$406,"KÂR PAYI / AVANS*")</f>
        <v>109773</v>
      </c>
      <c r="Q11" s="95">
        <f>SUMIFS(VIRMAN!$F$7:$F$406,VIRMAN!$E$7:$E$406,SISTEM!$C$10,VIRMAN!$C$7:$C$406,"&gt;="&amp;$B11,VIRMAN!$C$7:$C$406,"&lt;"&amp;EDATE($B11,1),VIRMAN!$G$7:$G$406,"KÂR PAYI / AVANS*")</f>
        <v>109773</v>
      </c>
      <c r="R11" s="95">
        <f>SUM($M$7:$M11)+SUM($N$7:$N11)-SUM($P$7:$P11)-SUM($Q$7:$Q11)</f>
        <v>-2.0000000135041773E-2</v>
      </c>
      <c r="S11" s="65" t="str">
        <f ca="1">IF($B11&gt;=DATE(YEAR(TODAY()),MONTH(TODAY()),1),"AÇIK",IF(COUNTIFS(SISTEM!$C$23:$C$91,"KRİTİK",SISTEM!$F$23:$F$91,"KALDI")&gt;0,"KAPATILAMAZ",IF(COUNTIF(SISTEM!$F$23:$F$91,"KALDI")=0,"KAPANABİLİR","UYARI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1" s="65" t="str">
        <f ca="1">IF(ABS($Y11-$M11-$N11)&gt;0.01,"PAY HATASI",IF($S11="KAPATILAMAZ",IFERROR("KAPATILAMAZ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edin"),IF($O11="Evet","KAPANDI","AÇIK")))</f>
        <v>AÇIK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$3001,GELIR_GIDER!$V$7:$V$3001,1,GELIR_GIDER!$C$7:$C$3001,"&lt;="&amp;EOMONTH($B11,0))</f>
        <v>2132005</v>
      </c>
      <c r="Y11" s="1">
        <f t="shared" si="6"/>
        <v>219546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3">
      <c r="A12" s="2"/>
      <c r="B12" s="73">
        <v>46174</v>
      </c>
      <c r="C12" s="95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$3001,GELIR_GIDER!$V$7:$V$3001,1,GELIR_GIDER!$C$7:$C$3001,"&gt;="&amp;$B12,GELIR_GIDER!$C$7:$C$3001,"&lt;"&amp;EDATE($B12,1))</f>
        <v>428001</v>
      </c>
      <c r="D12" s="95">
        <f>SUMIFS(TAHSILAT!$F$7:$F$2503,TAHSILAT!$E$7:$E$2503,"&gt;="&amp;$B12,TAHSILAT!$E$7:$E$2503,"&lt;"&amp;EDATE($B12,1),TAHSILAT!$H$7:$H$2503,"&lt;&gt;Mahsup")</f>
        <v>290850</v>
      </c>
      <c r="E12" s="95">
        <f>SUMIFS(GELIR_GIDER!$G$7:$G$3001,GELIR_GIDER!$D$7:$D$3001,"Gelir",GELIR_GIDER!$C$7:$C$3001,"&gt;="&amp;$B12,GELIR_GIDER!$C$7:$C$3001,"&lt;"&amp;EDATE($B12,1),GELIR_GIDER!$I$7:$I$3001,"Evet")</f>
        <v>38200</v>
      </c>
      <c r="F12" s="95">
        <f t="shared" si="1"/>
        <v>329050</v>
      </c>
      <c r="G12" s="95">
        <f>SUMIFS(GELIR_GIDER!$G$7:$G$3001,GELIR_GIDER!$D$7:$D$3001,"Gider",GELIR_GIDER!$C$7:$C$3001,"&gt;="&amp;$B12,GELIR_GIDER!$C$7:$C$3001,"&lt;"&amp;EDATE($B12,1),GELIR_GIDER!$I$7:$I$3001,"Evet")</f>
        <v>101610</v>
      </c>
      <c r="H12" s="95">
        <f>$C12+$E12-SUMIFS(GELIR_GIDER!$G$7:$G$3001,GELIR_GIDER!$D$7:$D$3001,"Gider",GELIR_GIDER!$C$7:$C$3001,"&gt;="&amp;$B12,GELIR_GIDER!$C$7:$C$3001,"&lt;"&amp;EDATE($B12,1))</f>
        <v>364591</v>
      </c>
      <c r="I12" s="95">
        <f t="shared" si="2"/>
        <v>227440</v>
      </c>
      <c r="J12" s="92">
        <f t="shared" si="3"/>
        <v>0.67955448702222654</v>
      </c>
      <c r="K12" s="95">
        <f>SISTEM!$C$13</f>
        <v>0</v>
      </c>
      <c r="L12" s="95">
        <f>MAX(0,SUM($I$7:$I12)-$K12)</f>
        <v>1152722.02</v>
      </c>
      <c r="M12" s="95">
        <f t="shared" si="4"/>
        <v>113720.00000000006</v>
      </c>
      <c r="N12" s="95">
        <f t="shared" si="5"/>
        <v>113720.00000000006</v>
      </c>
      <c r="O12" s="60" t="s">
        <v>1075</v>
      </c>
      <c r="P12" s="95">
        <f>SUMIFS(VIRMAN!$F$7:$F$406,VIRMAN!$E$7:$E$406,SISTEM!$C$9,VIRMAN!$C$7:$C$406,"&gt;="&amp;$B12,VIRMAN!$C$7:$C$406,"&lt;"&amp;EDATE($B12,1),VIRMAN!$G$7:$G$406,"KÂR PAYI / AVANS*")</f>
        <v>113720</v>
      </c>
      <c r="Q12" s="95">
        <f>SUMIFS(VIRMAN!$F$7:$F$406,VIRMAN!$E$7:$E$406,SISTEM!$C$10,VIRMAN!$C$7:$C$406,"&gt;="&amp;$B12,VIRMAN!$C$7:$C$406,"&lt;"&amp;EDATE($B12,1),VIRMAN!$G$7:$G$406,"KÂR PAYI / AVANS*")</f>
        <v>113720</v>
      </c>
      <c r="R12" s="95">
        <f>SUM($M$7:$M12)+SUM($N$7:$N12)-SUM($P$7:$P12)-SUM($Q$7:$Q12)</f>
        <v>-2.0000000018626451E-2</v>
      </c>
      <c r="S12" s="65" t="str">
        <f ca="1">IF($B12&gt;=DATE(YEAR(TODAY()),MONTH(TODAY()),1),"AÇIK",IF(COUNTIFS(SISTEM!$C$23:$C$91,"KRİTİK",SISTEM!$F$23:$F$91,"KALDI")&gt;0,"KAPATILAMAZ",IF(COUNTIF(SISTEM!$F$23:$F$91,"KALDI")=0,"KAPANABİLİR","UYARI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2" s="65" t="str">
        <f ca="1">IF(ABS($Y12-$M12-$N12)&gt;0.01,"PAY HATASI",IF($S12="KAPATILAMAZ",IFERROR("KAPATILAMAZ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edin"),IF($O12="Evet","KAPANDI","AÇIK")))</f>
        <v>AÇIK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$3001,GELIR_GIDER!$V$7:$V$3001,1,GELIR_GIDER!$C$7:$C$3001,"&lt;="&amp;EOMONTH($B12,0))</f>
        <v>2560006</v>
      </c>
      <c r="Y12" s="1">
        <f t="shared" si="6"/>
        <v>227440.00000000012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3">
      <c r="A13" s="2"/>
      <c r="B13" s="73">
        <v>46204</v>
      </c>
      <c r="C13" s="95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$3001,GELIR_GIDER!$V$7:$V$3001,1,GELIR_GIDER!$C$7:$C$3001,"&gt;="&amp;$B13,GELIR_GIDER!$C$7:$C$3001,"&lt;"&amp;EDATE($B13,1))</f>
        <v>422001</v>
      </c>
      <c r="D13" s="95">
        <f>SUMIFS(TAHSILAT!$F$7:$F$2503,TAHSILAT!$E$7:$E$2503,"&gt;="&amp;$B13,TAHSILAT!$E$7:$E$2503,"&lt;"&amp;EDATE($B13,1),TAHSILAT!$H$7:$H$2503,"&lt;&gt;Mahsup")</f>
        <v>206750</v>
      </c>
      <c r="E13" s="95">
        <f>SUMIFS(GELIR_GIDER!$G$7:$G$3001,GELIR_GIDER!$D$7:$D$3001,"Gelir",GELIR_GIDER!$C$7:$C$3001,"&gt;="&amp;$B13,GELIR_GIDER!$C$7:$C$3001,"&lt;"&amp;EDATE($B13,1),GELIR_GIDER!$I$7:$I$3001,"Evet")</f>
        <v>20000</v>
      </c>
      <c r="F13" s="95">
        <f t="shared" si="1"/>
        <v>226750</v>
      </c>
      <c r="G13" s="95">
        <f>SUMIFS(GELIR_GIDER!$G$7:$G$3001,GELIR_GIDER!$D$7:$D$3001,"Gider",GELIR_GIDER!$C$7:$C$3001,"&gt;="&amp;$B13,GELIR_GIDER!$C$7:$C$3001,"&lt;"&amp;EDATE($B13,1),GELIR_GIDER!$I$7:$I$3001,"Evet")</f>
        <v>110010</v>
      </c>
      <c r="H13" s="95">
        <f>$C13+$E13-SUMIFS(GELIR_GIDER!$G$7:$G$3001,GELIR_GIDER!$D$7:$D$3001,"Gider",GELIR_GIDER!$C$7:$C$3001,"&gt;="&amp;$B13,GELIR_GIDER!$C$7:$C$3001,"&lt;"&amp;EDATE($B13,1))</f>
        <v>331991</v>
      </c>
      <c r="I13" s="95">
        <f t="shared" si="2"/>
        <v>116740</v>
      </c>
      <c r="J13" s="92">
        <f t="shared" si="3"/>
        <v>0.48992774898637681</v>
      </c>
      <c r="K13" s="95">
        <f>SISTEM!$C$13</f>
        <v>0</v>
      </c>
      <c r="L13" s="95">
        <f>MAX(0,SUM($I$7:$I13)-$K13)</f>
        <v>1269462.02</v>
      </c>
      <c r="M13" s="95">
        <f t="shared" si="4"/>
        <v>58370</v>
      </c>
      <c r="N13" s="95">
        <f t="shared" si="5"/>
        <v>58370</v>
      </c>
      <c r="O13" s="60" t="s">
        <v>1075</v>
      </c>
      <c r="P13" s="95">
        <f>SUMIFS(VIRMAN!$F$7:$F$406,VIRMAN!$E$7:$E$406,SISTEM!$C$9,VIRMAN!$C$7:$C$406,"&gt;="&amp;$B13,VIRMAN!$C$7:$C$406,"&lt;"&amp;EDATE($B13,1),VIRMAN!$G$7:$G$406,"KÂR PAYI / AVANS*")</f>
        <v>58370</v>
      </c>
      <c r="Q13" s="95">
        <f>SUMIFS(VIRMAN!$F$7:$F$406,VIRMAN!$E$7:$E$406,SISTEM!$C$10,VIRMAN!$C$7:$C$406,"&gt;="&amp;$B13,VIRMAN!$C$7:$C$406,"&lt;"&amp;EDATE($B13,1),VIRMAN!$G$7:$G$406,"KÂR PAYI / AVANS*")</f>
        <v>58370</v>
      </c>
      <c r="R13" s="95">
        <f>SUM($M$7:$M13)+SUM($N$7:$N13)-SUM($P$7:$P13)-SUM($Q$7:$Q13)</f>
        <v>-2.0000000018626451E-2</v>
      </c>
      <c r="S13" s="65" t="str">
        <f ca="1">IF($B13&gt;=DATE(YEAR(TODAY()),MONTH(TODAY()),1),"AÇIK",IF(COUNTIFS(SISTEM!$C$23:$C$91,"KRİTİK",SISTEM!$F$23:$F$91,"KALDI")&gt;0,"KAPATILAMAZ",IF(COUNTIF(SISTEM!$F$23:$F$91,"KALDI")=0,"KAPANABİLİR","UYARI VAR – KAPATILABİLİR")))</f>
        <v>KAPANABİLİR</v>
      </c>
      <c r="T13" s="65" t="str">
        <f ca="1">IF(ABS($Y13-$M13-$N13)&gt;0.01,"PAY HATASI",IF($S13="KAPATILAMAZ",IFERROR("KAPATILAMAZ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edin"),IF($O13="Evet","KAPANDI","AÇIK")))</f>
        <v>AÇIK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$3001,GELIR_GIDER!$V$7:$V$3001,1,GELIR_GIDER!$C$7:$C$3001,"&lt;="&amp;EOMONTH($B13,0))</f>
        <v>2982007</v>
      </c>
      <c r="Y13" s="1">
        <f t="shared" si="6"/>
        <v>116740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3">
      <c r="A14" s="2"/>
      <c r="B14" s="73">
        <v>46235</v>
      </c>
      <c r="C14" s="95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$3001,GELIR_GIDER!$V$7:$V$3001,1,GELIR_GIDER!$C$7:$C$3001,"&gt;="&amp;$B14,GELIR_GIDER!$C$7:$C$3001,"&lt;"&amp;EDATE($B14,1))</f>
        <v>516751</v>
      </c>
      <c r="D14" s="95">
        <f>SUMIFS(TAHSILAT!$F$7:$F$2503,TAHSILAT!$E$7:$E$2503,"&gt;="&amp;$B14,TAHSILAT!$E$7:$E$2503,"&lt;"&amp;EDATE($B14,1),TAHSILAT!$H$7:$H$2503,"&lt;&gt;Mahsup")</f>
        <v>334400</v>
      </c>
      <c r="E14" s="95">
        <f>SUMIFS(GELIR_GIDER!$G$7:$G$3001,GELIR_GIDER!$D$7:$D$3001,"Gelir",GELIR_GIDER!$C$7:$C$3001,"&gt;="&amp;$B14,GELIR_GIDER!$C$7:$C$3001,"&lt;"&amp;EDATE($B14,1),GELIR_GIDER!$I$7:$I$3001,"Evet")</f>
        <v>63000</v>
      </c>
      <c r="F14" s="95">
        <f t="shared" si="1"/>
        <v>397400</v>
      </c>
      <c r="G14" s="95">
        <f>SUMIFS(GELIR_GIDER!$G$7:$G$3001,GELIR_GIDER!$D$7:$D$3001,"Gider",GELIR_GIDER!$C$7:$C$3001,"&gt;="&amp;$B14,GELIR_GIDER!$C$7:$C$3001,"&lt;"&amp;EDATE($B14,1),GELIR_GIDER!$I$7:$I$3001,"Evet")</f>
        <v>119800</v>
      </c>
      <c r="H14" s="95">
        <f>$C14+$E14-SUMIFS(GELIR_GIDER!$G$7:$G$3001,GELIR_GIDER!$D$7:$D$3001,"Gider",GELIR_GIDER!$C$7:$C$3001,"&gt;="&amp;$B14,GELIR_GIDER!$C$7:$C$3001,"&lt;"&amp;EDATE($B14,1))</f>
        <v>459951</v>
      </c>
      <c r="I14" s="95">
        <f t="shared" si="2"/>
        <v>277600</v>
      </c>
      <c r="J14" s="92">
        <f t="shared" si="3"/>
        <v>0.64712017973840397</v>
      </c>
      <c r="K14" s="95">
        <f>SISTEM!$C$13</f>
        <v>0</v>
      </c>
      <c r="L14" s="95">
        <f>MAX(0,SUM($I$7:$I14)-$K14)</f>
        <v>1547062.02</v>
      </c>
      <c r="M14" s="95">
        <f t="shared" si="4"/>
        <v>138800</v>
      </c>
      <c r="N14" s="95">
        <f t="shared" si="5"/>
        <v>138800</v>
      </c>
      <c r="O14" s="60"/>
      <c r="P14" s="95">
        <f>SUMIFS(VIRMAN!$F$7:$F$406,VIRMAN!$E$7:$E$406,SISTEM!$C$9,VIRMAN!$C$7:$C$406,"&gt;="&amp;$B14,VIRMAN!$C$7:$C$406,"&lt;"&amp;EDATE($B14,1),VIRMAN!$G$7:$G$406,"KÂR PAYI / AVANS*")</f>
        <v>0</v>
      </c>
      <c r="Q14" s="95">
        <f>SUMIFS(VIRMAN!$F$7:$F$406,VIRMAN!$E$7:$E$406,SISTEM!$C$10,VIRMAN!$C$7:$C$406,"&gt;="&amp;$B14,VIRMAN!$C$7:$C$406,"&lt;"&amp;EDATE($B14,1),VIRMAN!$G$7:$G$406,"KÂR PAYI / AVANS*")</f>
        <v>0</v>
      </c>
      <c r="R14" s="95">
        <f>SUM($M$7:$M14)+SUM($N$7:$N14)-SUM($P$7:$P14)-SUM($Q$7:$Q14)</f>
        <v>277599.98</v>
      </c>
      <c r="S14" s="65" t="str">
        <f ca="1">IF($B14&gt;=DATE(YEAR(TODAY()),MONTH(TODAY()),1),"AÇIK",IF(COUNTIFS(SISTEM!$C$23:$C$91,"KRİTİK",SISTEM!$F$23:$F$91,"KALDI")&gt;0,"KAPATILAMAZ",IF(COUNTIF(SISTEM!$F$23:$F$91,"KALDI")=0,"KAPANABİLİR","UYARI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4" s="65" t="str">
        <f ca="1">IF(ABS($Y14-$M14-$N14)&gt;0.01,"PAY HATASI",IF($S14="KAPATILAMAZ",IFERROR("KAPATILAMAZ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edin"),IF($O14="Evet","KAPANDI","AÇIK")))</f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$3001,GELIR_GIDER!$V$7:$V$3001,1,GELIR_GIDER!$C$7:$C$3001,"&lt;="&amp;EOMONTH($B14,0))</f>
        <v>3498758</v>
      </c>
      <c r="Y14" s="1">
        <f t="shared" si="6"/>
        <v>277600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3">
      <c r="A15" s="2"/>
      <c r="B15" s="73">
        <v>46266</v>
      </c>
      <c r="C15" s="95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$3001,GELIR_GIDER!$V$7:$V$3001,1,GELIR_GIDER!$C$7:$C$3001,"&gt;="&amp;$B15,GELIR_GIDER!$C$7:$C$3001,"&lt;"&amp;EDATE($B15,1))</f>
        <v>450001</v>
      </c>
      <c r="D15" s="95">
        <f>SUMIFS(TAHSILAT!$F$7:$F$2503,TAHSILAT!$E$7:$E$2503,"&gt;="&amp;$B15,TAHSILAT!$E$7:$E$2503,"&lt;"&amp;EDATE($B15,1),TAHSILAT!$H$7:$H$2503,"&lt;&gt;Mahsup")</f>
        <v>0</v>
      </c>
      <c r="E15" s="95">
        <f>SUMIFS(GELIR_GIDER!$G$7:$G$3001,GELIR_GIDER!$D$7:$D$3001,"Gelir",GELIR_GIDER!$C$7:$C$3001,"&gt;="&amp;$B15,GELIR_GIDER!$C$7:$C$3001,"&lt;"&amp;EDATE($B15,1),GELIR_GIDER!$I$7:$I$3001,"Evet")</f>
        <v>0</v>
      </c>
      <c r="F15" s="95">
        <f t="shared" si="1"/>
        <v>0</v>
      </c>
      <c r="G15" s="95">
        <f>SUMIFS(GELIR_GIDER!$G$7:$G$3001,GELIR_GIDER!$D$7:$D$3001,"Gider",GELIR_GIDER!$C$7:$C$3001,"&gt;="&amp;$B15,GELIR_GIDER!$C$7:$C$3001,"&lt;"&amp;EDATE($B15,1),GELIR_GIDER!$I$7:$I$3001,"Evet")</f>
        <v>0</v>
      </c>
      <c r="H15" s="95">
        <f>$C15+$E15-SUMIFS(GELIR_GIDER!$G$7:$G$3001,GELIR_GIDER!$D$7:$D$3001,"Gider",GELIR_GIDER!$C$7:$C$3001,"&gt;="&amp;$B15,GELIR_GIDER!$C$7:$C$3001,"&lt;"&amp;EDATE($B15,1))</f>
        <v>450001</v>
      </c>
      <c r="I15" s="95">
        <f t="shared" si="2"/>
        <v>0</v>
      </c>
      <c r="J15" s="92">
        <f t="shared" si="3"/>
        <v>0</v>
      </c>
      <c r="K15" s="95">
        <f>SISTEM!$C$13</f>
        <v>0</v>
      </c>
      <c r="L15" s="95">
        <f>MAX(0,SUM($I$7:$I15)-$K15)</f>
        <v>1547062.02</v>
      </c>
      <c r="M15" s="95">
        <f t="shared" si="4"/>
        <v>0</v>
      </c>
      <c r="N15" s="95">
        <f t="shared" si="5"/>
        <v>0</v>
      </c>
      <c r="O15" s="60"/>
      <c r="P15" s="95">
        <f>SUMIFS(VIRMAN!$F$7:$F$406,VIRMAN!$E$7:$E$406,SISTEM!$C$9,VIRMAN!$C$7:$C$406,"&gt;="&amp;$B15,VIRMAN!$C$7:$C$406,"&lt;"&amp;EDATE($B15,1),VIRMAN!$G$7:$G$406,"KÂR PAYI / AVANS*")</f>
        <v>0</v>
      </c>
      <c r="Q15" s="95">
        <f>SUMIFS(VIRMAN!$F$7:$F$406,VIRMAN!$E$7:$E$406,SISTEM!$C$10,VIRMAN!$C$7:$C$406,"&gt;="&amp;$B15,VIRMAN!$C$7:$C$406,"&lt;"&amp;EDATE($B15,1),VIRMAN!$G$7:$G$406,"KÂR PAYI / AVANS*")</f>
        <v>0</v>
      </c>
      <c r="R15" s="95">
        <f>SUM($M$7:$M15)+SUM($N$7:$N15)-SUM($P$7:$P15)-SUM($Q$7:$Q15)</f>
        <v>277599.98</v>
      </c>
      <c r="S15" s="65" t="str">
        <f ca="1">IF($B15&gt;=DATE(YEAR(TODAY()),MONTH(TODAY()),1),"AÇIK",IF(COUNTIFS(SISTEM!$C$23:$C$91,"KRİTİK",SISTEM!$F$23:$F$91,"KALDI")&gt;0,"KAPATILAMAZ",IF(COUNTIF(SISTEM!$F$23:$F$91,"KALDI")=0,"KAPANABİLİR","UYARI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5" s="65" t="str">
        <f ca="1">IF(ABS($Y15-$M15-$N15)&gt;0.01,"PAY HATASI",IF($S15="KAPATILAMAZ",IFERROR("KAPATILAMAZ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edin"),IF($O15="Evet","KAPANDI","AÇIK")))</f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$3001,GELIR_GIDER!$V$7:$V$3001,1,GELIR_GIDER!$C$7:$C$3001,"&lt;="&amp;EOMONTH($B15,0))</f>
        <v>3948759</v>
      </c>
      <c r="Y15" s="1">
        <f t="shared" si="6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3">
      <c r="A16" s="2"/>
      <c r="B16" s="73">
        <v>46296</v>
      </c>
      <c r="C16" s="95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$3001,GELIR_GIDER!$V$7:$V$3001,1,GELIR_GIDER!$C$7:$C$3001,"&gt;="&amp;$B16,GELIR_GIDER!$C$7:$C$3001,"&lt;"&amp;EDATE($B16,1))</f>
        <v>529751</v>
      </c>
      <c r="D16" s="95">
        <f>SUMIFS(TAHSILAT!$F$7:$F$2503,TAHSILAT!$E$7:$E$2503,"&gt;="&amp;$B16,TAHSILAT!$E$7:$E$2503,"&lt;"&amp;EDATE($B16,1),TAHSILAT!$H$7:$H$2503,"&lt;&gt;Mahsup")</f>
        <v>0</v>
      </c>
      <c r="E16" s="95">
        <f>SUMIFS(GELIR_GIDER!$G$7:$G$3001,GELIR_GIDER!$D$7:$D$3001,"Gelir",GELIR_GIDER!$C$7:$C$3001,"&gt;="&amp;$B16,GELIR_GIDER!$C$7:$C$3001,"&lt;"&amp;EDATE($B16,1),GELIR_GIDER!$I$7:$I$3001,"Evet")</f>
        <v>0</v>
      </c>
      <c r="F16" s="95">
        <f t="shared" si="1"/>
        <v>0</v>
      </c>
      <c r="G16" s="95">
        <f>SUMIFS(GELIR_GIDER!$G$7:$G$3001,GELIR_GIDER!$D$7:$D$3001,"Gider",GELIR_GIDER!$C$7:$C$3001,"&gt;="&amp;$B16,GELIR_GIDER!$C$7:$C$3001,"&lt;"&amp;EDATE($B16,1),GELIR_GIDER!$I$7:$I$3001,"Evet")</f>
        <v>0</v>
      </c>
      <c r="H16" s="95">
        <f>$C16+$E16-SUMIFS(GELIR_GIDER!$G$7:$G$3001,GELIR_GIDER!$D$7:$D$3001,"Gider",GELIR_GIDER!$C$7:$C$3001,"&gt;="&amp;$B16,GELIR_GIDER!$C$7:$C$3001,"&lt;"&amp;EDATE($B16,1))</f>
        <v>529751</v>
      </c>
      <c r="I16" s="95">
        <f t="shared" si="2"/>
        <v>0</v>
      </c>
      <c r="J16" s="92">
        <f t="shared" si="3"/>
        <v>0</v>
      </c>
      <c r="K16" s="95">
        <f>SISTEM!$C$13</f>
        <v>0</v>
      </c>
      <c r="L16" s="95">
        <f>MAX(0,SUM($I$7:$I16)-$K16)</f>
        <v>1547062.02</v>
      </c>
      <c r="M16" s="95">
        <f t="shared" si="4"/>
        <v>0</v>
      </c>
      <c r="N16" s="95">
        <f t="shared" si="5"/>
        <v>0</v>
      </c>
      <c r="O16" s="60"/>
      <c r="P16" s="95">
        <f>SUMIFS(VIRMAN!$F$7:$F$406,VIRMAN!$E$7:$E$406,SISTEM!$C$9,VIRMAN!$C$7:$C$406,"&gt;="&amp;$B16,VIRMAN!$C$7:$C$406,"&lt;"&amp;EDATE($B16,1),VIRMAN!$G$7:$G$406,"KÂR PAYI / AVANS*")</f>
        <v>0</v>
      </c>
      <c r="Q16" s="95">
        <f>SUMIFS(VIRMAN!$F$7:$F$406,VIRMAN!$E$7:$E$406,SISTEM!$C$10,VIRMAN!$C$7:$C$406,"&gt;="&amp;$B16,VIRMAN!$C$7:$C$406,"&lt;"&amp;EDATE($B16,1),VIRMAN!$G$7:$G$406,"KÂR PAYI / AVANS*")</f>
        <v>0</v>
      </c>
      <c r="R16" s="95">
        <f>SUM($M$7:$M16)+SUM($N$7:$N16)-SUM($P$7:$P16)-SUM($Q$7:$Q16)</f>
        <v>277599.98</v>
      </c>
      <c r="S16" s="65" t="str">
        <f ca="1">IF($B16&gt;=DATE(YEAR(TODAY()),MONTH(TODAY()),1),"AÇIK",IF(COUNTIFS(SISTEM!$C$23:$C$91,"KRİTİK",SISTEM!$F$23:$F$91,"KALDI")&gt;0,"KAPATILAMAZ",IF(COUNTIF(SISTEM!$F$23:$F$91,"KALDI")=0,"KAPANABİLİR","UYARI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6" s="65" t="str">
        <f ca="1">IF(ABS($Y16-$M16-$N16)&gt;0.01,"PAY HATASI",IF($S16="KAPATILAMAZ",IFERROR("KAPATILAMAZ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edin"),IF($O16="Evet","KAPANDI","AÇIK")))</f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$3001,GELIR_GIDER!$V$7:$V$3001,1,GELIR_GIDER!$C$7:$C$3001,"&lt;="&amp;EOMONTH($B16,0))</f>
        <v>4478510</v>
      </c>
      <c r="Y16" s="1">
        <f t="shared" si="6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3">
      <c r="A17" s="2"/>
      <c r="B17" s="73">
        <v>46327</v>
      </c>
      <c r="C17" s="95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$3001,GELIR_GIDER!$V$7:$V$3001,1,GELIR_GIDER!$C$7:$C$3001,"&gt;="&amp;$B17,GELIR_GIDER!$C$7:$C$3001,"&lt;"&amp;EDATE($B17,1))</f>
        <v>450001</v>
      </c>
      <c r="D17" s="95">
        <f>SUMIFS(TAHSILAT!$F$7:$F$2503,TAHSILAT!$E$7:$E$2503,"&gt;="&amp;$B17,TAHSILAT!$E$7:$E$2503,"&lt;"&amp;EDATE($B17,1),TAHSILAT!$H$7:$H$2503,"&lt;&gt;Mahsup")</f>
        <v>0</v>
      </c>
      <c r="E17" s="95">
        <f>SUMIFS(GELIR_GIDER!$G$7:$G$3001,GELIR_GIDER!$D$7:$D$3001,"Gelir",GELIR_GIDER!$C$7:$C$3001,"&gt;="&amp;$B17,GELIR_GIDER!$C$7:$C$3001,"&lt;"&amp;EDATE($B17,1),GELIR_GIDER!$I$7:$I$3001,"Evet")</f>
        <v>0</v>
      </c>
      <c r="F17" s="95">
        <f t="shared" si="1"/>
        <v>0</v>
      </c>
      <c r="G17" s="95">
        <f>SUMIFS(GELIR_GIDER!$G$7:$G$3001,GELIR_GIDER!$D$7:$D$3001,"Gider",GELIR_GIDER!$C$7:$C$3001,"&gt;="&amp;$B17,GELIR_GIDER!$C$7:$C$3001,"&lt;"&amp;EDATE($B17,1),GELIR_GIDER!$I$7:$I$3001,"Evet")</f>
        <v>0</v>
      </c>
      <c r="H17" s="95">
        <f>$C17+$E17-SUMIFS(GELIR_GIDER!$G$7:$G$3001,GELIR_GIDER!$D$7:$D$3001,"Gider",GELIR_GIDER!$C$7:$C$3001,"&gt;="&amp;$B17,GELIR_GIDER!$C$7:$C$3001,"&lt;"&amp;EDATE($B17,1))</f>
        <v>450001</v>
      </c>
      <c r="I17" s="95">
        <f t="shared" si="2"/>
        <v>0</v>
      </c>
      <c r="J17" s="92">
        <f t="shared" si="3"/>
        <v>0</v>
      </c>
      <c r="K17" s="95">
        <f>SISTEM!$C$13</f>
        <v>0</v>
      </c>
      <c r="L17" s="95">
        <f>MAX(0,SUM($I$7:$I17)-$K17)</f>
        <v>1547062.02</v>
      </c>
      <c r="M17" s="95">
        <f t="shared" si="4"/>
        <v>0</v>
      </c>
      <c r="N17" s="95">
        <f t="shared" si="5"/>
        <v>0</v>
      </c>
      <c r="O17" s="60"/>
      <c r="P17" s="95">
        <f>SUMIFS(VIRMAN!$F$7:$F$406,VIRMAN!$E$7:$E$406,SISTEM!$C$9,VIRMAN!$C$7:$C$406,"&gt;="&amp;$B17,VIRMAN!$C$7:$C$406,"&lt;"&amp;EDATE($B17,1),VIRMAN!$G$7:$G$406,"KÂR PAYI / AVANS*")</f>
        <v>0</v>
      </c>
      <c r="Q17" s="95">
        <f>SUMIFS(VIRMAN!$F$7:$F$406,VIRMAN!$E$7:$E$406,SISTEM!$C$10,VIRMAN!$C$7:$C$406,"&gt;="&amp;$B17,VIRMAN!$C$7:$C$406,"&lt;"&amp;EDATE($B17,1),VIRMAN!$G$7:$G$406,"KÂR PAYI / AVANS*")</f>
        <v>0</v>
      </c>
      <c r="R17" s="95">
        <f>SUM($M$7:$M17)+SUM($N$7:$N17)-SUM($P$7:$P17)-SUM($Q$7:$Q17)</f>
        <v>277599.98</v>
      </c>
      <c r="S17" s="65" t="str">
        <f ca="1">IF($B17&gt;=DATE(YEAR(TODAY()),MONTH(TODAY()),1),"AÇIK",IF(COUNTIFS(SISTEM!$C$23:$C$91,"KRİTİK",SISTEM!$F$23:$F$91,"KALDI")&gt;0,"KAPATILAMAZ",IF(COUNTIF(SISTEM!$F$23:$F$91,"KALDI")=0,"KAPANABİLİR","UYARI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7" s="65" t="str">
        <f ca="1">IF(ABS($Y17-$M17-$N17)&gt;0.01,"PAY HATASI",IF($S17="KAPATILAMAZ",IFERROR("KAPATILAMAZ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edin"),IF($O17="Evet","KAPANDI","AÇIK")))</f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$3001,GELIR_GIDER!$V$7:$V$3001,1,GELIR_GIDER!$C$7:$C$3001,"&lt;="&amp;EOMONTH($B17,0))</f>
        <v>4928511</v>
      </c>
      <c r="Y17" s="1">
        <f t="shared" si="6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3">
      <c r="A18" s="2"/>
      <c r="B18" s="73">
        <v>46357</v>
      </c>
      <c r="C18" s="95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$3001,GELIR_GIDER!$V$7:$V$3001,1,GELIR_GIDER!$C$7:$C$3001,"&gt;="&amp;$B18,GELIR_GIDER!$C$7:$C$3001,"&lt;"&amp;EDATE($B18,1))</f>
        <v>450001</v>
      </c>
      <c r="D18" s="95">
        <f>SUMIFS(TAHSILAT!$F$7:$F$2503,TAHSILAT!$E$7:$E$2503,"&gt;="&amp;$B18,TAHSILAT!$E$7:$E$2503,"&lt;"&amp;EDATE($B18,1),TAHSILAT!$H$7:$H$2503,"&lt;&gt;Mahsup")</f>
        <v>0</v>
      </c>
      <c r="E18" s="95">
        <f>SUMIFS(GELIR_GIDER!$G$7:$G$3001,GELIR_GIDER!$D$7:$D$3001,"Gelir",GELIR_GIDER!$C$7:$C$3001,"&gt;="&amp;$B18,GELIR_GIDER!$C$7:$C$3001,"&lt;"&amp;EDATE($B18,1),GELIR_GIDER!$I$7:$I$3001,"Evet")</f>
        <v>0</v>
      </c>
      <c r="F18" s="95">
        <f t="shared" si="1"/>
        <v>0</v>
      </c>
      <c r="G18" s="95">
        <f>SUMIFS(GELIR_GIDER!$G$7:$G$3001,GELIR_GIDER!$D$7:$D$3001,"Gider",GELIR_GIDER!$C$7:$C$3001,"&gt;="&amp;$B18,GELIR_GIDER!$C$7:$C$3001,"&lt;"&amp;EDATE($B18,1),GELIR_GIDER!$I$7:$I$3001,"Evet")</f>
        <v>0</v>
      </c>
      <c r="H18" s="95">
        <f>$C18+$E18-SUMIFS(GELIR_GIDER!$G$7:$G$3001,GELIR_GIDER!$D$7:$D$3001,"Gider",GELIR_GIDER!$C$7:$C$3001,"&gt;="&amp;$B18,GELIR_GIDER!$C$7:$C$3001,"&lt;"&amp;EDATE($B18,1))</f>
        <v>450001</v>
      </c>
      <c r="I18" s="95">
        <f t="shared" si="2"/>
        <v>0</v>
      </c>
      <c r="J18" s="92">
        <f t="shared" si="3"/>
        <v>0</v>
      </c>
      <c r="K18" s="95">
        <f>SISTEM!$C$13</f>
        <v>0</v>
      </c>
      <c r="L18" s="95">
        <f>MAX(0,SUM($I$7:$I18)-$K18)</f>
        <v>1547062.02</v>
      </c>
      <c r="M18" s="95">
        <f t="shared" si="4"/>
        <v>0</v>
      </c>
      <c r="N18" s="95">
        <f t="shared" si="5"/>
        <v>0</v>
      </c>
      <c r="O18" s="60"/>
      <c r="P18" s="95">
        <f>SUMIFS(VIRMAN!$F$7:$F$406,VIRMAN!$E$7:$E$406,SISTEM!$C$9,VIRMAN!$C$7:$C$406,"&gt;="&amp;$B18,VIRMAN!$C$7:$C$406,"&lt;"&amp;EDATE($B18,1),VIRMAN!$G$7:$G$406,"KÂR PAYI / AVANS*")</f>
        <v>0</v>
      </c>
      <c r="Q18" s="95">
        <f>SUMIFS(VIRMAN!$F$7:$F$406,VIRMAN!$E$7:$E$406,SISTEM!$C$10,VIRMAN!$C$7:$C$406,"&gt;="&amp;$B18,VIRMAN!$C$7:$C$406,"&lt;"&amp;EDATE($B18,1),VIRMAN!$G$7:$G$406,"KÂR PAYI / AVANS*")</f>
        <v>0</v>
      </c>
      <c r="R18" s="95">
        <f>SUM($M$7:$M18)+SUM($N$7:$N18)-SUM($P$7:$P18)-SUM($Q$7:$Q18)</f>
        <v>277599.98</v>
      </c>
      <c r="S18" s="65" t="str">
        <f ca="1">IF($B18&gt;=DATE(YEAR(TODAY()),MONTH(TODAY()),1),"AÇIK",IF(COUNTIFS(SISTEM!$C$23:$C$91,"KRİTİK",SISTEM!$F$23:$F$91,"KALDI")&gt;0,"KAPATILAMAZ",IF(COUNTIF(SISTEM!$F$23:$F$91,"KALDI")=0,"KAPANABİLİR","UYARI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8" s="65" t="str">
        <f ca="1">IF(ABS($Y18-$M18-$N18)&gt;0.01,"PAY HATASI",IF($S18="KAPATILAMAZ",IFERROR("KAPATILAMAZ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edin"),IF($O18="Evet","KAPANDI","AÇIK")))</f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$3001,GELIR_GIDER!$V$7:$V$3001,1,GELIR_GIDER!$C$7:$C$3001,"&lt;="&amp;EOMONTH($B18,0))</f>
        <v>5378512</v>
      </c>
      <c r="Y18" s="1">
        <f t="shared" si="6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3">
      <c r="A19" s="2"/>
      <c r="B19" s="73">
        <v>46388</v>
      </c>
      <c r="C19" s="95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$3001,GELIR_GIDER!$V$7:$V$3001,1,GELIR_GIDER!$C$7:$C$3001,"&gt;="&amp;$B19,GELIR_GIDER!$C$7:$C$3001,"&lt;"&amp;EDATE($B19,1))</f>
        <v>529751</v>
      </c>
      <c r="D19" s="95">
        <f>SUMIFS(TAHSILAT!$F$7:$F$2503,TAHSILAT!$E$7:$E$2503,"&gt;="&amp;$B19,TAHSILAT!$E$7:$E$2503,"&lt;"&amp;EDATE($B19,1),TAHSILAT!$H$7:$H$2503,"&lt;&gt;Mahsup")</f>
        <v>0</v>
      </c>
      <c r="E19" s="95">
        <f>SUMIFS(GELIR_GIDER!$G$7:$G$3001,GELIR_GIDER!$D$7:$D$3001,"Gelir",GELIR_GIDER!$C$7:$C$3001,"&gt;="&amp;$B19,GELIR_GIDER!$C$7:$C$3001,"&lt;"&amp;EDATE($B19,1),GELIR_GIDER!$I$7:$I$3001,"Evet")</f>
        <v>0</v>
      </c>
      <c r="F19" s="95">
        <f t="shared" si="1"/>
        <v>0</v>
      </c>
      <c r="G19" s="95">
        <f>SUMIFS(GELIR_GIDER!$G$7:$G$3001,GELIR_GIDER!$D$7:$D$3001,"Gider",GELIR_GIDER!$C$7:$C$3001,"&gt;="&amp;$B19,GELIR_GIDER!$C$7:$C$3001,"&lt;"&amp;EDATE($B19,1),GELIR_GIDER!$I$7:$I$3001,"Evet")</f>
        <v>0</v>
      </c>
      <c r="H19" s="95">
        <f>$C19+$E19-SUMIFS(GELIR_GIDER!$G$7:$G$3001,GELIR_GIDER!$D$7:$D$3001,"Gider",GELIR_GIDER!$C$7:$C$3001,"&gt;="&amp;$B19,GELIR_GIDER!$C$7:$C$3001,"&lt;"&amp;EDATE($B19,1))</f>
        <v>529751</v>
      </c>
      <c r="I19" s="95">
        <f t="shared" si="2"/>
        <v>0</v>
      </c>
      <c r="J19" s="92">
        <f t="shared" si="3"/>
        <v>0</v>
      </c>
      <c r="K19" s="95">
        <f>SISTEM!$C$13</f>
        <v>0</v>
      </c>
      <c r="L19" s="95">
        <f>MAX(0,SUM($I$7:$I19)-$K19)</f>
        <v>1547062.02</v>
      </c>
      <c r="M19" s="95">
        <f t="shared" si="4"/>
        <v>0</v>
      </c>
      <c r="N19" s="95">
        <f t="shared" si="5"/>
        <v>0</v>
      </c>
      <c r="O19" s="60"/>
      <c r="P19" s="95">
        <f>SUMIFS(VIRMAN!$F$7:$F$406,VIRMAN!$E$7:$E$406,SISTEM!$C$9,VIRMAN!$C$7:$C$406,"&gt;="&amp;$B19,VIRMAN!$C$7:$C$406,"&lt;"&amp;EDATE($B19,1),VIRMAN!$G$7:$G$406,"KÂR PAYI / AVANS*")</f>
        <v>0</v>
      </c>
      <c r="Q19" s="95">
        <f>SUMIFS(VIRMAN!$F$7:$F$406,VIRMAN!$E$7:$E$406,SISTEM!$C$10,VIRMAN!$C$7:$C$406,"&gt;="&amp;$B19,VIRMAN!$C$7:$C$406,"&lt;"&amp;EDATE($B19,1),VIRMAN!$G$7:$G$406,"KÂR PAYI / AVANS*")</f>
        <v>0</v>
      </c>
      <c r="R19" s="95">
        <f>SUM($M$7:$M19)+SUM($N$7:$N19)-SUM($P$7:$P19)-SUM($Q$7:$Q19)</f>
        <v>277599.98</v>
      </c>
      <c r="S19" s="65" t="str">
        <f ca="1">IF($B19&gt;=DATE(YEAR(TODAY()),MONTH(TODAY()),1),"AÇIK",IF(COUNTIFS(SISTEM!$C$23:$C$91,"KRİTİK",SISTEM!$F$23:$F$91,"KALDI")&gt;0,"KAPATILAMAZ",IF(COUNTIF(SISTEM!$F$23:$F$91,"KALDI")=0,"KAPANABİLİR","UYARI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19" s="65" t="str">
        <f ca="1">IF(ABS($Y19-$M19-$N19)&gt;0.01,"PAY HATASI",IF($S19="KAPATILAMAZ",IFERROR("KAPATILAMAZ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edin"),IF($O19="Evet","KAPANDI","AÇIK")))</f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$3001,GELIR_GIDER!$V$7:$V$3001,1,GELIR_GIDER!$C$7:$C$3001,"&lt;="&amp;EOMONTH($B19,0))</f>
        <v>5908263</v>
      </c>
      <c r="Y19" s="1">
        <f t="shared" si="6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3">
      <c r="A20" s="2"/>
      <c r="B20" s="73">
        <v>46419</v>
      </c>
      <c r="C20" s="95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$3001,GELIR_GIDER!$V$7:$V$3001,1,GELIR_GIDER!$C$7:$C$3001,"&gt;="&amp;$B20,GELIR_GIDER!$C$7:$C$3001,"&lt;"&amp;EDATE($B20,1))</f>
        <v>450001</v>
      </c>
      <c r="D20" s="95">
        <f>SUMIFS(TAHSILAT!$F$7:$F$2503,TAHSILAT!$E$7:$E$2503,"&gt;="&amp;$B20,TAHSILAT!$E$7:$E$2503,"&lt;"&amp;EDATE($B20,1),TAHSILAT!$H$7:$H$2503,"&lt;&gt;Mahsup")</f>
        <v>0</v>
      </c>
      <c r="E20" s="95">
        <f>SUMIFS(GELIR_GIDER!$G$7:$G$3001,GELIR_GIDER!$D$7:$D$3001,"Gelir",GELIR_GIDER!$C$7:$C$3001,"&gt;="&amp;$B20,GELIR_GIDER!$C$7:$C$3001,"&lt;"&amp;EDATE($B20,1),GELIR_GIDER!$I$7:$I$3001,"Evet")</f>
        <v>0</v>
      </c>
      <c r="F20" s="95">
        <f t="shared" si="1"/>
        <v>0</v>
      </c>
      <c r="G20" s="95">
        <f>SUMIFS(GELIR_GIDER!$G$7:$G$3001,GELIR_GIDER!$D$7:$D$3001,"Gider",GELIR_GIDER!$C$7:$C$3001,"&gt;="&amp;$B20,GELIR_GIDER!$C$7:$C$3001,"&lt;"&amp;EDATE($B20,1),GELIR_GIDER!$I$7:$I$3001,"Evet")</f>
        <v>0</v>
      </c>
      <c r="H20" s="95">
        <f>$C20+$E20-SUMIFS(GELIR_GIDER!$G$7:$G$3001,GELIR_GIDER!$D$7:$D$3001,"Gider",GELIR_GIDER!$C$7:$C$3001,"&gt;="&amp;$B20,GELIR_GIDER!$C$7:$C$3001,"&lt;"&amp;EDATE($B20,1))</f>
        <v>450001</v>
      </c>
      <c r="I20" s="95">
        <f t="shared" si="2"/>
        <v>0</v>
      </c>
      <c r="J20" s="92">
        <f t="shared" si="3"/>
        <v>0</v>
      </c>
      <c r="K20" s="95">
        <f>SISTEM!$C$13</f>
        <v>0</v>
      </c>
      <c r="L20" s="95">
        <f>MAX(0,SUM($I$7:$I20)-$K20)</f>
        <v>1547062.02</v>
      </c>
      <c r="M20" s="95">
        <f t="shared" si="4"/>
        <v>0</v>
      </c>
      <c r="N20" s="95">
        <f t="shared" si="5"/>
        <v>0</v>
      </c>
      <c r="O20" s="60"/>
      <c r="P20" s="95">
        <f>SUMIFS(VIRMAN!$F$7:$F$406,VIRMAN!$E$7:$E$406,SISTEM!$C$9,VIRMAN!$C$7:$C$406,"&gt;="&amp;$B20,VIRMAN!$C$7:$C$406,"&lt;"&amp;EDATE($B20,1),VIRMAN!$G$7:$G$406,"KÂR PAYI / AVANS*")</f>
        <v>0</v>
      </c>
      <c r="Q20" s="95">
        <f>SUMIFS(VIRMAN!$F$7:$F$406,VIRMAN!$E$7:$E$406,SISTEM!$C$10,VIRMAN!$C$7:$C$406,"&gt;="&amp;$B20,VIRMAN!$C$7:$C$406,"&lt;"&amp;EDATE($B20,1),VIRMAN!$G$7:$G$406,"KÂR PAYI / AVANS*")</f>
        <v>0</v>
      </c>
      <c r="R20" s="95">
        <f>SUM($M$7:$M20)+SUM($N$7:$N20)-SUM($P$7:$P20)-SUM($Q$7:$Q20)</f>
        <v>277599.98</v>
      </c>
      <c r="S20" s="65" t="str">
        <f ca="1">IF($B20&gt;=DATE(YEAR(TODAY()),MONTH(TODAY()),1),"AÇIK",IF(COUNTIFS(SISTEM!$C$23:$C$91,"KRİTİK",SISTEM!$F$23:$F$91,"KALDI")&gt;0,"KAPATILAMAZ",IF(COUNTIF(SISTEM!$F$23:$F$91,"KALDI")=0,"KAPANABİLİR","UYARI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0" s="65" t="str">
        <f ca="1">IF(ABS($Y20-$M20-$N20)&gt;0.01,"PAY HATASI",IF($S20="KAPATILAMAZ",IFERROR("KAPATILAMAZ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edin"),IF($O20="Evet","KAPANDI","AÇIK")))</f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$3001,GELIR_GIDER!$V$7:$V$3001,1,GELIR_GIDER!$C$7:$C$3001,"&lt;="&amp;EOMONTH($B20,0))</f>
        <v>6358264</v>
      </c>
      <c r="Y20" s="1">
        <f t="shared" si="6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3">
      <c r="A21" s="2"/>
      <c r="B21" s="73">
        <v>46447</v>
      </c>
      <c r="C21" s="95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$3001,GELIR_GIDER!$V$7:$V$3001,1,GELIR_GIDER!$C$7:$C$3001,"&gt;="&amp;$B21,GELIR_GIDER!$C$7:$C$3001,"&lt;"&amp;EDATE($B21,1))</f>
        <v>450001</v>
      </c>
      <c r="D21" s="95">
        <f>SUMIFS(TAHSILAT!$F$7:$F$2503,TAHSILAT!$E$7:$E$2503,"&gt;="&amp;$B21,TAHSILAT!$E$7:$E$2503,"&lt;"&amp;EDATE($B21,1),TAHSILAT!$H$7:$H$2503,"&lt;&gt;Mahsup")</f>
        <v>0</v>
      </c>
      <c r="E21" s="95">
        <f>SUMIFS(GELIR_GIDER!$G$7:$G$3001,GELIR_GIDER!$D$7:$D$3001,"Gelir",GELIR_GIDER!$C$7:$C$3001,"&gt;="&amp;$B21,GELIR_GIDER!$C$7:$C$3001,"&lt;"&amp;EDATE($B21,1),GELIR_GIDER!$I$7:$I$3001,"Evet")</f>
        <v>0</v>
      </c>
      <c r="F21" s="95">
        <f t="shared" si="1"/>
        <v>0</v>
      </c>
      <c r="G21" s="95">
        <f>SUMIFS(GELIR_GIDER!$G$7:$G$3001,GELIR_GIDER!$D$7:$D$3001,"Gider",GELIR_GIDER!$C$7:$C$3001,"&gt;="&amp;$B21,GELIR_GIDER!$C$7:$C$3001,"&lt;"&amp;EDATE($B21,1),GELIR_GIDER!$I$7:$I$3001,"Evet")</f>
        <v>0</v>
      </c>
      <c r="H21" s="95">
        <f>$C21+$E21-SUMIFS(GELIR_GIDER!$G$7:$G$3001,GELIR_GIDER!$D$7:$D$3001,"Gider",GELIR_GIDER!$C$7:$C$3001,"&gt;="&amp;$B21,GELIR_GIDER!$C$7:$C$3001,"&lt;"&amp;EDATE($B21,1))</f>
        <v>450001</v>
      </c>
      <c r="I21" s="95">
        <f t="shared" si="2"/>
        <v>0</v>
      </c>
      <c r="J21" s="92">
        <f t="shared" si="3"/>
        <v>0</v>
      </c>
      <c r="K21" s="95">
        <f>SISTEM!$C$13</f>
        <v>0</v>
      </c>
      <c r="L21" s="95">
        <f>MAX(0,SUM($I$7:$I21)-$K21)</f>
        <v>1547062.02</v>
      </c>
      <c r="M21" s="95">
        <f t="shared" si="4"/>
        <v>0</v>
      </c>
      <c r="N21" s="95">
        <f t="shared" si="5"/>
        <v>0</v>
      </c>
      <c r="O21" s="60"/>
      <c r="P21" s="95">
        <f>SUMIFS(VIRMAN!$F$7:$F$406,VIRMAN!$E$7:$E$406,SISTEM!$C$9,VIRMAN!$C$7:$C$406,"&gt;="&amp;$B21,VIRMAN!$C$7:$C$406,"&lt;"&amp;EDATE($B21,1),VIRMAN!$G$7:$G$406,"KÂR PAYI / AVANS*")</f>
        <v>0</v>
      </c>
      <c r="Q21" s="95">
        <f>SUMIFS(VIRMAN!$F$7:$F$406,VIRMAN!$E$7:$E$406,SISTEM!$C$10,VIRMAN!$C$7:$C$406,"&gt;="&amp;$B21,VIRMAN!$C$7:$C$406,"&lt;"&amp;EDATE($B21,1),VIRMAN!$G$7:$G$406,"KÂR PAYI / AVANS*")</f>
        <v>0</v>
      </c>
      <c r="R21" s="95">
        <f>SUM($M$7:$M21)+SUM($N$7:$N21)-SUM($P$7:$P21)-SUM($Q$7:$Q21)</f>
        <v>277599.98</v>
      </c>
      <c r="S21" s="65" t="str">
        <f ca="1">IF($B21&gt;=DATE(YEAR(TODAY()),MONTH(TODAY()),1),"AÇIK",IF(COUNTIFS(SISTEM!$C$23:$C$91,"KRİTİK",SISTEM!$F$23:$F$91,"KALDI")&gt;0,"KAPATILAMAZ",IF(COUNTIF(SISTEM!$F$23:$F$91,"KALDI")=0,"KAPANABİLİR","UYARI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1" s="65" t="str">
        <f ca="1">IF(ABS($Y21-$M21-$N21)&gt;0.01,"PAY HATASI",IF($S21="KAPATILAMAZ",IFERROR("KAPATILAMAZ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edin"),IF($O21="Evet","KAPANDI","AÇIK")))</f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$3001,GELIR_GIDER!$V$7:$V$3001,1,GELIR_GIDER!$C$7:$C$3001,"&lt;="&amp;EOMONTH($B21,0))</f>
        <v>6808265</v>
      </c>
      <c r="Y21" s="1">
        <f t="shared" si="6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3">
      <c r="A22" s="2"/>
      <c r="B22" s="73">
        <v>46478</v>
      </c>
      <c r="C22" s="95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$3001,GELIR_GIDER!$V$7:$V$3001,1,GELIR_GIDER!$C$7:$C$3001,"&gt;="&amp;$B22,GELIR_GIDER!$C$7:$C$3001,"&lt;"&amp;EDATE($B22,1))</f>
        <v>450001</v>
      </c>
      <c r="D22" s="95">
        <f>SUMIFS(TAHSILAT!$F$7:$F$2503,TAHSILAT!$E$7:$E$2503,"&gt;="&amp;$B22,TAHSILAT!$E$7:$E$2503,"&lt;"&amp;EDATE($B22,1),TAHSILAT!$H$7:$H$2503,"&lt;&gt;Mahsup")</f>
        <v>0</v>
      </c>
      <c r="E22" s="95">
        <f>SUMIFS(GELIR_GIDER!$G$7:$G$3001,GELIR_GIDER!$D$7:$D$3001,"Gelir",GELIR_GIDER!$C$7:$C$3001,"&gt;="&amp;$B22,GELIR_GIDER!$C$7:$C$3001,"&lt;"&amp;EDATE($B22,1),GELIR_GIDER!$I$7:$I$3001,"Evet")</f>
        <v>0</v>
      </c>
      <c r="F22" s="95">
        <f t="shared" si="1"/>
        <v>0</v>
      </c>
      <c r="G22" s="95">
        <f>SUMIFS(GELIR_GIDER!$G$7:$G$3001,GELIR_GIDER!$D$7:$D$3001,"Gider",GELIR_GIDER!$C$7:$C$3001,"&gt;="&amp;$B22,GELIR_GIDER!$C$7:$C$3001,"&lt;"&amp;EDATE($B22,1),GELIR_GIDER!$I$7:$I$3001,"Evet")</f>
        <v>0</v>
      </c>
      <c r="H22" s="95">
        <f>$C22+$E22-SUMIFS(GELIR_GIDER!$G$7:$G$3001,GELIR_GIDER!$D$7:$D$3001,"Gider",GELIR_GIDER!$C$7:$C$3001,"&gt;="&amp;$B22,GELIR_GIDER!$C$7:$C$3001,"&lt;"&amp;EDATE($B22,1))</f>
        <v>450001</v>
      </c>
      <c r="I22" s="95">
        <f t="shared" si="2"/>
        <v>0</v>
      </c>
      <c r="J22" s="92">
        <f t="shared" si="3"/>
        <v>0</v>
      </c>
      <c r="K22" s="95">
        <f>SISTEM!$C$13</f>
        <v>0</v>
      </c>
      <c r="L22" s="95">
        <f>MAX(0,SUM($I$7:$I22)-$K22)</f>
        <v>1547062.02</v>
      </c>
      <c r="M22" s="95">
        <f t="shared" si="4"/>
        <v>0</v>
      </c>
      <c r="N22" s="95">
        <f t="shared" si="5"/>
        <v>0</v>
      </c>
      <c r="O22" s="60"/>
      <c r="P22" s="95">
        <f>SUMIFS(VIRMAN!$F$7:$F$406,VIRMAN!$E$7:$E$406,SISTEM!$C$9,VIRMAN!$C$7:$C$406,"&gt;="&amp;$B22,VIRMAN!$C$7:$C$406,"&lt;"&amp;EDATE($B22,1),VIRMAN!$G$7:$G$406,"KÂR PAYI / AVANS*")</f>
        <v>0</v>
      </c>
      <c r="Q22" s="95">
        <f>SUMIFS(VIRMAN!$F$7:$F$406,VIRMAN!$E$7:$E$406,SISTEM!$C$10,VIRMAN!$C$7:$C$406,"&gt;="&amp;$B22,VIRMAN!$C$7:$C$406,"&lt;"&amp;EDATE($B22,1),VIRMAN!$G$7:$G$406,"KÂR PAYI / AVANS*")</f>
        <v>0</v>
      </c>
      <c r="R22" s="95">
        <f>SUM($M$7:$M22)+SUM($N$7:$N22)-SUM($P$7:$P22)-SUM($Q$7:$Q22)</f>
        <v>277599.98</v>
      </c>
      <c r="S22" s="65" t="str">
        <f ca="1">IF($B22&gt;=DATE(YEAR(TODAY()),MONTH(TODAY()),1),"AÇIK",IF(COUNTIFS(SISTEM!$C$23:$C$91,"KRİTİK",SISTEM!$F$23:$F$91,"KALDI")&gt;0,"KAPATILAMAZ",IF(COUNTIF(SISTEM!$F$23:$F$91,"KALDI")=0,"KAPANABİLİR","UYARI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2" s="65" t="str">
        <f ca="1">IF(ABS($Y22-$M22-$N22)&gt;0.01,"PAY HATASI",IF($S22="KAPATILAMAZ",IFERROR("KAPATILAMAZ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edin"),IF($O22="Evet","KAPANDI","AÇIK")))</f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$3001,GELIR_GIDER!$V$7:$V$3001,1,GELIR_GIDER!$C$7:$C$3001,"&lt;="&amp;EOMONTH($B22,0))</f>
        <v>7258266</v>
      </c>
      <c r="Y22" s="1">
        <f t="shared" si="6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3">
      <c r="A23" s="2"/>
      <c r="B23" s="73">
        <v>46508</v>
      </c>
      <c r="C23" s="95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$3001,GELIR_GIDER!$V$7:$V$3001,1,GELIR_GIDER!$C$7:$C$3001,"&gt;="&amp;$B23,GELIR_GIDER!$C$7:$C$3001,"&lt;"&amp;EDATE($B23,1))</f>
        <v>529751</v>
      </c>
      <c r="D23" s="95">
        <f>SUMIFS(TAHSILAT!$F$7:$F$2503,TAHSILAT!$E$7:$E$2503,"&gt;="&amp;$B23,TAHSILAT!$E$7:$E$2503,"&lt;"&amp;EDATE($B23,1),TAHSILAT!$H$7:$H$2503,"&lt;&gt;Mahsup")</f>
        <v>0</v>
      </c>
      <c r="E23" s="95">
        <f>SUMIFS(GELIR_GIDER!$G$7:$G$3001,GELIR_GIDER!$D$7:$D$3001,"Gelir",GELIR_GIDER!$C$7:$C$3001,"&gt;="&amp;$B23,GELIR_GIDER!$C$7:$C$3001,"&lt;"&amp;EDATE($B23,1),GELIR_GIDER!$I$7:$I$3001,"Evet")</f>
        <v>0</v>
      </c>
      <c r="F23" s="95">
        <f t="shared" si="1"/>
        <v>0</v>
      </c>
      <c r="G23" s="95">
        <f>SUMIFS(GELIR_GIDER!$G$7:$G$3001,GELIR_GIDER!$D$7:$D$3001,"Gider",GELIR_GIDER!$C$7:$C$3001,"&gt;="&amp;$B23,GELIR_GIDER!$C$7:$C$3001,"&lt;"&amp;EDATE($B23,1),GELIR_GIDER!$I$7:$I$3001,"Evet")</f>
        <v>0</v>
      </c>
      <c r="H23" s="95">
        <f>$C23+$E23-SUMIFS(GELIR_GIDER!$G$7:$G$3001,GELIR_GIDER!$D$7:$D$3001,"Gider",GELIR_GIDER!$C$7:$C$3001,"&gt;="&amp;$B23,GELIR_GIDER!$C$7:$C$3001,"&lt;"&amp;EDATE($B23,1))</f>
        <v>529751</v>
      </c>
      <c r="I23" s="95">
        <f t="shared" si="2"/>
        <v>0</v>
      </c>
      <c r="J23" s="92">
        <f t="shared" si="3"/>
        <v>0</v>
      </c>
      <c r="K23" s="95">
        <f>SISTEM!$C$13</f>
        <v>0</v>
      </c>
      <c r="L23" s="95">
        <f>MAX(0,SUM($I$7:$I23)-$K23)</f>
        <v>1547062.02</v>
      </c>
      <c r="M23" s="95">
        <f t="shared" si="4"/>
        <v>0</v>
      </c>
      <c r="N23" s="95">
        <f t="shared" si="5"/>
        <v>0</v>
      </c>
      <c r="O23" s="60"/>
      <c r="P23" s="95">
        <f>SUMIFS(VIRMAN!$F$7:$F$406,VIRMAN!$E$7:$E$406,SISTEM!$C$9,VIRMAN!$C$7:$C$406,"&gt;="&amp;$B23,VIRMAN!$C$7:$C$406,"&lt;"&amp;EDATE($B23,1),VIRMAN!$G$7:$G$406,"KÂR PAYI / AVANS*")</f>
        <v>0</v>
      </c>
      <c r="Q23" s="95">
        <f>SUMIFS(VIRMAN!$F$7:$F$406,VIRMAN!$E$7:$E$406,SISTEM!$C$10,VIRMAN!$C$7:$C$406,"&gt;="&amp;$B23,VIRMAN!$C$7:$C$406,"&lt;"&amp;EDATE($B23,1),VIRMAN!$G$7:$G$406,"KÂR PAYI / AVANS*")</f>
        <v>0</v>
      </c>
      <c r="R23" s="95">
        <f>SUM($M$7:$M23)+SUM($N$7:$N23)-SUM($P$7:$P23)-SUM($Q$7:$Q23)</f>
        <v>277599.98</v>
      </c>
      <c r="S23" s="65" t="str">
        <f ca="1">IF($B23&gt;=DATE(YEAR(TODAY()),MONTH(TODAY()),1),"AÇIK",IF(COUNTIFS(SISTEM!$C$23:$C$91,"KRİTİK",SISTEM!$F$23:$F$91,"KALDI")&gt;0,"KAPATILAMAZ",IF(COUNTIF(SISTEM!$F$23:$F$91,"KALDI")=0,"KAPANABİLİR","UYARI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3" s="65" t="str">
        <f ca="1">IF(ABS($Y23-$M23-$N23)&gt;0.01,"PAY HATASI",IF($S23="KAPATILAMAZ",IFERROR("KAPATILAMAZ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edin"),IF($O23="Evet","KAPANDI","AÇIK")))</f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$3001,GELIR_GIDER!$V$7:$V$3001,1,GELIR_GIDER!$C$7:$C$3001,"&lt;="&amp;EOMONTH($B23,0))</f>
        <v>7788017</v>
      </c>
      <c r="Y23" s="1">
        <f t="shared" si="6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3">
      <c r="A24" s="2"/>
      <c r="B24" s="73">
        <v>46539</v>
      </c>
      <c r="C24" s="95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$3001,GELIR_GIDER!$V$7:$V$3001,1,GELIR_GIDER!$C$7:$C$3001,"&gt;="&amp;$B24,GELIR_GIDER!$C$7:$C$3001,"&lt;"&amp;EDATE($B24,1))</f>
        <v>450001</v>
      </c>
      <c r="D24" s="95">
        <f>SUMIFS(TAHSILAT!$F$7:$F$2503,TAHSILAT!$E$7:$E$2503,"&gt;="&amp;$B24,TAHSILAT!$E$7:$E$2503,"&lt;"&amp;EDATE($B24,1),TAHSILAT!$H$7:$H$2503,"&lt;&gt;Mahsup")</f>
        <v>0</v>
      </c>
      <c r="E24" s="95">
        <f>SUMIFS(GELIR_GIDER!$G$7:$G$3001,GELIR_GIDER!$D$7:$D$3001,"Gelir",GELIR_GIDER!$C$7:$C$3001,"&gt;="&amp;$B24,GELIR_GIDER!$C$7:$C$3001,"&lt;"&amp;EDATE($B24,1),GELIR_GIDER!$I$7:$I$3001,"Evet")</f>
        <v>0</v>
      </c>
      <c r="F24" s="95">
        <f t="shared" si="1"/>
        <v>0</v>
      </c>
      <c r="G24" s="95">
        <f>SUMIFS(GELIR_GIDER!$G$7:$G$3001,GELIR_GIDER!$D$7:$D$3001,"Gider",GELIR_GIDER!$C$7:$C$3001,"&gt;="&amp;$B24,GELIR_GIDER!$C$7:$C$3001,"&lt;"&amp;EDATE($B24,1),GELIR_GIDER!$I$7:$I$3001,"Evet")</f>
        <v>0</v>
      </c>
      <c r="H24" s="95">
        <f>$C24+$E24-SUMIFS(GELIR_GIDER!$G$7:$G$3001,GELIR_GIDER!$D$7:$D$3001,"Gider",GELIR_GIDER!$C$7:$C$3001,"&gt;="&amp;$B24,GELIR_GIDER!$C$7:$C$3001,"&lt;"&amp;EDATE($B24,1))</f>
        <v>450001</v>
      </c>
      <c r="I24" s="95">
        <f t="shared" si="2"/>
        <v>0</v>
      </c>
      <c r="J24" s="92">
        <f t="shared" si="3"/>
        <v>0</v>
      </c>
      <c r="K24" s="95">
        <f>SISTEM!$C$13</f>
        <v>0</v>
      </c>
      <c r="L24" s="95">
        <f>MAX(0,SUM($I$7:$I24)-$K24)</f>
        <v>1547062.02</v>
      </c>
      <c r="M24" s="95">
        <f t="shared" si="4"/>
        <v>0</v>
      </c>
      <c r="N24" s="95">
        <f t="shared" si="5"/>
        <v>0</v>
      </c>
      <c r="O24" s="60"/>
      <c r="P24" s="95">
        <f>SUMIFS(VIRMAN!$F$7:$F$406,VIRMAN!$E$7:$E$406,SISTEM!$C$9,VIRMAN!$C$7:$C$406,"&gt;="&amp;$B24,VIRMAN!$C$7:$C$406,"&lt;"&amp;EDATE($B24,1),VIRMAN!$G$7:$G$406,"KÂR PAYI / AVANS*")</f>
        <v>0</v>
      </c>
      <c r="Q24" s="95">
        <f>SUMIFS(VIRMAN!$F$7:$F$406,VIRMAN!$E$7:$E$406,SISTEM!$C$10,VIRMAN!$C$7:$C$406,"&gt;="&amp;$B24,VIRMAN!$C$7:$C$406,"&lt;"&amp;EDATE($B24,1),VIRMAN!$G$7:$G$406,"KÂR PAYI / AVANS*")</f>
        <v>0</v>
      </c>
      <c r="R24" s="95">
        <f>SUM($M$7:$M24)+SUM($N$7:$N24)-SUM($P$7:$P24)-SUM($Q$7:$Q24)</f>
        <v>277599.98</v>
      </c>
      <c r="S24" s="65" t="str">
        <f ca="1">IF($B24&gt;=DATE(YEAR(TODAY()),MONTH(TODAY()),1),"AÇIK",IF(COUNTIFS(SISTEM!$C$23:$C$91,"KRİTİK",SISTEM!$F$23:$F$91,"KALDI")&gt;0,"KAPATILAMAZ",IF(COUNTIF(SISTEM!$F$23:$F$91,"KALDI")=0,"KAPANABİLİR","UYARI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4" s="65" t="str">
        <f ca="1">IF(ABS($Y24-$M24-$N24)&gt;0.01,"PAY HATASI",IF($S24="KAPATILAMAZ",IFERROR("KAPATILAMAZ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edin"),IF($O24="Evet","KAPANDI","AÇIK")))</f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$3001,GELIR_GIDER!$V$7:$V$3001,1,GELIR_GIDER!$C$7:$C$3001,"&lt;="&amp;EOMONTH($B24,0))</f>
        <v>8238018</v>
      </c>
      <c r="Y24" s="1">
        <f t="shared" si="6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3">
      <c r="A25" s="2"/>
      <c r="B25" s="73">
        <v>46569</v>
      </c>
      <c r="C25" s="95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$3001,GELIR_GIDER!$V$7:$V$3001,1,GELIR_GIDER!$C$7:$C$3001,"&gt;="&amp;$B25,GELIR_GIDER!$C$7:$C$3001,"&lt;"&amp;EDATE($B25,1))</f>
        <v>529751</v>
      </c>
      <c r="D25" s="95">
        <f>SUMIFS(TAHSILAT!$F$7:$F$2503,TAHSILAT!$E$7:$E$2503,"&gt;="&amp;$B25,TAHSILAT!$E$7:$E$2503,"&lt;"&amp;EDATE($B25,1),TAHSILAT!$H$7:$H$2503,"&lt;&gt;Mahsup")</f>
        <v>0</v>
      </c>
      <c r="E25" s="95">
        <f>SUMIFS(GELIR_GIDER!$G$7:$G$3001,GELIR_GIDER!$D$7:$D$3001,"Gelir",GELIR_GIDER!$C$7:$C$3001,"&gt;="&amp;$B25,GELIR_GIDER!$C$7:$C$3001,"&lt;"&amp;EDATE($B25,1),GELIR_GIDER!$I$7:$I$3001,"Evet")</f>
        <v>0</v>
      </c>
      <c r="F25" s="95">
        <f t="shared" si="1"/>
        <v>0</v>
      </c>
      <c r="G25" s="95">
        <f>SUMIFS(GELIR_GIDER!$G$7:$G$3001,GELIR_GIDER!$D$7:$D$3001,"Gider",GELIR_GIDER!$C$7:$C$3001,"&gt;="&amp;$B25,GELIR_GIDER!$C$7:$C$3001,"&lt;"&amp;EDATE($B25,1),GELIR_GIDER!$I$7:$I$3001,"Evet")</f>
        <v>0</v>
      </c>
      <c r="H25" s="95">
        <f>$C25+$E25-SUMIFS(GELIR_GIDER!$G$7:$G$3001,GELIR_GIDER!$D$7:$D$3001,"Gider",GELIR_GIDER!$C$7:$C$3001,"&gt;="&amp;$B25,GELIR_GIDER!$C$7:$C$3001,"&lt;"&amp;EDATE($B25,1))</f>
        <v>529751</v>
      </c>
      <c r="I25" s="95">
        <f t="shared" si="2"/>
        <v>0</v>
      </c>
      <c r="J25" s="92">
        <f t="shared" si="3"/>
        <v>0</v>
      </c>
      <c r="K25" s="95">
        <f>SISTEM!$C$13</f>
        <v>0</v>
      </c>
      <c r="L25" s="95">
        <f>MAX(0,SUM($I$7:$I25)-$K25)</f>
        <v>1547062.02</v>
      </c>
      <c r="M25" s="95">
        <f t="shared" si="4"/>
        <v>0</v>
      </c>
      <c r="N25" s="95">
        <f t="shared" si="5"/>
        <v>0</v>
      </c>
      <c r="O25" s="60"/>
      <c r="P25" s="95">
        <f>SUMIFS(VIRMAN!$F$7:$F$406,VIRMAN!$E$7:$E$406,SISTEM!$C$9,VIRMAN!$C$7:$C$406,"&gt;="&amp;$B25,VIRMAN!$C$7:$C$406,"&lt;"&amp;EDATE($B25,1),VIRMAN!$G$7:$G$406,"KÂR PAYI / AVANS*")</f>
        <v>0</v>
      </c>
      <c r="Q25" s="95">
        <f>SUMIFS(VIRMAN!$F$7:$F$406,VIRMAN!$E$7:$E$406,SISTEM!$C$10,VIRMAN!$C$7:$C$406,"&gt;="&amp;$B25,VIRMAN!$C$7:$C$406,"&lt;"&amp;EDATE($B25,1),VIRMAN!$G$7:$G$406,"KÂR PAYI / AVANS*")</f>
        <v>0</v>
      </c>
      <c r="R25" s="95">
        <f>SUM($M$7:$M25)+SUM($N$7:$N25)-SUM($P$7:$P25)-SUM($Q$7:$Q25)</f>
        <v>277599.98</v>
      </c>
      <c r="S25" s="65" t="str">
        <f ca="1">IF($B25&gt;=DATE(YEAR(TODAY()),MONTH(TODAY()),1),"AÇIK",IF(COUNTIFS(SISTEM!$C$23:$C$91,"KRİTİK",SISTEM!$F$23:$F$91,"KALDI")&gt;0,"KAPATILAMAZ",IF(COUNTIF(SISTEM!$F$23:$F$91,"KALDI")=0,"KAPANABİLİR","UYARI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5" s="65" t="str">
        <f ca="1">IF(ABS($Y25-$M25-$N25)&gt;0.01,"PAY HATASI",IF($S25="KAPATILAMAZ",IFERROR("KAPATILAMAZ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edin"),IF($O25="Evet","KAPANDI","AÇIK")))</f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$3001,GELIR_GIDER!$V$7:$V$3001,1,GELIR_GIDER!$C$7:$C$3001,"&lt;="&amp;EOMONTH($B25,0))</f>
        <v>8767769</v>
      </c>
      <c r="Y25" s="1">
        <f t="shared" si="6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3">
      <c r="A26" s="2"/>
      <c r="B26" s="73">
        <v>46600</v>
      </c>
      <c r="C26" s="95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$3001,GELIR_GIDER!$V$7:$V$3001,1,GELIR_GIDER!$C$7:$C$3001,"&gt;="&amp;$B26,GELIR_GIDER!$C$7:$C$3001,"&lt;"&amp;EDATE($B26,1))</f>
        <v>450001</v>
      </c>
      <c r="D26" s="95">
        <f>SUMIFS(TAHSILAT!$F$7:$F$2503,TAHSILAT!$E$7:$E$2503,"&gt;="&amp;$B26,TAHSILAT!$E$7:$E$2503,"&lt;"&amp;EDATE($B26,1),TAHSILAT!$H$7:$H$2503,"&lt;&gt;Mahsup")</f>
        <v>0</v>
      </c>
      <c r="E26" s="95">
        <f>SUMIFS(GELIR_GIDER!$G$7:$G$3001,GELIR_GIDER!$D$7:$D$3001,"Gelir",GELIR_GIDER!$C$7:$C$3001,"&gt;="&amp;$B26,GELIR_GIDER!$C$7:$C$3001,"&lt;"&amp;EDATE($B26,1),GELIR_GIDER!$I$7:$I$3001,"Evet")</f>
        <v>0</v>
      </c>
      <c r="F26" s="95">
        <f t="shared" si="1"/>
        <v>0</v>
      </c>
      <c r="G26" s="95">
        <f>SUMIFS(GELIR_GIDER!$G$7:$G$3001,GELIR_GIDER!$D$7:$D$3001,"Gider",GELIR_GIDER!$C$7:$C$3001,"&gt;="&amp;$B26,GELIR_GIDER!$C$7:$C$3001,"&lt;"&amp;EDATE($B26,1),GELIR_GIDER!$I$7:$I$3001,"Evet")</f>
        <v>0</v>
      </c>
      <c r="H26" s="95">
        <f>$C26+$E26-SUMIFS(GELIR_GIDER!$G$7:$G$3001,GELIR_GIDER!$D$7:$D$3001,"Gider",GELIR_GIDER!$C$7:$C$3001,"&gt;="&amp;$B26,GELIR_GIDER!$C$7:$C$3001,"&lt;"&amp;EDATE($B26,1))</f>
        <v>450001</v>
      </c>
      <c r="I26" s="95">
        <f t="shared" si="2"/>
        <v>0</v>
      </c>
      <c r="J26" s="92">
        <f t="shared" si="3"/>
        <v>0</v>
      </c>
      <c r="K26" s="95">
        <f>SISTEM!$C$13</f>
        <v>0</v>
      </c>
      <c r="L26" s="95">
        <f>MAX(0,SUM($I$7:$I26)-$K26)</f>
        <v>1547062.02</v>
      </c>
      <c r="M26" s="95">
        <f t="shared" si="4"/>
        <v>0</v>
      </c>
      <c r="N26" s="95">
        <f t="shared" si="5"/>
        <v>0</v>
      </c>
      <c r="O26" s="60"/>
      <c r="P26" s="95">
        <f>SUMIFS(VIRMAN!$F$7:$F$406,VIRMAN!$E$7:$E$406,SISTEM!$C$9,VIRMAN!$C$7:$C$406,"&gt;="&amp;$B26,VIRMAN!$C$7:$C$406,"&lt;"&amp;EDATE($B26,1),VIRMAN!$G$7:$G$406,"KÂR PAYI / AVANS*")</f>
        <v>0</v>
      </c>
      <c r="Q26" s="95">
        <f>SUMIFS(VIRMAN!$F$7:$F$406,VIRMAN!$E$7:$E$406,SISTEM!$C$10,VIRMAN!$C$7:$C$406,"&gt;="&amp;$B26,VIRMAN!$C$7:$C$406,"&lt;"&amp;EDATE($B26,1),VIRMAN!$G$7:$G$406,"KÂR PAYI / AVANS*")</f>
        <v>0</v>
      </c>
      <c r="R26" s="95">
        <f>SUM($M$7:$M26)+SUM($N$7:$N26)-SUM($P$7:$P26)-SUM($Q$7:$Q26)</f>
        <v>277599.98</v>
      </c>
      <c r="S26" s="65" t="str">
        <f ca="1">IF($B26&gt;=DATE(YEAR(TODAY()),MONTH(TODAY()),1),"AÇIK",IF(COUNTIFS(SISTEM!$C$23:$C$91,"KRİTİK",SISTEM!$F$23:$F$91,"KALDI")&gt;0,"KAPATILAMAZ",IF(COUNTIF(SISTEM!$F$23:$F$91,"KALDI")=0,"KAPANABİLİR","UYARI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6" s="65" t="str">
        <f ca="1">IF(ABS($Y26-$M26-$N26)&gt;0.01,"PAY HATASI",IF($S26="KAPATILAMAZ",IFERROR("KAPATILAMAZ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edin"),IF($O26="Evet","KAPANDI","AÇIK")))</f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$3001,GELIR_GIDER!$V$7:$V$3001,1,GELIR_GIDER!$C$7:$C$3001,"&lt;="&amp;EOMONTH($B26,0))</f>
        <v>9217770</v>
      </c>
      <c r="Y26" s="1">
        <f t="shared" si="6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3">
      <c r="A27" s="2"/>
      <c r="B27" s="73">
        <v>46631</v>
      </c>
      <c r="C27" s="95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$3001,GELIR_GIDER!$V$7:$V$3001,1,GELIR_GIDER!$C$7:$C$3001,"&gt;="&amp;$B27,GELIR_GIDER!$C$7:$C$3001,"&lt;"&amp;EDATE($B27,1))</f>
        <v>450001</v>
      </c>
      <c r="D27" s="95">
        <f>SUMIFS(TAHSILAT!$F$7:$F$2503,TAHSILAT!$E$7:$E$2503,"&gt;="&amp;$B27,TAHSILAT!$E$7:$E$2503,"&lt;"&amp;EDATE($B27,1),TAHSILAT!$H$7:$H$2503,"&lt;&gt;Mahsup")</f>
        <v>0</v>
      </c>
      <c r="E27" s="95">
        <f>SUMIFS(GELIR_GIDER!$G$7:$G$3001,GELIR_GIDER!$D$7:$D$3001,"Gelir",GELIR_GIDER!$C$7:$C$3001,"&gt;="&amp;$B27,GELIR_GIDER!$C$7:$C$3001,"&lt;"&amp;EDATE($B27,1),GELIR_GIDER!$I$7:$I$3001,"Evet")</f>
        <v>0</v>
      </c>
      <c r="F27" s="95">
        <f t="shared" si="1"/>
        <v>0</v>
      </c>
      <c r="G27" s="95">
        <f>SUMIFS(GELIR_GIDER!$G$7:$G$3001,GELIR_GIDER!$D$7:$D$3001,"Gider",GELIR_GIDER!$C$7:$C$3001,"&gt;="&amp;$B27,GELIR_GIDER!$C$7:$C$3001,"&lt;"&amp;EDATE($B27,1),GELIR_GIDER!$I$7:$I$3001,"Evet")</f>
        <v>0</v>
      </c>
      <c r="H27" s="95">
        <f>$C27+$E27-SUMIFS(GELIR_GIDER!$G$7:$G$3001,GELIR_GIDER!$D$7:$D$3001,"Gider",GELIR_GIDER!$C$7:$C$3001,"&gt;="&amp;$B27,GELIR_GIDER!$C$7:$C$3001,"&lt;"&amp;EDATE($B27,1))</f>
        <v>450001</v>
      </c>
      <c r="I27" s="95">
        <f t="shared" si="2"/>
        <v>0</v>
      </c>
      <c r="J27" s="92">
        <f t="shared" si="3"/>
        <v>0</v>
      </c>
      <c r="K27" s="95">
        <f>SISTEM!$C$13</f>
        <v>0</v>
      </c>
      <c r="L27" s="95">
        <f>MAX(0,SUM($I$7:$I27)-$K27)</f>
        <v>1547062.02</v>
      </c>
      <c r="M27" s="95">
        <f t="shared" si="4"/>
        <v>0</v>
      </c>
      <c r="N27" s="95">
        <f t="shared" si="5"/>
        <v>0</v>
      </c>
      <c r="O27" s="60"/>
      <c r="P27" s="95">
        <f>SUMIFS(VIRMAN!$F$7:$F$406,VIRMAN!$E$7:$E$406,SISTEM!$C$9,VIRMAN!$C$7:$C$406,"&gt;="&amp;$B27,VIRMAN!$C$7:$C$406,"&lt;"&amp;EDATE($B27,1),VIRMAN!$G$7:$G$406,"KÂR PAYI / AVANS*")</f>
        <v>0</v>
      </c>
      <c r="Q27" s="95">
        <f>SUMIFS(VIRMAN!$F$7:$F$406,VIRMAN!$E$7:$E$406,SISTEM!$C$10,VIRMAN!$C$7:$C$406,"&gt;="&amp;$B27,VIRMAN!$C$7:$C$406,"&lt;"&amp;EDATE($B27,1),VIRMAN!$G$7:$G$406,"KÂR PAYI / AVANS*")</f>
        <v>0</v>
      </c>
      <c r="R27" s="95">
        <f>SUM($M$7:$M27)+SUM($N$7:$N27)-SUM($P$7:$P27)-SUM($Q$7:$Q27)</f>
        <v>277599.98</v>
      </c>
      <c r="S27" s="65" t="str">
        <f ca="1">IF($B27&gt;=DATE(YEAR(TODAY()),MONTH(TODAY()),1),"AÇIK",IF(COUNTIFS(SISTEM!$C$23:$C$91,"KRİTİK",SISTEM!$F$23:$F$91,"KALDI")&gt;0,"KAPATILAMAZ",IF(COUNTIF(SISTEM!$F$23:$F$91,"KALDI")=0,"KAPANABİLİR","UYARI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7" s="65" t="str">
        <f ca="1">IF(ABS($Y27-$M27-$N27)&gt;0.01,"PAY HATASI",IF($S27="KAPATILAMAZ",IFERROR("KAPATILAMAZ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edin"),IF($O27="Evet","KAPANDI","AÇIK")))</f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$3001,GELIR_GIDER!$V$7:$V$3001,1,GELIR_GIDER!$C$7:$C$3001,"&lt;="&amp;EOMONTH($B27,0))</f>
        <v>9667771</v>
      </c>
      <c r="Y27" s="1">
        <f t="shared" si="6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3">
      <c r="A28" s="2"/>
      <c r="B28" s="73">
        <v>46661</v>
      </c>
      <c r="C28" s="95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$3001,GELIR_GIDER!$V$7:$V$3001,1,GELIR_GIDER!$C$7:$C$3001,"&gt;="&amp;$B28,GELIR_GIDER!$C$7:$C$3001,"&lt;"&amp;EDATE($B28,1))</f>
        <v>529751</v>
      </c>
      <c r="D28" s="95">
        <f>SUMIFS(TAHSILAT!$F$7:$F$2503,TAHSILAT!$E$7:$E$2503,"&gt;="&amp;$B28,TAHSILAT!$E$7:$E$2503,"&lt;"&amp;EDATE($B28,1),TAHSILAT!$H$7:$H$2503,"&lt;&gt;Mahsup")</f>
        <v>0</v>
      </c>
      <c r="E28" s="95">
        <f>SUMIFS(GELIR_GIDER!$G$7:$G$3001,GELIR_GIDER!$D$7:$D$3001,"Gelir",GELIR_GIDER!$C$7:$C$3001,"&gt;="&amp;$B28,GELIR_GIDER!$C$7:$C$3001,"&lt;"&amp;EDATE($B28,1),GELIR_GIDER!$I$7:$I$3001,"Evet")</f>
        <v>0</v>
      </c>
      <c r="F28" s="95">
        <f t="shared" si="1"/>
        <v>0</v>
      </c>
      <c r="G28" s="95">
        <f>SUMIFS(GELIR_GIDER!$G$7:$G$3001,GELIR_GIDER!$D$7:$D$3001,"Gider",GELIR_GIDER!$C$7:$C$3001,"&gt;="&amp;$B28,GELIR_GIDER!$C$7:$C$3001,"&lt;"&amp;EDATE($B28,1),GELIR_GIDER!$I$7:$I$3001,"Evet")</f>
        <v>0</v>
      </c>
      <c r="H28" s="95">
        <f>$C28+$E28-SUMIFS(GELIR_GIDER!$G$7:$G$3001,GELIR_GIDER!$D$7:$D$3001,"Gider",GELIR_GIDER!$C$7:$C$3001,"&gt;="&amp;$B28,GELIR_GIDER!$C$7:$C$3001,"&lt;"&amp;EDATE($B28,1))</f>
        <v>529751</v>
      </c>
      <c r="I28" s="95">
        <f t="shared" si="2"/>
        <v>0</v>
      </c>
      <c r="J28" s="92">
        <f t="shared" si="3"/>
        <v>0</v>
      </c>
      <c r="K28" s="95">
        <f>SISTEM!$C$13</f>
        <v>0</v>
      </c>
      <c r="L28" s="95">
        <f>MAX(0,SUM($I$7:$I28)-$K28)</f>
        <v>1547062.02</v>
      </c>
      <c r="M28" s="95">
        <f t="shared" si="4"/>
        <v>0</v>
      </c>
      <c r="N28" s="95">
        <f t="shared" si="5"/>
        <v>0</v>
      </c>
      <c r="O28" s="60"/>
      <c r="P28" s="95">
        <f>SUMIFS(VIRMAN!$F$7:$F$406,VIRMAN!$E$7:$E$406,SISTEM!$C$9,VIRMAN!$C$7:$C$406,"&gt;="&amp;$B28,VIRMAN!$C$7:$C$406,"&lt;"&amp;EDATE($B28,1),VIRMAN!$G$7:$G$406,"KÂR PAYI / AVANS*")</f>
        <v>0</v>
      </c>
      <c r="Q28" s="95">
        <f>SUMIFS(VIRMAN!$F$7:$F$406,VIRMAN!$E$7:$E$406,SISTEM!$C$10,VIRMAN!$C$7:$C$406,"&gt;="&amp;$B28,VIRMAN!$C$7:$C$406,"&lt;"&amp;EDATE($B28,1),VIRMAN!$G$7:$G$406,"KÂR PAYI / AVANS*")</f>
        <v>0</v>
      </c>
      <c r="R28" s="95">
        <f>SUM($M$7:$M28)+SUM($N$7:$N28)-SUM($P$7:$P28)-SUM($Q$7:$Q28)</f>
        <v>277599.98</v>
      </c>
      <c r="S28" s="65" t="str">
        <f ca="1">IF($B28&gt;=DATE(YEAR(TODAY()),MONTH(TODAY()),1),"AÇIK",IF(COUNTIFS(SISTEM!$C$23:$C$91,"KRİTİK",SISTEM!$F$23:$F$91,"KALDI")&gt;0,"KAPATILAMAZ",IF(COUNTIF(SISTEM!$F$23:$F$91,"KALDI")=0,"KAPANABİLİR","UYARI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8" s="65" t="str">
        <f ca="1">IF(ABS($Y28-$M28-$N28)&gt;0.01,"PAY HATASI",IF($S28="KAPATILAMAZ",IFERROR("KAPATILAMAZ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edin"),IF($O28="Evet","KAPANDI","AÇIK")))</f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$3001,GELIR_GIDER!$V$7:$V$3001,1,GELIR_GIDER!$C$7:$C$3001,"&lt;="&amp;EOMONTH($B28,0))</f>
        <v>10197522</v>
      </c>
      <c r="Y28" s="1">
        <f t="shared" si="6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3">
      <c r="A29" s="2"/>
      <c r="B29" s="73">
        <v>46692</v>
      </c>
      <c r="C29" s="95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$3001,GELIR_GIDER!$V$7:$V$3001,1,GELIR_GIDER!$C$7:$C$3001,"&gt;="&amp;$B29,GELIR_GIDER!$C$7:$C$3001,"&lt;"&amp;EDATE($B29,1))</f>
        <v>450001</v>
      </c>
      <c r="D29" s="95">
        <f>SUMIFS(TAHSILAT!$F$7:$F$2503,TAHSILAT!$E$7:$E$2503,"&gt;="&amp;$B29,TAHSILAT!$E$7:$E$2503,"&lt;"&amp;EDATE($B29,1),TAHSILAT!$H$7:$H$2503,"&lt;&gt;Mahsup")</f>
        <v>0</v>
      </c>
      <c r="E29" s="95">
        <f>SUMIFS(GELIR_GIDER!$G$7:$G$3001,GELIR_GIDER!$D$7:$D$3001,"Gelir",GELIR_GIDER!$C$7:$C$3001,"&gt;="&amp;$B29,GELIR_GIDER!$C$7:$C$3001,"&lt;"&amp;EDATE($B29,1),GELIR_GIDER!$I$7:$I$3001,"Evet")</f>
        <v>0</v>
      </c>
      <c r="F29" s="95">
        <f t="shared" si="1"/>
        <v>0</v>
      </c>
      <c r="G29" s="95">
        <f>SUMIFS(GELIR_GIDER!$G$7:$G$3001,GELIR_GIDER!$D$7:$D$3001,"Gider",GELIR_GIDER!$C$7:$C$3001,"&gt;="&amp;$B29,GELIR_GIDER!$C$7:$C$3001,"&lt;"&amp;EDATE($B29,1),GELIR_GIDER!$I$7:$I$3001,"Evet")</f>
        <v>0</v>
      </c>
      <c r="H29" s="95">
        <f>$C29+$E29-SUMIFS(GELIR_GIDER!$G$7:$G$3001,GELIR_GIDER!$D$7:$D$3001,"Gider",GELIR_GIDER!$C$7:$C$3001,"&gt;="&amp;$B29,GELIR_GIDER!$C$7:$C$3001,"&lt;"&amp;EDATE($B29,1))</f>
        <v>450001</v>
      </c>
      <c r="I29" s="95">
        <f t="shared" si="2"/>
        <v>0</v>
      </c>
      <c r="J29" s="92">
        <f t="shared" si="3"/>
        <v>0</v>
      </c>
      <c r="K29" s="95">
        <f>SISTEM!$C$13</f>
        <v>0</v>
      </c>
      <c r="L29" s="95">
        <f>MAX(0,SUM($I$7:$I29)-$K29)</f>
        <v>1547062.02</v>
      </c>
      <c r="M29" s="95">
        <f t="shared" si="4"/>
        <v>0</v>
      </c>
      <c r="N29" s="95">
        <f t="shared" si="5"/>
        <v>0</v>
      </c>
      <c r="O29" s="60"/>
      <c r="P29" s="95">
        <f>SUMIFS(VIRMAN!$F$7:$F$406,VIRMAN!$E$7:$E$406,SISTEM!$C$9,VIRMAN!$C$7:$C$406,"&gt;="&amp;$B29,VIRMAN!$C$7:$C$406,"&lt;"&amp;EDATE($B29,1),VIRMAN!$G$7:$G$406,"KÂR PAYI / AVANS*")</f>
        <v>0</v>
      </c>
      <c r="Q29" s="95">
        <f>SUMIFS(VIRMAN!$F$7:$F$406,VIRMAN!$E$7:$E$406,SISTEM!$C$10,VIRMAN!$C$7:$C$406,"&gt;="&amp;$B29,VIRMAN!$C$7:$C$406,"&lt;"&amp;EDATE($B29,1),VIRMAN!$G$7:$G$406,"KÂR PAYI / AVANS*")</f>
        <v>0</v>
      </c>
      <c r="R29" s="95">
        <f>SUM($M$7:$M29)+SUM($N$7:$N29)-SUM($P$7:$P29)-SUM($Q$7:$Q29)</f>
        <v>277599.98</v>
      </c>
      <c r="S29" s="65" t="str">
        <f ca="1">IF($B29&gt;=DATE(YEAR(TODAY()),MONTH(TODAY()),1),"AÇIK",IF(COUNTIFS(SISTEM!$C$23:$C$91,"KRİTİK",SISTEM!$F$23:$F$91,"KALDI")&gt;0,"KAPATILAMAZ",IF(COUNTIF(SISTEM!$F$23:$F$91,"KALDI")=0,"KAPANABİLİR","UYARI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29" s="65" t="str">
        <f ca="1">IF(ABS($Y29-$M29-$N29)&gt;0.01,"PAY HATASI",IF($S29="KAPATILAMAZ",IFERROR("KAPATILAMAZ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edin"),IF($O29="Evet","KAPANDI","AÇIK")))</f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$3001,GELIR_GIDER!$V$7:$V$3001,1,GELIR_GIDER!$C$7:$C$3001,"&lt;="&amp;EOMONTH($B29,0))</f>
        <v>10647523</v>
      </c>
      <c r="Y29" s="1">
        <f t="shared" si="6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3">
      <c r="A30" s="2"/>
      <c r="B30" s="73">
        <v>46722</v>
      </c>
      <c r="C30" s="95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$3001,GELIR_GIDER!$V$7:$V$3001,1,GELIR_GIDER!$C$7:$C$3001,"&gt;="&amp;$B30,GELIR_GIDER!$C$7:$C$3001,"&lt;"&amp;EDATE($B30,1))</f>
        <v>450001</v>
      </c>
      <c r="D30" s="95">
        <f>SUMIFS(TAHSILAT!$F$7:$F$2503,TAHSILAT!$E$7:$E$2503,"&gt;="&amp;$B30,TAHSILAT!$E$7:$E$2503,"&lt;"&amp;EDATE($B30,1),TAHSILAT!$H$7:$H$2503,"&lt;&gt;Mahsup")</f>
        <v>0</v>
      </c>
      <c r="E30" s="95">
        <f>SUMIFS(GELIR_GIDER!$G$7:$G$3001,GELIR_GIDER!$D$7:$D$3001,"Gelir",GELIR_GIDER!$C$7:$C$3001,"&gt;="&amp;$B30,GELIR_GIDER!$C$7:$C$3001,"&lt;"&amp;EDATE($B30,1),GELIR_GIDER!$I$7:$I$3001,"Evet")</f>
        <v>0</v>
      </c>
      <c r="F30" s="95">
        <f t="shared" si="1"/>
        <v>0</v>
      </c>
      <c r="G30" s="95">
        <f>SUMIFS(GELIR_GIDER!$G$7:$G$3001,GELIR_GIDER!$D$7:$D$3001,"Gider",GELIR_GIDER!$C$7:$C$3001,"&gt;="&amp;$B30,GELIR_GIDER!$C$7:$C$3001,"&lt;"&amp;EDATE($B30,1),GELIR_GIDER!$I$7:$I$3001,"Evet")</f>
        <v>0</v>
      </c>
      <c r="H30" s="95">
        <f>$C30+$E30-SUMIFS(GELIR_GIDER!$G$7:$G$3001,GELIR_GIDER!$D$7:$D$3001,"Gider",GELIR_GIDER!$C$7:$C$3001,"&gt;="&amp;$B30,GELIR_GIDER!$C$7:$C$3001,"&lt;"&amp;EDATE($B30,1))</f>
        <v>450001</v>
      </c>
      <c r="I30" s="95">
        <f t="shared" si="2"/>
        <v>0</v>
      </c>
      <c r="J30" s="92">
        <f t="shared" si="3"/>
        <v>0</v>
      </c>
      <c r="K30" s="95">
        <f>SISTEM!$C$13</f>
        <v>0</v>
      </c>
      <c r="L30" s="95">
        <f>MAX(0,SUM($I$7:$I30)-$K30)</f>
        <v>1547062.02</v>
      </c>
      <c r="M30" s="95">
        <f t="shared" si="4"/>
        <v>0</v>
      </c>
      <c r="N30" s="95">
        <f t="shared" si="5"/>
        <v>0</v>
      </c>
      <c r="O30" s="60"/>
      <c r="P30" s="95">
        <f>SUMIFS(VIRMAN!$F$7:$F$406,VIRMAN!$E$7:$E$406,SISTEM!$C$9,VIRMAN!$C$7:$C$406,"&gt;="&amp;$B30,VIRMAN!$C$7:$C$406,"&lt;"&amp;EDATE($B30,1),VIRMAN!$G$7:$G$406,"KÂR PAYI / AVANS*")</f>
        <v>0</v>
      </c>
      <c r="Q30" s="95">
        <f>SUMIFS(VIRMAN!$F$7:$F$406,VIRMAN!$E$7:$E$406,SISTEM!$C$10,VIRMAN!$C$7:$C$406,"&gt;="&amp;$B30,VIRMAN!$C$7:$C$406,"&lt;"&amp;EDATE($B30,1),VIRMAN!$G$7:$G$406,"KÂR PAYI / AVANS*")</f>
        <v>0</v>
      </c>
      <c r="R30" s="95">
        <f>SUM($M$7:$M30)+SUM($N$7:$N30)-SUM($P$7:$P30)-SUM($Q$7:$Q30)</f>
        <v>277599.98</v>
      </c>
      <c r="S30" s="65" t="str">
        <f ca="1">IF($B30&gt;=DATE(YEAR(TODAY()),MONTH(TODAY()),1),"AÇIK",IF(COUNTIFS(SISTEM!$C$23:$C$91,"KRİTİK",SISTEM!$F$23:$F$91,"KALDI")&gt;0,"KAPATILAMAZ",IF(COUNTIF(SISTEM!$F$23:$F$91,"KALDI")=0,"KAPANABİLİR","UYARI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0" s="65" t="str">
        <f ca="1">IF(ABS($Y30-$M30-$N30)&gt;0.01,"PAY HATASI",IF($S30="KAPATILAMAZ",IFERROR("KAPATILAMAZ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edin"),IF($O30="Evet","KAPANDI","AÇIK")))</f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$3001,GELIR_GIDER!$V$7:$V$3001,1,GELIR_GIDER!$C$7:$C$3001,"&lt;="&amp;EOMONTH($B30,0))</f>
        <v>11097524</v>
      </c>
      <c r="Y30" s="1">
        <f t="shared" si="6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3">
      <c r="A31" s="2"/>
      <c r="B31" s="73">
        <v>46753</v>
      </c>
      <c r="C31" s="95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$3001,GELIR_GIDER!$V$7:$V$3001,1,GELIR_GIDER!$C$7:$C$3001,"&gt;="&amp;$B31,GELIR_GIDER!$C$7:$C$3001,"&lt;"&amp;EDATE($B31,1))</f>
        <v>529751</v>
      </c>
      <c r="D31" s="95">
        <f>SUMIFS(TAHSILAT!$F$7:$F$2503,TAHSILAT!$E$7:$E$2503,"&gt;="&amp;$B31,TAHSILAT!$E$7:$E$2503,"&lt;"&amp;EDATE($B31,1),TAHSILAT!$H$7:$H$2503,"&lt;&gt;Mahsup")</f>
        <v>0</v>
      </c>
      <c r="E31" s="95">
        <f>SUMIFS(GELIR_GIDER!$G$7:$G$3001,GELIR_GIDER!$D$7:$D$3001,"Gelir",GELIR_GIDER!$C$7:$C$3001,"&gt;="&amp;$B31,GELIR_GIDER!$C$7:$C$3001,"&lt;"&amp;EDATE($B31,1),GELIR_GIDER!$I$7:$I$3001,"Evet")</f>
        <v>0</v>
      </c>
      <c r="F31" s="95">
        <f t="shared" si="1"/>
        <v>0</v>
      </c>
      <c r="G31" s="95">
        <f>SUMIFS(GELIR_GIDER!$G$7:$G$3001,GELIR_GIDER!$D$7:$D$3001,"Gider",GELIR_GIDER!$C$7:$C$3001,"&gt;="&amp;$B31,GELIR_GIDER!$C$7:$C$3001,"&lt;"&amp;EDATE($B31,1),GELIR_GIDER!$I$7:$I$3001,"Evet")</f>
        <v>0</v>
      </c>
      <c r="H31" s="95">
        <f>$C31+$E31-SUMIFS(GELIR_GIDER!$G$7:$G$3001,GELIR_GIDER!$D$7:$D$3001,"Gider",GELIR_GIDER!$C$7:$C$3001,"&gt;="&amp;$B31,GELIR_GIDER!$C$7:$C$3001,"&lt;"&amp;EDATE($B31,1))</f>
        <v>529751</v>
      </c>
      <c r="I31" s="95">
        <f t="shared" si="2"/>
        <v>0</v>
      </c>
      <c r="J31" s="92">
        <f t="shared" si="3"/>
        <v>0</v>
      </c>
      <c r="K31" s="95">
        <f>SISTEM!$C$13</f>
        <v>0</v>
      </c>
      <c r="L31" s="95">
        <f>MAX(0,SUM($I$7:$I31)-$K31)</f>
        <v>1547062.02</v>
      </c>
      <c r="M31" s="95">
        <f t="shared" si="4"/>
        <v>0</v>
      </c>
      <c r="N31" s="95">
        <f t="shared" si="5"/>
        <v>0</v>
      </c>
      <c r="O31" s="60"/>
      <c r="P31" s="95">
        <f>SUMIFS(VIRMAN!$F$7:$F$406,VIRMAN!$E$7:$E$406,SISTEM!$C$9,VIRMAN!$C$7:$C$406,"&gt;="&amp;$B31,VIRMAN!$C$7:$C$406,"&lt;"&amp;EDATE($B31,1),VIRMAN!$G$7:$G$406,"KÂR PAYI / AVANS*")</f>
        <v>0</v>
      </c>
      <c r="Q31" s="95">
        <f>SUMIFS(VIRMAN!$F$7:$F$406,VIRMAN!$E$7:$E$406,SISTEM!$C$10,VIRMAN!$C$7:$C$406,"&gt;="&amp;$B31,VIRMAN!$C$7:$C$406,"&lt;"&amp;EDATE($B31,1),VIRMAN!$G$7:$G$406,"KÂR PAYI / AVANS*")</f>
        <v>0</v>
      </c>
      <c r="R31" s="95">
        <f>SUM($M$7:$M31)+SUM($N$7:$N31)-SUM($P$7:$P31)-SUM($Q$7:$Q31)</f>
        <v>277599.98</v>
      </c>
      <c r="S31" s="65" t="str">
        <f ca="1">IF($B31&gt;=DATE(YEAR(TODAY()),MONTH(TODAY()),1),"AÇIK",IF(COUNTIFS(SISTEM!$C$23:$C$91,"KRİTİK",SISTEM!$F$23:$F$91,"KALDI")&gt;0,"KAPATILAMAZ",IF(COUNTIF(SISTEM!$F$23:$F$91,"KALDI")=0,"KAPANABİLİR","UYARI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1" s="65" t="str">
        <f ca="1">IF(ABS($Y31-$M31-$N31)&gt;0.01,"PAY HATASI",IF($S31="KAPATILAMAZ",IFERROR("KAPATILAMAZ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edin"),IF($O31="Evet","KAPANDI","AÇIK")))</f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$3001,GELIR_GIDER!$V$7:$V$3001,1,GELIR_GIDER!$C$7:$C$3001,"&lt;="&amp;EOMONTH($B31,0))</f>
        <v>11627275</v>
      </c>
      <c r="Y31" s="1">
        <f t="shared" si="6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3">
      <c r="A32" s="2"/>
      <c r="B32" s="73">
        <v>46784</v>
      </c>
      <c r="C32" s="95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$3001,GELIR_GIDER!$V$7:$V$3001,1,GELIR_GIDER!$C$7:$C$3001,"&gt;="&amp;$B32,GELIR_GIDER!$C$7:$C$3001,"&lt;"&amp;EDATE($B32,1))</f>
        <v>450001</v>
      </c>
      <c r="D32" s="95">
        <f>SUMIFS(TAHSILAT!$F$7:$F$2503,TAHSILAT!$E$7:$E$2503,"&gt;="&amp;$B32,TAHSILAT!$E$7:$E$2503,"&lt;"&amp;EDATE($B32,1),TAHSILAT!$H$7:$H$2503,"&lt;&gt;Mahsup")</f>
        <v>0</v>
      </c>
      <c r="E32" s="95">
        <f>SUMIFS(GELIR_GIDER!$G$7:$G$3001,GELIR_GIDER!$D$7:$D$3001,"Gelir",GELIR_GIDER!$C$7:$C$3001,"&gt;="&amp;$B32,GELIR_GIDER!$C$7:$C$3001,"&lt;"&amp;EDATE($B32,1),GELIR_GIDER!$I$7:$I$3001,"Evet")</f>
        <v>0</v>
      </c>
      <c r="F32" s="95">
        <f t="shared" si="1"/>
        <v>0</v>
      </c>
      <c r="G32" s="95">
        <f>SUMIFS(GELIR_GIDER!$G$7:$G$3001,GELIR_GIDER!$D$7:$D$3001,"Gider",GELIR_GIDER!$C$7:$C$3001,"&gt;="&amp;$B32,GELIR_GIDER!$C$7:$C$3001,"&lt;"&amp;EDATE($B32,1),GELIR_GIDER!$I$7:$I$3001,"Evet")</f>
        <v>0</v>
      </c>
      <c r="H32" s="95">
        <f>$C32+$E32-SUMIFS(GELIR_GIDER!$G$7:$G$3001,GELIR_GIDER!$D$7:$D$3001,"Gider",GELIR_GIDER!$C$7:$C$3001,"&gt;="&amp;$B32,GELIR_GIDER!$C$7:$C$3001,"&lt;"&amp;EDATE($B32,1))</f>
        <v>450001</v>
      </c>
      <c r="I32" s="95">
        <f t="shared" si="2"/>
        <v>0</v>
      </c>
      <c r="J32" s="92">
        <f t="shared" si="3"/>
        <v>0</v>
      </c>
      <c r="K32" s="95">
        <f>SISTEM!$C$13</f>
        <v>0</v>
      </c>
      <c r="L32" s="95">
        <f>MAX(0,SUM($I$7:$I32)-$K32)</f>
        <v>1547062.02</v>
      </c>
      <c r="M32" s="95">
        <f t="shared" si="4"/>
        <v>0</v>
      </c>
      <c r="N32" s="95">
        <f t="shared" si="5"/>
        <v>0</v>
      </c>
      <c r="O32" s="60"/>
      <c r="P32" s="95">
        <f>SUMIFS(VIRMAN!$F$7:$F$406,VIRMAN!$E$7:$E$406,SISTEM!$C$9,VIRMAN!$C$7:$C$406,"&gt;="&amp;$B32,VIRMAN!$C$7:$C$406,"&lt;"&amp;EDATE($B32,1),VIRMAN!$G$7:$G$406,"KÂR PAYI / AVANS*")</f>
        <v>0</v>
      </c>
      <c r="Q32" s="95">
        <f>SUMIFS(VIRMAN!$F$7:$F$406,VIRMAN!$E$7:$E$406,SISTEM!$C$10,VIRMAN!$C$7:$C$406,"&gt;="&amp;$B32,VIRMAN!$C$7:$C$406,"&lt;"&amp;EDATE($B32,1),VIRMAN!$G$7:$G$406,"KÂR PAYI / AVANS*")</f>
        <v>0</v>
      </c>
      <c r="R32" s="95">
        <f>SUM($M$7:$M32)+SUM($N$7:$N32)-SUM($P$7:$P32)-SUM($Q$7:$Q32)</f>
        <v>277599.98</v>
      </c>
      <c r="S32" s="65" t="str">
        <f ca="1">IF($B32&gt;=DATE(YEAR(TODAY()),MONTH(TODAY()),1),"AÇIK",IF(COUNTIFS(SISTEM!$C$23:$C$91,"KRİTİK",SISTEM!$F$23:$F$91,"KALDI")&gt;0,"KAPATILAMAZ",IF(COUNTIF(SISTEM!$F$23:$F$91,"KALDI")=0,"KAPANABİLİR","UYARI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2" s="65" t="str">
        <f ca="1">IF(ABS($Y32-$M32-$N32)&gt;0.01,"PAY HATASI",IF($S32="KAPATILAMAZ",IFERROR("KAPATILAMAZ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edin"),IF($O32="Evet","KAPANDI","AÇIK")))</f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$3001,GELIR_GIDER!$V$7:$V$3001,1,GELIR_GIDER!$C$7:$C$3001,"&lt;="&amp;EOMONTH($B32,0))</f>
        <v>12077276</v>
      </c>
      <c r="Y32" s="1">
        <f t="shared" si="6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3">
      <c r="A33" s="2"/>
      <c r="B33" s="73">
        <v>46813</v>
      </c>
      <c r="C33" s="95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$3001,GELIR_GIDER!$V$7:$V$3001,1,GELIR_GIDER!$C$7:$C$3001,"&gt;="&amp;$B33,GELIR_GIDER!$C$7:$C$3001,"&lt;"&amp;EDATE($B33,1))</f>
        <v>450001</v>
      </c>
      <c r="D33" s="95">
        <f>SUMIFS(TAHSILAT!$F$7:$F$2503,TAHSILAT!$E$7:$E$2503,"&gt;="&amp;$B33,TAHSILAT!$E$7:$E$2503,"&lt;"&amp;EDATE($B33,1),TAHSILAT!$H$7:$H$2503,"&lt;&gt;Mahsup")</f>
        <v>0</v>
      </c>
      <c r="E33" s="95">
        <f>SUMIFS(GELIR_GIDER!$G$7:$G$3001,GELIR_GIDER!$D$7:$D$3001,"Gelir",GELIR_GIDER!$C$7:$C$3001,"&gt;="&amp;$B33,GELIR_GIDER!$C$7:$C$3001,"&lt;"&amp;EDATE($B33,1),GELIR_GIDER!$I$7:$I$3001,"Evet")</f>
        <v>0</v>
      </c>
      <c r="F33" s="95">
        <f t="shared" si="1"/>
        <v>0</v>
      </c>
      <c r="G33" s="95">
        <f>SUMIFS(GELIR_GIDER!$G$7:$G$3001,GELIR_GIDER!$D$7:$D$3001,"Gider",GELIR_GIDER!$C$7:$C$3001,"&gt;="&amp;$B33,GELIR_GIDER!$C$7:$C$3001,"&lt;"&amp;EDATE($B33,1),GELIR_GIDER!$I$7:$I$3001,"Evet")</f>
        <v>0</v>
      </c>
      <c r="H33" s="95">
        <f>$C33+$E33-SUMIFS(GELIR_GIDER!$G$7:$G$3001,GELIR_GIDER!$D$7:$D$3001,"Gider",GELIR_GIDER!$C$7:$C$3001,"&gt;="&amp;$B33,GELIR_GIDER!$C$7:$C$3001,"&lt;"&amp;EDATE($B33,1))</f>
        <v>450001</v>
      </c>
      <c r="I33" s="95">
        <f t="shared" si="2"/>
        <v>0</v>
      </c>
      <c r="J33" s="92">
        <f t="shared" si="3"/>
        <v>0</v>
      </c>
      <c r="K33" s="95">
        <f>SISTEM!$C$13</f>
        <v>0</v>
      </c>
      <c r="L33" s="95">
        <f>MAX(0,SUM($I$7:$I33)-$K33)</f>
        <v>1547062.02</v>
      </c>
      <c r="M33" s="95">
        <f t="shared" si="4"/>
        <v>0</v>
      </c>
      <c r="N33" s="95">
        <f t="shared" si="5"/>
        <v>0</v>
      </c>
      <c r="O33" s="60"/>
      <c r="P33" s="95">
        <f>SUMIFS(VIRMAN!$F$7:$F$406,VIRMAN!$E$7:$E$406,SISTEM!$C$9,VIRMAN!$C$7:$C$406,"&gt;="&amp;$B33,VIRMAN!$C$7:$C$406,"&lt;"&amp;EDATE($B33,1),VIRMAN!$G$7:$G$406,"KÂR PAYI / AVANS*")</f>
        <v>0</v>
      </c>
      <c r="Q33" s="95">
        <f>SUMIFS(VIRMAN!$F$7:$F$406,VIRMAN!$E$7:$E$406,SISTEM!$C$10,VIRMAN!$C$7:$C$406,"&gt;="&amp;$B33,VIRMAN!$C$7:$C$406,"&lt;"&amp;EDATE($B33,1),VIRMAN!$G$7:$G$406,"KÂR PAYI / AVANS*")</f>
        <v>0</v>
      </c>
      <c r="R33" s="95">
        <f>SUM($M$7:$M33)+SUM($N$7:$N33)-SUM($P$7:$P33)-SUM($Q$7:$Q33)</f>
        <v>277599.98</v>
      </c>
      <c r="S33" s="65" t="str">
        <f ca="1">IF($B33&gt;=DATE(YEAR(TODAY()),MONTH(TODAY()),1),"AÇIK",IF(COUNTIFS(SISTEM!$C$23:$C$91,"KRİTİK",SISTEM!$F$23:$F$91,"KALDI")&gt;0,"KAPATILAMAZ",IF(COUNTIF(SISTEM!$F$23:$F$91,"KALDI")=0,"KAPANABİLİR","UYARI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3" s="65" t="str">
        <f ca="1">IF(ABS($Y33-$M33-$N33)&gt;0.01,"PAY HATASI",IF($S33="KAPATILAMAZ",IFERROR("KAPATILAMAZ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edin"),IF($O33="Evet","KAPANDI","AÇIK")))</f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$3001,GELIR_GIDER!$V$7:$V$3001,1,GELIR_GIDER!$C$7:$C$3001,"&lt;="&amp;EOMONTH($B33,0))</f>
        <v>12527277</v>
      </c>
      <c r="Y33" s="1">
        <f t="shared" si="6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3">
      <c r="A34" s="2"/>
      <c r="B34" s="73">
        <v>46844</v>
      </c>
      <c r="C34" s="95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$3001,GELIR_GIDER!$V$7:$V$3001,1,GELIR_GIDER!$C$7:$C$3001,"&gt;="&amp;$B34,GELIR_GIDER!$C$7:$C$3001,"&lt;"&amp;EDATE($B34,1))</f>
        <v>529751</v>
      </c>
      <c r="D34" s="95">
        <f>SUMIFS(TAHSILAT!$F$7:$F$2503,TAHSILAT!$E$7:$E$2503,"&gt;="&amp;$B34,TAHSILAT!$E$7:$E$2503,"&lt;"&amp;EDATE($B34,1),TAHSILAT!$H$7:$H$2503,"&lt;&gt;Mahsup")</f>
        <v>0</v>
      </c>
      <c r="E34" s="95">
        <f>SUMIFS(GELIR_GIDER!$G$7:$G$3001,GELIR_GIDER!$D$7:$D$3001,"Gelir",GELIR_GIDER!$C$7:$C$3001,"&gt;="&amp;$B34,GELIR_GIDER!$C$7:$C$3001,"&lt;"&amp;EDATE($B34,1),GELIR_GIDER!$I$7:$I$3001,"Evet")</f>
        <v>0</v>
      </c>
      <c r="F34" s="95">
        <f t="shared" si="1"/>
        <v>0</v>
      </c>
      <c r="G34" s="95">
        <f>SUMIFS(GELIR_GIDER!$G$7:$G$3001,GELIR_GIDER!$D$7:$D$3001,"Gider",GELIR_GIDER!$C$7:$C$3001,"&gt;="&amp;$B34,GELIR_GIDER!$C$7:$C$3001,"&lt;"&amp;EDATE($B34,1),GELIR_GIDER!$I$7:$I$3001,"Evet")</f>
        <v>0</v>
      </c>
      <c r="H34" s="95">
        <f>$C34+$E34-SUMIFS(GELIR_GIDER!$G$7:$G$3001,GELIR_GIDER!$D$7:$D$3001,"Gider",GELIR_GIDER!$C$7:$C$3001,"&gt;="&amp;$B34,GELIR_GIDER!$C$7:$C$3001,"&lt;"&amp;EDATE($B34,1))</f>
        <v>529751</v>
      </c>
      <c r="I34" s="95">
        <f t="shared" si="2"/>
        <v>0</v>
      </c>
      <c r="J34" s="92">
        <f t="shared" si="3"/>
        <v>0</v>
      </c>
      <c r="K34" s="95">
        <f>SISTEM!$C$13</f>
        <v>0</v>
      </c>
      <c r="L34" s="95">
        <f>MAX(0,SUM($I$7:$I34)-$K34)</f>
        <v>1547062.02</v>
      </c>
      <c r="M34" s="95">
        <f t="shared" si="4"/>
        <v>0</v>
      </c>
      <c r="N34" s="95">
        <f t="shared" si="5"/>
        <v>0</v>
      </c>
      <c r="O34" s="60"/>
      <c r="P34" s="95">
        <f>SUMIFS(VIRMAN!$F$7:$F$406,VIRMAN!$E$7:$E$406,SISTEM!$C$9,VIRMAN!$C$7:$C$406,"&gt;="&amp;$B34,VIRMAN!$C$7:$C$406,"&lt;"&amp;EDATE($B34,1),VIRMAN!$G$7:$G$406,"KÂR PAYI / AVANS*")</f>
        <v>0</v>
      </c>
      <c r="Q34" s="95">
        <f>SUMIFS(VIRMAN!$F$7:$F$406,VIRMAN!$E$7:$E$406,SISTEM!$C$10,VIRMAN!$C$7:$C$406,"&gt;="&amp;$B34,VIRMAN!$C$7:$C$406,"&lt;"&amp;EDATE($B34,1),VIRMAN!$G$7:$G$406,"KÂR PAYI / AVANS*")</f>
        <v>0</v>
      </c>
      <c r="R34" s="95">
        <f>SUM($M$7:$M34)+SUM($N$7:$N34)-SUM($P$7:$P34)-SUM($Q$7:$Q34)</f>
        <v>277599.98</v>
      </c>
      <c r="S34" s="65" t="str">
        <f ca="1">IF($B34&gt;=DATE(YEAR(TODAY()),MONTH(TODAY()),1),"AÇIK",IF(COUNTIFS(SISTEM!$C$23:$C$91,"KRİTİK",SISTEM!$F$23:$F$91,"KALDI")&gt;0,"KAPATILAMAZ",IF(COUNTIF(SISTEM!$F$23:$F$91,"KALDI")=0,"KAPANABİLİR","UYARI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4" s="65" t="str">
        <f ca="1">IF(ABS($Y34-$M34-$N34)&gt;0.01,"PAY HATASI",IF($S34="KAPATILAMAZ",IFERROR("KAPATILAMAZ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edin"),IF($O34="Evet","KAPANDI","AÇIK")))</f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$3001,GELIR_GIDER!$V$7:$V$3001,1,GELIR_GIDER!$C$7:$C$3001,"&lt;="&amp;EOMONTH($B34,0))</f>
        <v>13057028</v>
      </c>
      <c r="Y34" s="1">
        <f t="shared" si="6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3">
      <c r="A35" s="2"/>
      <c r="B35" s="73">
        <v>46874</v>
      </c>
      <c r="C35" s="95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$3001,GELIR_GIDER!$V$7:$V$3001,1,GELIR_GIDER!$C$7:$C$3001,"&gt;="&amp;$B35,GELIR_GIDER!$C$7:$C$3001,"&lt;"&amp;EDATE($B35,1))</f>
        <v>450001</v>
      </c>
      <c r="D35" s="95">
        <f>SUMIFS(TAHSILAT!$F$7:$F$2503,TAHSILAT!$E$7:$E$2503,"&gt;="&amp;$B35,TAHSILAT!$E$7:$E$2503,"&lt;"&amp;EDATE($B35,1),TAHSILAT!$H$7:$H$2503,"&lt;&gt;Mahsup")</f>
        <v>0</v>
      </c>
      <c r="E35" s="95">
        <f>SUMIFS(GELIR_GIDER!$G$7:$G$3001,GELIR_GIDER!$D$7:$D$3001,"Gelir",GELIR_GIDER!$C$7:$C$3001,"&gt;="&amp;$B35,GELIR_GIDER!$C$7:$C$3001,"&lt;"&amp;EDATE($B35,1),GELIR_GIDER!$I$7:$I$3001,"Evet")</f>
        <v>0</v>
      </c>
      <c r="F35" s="95">
        <f t="shared" si="1"/>
        <v>0</v>
      </c>
      <c r="G35" s="95">
        <f>SUMIFS(GELIR_GIDER!$G$7:$G$3001,GELIR_GIDER!$D$7:$D$3001,"Gider",GELIR_GIDER!$C$7:$C$3001,"&gt;="&amp;$B35,GELIR_GIDER!$C$7:$C$3001,"&lt;"&amp;EDATE($B35,1),GELIR_GIDER!$I$7:$I$3001,"Evet")</f>
        <v>0</v>
      </c>
      <c r="H35" s="95">
        <f>$C35+$E35-SUMIFS(GELIR_GIDER!$G$7:$G$3001,GELIR_GIDER!$D$7:$D$3001,"Gider",GELIR_GIDER!$C$7:$C$3001,"&gt;="&amp;$B35,GELIR_GIDER!$C$7:$C$3001,"&lt;"&amp;EDATE($B35,1))</f>
        <v>450001</v>
      </c>
      <c r="I35" s="95">
        <f t="shared" si="2"/>
        <v>0</v>
      </c>
      <c r="J35" s="92">
        <f t="shared" si="3"/>
        <v>0</v>
      </c>
      <c r="K35" s="95">
        <f>SISTEM!$C$13</f>
        <v>0</v>
      </c>
      <c r="L35" s="95">
        <f>MAX(0,SUM($I$7:$I35)-$K35)</f>
        <v>1547062.02</v>
      </c>
      <c r="M35" s="95">
        <f t="shared" si="4"/>
        <v>0</v>
      </c>
      <c r="N35" s="95">
        <f t="shared" si="5"/>
        <v>0</v>
      </c>
      <c r="O35" s="60"/>
      <c r="P35" s="95">
        <f>SUMIFS(VIRMAN!$F$7:$F$406,VIRMAN!$E$7:$E$406,SISTEM!$C$9,VIRMAN!$C$7:$C$406,"&gt;="&amp;$B35,VIRMAN!$C$7:$C$406,"&lt;"&amp;EDATE($B35,1),VIRMAN!$G$7:$G$406,"KÂR PAYI / AVANS*")</f>
        <v>0</v>
      </c>
      <c r="Q35" s="95">
        <f>SUMIFS(VIRMAN!$F$7:$F$406,VIRMAN!$E$7:$E$406,SISTEM!$C$10,VIRMAN!$C$7:$C$406,"&gt;="&amp;$B35,VIRMAN!$C$7:$C$406,"&lt;"&amp;EDATE($B35,1),VIRMAN!$G$7:$G$406,"KÂR PAYI / AVANS*")</f>
        <v>0</v>
      </c>
      <c r="R35" s="95">
        <f>SUM($M$7:$M35)+SUM($N$7:$N35)-SUM($P$7:$P35)-SUM($Q$7:$Q35)</f>
        <v>277599.98</v>
      </c>
      <c r="S35" s="65" t="str">
        <f ca="1">IF($B35&gt;=DATE(YEAR(TODAY()),MONTH(TODAY()),1),"AÇIK",IF(COUNTIFS(SISTEM!$C$23:$C$91,"KRİTİK",SISTEM!$F$23:$F$91,"KALDI")&gt;0,"KAPATILAMAZ",IF(COUNTIF(SISTEM!$F$23:$F$91,"KALDI")=0,"KAPANABİLİR","UYARI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5" s="65" t="str">
        <f ca="1">IF(ABS($Y35-$M35-$N35)&gt;0.01,"PAY HATASI",IF($S35="KAPATILAMAZ",IFERROR("KAPATILAMAZ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edin"),IF($O35="Evet","KAPANDI","AÇIK")))</f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$3001,GELIR_GIDER!$V$7:$V$3001,1,GELIR_GIDER!$C$7:$C$3001,"&lt;="&amp;EOMONTH($B35,0))</f>
        <v>13507029</v>
      </c>
      <c r="Y35" s="1">
        <f t="shared" si="6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3">
      <c r="A36" s="2"/>
      <c r="B36" s="73">
        <v>46905</v>
      </c>
      <c r="C36" s="95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$3001,GELIR_GIDER!$V$7:$V$3001,1,GELIR_GIDER!$C$7:$C$3001,"&gt;="&amp;$B36,GELIR_GIDER!$C$7:$C$3001,"&lt;"&amp;EDATE($B36,1))</f>
        <v>450001</v>
      </c>
      <c r="D36" s="95">
        <f>SUMIFS(TAHSILAT!$F$7:$F$2503,TAHSILAT!$E$7:$E$2503,"&gt;="&amp;$B36,TAHSILAT!$E$7:$E$2503,"&lt;"&amp;EDATE($B36,1),TAHSILAT!$H$7:$H$2503,"&lt;&gt;Mahsup")</f>
        <v>0</v>
      </c>
      <c r="E36" s="95">
        <f>SUMIFS(GELIR_GIDER!$G$7:$G$3001,GELIR_GIDER!$D$7:$D$3001,"Gelir",GELIR_GIDER!$C$7:$C$3001,"&gt;="&amp;$B36,GELIR_GIDER!$C$7:$C$3001,"&lt;"&amp;EDATE($B36,1),GELIR_GIDER!$I$7:$I$3001,"Evet")</f>
        <v>0</v>
      </c>
      <c r="F36" s="95">
        <f t="shared" si="1"/>
        <v>0</v>
      </c>
      <c r="G36" s="95">
        <f>SUMIFS(GELIR_GIDER!$G$7:$G$3001,GELIR_GIDER!$D$7:$D$3001,"Gider",GELIR_GIDER!$C$7:$C$3001,"&gt;="&amp;$B36,GELIR_GIDER!$C$7:$C$3001,"&lt;"&amp;EDATE($B36,1),GELIR_GIDER!$I$7:$I$3001,"Evet")</f>
        <v>0</v>
      </c>
      <c r="H36" s="95">
        <f>$C36+$E36-SUMIFS(GELIR_GIDER!$G$7:$G$3001,GELIR_GIDER!$D$7:$D$3001,"Gider",GELIR_GIDER!$C$7:$C$3001,"&gt;="&amp;$B36,GELIR_GIDER!$C$7:$C$3001,"&lt;"&amp;EDATE($B36,1))</f>
        <v>450001</v>
      </c>
      <c r="I36" s="95">
        <f t="shared" si="2"/>
        <v>0</v>
      </c>
      <c r="J36" s="92">
        <f t="shared" si="3"/>
        <v>0</v>
      </c>
      <c r="K36" s="95">
        <f>SISTEM!$C$13</f>
        <v>0</v>
      </c>
      <c r="L36" s="95">
        <f>MAX(0,SUM($I$7:$I36)-$K36)</f>
        <v>1547062.02</v>
      </c>
      <c r="M36" s="95">
        <f t="shared" si="4"/>
        <v>0</v>
      </c>
      <c r="N36" s="95">
        <f t="shared" si="5"/>
        <v>0</v>
      </c>
      <c r="O36" s="60"/>
      <c r="P36" s="95">
        <f>SUMIFS(VIRMAN!$F$7:$F$406,VIRMAN!$E$7:$E$406,SISTEM!$C$9,VIRMAN!$C$7:$C$406,"&gt;="&amp;$B36,VIRMAN!$C$7:$C$406,"&lt;"&amp;EDATE($B36,1),VIRMAN!$G$7:$G$406,"KÂR PAYI / AVANS*")</f>
        <v>0</v>
      </c>
      <c r="Q36" s="95">
        <f>SUMIFS(VIRMAN!$F$7:$F$406,VIRMAN!$E$7:$E$406,SISTEM!$C$10,VIRMAN!$C$7:$C$406,"&gt;="&amp;$B36,VIRMAN!$C$7:$C$406,"&lt;"&amp;EDATE($B36,1),VIRMAN!$G$7:$G$406,"KÂR PAYI / AVANS*")</f>
        <v>0</v>
      </c>
      <c r="R36" s="95">
        <f>SUM($M$7:$M36)+SUM($N$7:$N36)-SUM($P$7:$P36)-SUM($Q$7:$Q36)</f>
        <v>277599.98</v>
      </c>
      <c r="S36" s="65" t="str">
        <f ca="1">IF($B36&gt;=DATE(YEAR(TODAY()),MONTH(TODAY()),1),"AÇIK",IF(COUNTIFS(SISTEM!$C$23:$C$91,"KRİTİK",SISTEM!$F$23:$F$91,"KALDI")&gt;0,"KAPATILAMAZ",IF(COUNTIF(SISTEM!$F$23:$F$91,"KALDI")=0,"KAPANABİLİR","UYARI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6" s="65" t="str">
        <f ca="1">IF(ABS($Y36-$M36-$N36)&gt;0.01,"PAY HATASI",IF($S36="KAPATILAMAZ",IFERROR("KAPATILAMAZ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edin"),IF($O36="Evet","KAPANDI","AÇIK")))</f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$3001,GELIR_GIDER!$V$7:$V$3001,1,GELIR_GIDER!$C$7:$C$3001,"&lt;="&amp;EOMONTH($B36,0))</f>
        <v>13957030</v>
      </c>
      <c r="Y36" s="1">
        <f t="shared" si="6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3">
      <c r="A37" s="2"/>
      <c r="B37" s="73">
        <v>46935</v>
      </c>
      <c r="C37" s="95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$3001,GELIR_GIDER!$V$7:$V$3001,1,GELIR_GIDER!$C$7:$C$3001,"&gt;="&amp;$B37,GELIR_GIDER!$C$7:$C$3001,"&lt;"&amp;EDATE($B37,1))</f>
        <v>529751</v>
      </c>
      <c r="D37" s="95">
        <f>SUMIFS(TAHSILAT!$F$7:$F$2503,TAHSILAT!$E$7:$E$2503,"&gt;="&amp;$B37,TAHSILAT!$E$7:$E$2503,"&lt;"&amp;EDATE($B37,1),TAHSILAT!$H$7:$H$2503,"&lt;&gt;Mahsup")</f>
        <v>0</v>
      </c>
      <c r="E37" s="95">
        <f>SUMIFS(GELIR_GIDER!$G$7:$G$3001,GELIR_GIDER!$D$7:$D$3001,"Gelir",GELIR_GIDER!$C$7:$C$3001,"&gt;="&amp;$B37,GELIR_GIDER!$C$7:$C$3001,"&lt;"&amp;EDATE($B37,1),GELIR_GIDER!$I$7:$I$3001,"Evet")</f>
        <v>0</v>
      </c>
      <c r="F37" s="95">
        <f t="shared" si="1"/>
        <v>0</v>
      </c>
      <c r="G37" s="95">
        <f>SUMIFS(GELIR_GIDER!$G$7:$G$3001,GELIR_GIDER!$D$7:$D$3001,"Gider",GELIR_GIDER!$C$7:$C$3001,"&gt;="&amp;$B37,GELIR_GIDER!$C$7:$C$3001,"&lt;"&amp;EDATE($B37,1),GELIR_GIDER!$I$7:$I$3001,"Evet")</f>
        <v>0</v>
      </c>
      <c r="H37" s="95">
        <f>$C37+$E37-SUMIFS(GELIR_GIDER!$G$7:$G$3001,GELIR_GIDER!$D$7:$D$3001,"Gider",GELIR_GIDER!$C$7:$C$3001,"&gt;="&amp;$B37,GELIR_GIDER!$C$7:$C$3001,"&lt;"&amp;EDATE($B37,1))</f>
        <v>529751</v>
      </c>
      <c r="I37" s="95">
        <f t="shared" si="2"/>
        <v>0</v>
      </c>
      <c r="J37" s="92">
        <f t="shared" si="3"/>
        <v>0</v>
      </c>
      <c r="K37" s="95">
        <f>SISTEM!$C$13</f>
        <v>0</v>
      </c>
      <c r="L37" s="95">
        <f>MAX(0,SUM($I$7:$I37)-$K37)</f>
        <v>1547062.02</v>
      </c>
      <c r="M37" s="95">
        <f t="shared" si="4"/>
        <v>0</v>
      </c>
      <c r="N37" s="95">
        <f t="shared" si="5"/>
        <v>0</v>
      </c>
      <c r="O37" s="60"/>
      <c r="P37" s="95">
        <f>SUMIFS(VIRMAN!$F$7:$F$406,VIRMAN!$E$7:$E$406,SISTEM!$C$9,VIRMAN!$C$7:$C$406,"&gt;="&amp;$B37,VIRMAN!$C$7:$C$406,"&lt;"&amp;EDATE($B37,1),VIRMAN!$G$7:$G$406,"KÂR PAYI / AVANS*")</f>
        <v>0</v>
      </c>
      <c r="Q37" s="95">
        <f>SUMIFS(VIRMAN!$F$7:$F$406,VIRMAN!$E$7:$E$406,SISTEM!$C$10,VIRMAN!$C$7:$C$406,"&gt;="&amp;$B37,VIRMAN!$C$7:$C$406,"&lt;"&amp;EDATE($B37,1),VIRMAN!$G$7:$G$406,"KÂR PAYI / AVANS*")</f>
        <v>0</v>
      </c>
      <c r="R37" s="95">
        <f>SUM($M$7:$M37)+SUM($N$7:$N37)-SUM($P$7:$P37)-SUM($Q$7:$Q37)</f>
        <v>277599.98</v>
      </c>
      <c r="S37" s="65" t="str">
        <f ca="1">IF($B37&gt;=DATE(YEAR(TODAY()),MONTH(TODAY()),1),"AÇIK",IF(COUNTIFS(SISTEM!$C$23:$C$91,"KRİTİK",SISTEM!$F$23:$F$91,"KALDI")&gt;0,"KAPATILAMAZ",IF(COUNTIF(SISTEM!$F$23:$F$91,"KALDI")=0,"KAPANABİLİR","UYARI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7" s="65" t="str">
        <f ca="1">IF(ABS($Y37-$M37-$N37)&gt;0.01,"PAY HATASI",IF($S37="KAPATILAMAZ",IFERROR("KAPATILAMAZ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edin"),IF($O37="Evet","KAPANDI","AÇIK")))</f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$3001,GELIR_GIDER!$V$7:$V$3001,1,GELIR_GIDER!$C$7:$C$3001,"&lt;="&amp;EOMONTH($B37,0))</f>
        <v>14486781</v>
      </c>
      <c r="Y37" s="1">
        <f t="shared" si="6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3">
      <c r="A38" s="2"/>
      <c r="B38" s="73">
        <v>46966</v>
      </c>
      <c r="C38" s="95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$3001,GELIR_GIDER!$V$7:$V$3001,1,GELIR_GIDER!$C$7:$C$3001,"&gt;="&amp;$B38,GELIR_GIDER!$C$7:$C$3001,"&lt;"&amp;EDATE($B38,1))</f>
        <v>450001</v>
      </c>
      <c r="D38" s="95">
        <f>SUMIFS(TAHSILAT!$F$7:$F$2503,TAHSILAT!$E$7:$E$2503,"&gt;="&amp;$B38,TAHSILAT!$E$7:$E$2503,"&lt;"&amp;EDATE($B38,1),TAHSILAT!$H$7:$H$2503,"&lt;&gt;Mahsup")</f>
        <v>0</v>
      </c>
      <c r="E38" s="95">
        <f>SUMIFS(GELIR_GIDER!$G$7:$G$3001,GELIR_GIDER!$D$7:$D$3001,"Gelir",GELIR_GIDER!$C$7:$C$3001,"&gt;="&amp;$B38,GELIR_GIDER!$C$7:$C$3001,"&lt;"&amp;EDATE($B38,1),GELIR_GIDER!$I$7:$I$3001,"Evet")</f>
        <v>0</v>
      </c>
      <c r="F38" s="95">
        <f t="shared" si="1"/>
        <v>0</v>
      </c>
      <c r="G38" s="95">
        <f>SUMIFS(GELIR_GIDER!$G$7:$G$3001,GELIR_GIDER!$D$7:$D$3001,"Gider",GELIR_GIDER!$C$7:$C$3001,"&gt;="&amp;$B38,GELIR_GIDER!$C$7:$C$3001,"&lt;"&amp;EDATE($B38,1),GELIR_GIDER!$I$7:$I$3001,"Evet")</f>
        <v>0</v>
      </c>
      <c r="H38" s="95">
        <f>$C38+$E38-SUMIFS(GELIR_GIDER!$G$7:$G$3001,GELIR_GIDER!$D$7:$D$3001,"Gider",GELIR_GIDER!$C$7:$C$3001,"&gt;="&amp;$B38,GELIR_GIDER!$C$7:$C$3001,"&lt;"&amp;EDATE($B38,1))</f>
        <v>450001</v>
      </c>
      <c r="I38" s="95">
        <f t="shared" si="2"/>
        <v>0</v>
      </c>
      <c r="J38" s="92">
        <f t="shared" si="3"/>
        <v>0</v>
      </c>
      <c r="K38" s="95">
        <f>SISTEM!$C$13</f>
        <v>0</v>
      </c>
      <c r="L38" s="95">
        <f>MAX(0,SUM($I$7:$I38)-$K38)</f>
        <v>1547062.02</v>
      </c>
      <c r="M38" s="95">
        <f t="shared" si="4"/>
        <v>0</v>
      </c>
      <c r="N38" s="95">
        <f t="shared" si="5"/>
        <v>0</v>
      </c>
      <c r="O38" s="60"/>
      <c r="P38" s="95">
        <f>SUMIFS(VIRMAN!$F$7:$F$406,VIRMAN!$E$7:$E$406,SISTEM!$C$9,VIRMAN!$C$7:$C$406,"&gt;="&amp;$B38,VIRMAN!$C$7:$C$406,"&lt;"&amp;EDATE($B38,1),VIRMAN!$G$7:$G$406,"KÂR PAYI / AVANS*")</f>
        <v>0</v>
      </c>
      <c r="Q38" s="95">
        <f>SUMIFS(VIRMAN!$F$7:$F$406,VIRMAN!$E$7:$E$406,SISTEM!$C$10,VIRMAN!$C$7:$C$406,"&gt;="&amp;$B38,VIRMAN!$C$7:$C$406,"&lt;"&amp;EDATE($B38,1),VIRMAN!$G$7:$G$406,"KÂR PAYI / AVANS*")</f>
        <v>0</v>
      </c>
      <c r="R38" s="95">
        <f>SUM($M$7:$M38)+SUM($N$7:$N38)-SUM($P$7:$P38)-SUM($Q$7:$Q38)</f>
        <v>277599.98</v>
      </c>
      <c r="S38" s="65" t="str">
        <f ca="1">IF($B38&gt;=DATE(YEAR(TODAY()),MONTH(TODAY()),1),"AÇIK",IF(COUNTIFS(SISTEM!$C$23:$C$91,"KRİTİK",SISTEM!$F$23:$F$91,"KALDI")&gt;0,"KAPATILAMAZ",IF(COUNTIF(SISTEM!$F$23:$F$91,"KALDI")=0,"KAPANABİLİR","UYARI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8" s="65" t="str">
        <f ca="1">IF(ABS($Y38-$M38-$N38)&gt;0.01,"PAY HATASI",IF($S38="KAPATILAMAZ",IFERROR("KAPATILAMAZ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edin"),IF($O38="Evet","KAPANDI","AÇIK")))</f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$3001,GELIR_GIDER!$V$7:$V$3001,1,GELIR_GIDER!$C$7:$C$3001,"&lt;="&amp;EOMONTH($B38,0))</f>
        <v>14936782</v>
      </c>
      <c r="Y38" s="1">
        <f t="shared" si="6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3">
      <c r="A39" s="2"/>
      <c r="B39" s="73">
        <v>46997</v>
      </c>
      <c r="C39" s="95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$3001,GELIR_GIDER!$V$7:$V$3001,1,GELIR_GIDER!$C$7:$C$3001,"&gt;="&amp;$B39,GELIR_GIDER!$C$7:$C$3001,"&lt;"&amp;EDATE($B39,1))</f>
        <v>529751</v>
      </c>
      <c r="D39" s="95">
        <f>SUMIFS(TAHSILAT!$F$7:$F$2503,TAHSILAT!$E$7:$E$2503,"&gt;="&amp;$B39,TAHSILAT!$E$7:$E$2503,"&lt;"&amp;EDATE($B39,1),TAHSILAT!$H$7:$H$2503,"&lt;&gt;Mahsup")</f>
        <v>0</v>
      </c>
      <c r="E39" s="95">
        <f>SUMIFS(GELIR_GIDER!$G$7:$G$3001,GELIR_GIDER!$D$7:$D$3001,"Gelir",GELIR_GIDER!$C$7:$C$3001,"&gt;="&amp;$B39,GELIR_GIDER!$C$7:$C$3001,"&lt;"&amp;EDATE($B39,1),GELIR_GIDER!$I$7:$I$3001,"Evet")</f>
        <v>0</v>
      </c>
      <c r="F39" s="95">
        <f t="shared" si="1"/>
        <v>0</v>
      </c>
      <c r="G39" s="95">
        <f>SUMIFS(GELIR_GIDER!$G$7:$G$3001,GELIR_GIDER!$D$7:$D$3001,"Gider",GELIR_GIDER!$C$7:$C$3001,"&gt;="&amp;$B39,GELIR_GIDER!$C$7:$C$3001,"&lt;"&amp;EDATE($B39,1),GELIR_GIDER!$I$7:$I$3001,"Evet")</f>
        <v>0</v>
      </c>
      <c r="H39" s="95">
        <f>$C39+$E39-SUMIFS(GELIR_GIDER!$G$7:$G$3001,GELIR_GIDER!$D$7:$D$3001,"Gider",GELIR_GIDER!$C$7:$C$3001,"&gt;="&amp;$B39,GELIR_GIDER!$C$7:$C$3001,"&lt;"&amp;EDATE($B39,1))</f>
        <v>529751</v>
      </c>
      <c r="I39" s="95">
        <f t="shared" si="2"/>
        <v>0</v>
      </c>
      <c r="J39" s="92">
        <f t="shared" si="3"/>
        <v>0</v>
      </c>
      <c r="K39" s="95">
        <f>SISTEM!$C$13</f>
        <v>0</v>
      </c>
      <c r="L39" s="95">
        <f>MAX(0,SUM($I$7:$I39)-$K39)</f>
        <v>1547062.02</v>
      </c>
      <c r="M39" s="95">
        <f t="shared" si="4"/>
        <v>0</v>
      </c>
      <c r="N39" s="95">
        <f t="shared" si="5"/>
        <v>0</v>
      </c>
      <c r="O39" s="60"/>
      <c r="P39" s="95">
        <f>SUMIFS(VIRMAN!$F$7:$F$406,VIRMAN!$E$7:$E$406,SISTEM!$C$9,VIRMAN!$C$7:$C$406,"&gt;="&amp;$B39,VIRMAN!$C$7:$C$406,"&lt;"&amp;EDATE($B39,1),VIRMAN!$G$7:$G$406,"KÂR PAYI / AVANS*")</f>
        <v>0</v>
      </c>
      <c r="Q39" s="95">
        <f>SUMIFS(VIRMAN!$F$7:$F$406,VIRMAN!$E$7:$E$406,SISTEM!$C$10,VIRMAN!$C$7:$C$406,"&gt;="&amp;$B39,VIRMAN!$C$7:$C$406,"&lt;"&amp;EDATE($B39,1),VIRMAN!$G$7:$G$406,"KÂR PAYI / AVANS*")</f>
        <v>0</v>
      </c>
      <c r="R39" s="95">
        <f>SUM($M$7:$M39)+SUM($N$7:$N39)-SUM($P$7:$P39)-SUM($Q$7:$Q39)</f>
        <v>277599.98</v>
      </c>
      <c r="S39" s="65" t="str">
        <f ca="1">IF($B39&gt;=DATE(YEAR(TODAY()),MONTH(TODAY()),1),"AÇIK",IF(COUNTIFS(SISTEM!$C$23:$C$91,"KRİTİK",SISTEM!$F$23:$F$91,"KALDI")&gt;0,"KAPATILAMAZ",IF(COUNTIF(SISTEM!$F$23:$F$91,"KALDI")=0,"KAPANABİLİR","UYARI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39" s="65" t="str">
        <f ca="1">IF(ABS($Y39-$M39-$N39)&gt;0.01,"PAY HATASI",IF($S39="KAPATILAMAZ",IFERROR("KAPATILAMAZ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edin"),IF($O39="Evet","KAPANDI","AÇIK")))</f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$3001,GELIR_GIDER!$V$7:$V$3001,1,GELIR_GIDER!$C$7:$C$3001,"&lt;="&amp;EOMONTH($B39,0))</f>
        <v>15466533</v>
      </c>
      <c r="Y39" s="1">
        <f t="shared" si="6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3">
      <c r="A40" s="2"/>
      <c r="B40" s="73">
        <v>47027</v>
      </c>
      <c r="C40" s="95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$3001,GELIR_GIDER!$V$7:$V$3001,1,GELIR_GIDER!$C$7:$C$3001,"&gt;="&amp;$B40,GELIR_GIDER!$C$7:$C$3001,"&lt;"&amp;EDATE($B40,1))</f>
        <v>450001</v>
      </c>
      <c r="D40" s="95">
        <f>SUMIFS(TAHSILAT!$F$7:$F$2503,TAHSILAT!$E$7:$E$2503,"&gt;="&amp;$B40,TAHSILAT!$E$7:$E$2503,"&lt;"&amp;EDATE($B40,1),TAHSILAT!$H$7:$H$2503,"&lt;&gt;Mahsup")</f>
        <v>0</v>
      </c>
      <c r="E40" s="95">
        <f>SUMIFS(GELIR_GIDER!$G$7:$G$3001,GELIR_GIDER!$D$7:$D$3001,"Gelir",GELIR_GIDER!$C$7:$C$3001,"&gt;="&amp;$B40,GELIR_GIDER!$C$7:$C$3001,"&lt;"&amp;EDATE($B40,1),GELIR_GIDER!$I$7:$I$3001,"Evet")</f>
        <v>0</v>
      </c>
      <c r="F40" s="95">
        <f t="shared" si="1"/>
        <v>0</v>
      </c>
      <c r="G40" s="95">
        <f>SUMIFS(GELIR_GIDER!$G$7:$G$3001,GELIR_GIDER!$D$7:$D$3001,"Gider",GELIR_GIDER!$C$7:$C$3001,"&gt;="&amp;$B40,GELIR_GIDER!$C$7:$C$3001,"&lt;"&amp;EDATE($B40,1),GELIR_GIDER!$I$7:$I$3001,"Evet")</f>
        <v>0</v>
      </c>
      <c r="H40" s="95">
        <f>$C40+$E40-SUMIFS(GELIR_GIDER!$G$7:$G$3001,GELIR_GIDER!$D$7:$D$3001,"Gider",GELIR_GIDER!$C$7:$C$3001,"&gt;="&amp;$B40,GELIR_GIDER!$C$7:$C$3001,"&lt;"&amp;EDATE($B40,1))</f>
        <v>450001</v>
      </c>
      <c r="I40" s="95">
        <f t="shared" si="2"/>
        <v>0</v>
      </c>
      <c r="J40" s="92">
        <f t="shared" si="3"/>
        <v>0</v>
      </c>
      <c r="K40" s="95">
        <f>SISTEM!$C$13</f>
        <v>0</v>
      </c>
      <c r="L40" s="95">
        <f>MAX(0,SUM($I$7:$I40)-$K40)</f>
        <v>1547062.02</v>
      </c>
      <c r="M40" s="95">
        <f t="shared" si="4"/>
        <v>0</v>
      </c>
      <c r="N40" s="95">
        <f t="shared" si="5"/>
        <v>0</v>
      </c>
      <c r="O40" s="60"/>
      <c r="P40" s="95">
        <f>SUMIFS(VIRMAN!$F$7:$F$406,VIRMAN!$E$7:$E$406,SISTEM!$C$9,VIRMAN!$C$7:$C$406,"&gt;="&amp;$B40,VIRMAN!$C$7:$C$406,"&lt;"&amp;EDATE($B40,1),VIRMAN!$G$7:$G$406,"KÂR PAYI / AVANS*")</f>
        <v>0</v>
      </c>
      <c r="Q40" s="95">
        <f>SUMIFS(VIRMAN!$F$7:$F$406,VIRMAN!$E$7:$E$406,SISTEM!$C$10,VIRMAN!$C$7:$C$406,"&gt;="&amp;$B40,VIRMAN!$C$7:$C$406,"&lt;"&amp;EDATE($B40,1),VIRMAN!$G$7:$G$406,"KÂR PAYI / AVANS*")</f>
        <v>0</v>
      </c>
      <c r="R40" s="95">
        <f>SUM($M$7:$M40)+SUM($N$7:$N40)-SUM($P$7:$P40)-SUM($Q$7:$Q40)</f>
        <v>277599.98</v>
      </c>
      <c r="S40" s="65" t="str">
        <f ca="1">IF($B40&gt;=DATE(YEAR(TODAY()),MONTH(TODAY()),1),"AÇIK",IF(COUNTIFS(SISTEM!$C$23:$C$91,"KRİTİK",SISTEM!$F$23:$F$91,"KALDI")&gt;0,"KAPATILAMAZ",IF(COUNTIF(SISTEM!$F$23:$F$91,"KALDI")=0,"KAPANABİLİR","UYARI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0" s="65" t="str">
        <f ca="1">IF(ABS($Y40-$M40-$N40)&gt;0.01,"PAY HATASI",IF($S40="KAPATILAMAZ",IFERROR("KAPATILAMAZ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edin"),IF($O40="Evet","KAPANDI","AÇIK")))</f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$3001,GELIR_GIDER!$V$7:$V$3001,1,GELIR_GIDER!$C$7:$C$3001,"&lt;="&amp;EOMONTH($B40,0))</f>
        <v>15916534</v>
      </c>
      <c r="Y40" s="1">
        <f t="shared" si="6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3">
      <c r="A41" s="2"/>
      <c r="B41" s="73">
        <v>47058</v>
      </c>
      <c r="C41" s="95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$3001,GELIR_GIDER!$V$7:$V$3001,1,GELIR_GIDER!$C$7:$C$3001,"&gt;="&amp;$B41,GELIR_GIDER!$C$7:$C$3001,"&lt;"&amp;EDATE($B41,1))</f>
        <v>450001</v>
      </c>
      <c r="D41" s="95">
        <f>SUMIFS(TAHSILAT!$F$7:$F$2503,TAHSILAT!$E$7:$E$2503,"&gt;="&amp;$B41,TAHSILAT!$E$7:$E$2503,"&lt;"&amp;EDATE($B41,1),TAHSILAT!$H$7:$H$2503,"&lt;&gt;Mahsup")</f>
        <v>0</v>
      </c>
      <c r="E41" s="95">
        <f>SUMIFS(GELIR_GIDER!$G$7:$G$3001,GELIR_GIDER!$D$7:$D$3001,"Gelir",GELIR_GIDER!$C$7:$C$3001,"&gt;="&amp;$B41,GELIR_GIDER!$C$7:$C$3001,"&lt;"&amp;EDATE($B41,1),GELIR_GIDER!$I$7:$I$3001,"Evet")</f>
        <v>0</v>
      </c>
      <c r="F41" s="95">
        <f t="shared" si="1"/>
        <v>0</v>
      </c>
      <c r="G41" s="95">
        <f>SUMIFS(GELIR_GIDER!$G$7:$G$3001,GELIR_GIDER!$D$7:$D$3001,"Gider",GELIR_GIDER!$C$7:$C$3001,"&gt;="&amp;$B41,GELIR_GIDER!$C$7:$C$3001,"&lt;"&amp;EDATE($B41,1),GELIR_GIDER!$I$7:$I$3001,"Evet")</f>
        <v>0</v>
      </c>
      <c r="H41" s="95">
        <f>$C41+$E41-SUMIFS(GELIR_GIDER!$G$7:$G$3001,GELIR_GIDER!$D$7:$D$3001,"Gider",GELIR_GIDER!$C$7:$C$3001,"&gt;="&amp;$B41,GELIR_GIDER!$C$7:$C$3001,"&lt;"&amp;EDATE($B41,1))</f>
        <v>450001</v>
      </c>
      <c r="I41" s="95">
        <f t="shared" si="2"/>
        <v>0</v>
      </c>
      <c r="J41" s="92">
        <f t="shared" si="3"/>
        <v>0</v>
      </c>
      <c r="K41" s="95">
        <f>SISTEM!$C$13</f>
        <v>0</v>
      </c>
      <c r="L41" s="95">
        <f>MAX(0,SUM($I$7:$I41)-$K41)</f>
        <v>1547062.02</v>
      </c>
      <c r="M41" s="95">
        <f t="shared" si="4"/>
        <v>0</v>
      </c>
      <c r="N41" s="95">
        <f t="shared" si="5"/>
        <v>0</v>
      </c>
      <c r="O41" s="60"/>
      <c r="P41" s="95">
        <f>SUMIFS(VIRMAN!$F$7:$F$406,VIRMAN!$E$7:$E$406,SISTEM!$C$9,VIRMAN!$C$7:$C$406,"&gt;="&amp;$B41,VIRMAN!$C$7:$C$406,"&lt;"&amp;EDATE($B41,1),VIRMAN!$G$7:$G$406,"KÂR PAYI / AVANS*")</f>
        <v>0</v>
      </c>
      <c r="Q41" s="95">
        <f>SUMIFS(VIRMAN!$F$7:$F$406,VIRMAN!$E$7:$E$406,SISTEM!$C$10,VIRMAN!$C$7:$C$406,"&gt;="&amp;$B41,VIRMAN!$C$7:$C$406,"&lt;"&amp;EDATE($B41,1),VIRMAN!$G$7:$G$406,"KÂR PAYI / AVANS*")</f>
        <v>0</v>
      </c>
      <c r="R41" s="95">
        <f>SUM($M$7:$M41)+SUM($N$7:$N41)-SUM($P$7:$P41)-SUM($Q$7:$Q41)</f>
        <v>277599.98</v>
      </c>
      <c r="S41" s="65" t="str">
        <f ca="1">IF($B41&gt;=DATE(YEAR(TODAY()),MONTH(TODAY()),1),"AÇIK",IF(COUNTIFS(SISTEM!$C$23:$C$91,"KRİTİK",SISTEM!$F$23:$F$91,"KALDI")&gt;0,"KAPATILAMAZ",IF(COUNTIF(SISTEM!$F$23:$F$91,"KALDI")=0,"KAPANABİLİR","UYARI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1" s="65" t="str">
        <f ca="1">IF(ABS($Y41-$M41-$N41)&gt;0.01,"PAY HATASI",IF($S41="KAPATILAMAZ",IFERROR("KAPATILAMAZ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edin"),IF($O41="Evet","KAPANDI","AÇIK")))</f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$3001,GELIR_GIDER!$V$7:$V$3001,1,GELIR_GIDER!$C$7:$C$3001,"&lt;="&amp;EOMONTH($B41,0))</f>
        <v>16366535</v>
      </c>
      <c r="Y41" s="1">
        <f t="shared" si="6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3">
      <c r="A42" s="2"/>
      <c r="B42" s="73">
        <v>47088</v>
      </c>
      <c r="C42" s="95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$3001,GELIR_GIDER!$V$7:$V$3001,1,GELIR_GIDER!$C$7:$C$3001,"&gt;="&amp;$B42,GELIR_GIDER!$C$7:$C$3001,"&lt;"&amp;EDATE($B42,1))</f>
        <v>529751</v>
      </c>
      <c r="D42" s="95">
        <f>SUMIFS(TAHSILAT!$F$7:$F$2503,TAHSILAT!$E$7:$E$2503,"&gt;="&amp;$B42,TAHSILAT!$E$7:$E$2503,"&lt;"&amp;EDATE($B42,1),TAHSILAT!$H$7:$H$2503,"&lt;&gt;Mahsup")</f>
        <v>0</v>
      </c>
      <c r="E42" s="95">
        <f>SUMIFS(GELIR_GIDER!$G$7:$G$3001,GELIR_GIDER!$D$7:$D$3001,"Gelir",GELIR_GIDER!$C$7:$C$3001,"&gt;="&amp;$B42,GELIR_GIDER!$C$7:$C$3001,"&lt;"&amp;EDATE($B42,1),GELIR_GIDER!$I$7:$I$3001,"Evet")</f>
        <v>0</v>
      </c>
      <c r="F42" s="95">
        <f t="shared" si="1"/>
        <v>0</v>
      </c>
      <c r="G42" s="95">
        <f>SUMIFS(GELIR_GIDER!$G$7:$G$3001,GELIR_GIDER!$D$7:$D$3001,"Gider",GELIR_GIDER!$C$7:$C$3001,"&gt;="&amp;$B42,GELIR_GIDER!$C$7:$C$3001,"&lt;"&amp;EDATE($B42,1),GELIR_GIDER!$I$7:$I$3001,"Evet")</f>
        <v>0</v>
      </c>
      <c r="H42" s="95">
        <f>$C42+$E42-SUMIFS(GELIR_GIDER!$G$7:$G$3001,GELIR_GIDER!$D$7:$D$3001,"Gider",GELIR_GIDER!$C$7:$C$3001,"&gt;="&amp;$B42,GELIR_GIDER!$C$7:$C$3001,"&lt;"&amp;EDATE($B42,1))</f>
        <v>529751</v>
      </c>
      <c r="I42" s="95">
        <f t="shared" si="2"/>
        <v>0</v>
      </c>
      <c r="J42" s="92">
        <f t="shared" si="3"/>
        <v>0</v>
      </c>
      <c r="K42" s="95">
        <f>SISTEM!$C$13</f>
        <v>0</v>
      </c>
      <c r="L42" s="95">
        <f>MAX(0,SUM($I$7:$I42)-$K42)</f>
        <v>1547062.02</v>
      </c>
      <c r="M42" s="95">
        <f t="shared" si="4"/>
        <v>0</v>
      </c>
      <c r="N42" s="95">
        <f t="shared" si="5"/>
        <v>0</v>
      </c>
      <c r="O42" s="60"/>
      <c r="P42" s="95">
        <f>SUMIFS(VIRMAN!$F$7:$F$406,VIRMAN!$E$7:$E$406,SISTEM!$C$9,VIRMAN!$C$7:$C$406,"&gt;="&amp;$B42,VIRMAN!$C$7:$C$406,"&lt;"&amp;EDATE($B42,1),VIRMAN!$G$7:$G$406,"KÂR PAYI / AVANS*")</f>
        <v>0</v>
      </c>
      <c r="Q42" s="95">
        <f>SUMIFS(VIRMAN!$F$7:$F$406,VIRMAN!$E$7:$E$406,SISTEM!$C$10,VIRMAN!$C$7:$C$406,"&gt;="&amp;$B42,VIRMAN!$C$7:$C$406,"&lt;"&amp;EDATE($B42,1),VIRMAN!$G$7:$G$406,"KÂR PAYI / AVANS*")</f>
        <v>0</v>
      </c>
      <c r="R42" s="95">
        <f>SUM($M$7:$M42)+SUM($N$7:$N42)-SUM($P$7:$P42)-SUM($Q$7:$Q42)</f>
        <v>277599.98</v>
      </c>
      <c r="S42" s="65" t="str">
        <f ca="1">IF($B42&gt;=DATE(YEAR(TODAY()),MONTH(TODAY()),1),"AÇIK",IF(COUNTIFS(SISTEM!$C$23:$C$91,"KRİTİK",SISTEM!$F$23:$F$91,"KALDI")&gt;0,"KAPATILAMAZ",IF(COUNTIF(SISTEM!$F$23:$F$91,"KALDI")=0,"KAPANABİLİR","UYARI VAR – KAPATILABİLİR")))</f>
        <v>AÇIK</v>
      </c>
      <c r="T42" s="65" t="str">
        <f ca="1">IF(ABS($Y42-$M42-$N42)&gt;0.01,"PAY HATASI",IF($S42="KAPATILAMAZ",IFERROR("KAPATILAMAZ — "&amp;INDEX(SISTEM!$B$23:$B$91,MATCH(1,INDEX((SISTEM!$C$23:$C$91="KRİTİK")*(SISTEM!$F$23:$F$91="KALDI"),0),0))&amp;" — "&amp;INDEX(SISTEM!$I$23:$I$91,MATCH(1,INDEX((SISTEM!$C$23:$C$91="KRİTİK")*(SISTEM!$F$23:$F$91="KALDI"),0),0)),"KAPATILAMAZ — SISTEM ekranını kontrol edin"),IF($O42="Evet","KAPANDI","AÇIK")))</f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$3001,GELIR_GIDER!$V$7:$V$3001,1,GELIR_GIDER!$C$7:$C$3001,"&lt;="&amp;EOMONTH($B42,0))</f>
        <v>16896286</v>
      </c>
      <c r="Y42" s="1">
        <f t="shared" si="6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A2:T2"/>
    <mergeCell ref="F1:T1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A28D3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J8" sqref="J7:J8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14.85546875" customWidth="1"/>
    <col min="6" max="6" width="29.7109375" customWidth="1"/>
    <col min="7" max="8" width="16.7109375" customWidth="1"/>
    <col min="9" max="9" width="18.5703125" customWidth="1"/>
    <col min="10" max="10" width="15.7109375" bestFit="1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8" t="s">
        <v>1054</v>
      </c>
      <c r="B1" s="171"/>
      <c r="C1" s="171"/>
      <c r="D1" s="171"/>
      <c r="E1" s="171"/>
      <c r="F1" s="208" t="s">
        <v>1076</v>
      </c>
      <c r="G1" s="171"/>
      <c r="H1" s="171"/>
      <c r="I1" s="17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9" t="s">
        <v>1077</v>
      </c>
      <c r="B2" s="139"/>
      <c r="C2" s="139"/>
      <c r="D2" s="139"/>
      <c r="E2" s="139"/>
      <c r="F2" s="139"/>
      <c r="G2" s="139"/>
      <c r="H2" s="139"/>
      <c r="I2" s="1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1078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HYPERLINK("#ORTAKLAR!B5","▸ 1  Ortak Tanımları")</f>
        <v>▸ 1  Ortak Tanımları</v>
      </c>
      <c r="E4" s="76" t="str">
        <f>HYPERLINK("#ORTAKLAR!B12","▸ 2  Pay Oranları")</f>
        <v>▸ 2  Pay Oranları</v>
      </c>
      <c r="F4" s="77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3">
      <c r="A5" s="2"/>
      <c r="B5" s="182" t="s">
        <v>989</v>
      </c>
      <c r="C5" s="171"/>
      <c r="D5" s="171"/>
      <c r="E5" s="171"/>
      <c r="F5" s="171"/>
      <c r="G5" s="171"/>
      <c r="H5" s="171"/>
      <c r="I5" s="171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47.25" customHeight="1" x14ac:dyDescent="0.3">
      <c r="A6" s="2"/>
      <c r="B6" s="57" t="s">
        <v>990</v>
      </c>
      <c r="C6" s="57" t="s">
        <v>991</v>
      </c>
      <c r="D6" s="57" t="s">
        <v>555</v>
      </c>
      <c r="E6" s="57" t="s">
        <v>992</v>
      </c>
      <c r="F6" s="57" t="s">
        <v>993</v>
      </c>
      <c r="G6" s="57" t="s">
        <v>994</v>
      </c>
      <c r="H6" s="57" t="s">
        <v>1079</v>
      </c>
      <c r="I6" s="57" t="s">
        <v>996</v>
      </c>
      <c r="J6" s="57" t="s">
        <v>1080</v>
      </c>
      <c r="K6" s="2"/>
      <c r="L6" s="78" t="s">
        <v>1081</v>
      </c>
      <c r="M6" s="1"/>
      <c r="N6" s="1"/>
      <c r="O6" s="1"/>
      <c r="P6" s="1"/>
      <c r="Q6" s="1"/>
      <c r="R6" s="1"/>
      <c r="S6" s="1"/>
      <c r="T6" s="1"/>
      <c r="U6" s="1">
        <f>IF($U$4=0,"",INDEX($F$7:$F$10,$U$4))</f>
        <v>634731.02</v>
      </c>
      <c r="V6" s="1"/>
      <c r="W6" s="1"/>
    </row>
    <row r="7" spans="1:23" ht="19.5" customHeight="1" x14ac:dyDescent="0.3">
      <c r="A7" s="2"/>
      <c r="B7" s="61" t="s">
        <v>972</v>
      </c>
      <c r="C7" s="60" t="s">
        <v>972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IF($B7="","",SUMIFS(VIRMAN!$F$7:$F$406,VIRMAN!$E$7:$E$406,$B7)+SUMIFS(GELIR_GIDER!$G$7:$G$3001,GELIR_GIDER!$D$7:$D$3001,"Gelir",GELIR_GIDER!$L$7:$L$3001,$B7,GELIR_GIDER!$I$7:$I$3001,"Hayır"))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IF($B7="","",$H7-SUMIFS(VIRMAN!$F$7:$F$406,VIRMAN!$E$7:$E$406,$B7,VIRMAN!$G$7:$G$406,"KÂR PAYI / AVANS*"))</f>
        <v>138799.99</v>
      </c>
      <c r="K7" s="2"/>
      <c r="L7" s="80" t="str">
        <f>IF($B7="","",IF($J7&lt;-0.01,"AVANS",IF($I7&gt;0.01,"ORTAK BORÇLU",IF($I7&lt;-0.01,"ORTAK ALACAKLI","KAPALI"))))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IF($B8="","",SUMIFS(VIRMAN!$F$7:$F$406,VIRMAN!$E$7:$E$406,$B8)+SUMIFS(GELIR_GIDER!$G$7:$G$3001,GELIR_GIDER!$D$7:$D$3001,"Gelir",GELIR_GIDER!$L$7:$L$3001,$B8,GELIR_GIDER!$I$7:$I$3001,"Hayır"))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IF($B8="","",$H8-SUMIFS(VIRMAN!$F$7:$F$406,VIRMAN!$E$7:$E$406,$B8,VIRMAN!$G$7:$G$406,"KÂR PAYI / AVANS*"))</f>
        <v>138799.99</v>
      </c>
      <c r="K8" s="2"/>
      <c r="L8" s="80" t="str">
        <f>IF($B8="","",IF($J8&lt;-0.01,"AVANS",IF($I8&gt;0.01,"ORTAK BORÇLU",IF($I8&lt;-0.01,"ORTAK ALACAKLI","KAPALI"))))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IF($B9="","",SUMIFS(VIRMAN!$F$7:$F$406,VIRMAN!$E$7:$E$406,$B9)+SUMIFS(GELIR_GIDER!$G$7:$G$3001,GELIR_GIDER!$D$7:$D$3001,"Gelir",GELIR_GIDER!$L$7:$L$3001,$B9,GELIR_GIDER!$I$7:$I$3001,"Hayır"))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IF($B9="","",$H9-SUMIFS(VIRMAN!$F$7:$F$406,VIRMAN!$E$7:$E$406,$B9,VIRMAN!$G$7:$G$406,"KÂR PAYI / AVANS*"))</f>
        <v/>
      </c>
      <c r="K9" s="2"/>
      <c r="L9" s="80" t="str">
        <f>IF($B9="","",IF($J9&lt;-0.01,"AVANS",IF($I9&gt;0.01,"ORTAK BORÇLU",IF($I9&lt;-0.01,"ORTAK ALACAKLI","KAPALI"))))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IF($B10="","",SUMIFS(VIRMAN!$F$7:$F$406,VIRMAN!$E$7:$E$406,$B10)+SUMIFS(GELIR_GIDER!$G$7:$G$3001,GELIR_GIDER!$D$7:$D$3001,"Gelir",GELIR_GIDER!$L$7:$L$3001,$B10,GELIR_GIDER!$I$7:$I$3001,"Hayır"))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IF($B10="","",$H10-SUMIFS(VIRMAN!$F$7:$F$406,VIRMAN!$E$7:$E$406,$B10,VIRMAN!$G$7:$G$406,"KÂR PAYI / AVANS*"))</f>
        <v/>
      </c>
      <c r="K10" s="2"/>
      <c r="L10" s="80" t="str">
        <f>IF($B10="","",IF($J10&lt;-0.01,"AVANS",IF($I10&gt;0.01,"ORTAK BORÇLU",IF($I10&lt;-0.01,"ORTAK ALACAKLI","KAPALI"))))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3">
      <c r="A11" s="2"/>
      <c r="B11" s="212" t="s">
        <v>1082</v>
      </c>
      <c r="C11" s="139"/>
      <c r="D11" s="139"/>
      <c r="E11" s="139"/>
      <c r="F11" s="139"/>
      <c r="G11" s="139"/>
      <c r="H11" s="139"/>
      <c r="I11" s="139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3">
      <c r="A12" s="2"/>
      <c r="B12" s="182" t="s">
        <v>1000</v>
      </c>
      <c r="C12" s="171"/>
      <c r="D12" s="171"/>
      <c r="E12" s="171"/>
      <c r="F12" s="171"/>
      <c r="G12" s="171"/>
      <c r="H12" s="171"/>
      <c r="I12" s="17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3">
      <c r="A13" s="2"/>
      <c r="B13" s="57" t="s">
        <v>1001</v>
      </c>
      <c r="C13" s="57" t="s">
        <v>1002</v>
      </c>
      <c r="D13" s="57" t="s">
        <v>1003</v>
      </c>
      <c r="E13" s="57" t="s">
        <v>1004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3">
      <c r="A14" s="2"/>
      <c r="B14" s="61" t="s">
        <v>972</v>
      </c>
      <c r="C14" s="81">
        <v>46023</v>
      </c>
      <c r="D14" s="81"/>
      <c r="E14" s="82">
        <v>0.5</v>
      </c>
      <c r="F14" s="61" t="s">
        <v>1005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1005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3">
      <c r="A34" s="2"/>
      <c r="B34" s="212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39"/>
      <c r="D34" s="139"/>
      <c r="E34" s="139"/>
      <c r="F34" s="139"/>
      <c r="G34" s="139"/>
      <c r="H34" s="139"/>
      <c r="I34" s="139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2" t="s">
        <v>1083</v>
      </c>
      <c r="C35" s="171"/>
      <c r="D35" s="171"/>
      <c r="E35" s="171"/>
      <c r="F35" s="171"/>
      <c r="G35" s="171"/>
      <c r="H35" s="171"/>
      <c r="I35" s="17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1007</v>
      </c>
      <c r="C36" s="213" t="s">
        <v>972</v>
      </c>
      <c r="D36" s="214"/>
      <c r="E36" s="215"/>
      <c r="F36" s="216" t="str">
        <f>IF($C$36="","Lütfen soldan bir ortak seçin",$C$36&amp;"   │   NET CARİ: "&amp;TEXT(IFERROR(INDEX($I$7:$I$10,MATCH($C$36,$B$7:$B$10,0)),0),"#,##0")&amp;" ₺   │   KÂR PAYI BAKİYE/AVANS: "&amp;TEXT(IFERROR(INDEX($J$7:$J$10,MATCH($C$36,$B$7:$B$10,0)),0),"#,##0")&amp;" ₺   │   DURUM: "&amp;IFERROR(INDEX($L$7:$L$10,MATCH($C$36,$B$7:$B$10,0)),"—"))</f>
        <v>ALİ KILIÇ   │   NET CARİ: -138799,990 ₺   │   KÂR PAYI BAKİYE/AVANS: 138799,990 ₺   │   DURUM: ORTAK ALACAKLI</v>
      </c>
      <c r="G36" s="139"/>
      <c r="H36" s="139"/>
      <c r="I36" s="139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1008</v>
      </c>
      <c r="C37" s="57" t="s">
        <v>709</v>
      </c>
      <c r="D37" s="217" t="s">
        <v>54</v>
      </c>
      <c r="E37" s="171"/>
      <c r="F37" s="57" t="s">
        <v>1009</v>
      </c>
      <c r="G37" s="57" t="s">
        <v>1084</v>
      </c>
      <c r="H37" s="57" t="s">
        <v>1085</v>
      </c>
      <c r="I37" s="57" t="s">
        <v>1024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201" t="str">
        <f t="shared" ref="D38:D69" si="4">IF($C38="","",INDEX($O$38:$O$193,$W38))</f>
        <v>ALİ KILIÇ  –  2026 Ocak ayı kâr payı hak edişi  (pay oranı %50)</v>
      </c>
      <c r="E38" s="141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127783.09</v>
      </c>
      <c r="H38" s="68">
        <f t="shared" ref="H38:H69" si="7">IF($C38="","",INDEX($R$38:$R$193,$W38))</f>
        <v>0</v>
      </c>
      <c r="I38" s="68">
        <f t="shared" ref="I38:I69" si="8">IF($C38="","",N($I37)+$G38-$H38)</f>
        <v>127783.09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"&amp;YEAR(AY_SONU!$B7)&amp;" "&amp;CHOOSE(MONTH(AY_SONU!$B7),"Ocak","Şubat","Mart","Nisan","Mayıs","Haziran","Temmuz","Ağustos","Eylül","Ekim","Kasım","Aralık")&amp;" ayı kâr payı hak edişi  (pay oranı %"&amp;ROUND(IF($U$5="M",AY_SONU!$Z7,AY_SONU!$AA7)*100,1)&amp;")")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79">
        <f>IF($U$5="",0,IF($U$5="M",AY_SONU!$M7,AY_SONU!$N7))</f>
        <v>127783.09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46053</v>
      </c>
      <c r="D39" s="201" t="str">
        <f t="shared" si="4"/>
        <v>ALİ KILIÇ  –  ORTAK ÇEKİŞ / AVANS  (MERKEZ KASA hesabından) – KÂR PAYI / AVANS ÇEKİŞİ — Ocak Ayı Kâr Payı Ödemesi — eski GELIR_GIDER satır 27</v>
      </c>
      <c r="E39" s="141"/>
      <c r="F39" s="65" t="str">
        <f t="shared" si="5"/>
        <v>ÇEKİŞ / AVANS</v>
      </c>
      <c r="G39" s="68">
        <f t="shared" si="6"/>
        <v>0</v>
      </c>
      <c r="H39" s="68">
        <f t="shared" si="7"/>
        <v>127783.09</v>
      </c>
      <c r="I39" s="68">
        <f t="shared" si="8"/>
        <v>0</v>
      </c>
      <c r="J39" s="2"/>
      <c r="K39" s="2"/>
      <c r="L39" s="1"/>
      <c r="M39" s="1">
        <v>2</v>
      </c>
      <c r="N39" s="1">
        <f>IF($Q39&lt;=0,"",EOMONTH(AY_SONU!$B8,0))</f>
        <v>46081</v>
      </c>
      <c r="O39" s="1" t="str">
        <f>IF($N39="","",$C$36&amp;"  –  "&amp;YEAR(AY_SONU!$B8)&amp;" "&amp;CHOOSE(MONTH(AY_SONU!$B8),"Ocak","Şubat","Mart","Nisan","Mayıs","Haziran","Temmuz","Ağustos","Eylül","Ekim","Kasım","Aralık")&amp;" ayı kâr payı hak edişi  (pay oranı %"&amp;ROUND(IF($U$5="M",AY_SONU!$Z8,AY_SONU!$AA8)*100,1)&amp;")")</f>
        <v>ALİ KILIÇ  –  2026 Şubat ayı kâr payı hak edişi  (pay oranı %50)</v>
      </c>
      <c r="P39" s="1" t="str">
        <f t="shared" si="9"/>
        <v>HAK EDİŞ</v>
      </c>
      <c r="Q39" s="79">
        <f>IF($U$5="",0,IF($U$5="M",AY_SONU!$M8,AY_SONU!$N8))</f>
        <v>10310.90499999997</v>
      </c>
      <c r="R39" s="1">
        <v>0</v>
      </c>
      <c r="S39" s="1">
        <f t="shared" si="10"/>
        <v>4608100002</v>
      </c>
      <c r="T39" s="1"/>
      <c r="U39" s="1"/>
      <c r="V39" s="1">
        <f t="shared" si="11"/>
        <v>4605300037</v>
      </c>
      <c r="W39" s="1">
        <f t="shared" si="12"/>
        <v>37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46081</v>
      </c>
      <c r="D40" s="201" t="str">
        <f t="shared" si="4"/>
        <v>ALİ KILIÇ  –  2026 Şubat ayı kâr payı hak edişi  (pay oranı %50)</v>
      </c>
      <c r="E40" s="141"/>
      <c r="F40" s="65" t="str">
        <f t="shared" si="5"/>
        <v>HAK EDİŞ</v>
      </c>
      <c r="G40" s="68">
        <f t="shared" si="6"/>
        <v>10310.90499999997</v>
      </c>
      <c r="H40" s="68">
        <f t="shared" si="7"/>
        <v>0</v>
      </c>
      <c r="I40" s="68">
        <f t="shared" si="8"/>
        <v>10310.90499999997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"&amp;YEAR(AY_SONU!$B9)&amp;" "&amp;CHOOSE(MONTH(AY_SONU!$B9),"Ocak","Şubat","Mart","Nisan","Mayıs","Haziran","Temmuz","Ağustos","Eylül","Ekim","Kasım","Aralık")&amp;" ayı kâr payı hak edişi  (pay oranı %"&amp;ROUND(IF($U$5="M",AY_SONU!$Z9,AY_SONU!$AA9)*100,1)&amp;")")</f>
        <v>ALİ KILIÇ  –  2026 Mart ayı kâr payı hak edişi  (pay oranı %50)</v>
      </c>
      <c r="P40" s="1" t="str">
        <f t="shared" si="9"/>
        <v>HAK EDİŞ</v>
      </c>
      <c r="Q40" s="79">
        <f>IF($U$5="",0,IF($U$5="M",AY_SONU!$M9,AY_SONU!$N9))</f>
        <v>77421.014999999985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4608100002</v>
      </c>
      <c r="W40" s="1">
        <f t="shared" si="12"/>
        <v>2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46081</v>
      </c>
      <c r="D41" s="201" t="str">
        <f t="shared" si="4"/>
        <v>ALİ KILIÇ  –  ORTAK ÇEKİŞ / AVANS  (MERKEZ KASA hesabından) – KÂR PAYI / AVANS ÇEKİŞİ — Şubat Ayı Kâr Payı Ödemesi — eski GELIR_GIDER satır 67</v>
      </c>
      <c r="E41" s="141"/>
      <c r="F41" s="65" t="str">
        <f t="shared" si="5"/>
        <v>ÇEKİŞ / AVANS</v>
      </c>
      <c r="G41" s="68">
        <f t="shared" si="6"/>
        <v>0</v>
      </c>
      <c r="H41" s="68">
        <f t="shared" si="7"/>
        <v>10310.91</v>
      </c>
      <c r="I41" s="68">
        <f t="shared" si="8"/>
        <v>-5.0000000301224645E-3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"&amp;YEAR(AY_SONU!$B10)&amp;" "&amp;CHOOSE(MONTH(AY_SONU!$B10),"Ocak","Şubat","Mart","Nisan","Mayıs","Haziran","Temmuz","Ağustos","Eylül","Ekim","Kasım","Aralık")&amp;" ayı kâr payı hak edişi  (pay oranı %"&amp;ROUND(IF($U$5="M",AY_SONU!$Z10,AY_SONU!$AA10)*100,1)&amp;")")</f>
        <v>ALİ KILIÇ  –  2026 Nisan ayı kâr payı hak edişi  (pay oranı %50)</v>
      </c>
      <c r="P41" s="1" t="str">
        <f t="shared" si="9"/>
        <v>HAK EDİŞ</v>
      </c>
      <c r="Q41" s="79">
        <f>IF($U$5="",0,IF($U$5="M",AY_SONU!$M10,AY_SONU!$N10))</f>
        <v>137353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4608100038</v>
      </c>
      <c r="W41" s="1">
        <f t="shared" si="12"/>
        <v>38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46112</v>
      </c>
      <c r="D42" s="201" t="str">
        <f t="shared" si="4"/>
        <v>ALİ KILIÇ  –  2026 Mart ayı kâr payı hak edişi  (pay oranı %50)</v>
      </c>
      <c r="E42" s="141"/>
      <c r="F42" s="65" t="str">
        <f t="shared" si="5"/>
        <v>HAK EDİŞ</v>
      </c>
      <c r="G42" s="68">
        <f t="shared" si="6"/>
        <v>77421.014999999985</v>
      </c>
      <c r="H42" s="68">
        <f t="shared" si="7"/>
        <v>0</v>
      </c>
      <c r="I42" s="68">
        <f t="shared" si="8"/>
        <v>77421.009999999951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"&amp;YEAR(AY_SONU!$B11)&amp;" "&amp;CHOOSE(MONTH(AY_SONU!$B11),"Ocak","Şubat","Mart","Nisan","Mayıs","Haziran","Temmuz","Ağustos","Eylül","Ekim","Kasım","Aralık")&amp;" ayı kâr payı hak edişi  (pay oranı %"&amp;ROUND(IF($U$5="M",AY_SONU!$Z11,AY_SONU!$AA11)*100,1)&amp;")")</f>
        <v>ALİ KILIÇ  –  2026 Mayıs ayı kâr payı hak edişi  (pay oranı %50)</v>
      </c>
      <c r="P42" s="1" t="str">
        <f t="shared" si="9"/>
        <v>HAK EDİŞ</v>
      </c>
      <c r="Q42" s="79">
        <f>IF($U$5="",0,IF($U$5="M",AY_SONU!$M11,AY_SONU!$N11))</f>
        <v>109773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4611200003</v>
      </c>
      <c r="W42" s="1">
        <f t="shared" si="12"/>
        <v>3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46112</v>
      </c>
      <c r="D43" s="201" t="str">
        <f t="shared" si="4"/>
        <v>ALİ KILIÇ  –  ORTAK ÇEKİŞ / AVANS  (MERKEZ KASA hesabından) – KÂR PAYI / AVANS ÇEKİŞİ — Mart Ayı Kâr Payı Ödemesi — eski GELIR_GIDER satır 95</v>
      </c>
      <c r="E43" s="141"/>
      <c r="F43" s="65" t="str">
        <f t="shared" si="5"/>
        <v>ÇEKİŞ / AVANS</v>
      </c>
      <c r="G43" s="68">
        <f t="shared" si="6"/>
        <v>0</v>
      </c>
      <c r="H43" s="68">
        <f t="shared" si="7"/>
        <v>77421.02</v>
      </c>
      <c r="I43" s="68">
        <f t="shared" si="8"/>
        <v>-1.0000000052968971E-2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"&amp;YEAR(AY_SONU!$B12)&amp;" "&amp;CHOOSE(MONTH(AY_SONU!$B12),"Ocak","Şubat","Mart","Nisan","Mayıs","Haziran","Temmuz","Ağustos","Eylül","Ekim","Kasım","Aralık")&amp;" ayı kâr payı hak edişi  (pay oranı %"&amp;ROUND(IF($U$5="M",AY_SONU!$Z12,AY_SONU!$AA12)*100,1)&amp;")")</f>
        <v>ALİ KILIÇ  –  2026 Haziran ayı kâr payı hak edişi  (pay oranı %50)</v>
      </c>
      <c r="P43" s="1" t="str">
        <f t="shared" si="9"/>
        <v>HAK EDİŞ</v>
      </c>
      <c r="Q43" s="79">
        <f>IF($U$5="",0,IF($U$5="M",AY_SONU!$M12,AY_SONU!$N12))</f>
        <v>113720.00000000006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4611200039</v>
      </c>
      <c r="W43" s="1">
        <f t="shared" si="12"/>
        <v>39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46142</v>
      </c>
      <c r="D44" s="201" t="str">
        <f t="shared" si="4"/>
        <v>ALİ KILIÇ  –  2026 Nisan ayı kâr payı hak edişi  (pay oranı %50)</v>
      </c>
      <c r="E44" s="141"/>
      <c r="F44" s="65" t="str">
        <f t="shared" si="5"/>
        <v>HAK EDİŞ</v>
      </c>
      <c r="G44" s="68">
        <f t="shared" si="6"/>
        <v>137353</v>
      </c>
      <c r="H44" s="68">
        <f t="shared" si="7"/>
        <v>0</v>
      </c>
      <c r="I44" s="68">
        <f t="shared" si="8"/>
        <v>137352.98999999993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"&amp;YEAR(AY_SONU!$B13)&amp;" "&amp;CHOOSE(MONTH(AY_SONU!$B13),"Ocak","Şubat","Mart","Nisan","Mayıs","Haziran","Temmuz","Ağustos","Eylül","Ekim","Kasım","Aralık")&amp;" ayı kâr payı hak edişi  (pay oranı %"&amp;ROUND(IF($U$5="M",AY_SONU!$Z13,AY_SONU!$AA13)*100,1)&amp;")")</f>
        <v>ALİ KILIÇ  –  2026 Temmuz ayı kâr payı hak edişi  (pay oranı %50)</v>
      </c>
      <c r="P44" s="1" t="str">
        <f t="shared" si="9"/>
        <v>HAK EDİŞ</v>
      </c>
      <c r="Q44" s="79">
        <f>IF($U$5="",0,IF($U$5="M",AY_SONU!$M13,AY_SONU!$N13))</f>
        <v>58370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4614200004</v>
      </c>
      <c r="W44" s="1">
        <f t="shared" si="12"/>
        <v>4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46142</v>
      </c>
      <c r="D45" s="201" t="str">
        <f t="shared" si="4"/>
        <v>ALİ KILIÇ  –  ORTAK ÇEKİŞ / AVANS  (MERKEZ KASA hesabından) – KÂR PAYI / AVANS ÇEKİŞİ — Nisan Ayı Kâr Payı Ödemesi — eski GELIR_GIDER satır 135</v>
      </c>
      <c r="E45" s="141"/>
      <c r="F45" s="65" t="str">
        <f t="shared" si="5"/>
        <v>ÇEKİŞ / AVANS</v>
      </c>
      <c r="G45" s="68">
        <f t="shared" si="6"/>
        <v>0</v>
      </c>
      <c r="H45" s="68">
        <f t="shared" si="7"/>
        <v>137353</v>
      </c>
      <c r="I45" s="68">
        <f t="shared" si="8"/>
        <v>-1.0000000067520887E-2</v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"&amp;YEAR(AY_SONU!$B14)&amp;" "&amp;CHOOSE(MONTH(AY_SONU!$B14),"Ocak","Şubat","Mart","Nisan","Mayıs","Haziran","Temmuz","Ağustos","Eylül","Ekim","Kasım","Aralık")&amp;" ayı kâr payı hak edişi  (pay oranı %"&amp;ROUND(IF($U$5="M",AY_SONU!$Z14,AY_SONU!$AA14)*100,1)&amp;")")</f>
        <v>ALİ KILIÇ  –  2026 Ağustos ayı kâr payı hak edişi  (pay oranı %50)</v>
      </c>
      <c r="P45" s="1" t="str">
        <f t="shared" si="9"/>
        <v>HAK EDİŞ</v>
      </c>
      <c r="Q45" s="79">
        <f>IF($U$5="",0,IF($U$5="M",AY_SONU!$M14,AY_SONU!$N14))</f>
        <v>138800</v>
      </c>
      <c r="R45" s="1">
        <v>0</v>
      </c>
      <c r="S45" s="1">
        <f t="shared" si="10"/>
        <v>4626500008</v>
      </c>
      <c r="T45" s="1"/>
      <c r="U45" s="1"/>
      <c r="V45" s="1">
        <f t="shared" si="11"/>
        <v>4614200040</v>
      </c>
      <c r="W45" s="1">
        <f t="shared" si="12"/>
        <v>40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46173</v>
      </c>
      <c r="D46" s="201" t="str">
        <f t="shared" si="4"/>
        <v>ALİ KILIÇ  –  2026 Mayıs ayı kâr payı hak edişi  (pay oranı %50)</v>
      </c>
      <c r="E46" s="141"/>
      <c r="F46" s="65" t="str">
        <f t="shared" si="5"/>
        <v>HAK EDİŞ</v>
      </c>
      <c r="G46" s="68">
        <f t="shared" si="6"/>
        <v>109773</v>
      </c>
      <c r="H46" s="68">
        <f t="shared" si="7"/>
        <v>0</v>
      </c>
      <c r="I46" s="68">
        <f t="shared" si="8"/>
        <v>109772.98999999993</v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"&amp;YEAR(AY_SONU!$B15)&amp;" "&amp;CHOOSE(MONTH(AY_SONU!$B15),"Ocak","Şubat","Mart","Nisan","Mayıs","Haziran","Temmuz","Ağustos","Eylül","Ekim","Kasım","Aralık")&amp;" ayı kâr payı hak edişi  (pay oranı %"&amp;ROUND(IF($U$5="M",AY_SONU!$Z15,AY_SONU!$AA15)*100,1)&amp;")")</f>
        <v/>
      </c>
      <c r="P46" s="1" t="str">
        <f t="shared" si="9"/>
        <v/>
      </c>
      <c r="Q46" s="79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4617300005</v>
      </c>
      <c r="W46" s="1">
        <f t="shared" si="12"/>
        <v>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46173</v>
      </c>
      <c r="D47" s="201" t="str">
        <f t="shared" si="4"/>
        <v>ALİ KILIÇ  –  ORTAK ÇEKİŞ / AVANS  (MERKEZ KASA hesabından) – KÂR PAYI / AVANS ÇEKİŞİ — Mayıs Ayı Kâr Payı Ödemesi — eski GELIR_GIDER satır 168</v>
      </c>
      <c r="E47" s="141"/>
      <c r="F47" s="65" t="str">
        <f t="shared" si="5"/>
        <v>ÇEKİŞ / AVANS</v>
      </c>
      <c r="G47" s="68">
        <f t="shared" si="6"/>
        <v>0</v>
      </c>
      <c r="H47" s="68">
        <f t="shared" si="7"/>
        <v>109773</v>
      </c>
      <c r="I47" s="68">
        <f t="shared" si="8"/>
        <v>-1.0000000067520887E-2</v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"&amp;YEAR(AY_SONU!$B16)&amp;" "&amp;CHOOSE(MONTH(AY_SONU!$B16),"Ocak","Şubat","Mart","Nisan","Mayıs","Haziran","Temmuz","Ağustos","Eylül","Ekim","Kasım","Aralık")&amp;" ayı kâr payı hak edişi  (pay oranı %"&amp;ROUND(IF($U$5="M",AY_SONU!$Z16,AY_SONU!$AA16)*100,1)&amp;")")</f>
        <v/>
      </c>
      <c r="P47" s="1" t="str">
        <f t="shared" si="9"/>
        <v/>
      </c>
      <c r="Q47" s="79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4617300041</v>
      </c>
      <c r="W47" s="1">
        <f t="shared" si="12"/>
        <v>41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46203</v>
      </c>
      <c r="D48" s="201" t="str">
        <f t="shared" si="4"/>
        <v>ALİ KILIÇ  –  2026 Haziran ayı kâr payı hak edişi  (pay oranı %50)</v>
      </c>
      <c r="E48" s="141"/>
      <c r="F48" s="65" t="str">
        <f t="shared" si="5"/>
        <v>HAK EDİŞ</v>
      </c>
      <c r="G48" s="68">
        <f t="shared" si="6"/>
        <v>113720.00000000006</v>
      </c>
      <c r="H48" s="68">
        <f t="shared" si="7"/>
        <v>0</v>
      </c>
      <c r="I48" s="68">
        <f t="shared" si="8"/>
        <v>113719.98999999999</v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"&amp;YEAR(AY_SONU!$B17)&amp;" "&amp;CHOOSE(MONTH(AY_SONU!$B17),"Ocak","Şubat","Mart","Nisan","Mayıs","Haziran","Temmuz","Ağustos","Eylül","Ekim","Kasım","Aralık")&amp;" ayı kâr payı hak edişi  (pay oranı %"&amp;ROUND(IF($U$5="M",AY_SONU!$Z17,AY_SONU!$AA17)*100,1)&amp;")")</f>
        <v/>
      </c>
      <c r="P48" s="1" t="str">
        <f t="shared" si="9"/>
        <v/>
      </c>
      <c r="Q48" s="79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4620300006</v>
      </c>
      <c r="W48" s="1">
        <f t="shared" si="12"/>
        <v>6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46203</v>
      </c>
      <c r="D49" s="201" t="str">
        <f t="shared" si="4"/>
        <v>ALİ KILIÇ  –  ORTAK ÇEKİŞ / AVANS  (MERKEZ KASA hesabından) – KÂR PAYI / AVANS ÇEKİŞİ — Haziran Ayı Kâr Payı Ödemesi — eski GELIR_GIDER satır 185</v>
      </c>
      <c r="E49" s="141"/>
      <c r="F49" s="65" t="str">
        <f t="shared" si="5"/>
        <v>ÇEKİŞ / AVANS</v>
      </c>
      <c r="G49" s="68">
        <f t="shared" si="6"/>
        <v>0</v>
      </c>
      <c r="H49" s="68">
        <f t="shared" si="7"/>
        <v>113720</v>
      </c>
      <c r="I49" s="68">
        <f t="shared" si="8"/>
        <v>-1.0000000009313226E-2</v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"&amp;YEAR(AY_SONU!$B18)&amp;" "&amp;CHOOSE(MONTH(AY_SONU!$B18),"Ocak","Şubat","Mart","Nisan","Mayıs","Haziran","Temmuz","Ağustos","Eylül","Ekim","Kasım","Aralık")&amp;" ayı kâr payı hak edişi  (pay oranı %"&amp;ROUND(IF($U$5="M",AY_SONU!$Z18,AY_SONU!$AA18)*100,1)&amp;")")</f>
        <v/>
      </c>
      <c r="P49" s="1" t="str">
        <f t="shared" si="9"/>
        <v/>
      </c>
      <c r="Q49" s="79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4620300042</v>
      </c>
      <c r="W49" s="1">
        <f t="shared" si="12"/>
        <v>42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46234</v>
      </c>
      <c r="D50" s="201" t="str">
        <f t="shared" si="4"/>
        <v>ALİ KILIÇ  –  2026 Temmuz ayı kâr payı hak edişi  (pay oranı %50)</v>
      </c>
      <c r="E50" s="141"/>
      <c r="F50" s="65" t="str">
        <f t="shared" si="5"/>
        <v>HAK EDİŞ</v>
      </c>
      <c r="G50" s="68">
        <f t="shared" si="6"/>
        <v>58370</v>
      </c>
      <c r="H50" s="68">
        <f t="shared" si="7"/>
        <v>0</v>
      </c>
      <c r="I50" s="68">
        <f t="shared" si="8"/>
        <v>58369.989999999991</v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"&amp;YEAR(AY_SONU!$B19)&amp;" "&amp;CHOOSE(MONTH(AY_SONU!$B19),"Ocak","Şubat","Mart","Nisan","Mayıs","Haziran","Temmuz","Ağustos","Eylül","Ekim","Kasım","Aralık")&amp;" ayı kâr payı hak edişi  (pay oranı %"&amp;ROUND(IF($U$5="M",AY_SONU!$Z19,AY_SONU!$AA19)*100,1)&amp;")")</f>
        <v/>
      </c>
      <c r="P50" s="1" t="str">
        <f t="shared" si="9"/>
        <v/>
      </c>
      <c r="Q50" s="79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4623400007</v>
      </c>
      <c r="W50" s="1">
        <f t="shared" si="12"/>
        <v>7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46234</v>
      </c>
      <c r="D51" s="201" t="str">
        <f t="shared" si="4"/>
        <v>ALİ KILIÇ  –  ORTAK ÇEKİŞ / AVANS  (MERKEZ KASA hesabından) – KÂR PAYI / AVANS ÇEKİŞİ — Temmuz Ayı Kâr Payı Ödemesi — eski GELIR_GIDER satır 197</v>
      </c>
      <c r="E51" s="141"/>
      <c r="F51" s="65" t="str">
        <f t="shared" si="5"/>
        <v>ÇEKİŞ / AVANS</v>
      </c>
      <c r="G51" s="68">
        <f t="shared" si="6"/>
        <v>0</v>
      </c>
      <c r="H51" s="68">
        <f t="shared" si="7"/>
        <v>58370</v>
      </c>
      <c r="I51" s="68">
        <f t="shared" si="8"/>
        <v>-1.0000000009313226E-2</v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"&amp;YEAR(AY_SONU!$B20)&amp;" "&amp;CHOOSE(MONTH(AY_SONU!$B20),"Ocak","Şubat","Mart","Nisan","Mayıs","Haziran","Temmuz","Ağustos","Eylül","Ekim","Kasım","Aralık")&amp;" ayı kâr payı hak edişi  (pay oranı %"&amp;ROUND(IF($U$5="M",AY_SONU!$Z20,AY_SONU!$AA20)*100,1)&amp;")")</f>
        <v/>
      </c>
      <c r="P51" s="1" t="str">
        <f t="shared" si="9"/>
        <v/>
      </c>
      <c r="Q51" s="79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4623400043</v>
      </c>
      <c r="W51" s="1">
        <f t="shared" si="12"/>
        <v>43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46265</v>
      </c>
      <c r="D52" s="201" t="str">
        <f t="shared" si="4"/>
        <v>ALİ KILIÇ  –  2026 Ağustos ayı kâr payı hak edişi  (pay oranı %50)</v>
      </c>
      <c r="E52" s="141"/>
      <c r="F52" s="65" t="str">
        <f t="shared" si="5"/>
        <v>HAK EDİŞ</v>
      </c>
      <c r="G52" s="68">
        <f t="shared" si="6"/>
        <v>138800</v>
      </c>
      <c r="H52" s="68">
        <f t="shared" si="7"/>
        <v>0</v>
      </c>
      <c r="I52" s="68">
        <f t="shared" si="8"/>
        <v>138799.99</v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"&amp;YEAR(AY_SONU!$B21)&amp;" "&amp;CHOOSE(MONTH(AY_SONU!$B21),"Ocak","Şubat","Mart","Nisan","Mayıs","Haziran","Temmuz","Ağustos","Eylül","Ekim","Kasım","Aralık")&amp;" ayı kâr payı hak edişi  (pay oranı %"&amp;ROUND(IF($U$5="M",AY_SONU!$Z21,AY_SONU!$AA21)*100,1)&amp;")")</f>
        <v/>
      </c>
      <c r="P52" s="1" t="str">
        <f t="shared" si="9"/>
        <v/>
      </c>
      <c r="Q52" s="79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4626500008</v>
      </c>
      <c r="W52" s="1">
        <f t="shared" si="12"/>
        <v>8</v>
      </c>
    </row>
    <row r="53" spans="1:23" ht="19.5" customHeight="1" x14ac:dyDescent="0.3">
      <c r="A53" s="2"/>
      <c r="B53" s="65" t="str">
        <f t="shared" si="2"/>
        <v/>
      </c>
      <c r="C53" s="70" t="str">
        <f t="shared" si="3"/>
        <v/>
      </c>
      <c r="D53" s="201" t="str">
        <f t="shared" si="4"/>
        <v/>
      </c>
      <c r="E53" s="141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"&amp;YEAR(AY_SONU!$B22)&amp;" "&amp;CHOOSE(MONTH(AY_SONU!$B22),"Ocak","Şubat","Mart","Nisan","Mayıs","Haziran","Temmuz","Ağustos","Eylül","Ekim","Kasım","Aralık")&amp;" ayı kâr payı hak edişi  (pay oranı %"&amp;ROUND(IF($U$5="M",AY_SONU!$Z22,AY_SONU!$AA22)*100,1)&amp;")")</f>
        <v/>
      </c>
      <c r="P53" s="1" t="str">
        <f t="shared" si="9"/>
        <v/>
      </c>
      <c r="Q53" s="79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9</v>
      </c>
    </row>
    <row r="54" spans="1:23" ht="19.5" customHeight="1" x14ac:dyDescent="0.3">
      <c r="A54" s="2"/>
      <c r="B54" s="65" t="str">
        <f t="shared" si="2"/>
        <v/>
      </c>
      <c r="C54" s="70" t="str">
        <f t="shared" si="3"/>
        <v/>
      </c>
      <c r="D54" s="201" t="str">
        <f t="shared" si="4"/>
        <v/>
      </c>
      <c r="E54" s="141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"&amp;YEAR(AY_SONU!$B23)&amp;" "&amp;CHOOSE(MONTH(AY_SONU!$B23),"Ocak","Şubat","Mart","Nisan","Mayıs","Haziran","Temmuz","Ağustos","Eylül","Ekim","Kasım","Aralık")&amp;" ayı kâr payı hak edişi  (pay oranı %"&amp;ROUND(IF($U$5="M",AY_SONU!$Z23,AY_SONU!$AA23)*100,1)&amp;")")</f>
        <v/>
      </c>
      <c r="P54" s="1" t="str">
        <f t="shared" si="9"/>
        <v/>
      </c>
      <c r="Q54" s="79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9</v>
      </c>
    </row>
    <row r="55" spans="1:23" ht="19.5" customHeight="1" x14ac:dyDescent="0.3">
      <c r="A55" s="2"/>
      <c r="B55" s="65" t="str">
        <f t="shared" si="2"/>
        <v/>
      </c>
      <c r="C55" s="70" t="str">
        <f t="shared" si="3"/>
        <v/>
      </c>
      <c r="D55" s="201" t="str">
        <f t="shared" si="4"/>
        <v/>
      </c>
      <c r="E55" s="141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"&amp;YEAR(AY_SONU!$B24)&amp;" "&amp;CHOOSE(MONTH(AY_SONU!$B24),"Ocak","Şubat","Mart","Nisan","Mayıs","Haziran","Temmuz","Ağustos","Eylül","Ekim","Kasım","Aralık")&amp;" ayı kâr payı hak edişi  (pay oranı %"&amp;ROUND(IF($U$5="M",AY_SONU!$Z24,AY_SONU!$AA24)*100,1)&amp;")")</f>
        <v/>
      </c>
      <c r="P55" s="1" t="str">
        <f t="shared" si="9"/>
        <v/>
      </c>
      <c r="Q55" s="79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9</v>
      </c>
    </row>
    <row r="56" spans="1:23" ht="19.5" customHeight="1" x14ac:dyDescent="0.3">
      <c r="A56" s="2"/>
      <c r="B56" s="65" t="str">
        <f t="shared" si="2"/>
        <v/>
      </c>
      <c r="C56" s="70" t="str">
        <f t="shared" si="3"/>
        <v/>
      </c>
      <c r="D56" s="201" t="str">
        <f t="shared" si="4"/>
        <v/>
      </c>
      <c r="E56" s="141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"&amp;YEAR(AY_SONU!$B25)&amp;" "&amp;CHOOSE(MONTH(AY_SONU!$B25),"Ocak","Şubat","Mart","Nisan","Mayıs","Haziran","Temmuz","Ağustos","Eylül","Ekim","Kasım","Aralık")&amp;" ayı kâr payı hak edişi  (pay oranı %"&amp;ROUND(IF($U$5="M",AY_SONU!$Z25,AY_SONU!$AA25)*100,1)&amp;")")</f>
        <v/>
      </c>
      <c r="P56" s="1" t="str">
        <f t="shared" si="9"/>
        <v/>
      </c>
      <c r="Q56" s="79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9</v>
      </c>
    </row>
    <row r="57" spans="1:23" ht="19.5" customHeight="1" x14ac:dyDescent="0.3">
      <c r="A57" s="2"/>
      <c r="B57" s="65" t="str">
        <f t="shared" si="2"/>
        <v/>
      </c>
      <c r="C57" s="70" t="str">
        <f t="shared" si="3"/>
        <v/>
      </c>
      <c r="D57" s="201" t="str">
        <f t="shared" si="4"/>
        <v/>
      </c>
      <c r="E57" s="141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"&amp;YEAR(AY_SONU!$B26)&amp;" "&amp;CHOOSE(MONTH(AY_SONU!$B26),"Ocak","Şubat","Mart","Nisan","Mayıs","Haziran","Temmuz","Ağustos","Eylül","Ekim","Kasım","Aralık")&amp;" ayı kâr payı hak edişi  (pay oranı %"&amp;ROUND(IF($U$5="M",AY_SONU!$Z26,AY_SONU!$AA26)*100,1)&amp;")")</f>
        <v/>
      </c>
      <c r="P57" s="1" t="str">
        <f t="shared" si="9"/>
        <v/>
      </c>
      <c r="Q57" s="79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9</v>
      </c>
    </row>
    <row r="58" spans="1:23" ht="19.5" customHeight="1" x14ac:dyDescent="0.3">
      <c r="A58" s="2"/>
      <c r="B58" s="65" t="str">
        <f t="shared" si="2"/>
        <v/>
      </c>
      <c r="C58" s="70" t="str">
        <f t="shared" si="3"/>
        <v/>
      </c>
      <c r="D58" s="201" t="str">
        <f t="shared" si="4"/>
        <v/>
      </c>
      <c r="E58" s="141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"&amp;YEAR(AY_SONU!$B27)&amp;" "&amp;CHOOSE(MONTH(AY_SONU!$B27),"Ocak","Şubat","Mart","Nisan","Mayıs","Haziran","Temmuz","Ağustos","Eylül","Ekim","Kasım","Aralık")&amp;" ayı kâr payı hak edişi  (pay oranı %"&amp;ROUND(IF($U$5="M",AY_SONU!$Z27,AY_SONU!$AA27)*100,1)&amp;")")</f>
        <v/>
      </c>
      <c r="P58" s="1" t="str">
        <f t="shared" si="9"/>
        <v/>
      </c>
      <c r="Q58" s="79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9</v>
      </c>
    </row>
    <row r="59" spans="1:23" ht="19.5" customHeight="1" x14ac:dyDescent="0.3">
      <c r="A59" s="2"/>
      <c r="B59" s="65" t="str">
        <f t="shared" si="2"/>
        <v/>
      </c>
      <c r="C59" s="70" t="str">
        <f t="shared" si="3"/>
        <v/>
      </c>
      <c r="D59" s="201" t="str">
        <f t="shared" si="4"/>
        <v/>
      </c>
      <c r="E59" s="141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"&amp;YEAR(AY_SONU!$B28)&amp;" "&amp;CHOOSE(MONTH(AY_SONU!$B28),"Ocak","Şubat","Mart","Nisan","Mayıs","Haziran","Temmuz","Ağustos","Eylül","Ekim","Kasım","Aralık")&amp;" ayı kâr payı hak edişi  (pay oranı %"&amp;ROUND(IF($U$5="M",AY_SONU!$Z28,AY_SONU!$AA28)*100,1)&amp;")")</f>
        <v/>
      </c>
      <c r="P59" s="1" t="str">
        <f t="shared" si="9"/>
        <v/>
      </c>
      <c r="Q59" s="79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9</v>
      </c>
    </row>
    <row r="60" spans="1:23" ht="19.5" customHeight="1" x14ac:dyDescent="0.3">
      <c r="A60" s="2"/>
      <c r="B60" s="65" t="str">
        <f t="shared" si="2"/>
        <v/>
      </c>
      <c r="C60" s="70" t="str">
        <f t="shared" si="3"/>
        <v/>
      </c>
      <c r="D60" s="201" t="str">
        <f t="shared" si="4"/>
        <v/>
      </c>
      <c r="E60" s="141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"&amp;YEAR(AY_SONU!$B29)&amp;" "&amp;CHOOSE(MONTH(AY_SONU!$B29),"Ocak","Şubat","Mart","Nisan","Mayıs","Haziran","Temmuz","Ağustos","Eylül","Ekim","Kasım","Aralık")&amp;" ayı kâr payı hak edişi  (pay oranı %"&amp;ROUND(IF($U$5="M",AY_SONU!$Z29,AY_SONU!$AA29)*100,1)&amp;")")</f>
        <v/>
      </c>
      <c r="P60" s="1" t="str">
        <f t="shared" si="9"/>
        <v/>
      </c>
      <c r="Q60" s="79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9</v>
      </c>
    </row>
    <row r="61" spans="1:23" ht="19.5" customHeight="1" x14ac:dyDescent="0.3">
      <c r="A61" s="2"/>
      <c r="B61" s="65" t="str">
        <f t="shared" si="2"/>
        <v/>
      </c>
      <c r="C61" s="70" t="str">
        <f t="shared" si="3"/>
        <v/>
      </c>
      <c r="D61" s="201" t="str">
        <f t="shared" si="4"/>
        <v/>
      </c>
      <c r="E61" s="141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"&amp;YEAR(AY_SONU!$B30)&amp;" "&amp;CHOOSE(MONTH(AY_SONU!$B30),"Ocak","Şubat","Mart","Nisan","Mayıs","Haziran","Temmuz","Ağustos","Eylül","Ekim","Kasım","Aralık")&amp;" ayı kâr payı hak edişi  (pay oranı %"&amp;ROUND(IF($U$5="M",AY_SONU!$Z30,AY_SONU!$AA30)*100,1)&amp;")")</f>
        <v/>
      </c>
      <c r="P61" s="1" t="str">
        <f t="shared" si="9"/>
        <v/>
      </c>
      <c r="Q61" s="79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9</v>
      </c>
    </row>
    <row r="62" spans="1:23" ht="19.5" customHeight="1" x14ac:dyDescent="0.3">
      <c r="A62" s="2"/>
      <c r="B62" s="65" t="str">
        <f t="shared" si="2"/>
        <v/>
      </c>
      <c r="C62" s="70" t="str">
        <f t="shared" si="3"/>
        <v/>
      </c>
      <c r="D62" s="201" t="str">
        <f t="shared" si="4"/>
        <v/>
      </c>
      <c r="E62" s="141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"&amp;YEAR(AY_SONU!$B31)&amp;" "&amp;CHOOSE(MONTH(AY_SONU!$B31),"Ocak","Şubat","Mart","Nisan","Mayıs","Haziran","Temmuz","Ağustos","Eylül","Ekim","Kasım","Aralık")&amp;" ayı kâr payı hak edişi  (pay oranı %"&amp;ROUND(IF($U$5="M",AY_SONU!$Z31,AY_SONU!$AA31)*100,1)&amp;")")</f>
        <v/>
      </c>
      <c r="P62" s="1" t="str">
        <f t="shared" si="9"/>
        <v/>
      </c>
      <c r="Q62" s="79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9</v>
      </c>
    </row>
    <row r="63" spans="1:23" ht="19.5" customHeight="1" x14ac:dyDescent="0.3">
      <c r="A63" s="2"/>
      <c r="B63" s="65" t="str">
        <f t="shared" si="2"/>
        <v/>
      </c>
      <c r="C63" s="70" t="str">
        <f t="shared" si="3"/>
        <v/>
      </c>
      <c r="D63" s="201" t="str">
        <f t="shared" si="4"/>
        <v/>
      </c>
      <c r="E63" s="141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"&amp;YEAR(AY_SONU!$B32)&amp;" "&amp;CHOOSE(MONTH(AY_SONU!$B32),"Ocak","Şubat","Mart","Nisan","Mayıs","Haziran","Temmuz","Ağustos","Eylül","Ekim","Kasım","Aralık")&amp;" ayı kâr payı hak edişi  (pay oranı %"&amp;ROUND(IF($U$5="M",AY_SONU!$Z32,AY_SONU!$AA32)*100,1)&amp;")")</f>
        <v/>
      </c>
      <c r="P63" s="1" t="str">
        <f t="shared" si="9"/>
        <v/>
      </c>
      <c r="Q63" s="79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9</v>
      </c>
    </row>
    <row r="64" spans="1:23" ht="19.5" customHeight="1" x14ac:dyDescent="0.3">
      <c r="A64" s="2"/>
      <c r="B64" s="65" t="str">
        <f t="shared" si="2"/>
        <v/>
      </c>
      <c r="C64" s="70" t="str">
        <f t="shared" si="3"/>
        <v/>
      </c>
      <c r="D64" s="201" t="str">
        <f t="shared" si="4"/>
        <v/>
      </c>
      <c r="E64" s="141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"&amp;YEAR(AY_SONU!$B33)&amp;" "&amp;CHOOSE(MONTH(AY_SONU!$B33),"Ocak","Şubat","Mart","Nisan","Mayıs","Haziran","Temmuz","Ağustos","Eylül","Ekim","Kasım","Aralık")&amp;" ayı kâr payı hak edişi  (pay oranı %"&amp;ROUND(IF($U$5="M",AY_SONU!$Z33,AY_SONU!$AA33)*100,1)&amp;")")</f>
        <v/>
      </c>
      <c r="P64" s="1" t="str">
        <f t="shared" si="9"/>
        <v/>
      </c>
      <c r="Q64" s="79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9</v>
      </c>
    </row>
    <row r="65" spans="1:23" ht="19.5" customHeight="1" x14ac:dyDescent="0.3">
      <c r="A65" s="2"/>
      <c r="B65" s="65" t="str">
        <f t="shared" si="2"/>
        <v/>
      </c>
      <c r="C65" s="70" t="str">
        <f t="shared" si="3"/>
        <v/>
      </c>
      <c r="D65" s="201" t="str">
        <f t="shared" si="4"/>
        <v/>
      </c>
      <c r="E65" s="141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"&amp;YEAR(AY_SONU!$B34)&amp;" "&amp;CHOOSE(MONTH(AY_SONU!$B34),"Ocak","Şubat","Mart","Nisan","Mayıs","Haziran","Temmuz","Ağustos","Eylül","Ekim","Kasım","Aralık")&amp;" ayı kâr payı hak edişi  (pay oranı %"&amp;ROUND(IF($U$5="M",AY_SONU!$Z34,AY_SONU!$AA34)*100,1)&amp;")")</f>
        <v/>
      </c>
      <c r="P65" s="1" t="str">
        <f t="shared" si="9"/>
        <v/>
      </c>
      <c r="Q65" s="79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9</v>
      </c>
    </row>
    <row r="66" spans="1:23" ht="19.5" customHeight="1" x14ac:dyDescent="0.3">
      <c r="A66" s="2"/>
      <c r="B66" s="65" t="str">
        <f t="shared" si="2"/>
        <v/>
      </c>
      <c r="C66" s="70" t="str">
        <f t="shared" si="3"/>
        <v/>
      </c>
      <c r="D66" s="201" t="str">
        <f t="shared" si="4"/>
        <v/>
      </c>
      <c r="E66" s="141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"&amp;YEAR(AY_SONU!$B35)&amp;" "&amp;CHOOSE(MONTH(AY_SONU!$B35),"Ocak","Şubat","Mart","Nisan","Mayıs","Haziran","Temmuz","Ağustos","Eylül","Ekim","Kasım","Aralık")&amp;" ayı kâr payı hak edişi  (pay oranı %"&amp;ROUND(IF($U$5="M",AY_SONU!$Z35,AY_SONU!$AA35)*100,1)&amp;")")</f>
        <v/>
      </c>
      <c r="P66" s="1" t="str">
        <f t="shared" si="9"/>
        <v/>
      </c>
      <c r="Q66" s="79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9</v>
      </c>
    </row>
    <row r="67" spans="1:23" ht="19.5" customHeight="1" x14ac:dyDescent="0.3">
      <c r="A67" s="2"/>
      <c r="B67" s="65" t="str">
        <f t="shared" si="2"/>
        <v/>
      </c>
      <c r="C67" s="70" t="str">
        <f t="shared" si="3"/>
        <v/>
      </c>
      <c r="D67" s="201" t="str">
        <f t="shared" si="4"/>
        <v/>
      </c>
      <c r="E67" s="141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"&amp;YEAR(AY_SONU!$B36)&amp;" "&amp;CHOOSE(MONTH(AY_SONU!$B36),"Ocak","Şubat","Mart","Nisan","Mayıs","Haziran","Temmuz","Ağustos","Eylül","Ekim","Kasım","Aralık")&amp;" ayı kâr payı hak edişi  (pay oranı %"&amp;ROUND(IF($U$5="M",AY_SONU!$Z36,AY_SONU!$AA36)*100,1)&amp;")")</f>
        <v/>
      </c>
      <c r="P67" s="1" t="str">
        <f t="shared" si="9"/>
        <v/>
      </c>
      <c r="Q67" s="79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9</v>
      </c>
    </row>
    <row r="68" spans="1:23" ht="19.5" customHeight="1" x14ac:dyDescent="0.3">
      <c r="A68" s="2"/>
      <c r="B68" s="65" t="str">
        <f t="shared" si="2"/>
        <v/>
      </c>
      <c r="C68" s="70" t="str">
        <f t="shared" si="3"/>
        <v/>
      </c>
      <c r="D68" s="201" t="str">
        <f t="shared" si="4"/>
        <v/>
      </c>
      <c r="E68" s="141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"&amp;YEAR(AY_SONU!$B37)&amp;" "&amp;CHOOSE(MONTH(AY_SONU!$B37),"Ocak","Şubat","Mart","Nisan","Mayıs","Haziran","Temmuz","Ağustos","Eylül","Ekim","Kasım","Aralık")&amp;" ayı kâr payı hak edişi  (pay oranı %"&amp;ROUND(IF($U$5="M",AY_SONU!$Z37,AY_SONU!$AA37)*100,1)&amp;")")</f>
        <v/>
      </c>
      <c r="P68" s="1" t="str">
        <f t="shared" si="9"/>
        <v/>
      </c>
      <c r="Q68" s="79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9</v>
      </c>
    </row>
    <row r="69" spans="1:23" ht="19.5" customHeight="1" x14ac:dyDescent="0.3">
      <c r="A69" s="2"/>
      <c r="B69" s="65" t="str">
        <f t="shared" si="2"/>
        <v/>
      </c>
      <c r="C69" s="70" t="str">
        <f t="shared" si="3"/>
        <v/>
      </c>
      <c r="D69" s="201" t="str">
        <f t="shared" si="4"/>
        <v/>
      </c>
      <c r="E69" s="141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"&amp;YEAR(AY_SONU!$B38)&amp;" "&amp;CHOOSE(MONTH(AY_SONU!$B38),"Ocak","Şubat","Mart","Nisan","Mayıs","Haziran","Temmuz","Ağustos","Eylül","Ekim","Kasım","Aralık")&amp;" ayı kâr payı hak edişi  (pay oranı %"&amp;ROUND(IF($U$5="M",AY_SONU!$Z38,AY_SONU!$AA38)*100,1)&amp;")")</f>
        <v/>
      </c>
      <c r="P69" s="1" t="str">
        <f t="shared" si="9"/>
        <v/>
      </c>
      <c r="Q69" s="79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9</v>
      </c>
    </row>
    <row r="70" spans="1:23" ht="19.5" customHeight="1" x14ac:dyDescent="0.3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201" t="str">
        <f t="shared" ref="D70:D101" si="15">IF($C70="","",INDEX($O$38:$O$193,$W70))</f>
        <v/>
      </c>
      <c r="E70" s="141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"&amp;YEAR(AY_SONU!$B39)&amp;" "&amp;CHOOSE(MONTH(AY_SONU!$B39),"Ocak","Şubat","Mart","Nisan","Mayıs","Haziran","Temmuz","Ağustos","Eylül","Ekim","Kasım","Aralık")&amp;" ayı kâr payı hak edişi  (pay oranı %"&amp;ROUND(IF($U$5="M",AY_SONU!$Z39,AY_SONU!$AA39)*100,1)&amp;")")</f>
        <v/>
      </c>
      <c r="P70" s="1" t="str">
        <f t="shared" si="9"/>
        <v/>
      </c>
      <c r="Q70" s="79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9</v>
      </c>
    </row>
    <row r="71" spans="1:23" ht="19.5" customHeight="1" x14ac:dyDescent="0.3">
      <c r="A71" s="2"/>
      <c r="B71" s="65" t="str">
        <f t="shared" si="13"/>
        <v/>
      </c>
      <c r="C71" s="70" t="str">
        <f t="shared" si="14"/>
        <v/>
      </c>
      <c r="D71" s="201" t="str">
        <f t="shared" si="15"/>
        <v/>
      </c>
      <c r="E71" s="141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"&amp;YEAR(AY_SONU!$B40)&amp;" "&amp;CHOOSE(MONTH(AY_SONU!$B40),"Ocak","Şubat","Mart","Nisan","Mayıs","Haziran","Temmuz","Ağustos","Eylül","Ekim","Kasım","Aralık")&amp;" ayı kâr payı hak edişi  (pay oranı %"&amp;ROUND(IF($U$5="M",AY_SONU!$Z40,AY_SONU!$AA40)*100,1)&amp;")")</f>
        <v/>
      </c>
      <c r="P71" s="1" t="str">
        <f t="shared" si="9"/>
        <v/>
      </c>
      <c r="Q71" s="79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9</v>
      </c>
    </row>
    <row r="72" spans="1:23" ht="19.5" customHeight="1" x14ac:dyDescent="0.3">
      <c r="A72" s="2"/>
      <c r="B72" s="65" t="str">
        <f t="shared" si="13"/>
        <v/>
      </c>
      <c r="C72" s="70" t="str">
        <f t="shared" si="14"/>
        <v/>
      </c>
      <c r="D72" s="201" t="str">
        <f t="shared" si="15"/>
        <v/>
      </c>
      <c r="E72" s="141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"&amp;YEAR(AY_SONU!$B41)&amp;" "&amp;CHOOSE(MONTH(AY_SONU!$B41),"Ocak","Şubat","Mart","Nisan","Mayıs","Haziran","Temmuz","Ağustos","Eylül","Ekim","Kasım","Aralık")&amp;" ayı kâr payı hak edişi  (pay oranı %"&amp;ROUND(IF($U$5="M",AY_SONU!$Z41,AY_SONU!$AA41)*100,1)&amp;")")</f>
        <v/>
      </c>
      <c r="P72" s="1" t="str">
        <f t="shared" si="9"/>
        <v/>
      </c>
      <c r="Q72" s="79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9</v>
      </c>
    </row>
    <row r="73" spans="1:23" ht="19.5" customHeight="1" x14ac:dyDescent="0.3">
      <c r="A73" s="2"/>
      <c r="B73" s="65" t="str">
        <f t="shared" si="13"/>
        <v/>
      </c>
      <c r="C73" s="70" t="str">
        <f t="shared" si="14"/>
        <v/>
      </c>
      <c r="D73" s="201" t="str">
        <f t="shared" si="15"/>
        <v/>
      </c>
      <c r="E73" s="141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"&amp;YEAR(AY_SONU!$B42)&amp;" "&amp;CHOOSE(MONTH(AY_SONU!$B42),"Ocak","Şubat","Mart","Nisan","Mayıs","Haziran","Temmuz","Ağustos","Eylül","Ekim","Kasım","Aralık")&amp;" ayı kâr payı hak edişi  (pay oranı %"&amp;ROUND(IF($U$5="M",AY_SONU!$Z42,AY_SONU!$AA42)*100,1)&amp;")")</f>
        <v/>
      </c>
      <c r="P73" s="1" t="str">
        <f t="shared" si="9"/>
        <v/>
      </c>
      <c r="Q73" s="79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9</v>
      </c>
    </row>
    <row r="74" spans="1:23" ht="19.5" customHeight="1" x14ac:dyDescent="0.3">
      <c r="A74" s="2"/>
      <c r="B74" s="65" t="str">
        <f t="shared" si="13"/>
        <v/>
      </c>
      <c r="C74" s="70" t="str">
        <f t="shared" si="14"/>
        <v/>
      </c>
      <c r="D74" s="201" t="str">
        <f t="shared" si="15"/>
        <v/>
      </c>
      <c r="E74" s="141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>
        <f>IF($T74=0,"",INDEX(VIRMAN!$C$7:$C$406,$T74))</f>
        <v>46053</v>
      </c>
      <c r="O74" s="1" t="str">
        <f>IF($N74="","",$C$36&amp;"  –  ORTAK ÇEKİŞ / AVANS  ("&amp;INDEX(VIRMAN!$D$7:$D$406,$T74)&amp;" hesabından)"&amp;IF(INDEX(VIRMAN!$G$7:$G$406,$T74)="",""," – "&amp;INDEX(VIRMAN!$G$7:$G$406,$T74)))</f>
        <v>ALİ KILIÇ  –  ORTAK ÇEKİŞ / AVANS  (MERKEZ KASA hesabından) – KÂR PAYI / AVANS ÇEKİŞİ — Ocak Ayı Kâr Payı Ödemesi — eski GELIR_GIDER satır 27</v>
      </c>
      <c r="P74" s="1" t="str">
        <f t="shared" ref="P74:P105" si="23">IF($N74="","","ÇEKİŞ / AVANS")</f>
        <v>ÇEKİŞ / AVANS</v>
      </c>
      <c r="Q74" s="1">
        <f>0</f>
        <v>0</v>
      </c>
      <c r="R74" s="1">
        <f>IF($N74="",0,INDEX(VIRMAN!$F$7:$F$406,$T74))</f>
        <v>127783.09</v>
      </c>
      <c r="S74" s="1">
        <f t="shared" si="20"/>
        <v>4605300037</v>
      </c>
      <c r="T74" s="1">
        <f>IFERROR(MATCH($C$36&amp;"|1",VIRMAN!$M$7:$M$406,0),0)</f>
        <v>33</v>
      </c>
      <c r="U74" s="1"/>
      <c r="V74" s="1">
        <f t="shared" si="21"/>
        <v>10000000000</v>
      </c>
      <c r="W74" s="1">
        <f t="shared" si="22"/>
        <v>9</v>
      </c>
    </row>
    <row r="75" spans="1:23" ht="19.5" customHeight="1" x14ac:dyDescent="0.3">
      <c r="A75" s="2"/>
      <c r="B75" s="65" t="str">
        <f t="shared" si="13"/>
        <v/>
      </c>
      <c r="C75" s="70" t="str">
        <f t="shared" si="14"/>
        <v/>
      </c>
      <c r="D75" s="201" t="str">
        <f t="shared" si="15"/>
        <v/>
      </c>
      <c r="E75" s="141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>
        <f>IF($T75=0,"",INDEX(VIRMAN!$C$7:$C$406,$T75))</f>
        <v>46081</v>
      </c>
      <c r="O75" s="1" t="str">
        <f>IF($N75="","",$C$36&amp;"  –  ORTAK ÇEKİŞ / AVANS  ("&amp;INDEX(VIRMAN!$D$7:$D$406,$T75)&amp;" hesabından)"&amp;IF(INDEX(VIRMAN!$G$7:$G$406,$T75)="",""," – "&amp;INDEX(VIRMAN!$G$7:$G$406,$T75)))</f>
        <v>ALİ KILIÇ  –  ORTAK ÇEKİŞ / AVANS  (MERKEZ KASA hesabından) – KÂR PAYI / AVANS ÇEKİŞİ — Şubat Ayı Kâr Payı Ödemesi — eski GELIR_GIDER satır 67</v>
      </c>
      <c r="P75" s="1" t="str">
        <f t="shared" si="23"/>
        <v>ÇEKİŞ / AVANS</v>
      </c>
      <c r="Q75" s="1">
        <f>0</f>
        <v>0</v>
      </c>
      <c r="R75" s="1">
        <f>IF($N75="",0,INDEX(VIRMAN!$F$7:$F$406,$T75))</f>
        <v>10310.91</v>
      </c>
      <c r="S75" s="1">
        <f t="shared" si="20"/>
        <v>4608100038</v>
      </c>
      <c r="T75" s="1">
        <f>IFERROR(MATCH($C$36&amp;"|2",VIRMAN!$M$7:$M$406,0),0)</f>
        <v>35</v>
      </c>
      <c r="U75" s="1"/>
      <c r="V75" s="1">
        <f t="shared" si="21"/>
        <v>10000000000</v>
      </c>
      <c r="W75" s="1">
        <f t="shared" si="22"/>
        <v>9</v>
      </c>
    </row>
    <row r="76" spans="1:23" ht="19.5" customHeight="1" x14ac:dyDescent="0.3">
      <c r="A76" s="2"/>
      <c r="B76" s="65" t="str">
        <f t="shared" si="13"/>
        <v/>
      </c>
      <c r="C76" s="70" t="str">
        <f t="shared" si="14"/>
        <v/>
      </c>
      <c r="D76" s="201" t="str">
        <f t="shared" si="15"/>
        <v/>
      </c>
      <c r="E76" s="141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>
        <f>IF($T76=0,"",INDEX(VIRMAN!$C$7:$C$406,$T76))</f>
        <v>46112</v>
      </c>
      <c r="O76" s="1" t="str">
        <f>IF($N76="","",$C$36&amp;"  –  ORTAK ÇEKİŞ / AVANS  ("&amp;INDEX(VIRMAN!$D$7:$D$406,$T76)&amp;" hesabından)"&amp;IF(INDEX(VIRMAN!$G$7:$G$406,$T76)="",""," – "&amp;INDEX(VIRMAN!$G$7:$G$406,$T76)))</f>
        <v>ALİ KILIÇ  –  ORTAK ÇEKİŞ / AVANS  (MERKEZ KASA hesabından) – KÂR PAYI / AVANS ÇEKİŞİ — Mart Ayı Kâr Payı Ödemesi — eski GELIR_GIDER satır 95</v>
      </c>
      <c r="P76" s="1" t="str">
        <f t="shared" si="23"/>
        <v>ÇEKİŞ / AVANS</v>
      </c>
      <c r="Q76" s="1">
        <f>0</f>
        <v>0</v>
      </c>
      <c r="R76" s="1">
        <f>IF($N76="",0,INDEX(VIRMAN!$F$7:$F$406,$T76))</f>
        <v>77421.02</v>
      </c>
      <c r="S76" s="1">
        <f t="shared" si="20"/>
        <v>4611200039</v>
      </c>
      <c r="T76" s="1">
        <f>IFERROR(MATCH($C$36&amp;"|3",VIRMAN!$M$7:$M$406,0),0)</f>
        <v>37</v>
      </c>
      <c r="U76" s="1"/>
      <c r="V76" s="1">
        <f t="shared" si="21"/>
        <v>10000000000</v>
      </c>
      <c r="W76" s="1">
        <f t="shared" si="22"/>
        <v>9</v>
      </c>
    </row>
    <row r="77" spans="1:23" ht="19.5" customHeight="1" x14ac:dyDescent="0.3">
      <c r="A77" s="2"/>
      <c r="B77" s="65" t="str">
        <f t="shared" si="13"/>
        <v/>
      </c>
      <c r="C77" s="70" t="str">
        <f t="shared" si="14"/>
        <v/>
      </c>
      <c r="D77" s="201" t="str">
        <f t="shared" si="15"/>
        <v/>
      </c>
      <c r="E77" s="141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>
        <f>IF($T77=0,"",INDEX(VIRMAN!$C$7:$C$406,$T77))</f>
        <v>46142</v>
      </c>
      <c r="O77" s="1" t="str">
        <f>IF($N77="","",$C$36&amp;"  –  ORTAK ÇEKİŞ / AVANS  ("&amp;INDEX(VIRMAN!$D$7:$D$406,$T77)&amp;" hesabından)"&amp;IF(INDEX(VIRMAN!$G$7:$G$406,$T77)="",""," – "&amp;INDEX(VIRMAN!$G$7:$G$406,$T77)))</f>
        <v>ALİ KILIÇ  –  ORTAK ÇEKİŞ / AVANS  (MERKEZ KASA hesabından) – KÂR PAYI / AVANS ÇEKİŞİ — Nisan Ayı Kâr Payı Ödemesi — eski GELIR_GIDER satır 135</v>
      </c>
      <c r="P77" s="1" t="str">
        <f t="shared" si="23"/>
        <v>ÇEKİŞ / AVANS</v>
      </c>
      <c r="Q77" s="1">
        <f>0</f>
        <v>0</v>
      </c>
      <c r="R77" s="1">
        <f>IF($N77="",0,INDEX(VIRMAN!$F$7:$F$406,$T77))</f>
        <v>137353</v>
      </c>
      <c r="S77" s="1">
        <f t="shared" si="20"/>
        <v>4614200040</v>
      </c>
      <c r="T77" s="1">
        <f>IFERROR(MATCH($C$36&amp;"|4",VIRMAN!$M$7:$M$406,0),0)</f>
        <v>39</v>
      </c>
      <c r="U77" s="1"/>
      <c r="V77" s="1">
        <f t="shared" si="21"/>
        <v>10000000000</v>
      </c>
      <c r="W77" s="1">
        <f t="shared" si="22"/>
        <v>9</v>
      </c>
    </row>
    <row r="78" spans="1:23" ht="19.5" customHeight="1" x14ac:dyDescent="0.3">
      <c r="A78" s="2"/>
      <c r="B78" s="65" t="str">
        <f t="shared" si="13"/>
        <v/>
      </c>
      <c r="C78" s="70" t="str">
        <f t="shared" si="14"/>
        <v/>
      </c>
      <c r="D78" s="201" t="str">
        <f t="shared" si="15"/>
        <v/>
      </c>
      <c r="E78" s="141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>
        <f>IF($T78=0,"",INDEX(VIRMAN!$C$7:$C$406,$T78))</f>
        <v>46173</v>
      </c>
      <c r="O78" s="1" t="str">
        <f>IF($N78="","",$C$36&amp;"  –  ORTAK ÇEKİŞ / AVANS  ("&amp;INDEX(VIRMAN!$D$7:$D$406,$T78)&amp;" hesabından)"&amp;IF(INDEX(VIRMAN!$G$7:$G$406,$T78)="",""," – "&amp;INDEX(VIRMAN!$G$7:$G$406,$T78)))</f>
        <v>ALİ KILIÇ  –  ORTAK ÇEKİŞ / AVANS  (MERKEZ KASA hesabından) – KÂR PAYI / AVANS ÇEKİŞİ — Mayıs Ayı Kâr Payı Ödemesi — eski GELIR_GIDER satır 168</v>
      </c>
      <c r="P78" s="1" t="str">
        <f t="shared" si="23"/>
        <v>ÇEKİŞ / AVANS</v>
      </c>
      <c r="Q78" s="1">
        <f>0</f>
        <v>0</v>
      </c>
      <c r="R78" s="1">
        <f>IF($N78="",0,INDEX(VIRMAN!$F$7:$F$406,$T78))</f>
        <v>109773</v>
      </c>
      <c r="S78" s="1">
        <f t="shared" si="20"/>
        <v>4617300041</v>
      </c>
      <c r="T78" s="1">
        <f>IFERROR(MATCH($C$36&amp;"|5",VIRMAN!$M$7:$M$406,0),0)</f>
        <v>41</v>
      </c>
      <c r="U78" s="1"/>
      <c r="V78" s="1">
        <f t="shared" si="21"/>
        <v>10000000000</v>
      </c>
      <c r="W78" s="1">
        <f t="shared" si="22"/>
        <v>9</v>
      </c>
    </row>
    <row r="79" spans="1:23" ht="19.5" customHeight="1" x14ac:dyDescent="0.3">
      <c r="A79" s="2"/>
      <c r="B79" s="65" t="str">
        <f t="shared" si="13"/>
        <v/>
      </c>
      <c r="C79" s="70" t="str">
        <f t="shared" si="14"/>
        <v/>
      </c>
      <c r="D79" s="201" t="str">
        <f t="shared" si="15"/>
        <v/>
      </c>
      <c r="E79" s="141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>
        <f>IF($T79=0,"",INDEX(VIRMAN!$C$7:$C$406,$T79))</f>
        <v>46203</v>
      </c>
      <c r="O79" s="1" t="str">
        <f>IF($N79="","",$C$36&amp;"  –  ORTAK ÇEKİŞ / AVANS  ("&amp;INDEX(VIRMAN!$D$7:$D$406,$T79)&amp;" hesabından)"&amp;IF(INDEX(VIRMAN!$G$7:$G$406,$T79)="",""," – "&amp;INDEX(VIRMAN!$G$7:$G$406,$T79)))</f>
        <v>ALİ KILIÇ  –  ORTAK ÇEKİŞ / AVANS  (MERKEZ KASA hesabından) – KÂR PAYI / AVANS ÇEKİŞİ — Haziran Ayı Kâr Payı Ödemesi — eski GELIR_GIDER satır 185</v>
      </c>
      <c r="P79" s="1" t="str">
        <f t="shared" si="23"/>
        <v>ÇEKİŞ / AVANS</v>
      </c>
      <c r="Q79" s="1">
        <f>0</f>
        <v>0</v>
      </c>
      <c r="R79" s="1">
        <f>IF($N79="",0,INDEX(VIRMAN!$F$7:$F$406,$T79))</f>
        <v>113720</v>
      </c>
      <c r="S79" s="1">
        <f t="shared" si="20"/>
        <v>4620300042</v>
      </c>
      <c r="T79" s="1">
        <f>IFERROR(MATCH($C$36&amp;"|6",VIRMAN!$M$7:$M$406,0),0)</f>
        <v>43</v>
      </c>
      <c r="U79" s="1"/>
      <c r="V79" s="1">
        <f t="shared" si="21"/>
        <v>10000000000</v>
      </c>
      <c r="W79" s="1">
        <f t="shared" si="22"/>
        <v>9</v>
      </c>
    </row>
    <row r="80" spans="1:23" ht="19.5" customHeight="1" x14ac:dyDescent="0.3">
      <c r="A80" s="2"/>
      <c r="B80" s="65" t="str">
        <f t="shared" si="13"/>
        <v/>
      </c>
      <c r="C80" s="70" t="str">
        <f t="shared" si="14"/>
        <v/>
      </c>
      <c r="D80" s="201" t="str">
        <f t="shared" si="15"/>
        <v/>
      </c>
      <c r="E80" s="141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>
        <f>IF($T80=0,"",INDEX(VIRMAN!$C$7:$C$406,$T80))</f>
        <v>46234</v>
      </c>
      <c r="O80" s="1" t="str">
        <f>IF($N80="","",$C$36&amp;"  –  ORTAK ÇEKİŞ / AVANS  ("&amp;INDEX(VIRMAN!$D$7:$D$406,$T80)&amp;" hesabından)"&amp;IF(INDEX(VIRMAN!$G$7:$G$406,$T80)="",""," – "&amp;INDEX(VIRMAN!$G$7:$G$406,$T80)))</f>
        <v>ALİ KILIÇ  –  ORTAK ÇEKİŞ / AVANS  (MERKEZ KASA hesabından) – KÂR PAYI / AVANS ÇEKİŞİ — Temmuz Ayı Kâr Payı Ödemesi — eski GELIR_GIDER satır 197</v>
      </c>
      <c r="P80" s="1" t="str">
        <f t="shared" si="23"/>
        <v>ÇEKİŞ / AVANS</v>
      </c>
      <c r="Q80" s="1">
        <f>0</f>
        <v>0</v>
      </c>
      <c r="R80" s="1">
        <f>IF($N80="",0,INDEX(VIRMAN!$F$7:$F$406,$T80))</f>
        <v>58370</v>
      </c>
      <c r="S80" s="1">
        <f t="shared" si="20"/>
        <v>4623400043</v>
      </c>
      <c r="T80" s="1">
        <f>IFERROR(MATCH($C$36&amp;"|7",VIRMAN!$M$7:$M$406,0),0)</f>
        <v>45</v>
      </c>
      <c r="U80" s="1"/>
      <c r="V80" s="1">
        <f t="shared" si="21"/>
        <v>10000000000</v>
      </c>
      <c r="W80" s="1">
        <f t="shared" si="22"/>
        <v>9</v>
      </c>
    </row>
    <row r="81" spans="1:23" ht="19.5" customHeight="1" x14ac:dyDescent="0.3">
      <c r="A81" s="2"/>
      <c r="B81" s="65" t="str">
        <f t="shared" si="13"/>
        <v/>
      </c>
      <c r="C81" s="70" t="str">
        <f t="shared" si="14"/>
        <v/>
      </c>
      <c r="D81" s="201" t="str">
        <f t="shared" si="15"/>
        <v/>
      </c>
      <c r="E81" s="141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IF($T81=0,"",INDEX(VIRMAN!$C$7:$C$406,$T81))</f>
        <v/>
      </c>
      <c r="O81" s="1" t="str">
        <f>IF($N81="","",$C$36&amp;"  –  ORTAK ÇEKİŞ / AVANS  ("&amp;INDEX(VIRMAN!$D$7:$D$406,$T81)&amp;" hesabından)"&amp;IF(INDEX(VIRMAN!$G$7:$G$406,$T81)="",""," – "&amp;INDEX(VIRMAN!$G$7:$G$406,$T81)))</f>
        <v/>
      </c>
      <c r="P81" s="1" t="str">
        <f t="shared" si="23"/>
        <v/>
      </c>
      <c r="Q81" s="1">
        <f>0</f>
        <v>0</v>
      </c>
      <c r="R81" s="1">
        <f>IF($N81="",0,INDEX(VIRMAN!$F$7:$F$406,$T81))</f>
        <v>0</v>
      </c>
      <c r="S81" s="1">
        <f t="shared" si="20"/>
        <v>10000000000</v>
      </c>
      <c r="T81" s="1">
        <f>IFERROR(MATCH($C$36&amp;"|8",VIRMAN!$M$7:$M$406,0),0)</f>
        <v>0</v>
      </c>
      <c r="U81" s="1"/>
      <c r="V81" s="1">
        <f t="shared" si="21"/>
        <v>10000000000</v>
      </c>
      <c r="W81" s="1">
        <f t="shared" si="22"/>
        <v>9</v>
      </c>
    </row>
    <row r="82" spans="1:23" ht="19.5" customHeight="1" x14ac:dyDescent="0.3">
      <c r="A82" s="2"/>
      <c r="B82" s="65" t="str">
        <f t="shared" si="13"/>
        <v/>
      </c>
      <c r="C82" s="70" t="str">
        <f t="shared" si="14"/>
        <v/>
      </c>
      <c r="D82" s="201" t="str">
        <f t="shared" si="15"/>
        <v/>
      </c>
      <c r="E82" s="141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IF($T82=0,"",INDEX(VIRMAN!$C$7:$C$406,$T82))</f>
        <v/>
      </c>
      <c r="O82" s="1" t="str">
        <f>IF($N82="","",$C$36&amp;"  –  ORTAK ÇEKİŞ / AVANS  ("&amp;INDEX(VIRMAN!$D$7:$D$406,$T82)&amp;" hesabından)"&amp;IF(INDEX(VIRMAN!$G$7:$G$406,$T82)="",""," – "&amp;INDEX(VIRMAN!$G$7:$G$406,$T82)))</f>
        <v/>
      </c>
      <c r="P82" s="1" t="str">
        <f t="shared" si="23"/>
        <v/>
      </c>
      <c r="Q82" s="1">
        <f>0</f>
        <v>0</v>
      </c>
      <c r="R82" s="1">
        <f>IF($N82="",0,INDEX(VIRMAN!$F$7:$F$406,$T82))</f>
        <v>0</v>
      </c>
      <c r="S82" s="1">
        <f t="shared" si="20"/>
        <v>10000000000</v>
      </c>
      <c r="T82" s="1">
        <f>IFERROR(MATCH($C$36&amp;"|9",VIRMAN!$M$7:$M$406,0),0)</f>
        <v>0</v>
      </c>
      <c r="U82" s="1"/>
      <c r="V82" s="1">
        <f t="shared" si="21"/>
        <v>10000000000</v>
      </c>
      <c r="W82" s="1">
        <f t="shared" si="22"/>
        <v>9</v>
      </c>
    </row>
    <row r="83" spans="1:23" ht="19.5" customHeight="1" x14ac:dyDescent="0.3">
      <c r="A83" s="2"/>
      <c r="B83" s="65" t="str">
        <f t="shared" si="13"/>
        <v/>
      </c>
      <c r="C83" s="70" t="str">
        <f t="shared" si="14"/>
        <v/>
      </c>
      <c r="D83" s="201" t="str">
        <f t="shared" si="15"/>
        <v/>
      </c>
      <c r="E83" s="141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IF($T83=0,"",INDEX(VIRMAN!$C$7:$C$406,$T83))</f>
        <v/>
      </c>
      <c r="O83" s="1" t="str">
        <f>IF($N83="","",$C$36&amp;"  –  ORTAK ÇEKİŞ / AVANS  ("&amp;INDEX(VIRMAN!$D$7:$D$406,$T83)&amp;" hesabından)"&amp;IF(INDEX(VIRMAN!$G$7:$G$406,$T83)="",""," – "&amp;INDEX(VIRMAN!$G$7:$G$406,$T83)))</f>
        <v/>
      </c>
      <c r="P83" s="1" t="str">
        <f t="shared" si="23"/>
        <v/>
      </c>
      <c r="Q83" s="1">
        <f>0</f>
        <v>0</v>
      </c>
      <c r="R83" s="1">
        <f>IF($N83="",0,INDEX(VIRMAN!$F$7:$F$406,$T83))</f>
        <v>0</v>
      </c>
      <c r="S83" s="1">
        <f t="shared" si="20"/>
        <v>10000000000</v>
      </c>
      <c r="T83" s="1">
        <f>IFERROR(MATCH($C$36&amp;"|10",VIRMAN!$M$7:$M$406,0),0)</f>
        <v>0</v>
      </c>
      <c r="U83" s="1"/>
      <c r="V83" s="1">
        <f t="shared" si="21"/>
        <v>10000000000</v>
      </c>
      <c r="W83" s="1">
        <f t="shared" si="22"/>
        <v>9</v>
      </c>
    </row>
    <row r="84" spans="1:23" ht="19.5" customHeight="1" x14ac:dyDescent="0.3">
      <c r="A84" s="2"/>
      <c r="B84" s="65" t="str">
        <f t="shared" si="13"/>
        <v/>
      </c>
      <c r="C84" s="70" t="str">
        <f t="shared" si="14"/>
        <v/>
      </c>
      <c r="D84" s="201" t="str">
        <f t="shared" si="15"/>
        <v/>
      </c>
      <c r="E84" s="141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IF($T84=0,"",INDEX(VIRMAN!$C$7:$C$406,$T84))</f>
        <v/>
      </c>
      <c r="O84" s="1" t="str">
        <f>IF($N84="","",$C$36&amp;"  –  ORTAK ÇEKİŞ / AVANS  ("&amp;INDEX(VIRMAN!$D$7:$D$406,$T84)&amp;" hesabından)"&amp;IF(INDEX(VIRMAN!$G$7:$G$406,$T84)="",""," – "&amp;INDEX(VIRMAN!$G$7:$G$406,$T84)))</f>
        <v/>
      </c>
      <c r="P84" s="1" t="str">
        <f t="shared" si="23"/>
        <v/>
      </c>
      <c r="Q84" s="1">
        <f>0</f>
        <v>0</v>
      </c>
      <c r="R84" s="1">
        <f>IF($N84="",0,INDEX(VIRMAN!$F$7:$F$406,$T84))</f>
        <v>0</v>
      </c>
      <c r="S84" s="1">
        <f t="shared" si="20"/>
        <v>10000000000</v>
      </c>
      <c r="T84" s="1">
        <f>IFERROR(MATCH($C$36&amp;"|11",VIRMAN!$M$7:$M$406,0),0)</f>
        <v>0</v>
      </c>
      <c r="U84" s="1"/>
      <c r="V84" s="1">
        <f t="shared" si="21"/>
        <v>10000000000</v>
      </c>
      <c r="W84" s="1">
        <f t="shared" si="22"/>
        <v>9</v>
      </c>
    </row>
    <row r="85" spans="1:23" ht="19.5" customHeight="1" x14ac:dyDescent="0.3">
      <c r="A85" s="2"/>
      <c r="B85" s="65" t="str">
        <f t="shared" si="13"/>
        <v/>
      </c>
      <c r="C85" s="70" t="str">
        <f t="shared" si="14"/>
        <v/>
      </c>
      <c r="D85" s="201" t="str">
        <f t="shared" si="15"/>
        <v/>
      </c>
      <c r="E85" s="141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IF($T85=0,"",INDEX(VIRMAN!$C$7:$C$406,$T85))</f>
        <v/>
      </c>
      <c r="O85" s="1" t="str">
        <f>IF($N85="","",$C$36&amp;"  –  ORTAK ÇEKİŞ / AVANS  ("&amp;INDEX(VIRMAN!$D$7:$D$406,$T85)&amp;" hesabından)"&amp;IF(INDEX(VIRMAN!$G$7:$G$406,$T85)="",""," – "&amp;INDEX(VIRMAN!$G$7:$G$406,$T85)))</f>
        <v/>
      </c>
      <c r="P85" s="1" t="str">
        <f t="shared" si="23"/>
        <v/>
      </c>
      <c r="Q85" s="1">
        <f>0</f>
        <v>0</v>
      </c>
      <c r="R85" s="1">
        <f>IF($N85="",0,INDEX(VIRMAN!$F$7:$F$406,$T85))</f>
        <v>0</v>
      </c>
      <c r="S85" s="1">
        <f t="shared" si="20"/>
        <v>10000000000</v>
      </c>
      <c r="T85" s="1">
        <f>IFERROR(MATCH($C$36&amp;"|12",VIRMAN!$M$7:$M$406,0),0)</f>
        <v>0</v>
      </c>
      <c r="U85" s="1"/>
      <c r="V85" s="1">
        <f t="shared" si="21"/>
        <v>10000000000</v>
      </c>
      <c r="W85" s="1">
        <f t="shared" si="22"/>
        <v>9</v>
      </c>
    </row>
    <row r="86" spans="1:23" ht="19.5" customHeight="1" x14ac:dyDescent="0.3">
      <c r="A86" s="2"/>
      <c r="B86" s="65" t="str">
        <f t="shared" si="13"/>
        <v/>
      </c>
      <c r="C86" s="70" t="str">
        <f t="shared" si="14"/>
        <v/>
      </c>
      <c r="D86" s="201" t="str">
        <f t="shared" si="15"/>
        <v/>
      </c>
      <c r="E86" s="141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IF($T86=0,"",INDEX(VIRMAN!$C$7:$C$406,$T86))</f>
        <v/>
      </c>
      <c r="O86" s="1" t="str">
        <f>IF($N86="","",$C$36&amp;"  –  ORTAK ÇEKİŞ / AVANS  ("&amp;INDEX(VIRMAN!$D$7:$D$406,$T86)&amp;" hesabından)"&amp;IF(INDEX(VIRMAN!$G$7:$G$406,$T86)="",""," – "&amp;INDEX(VIRMAN!$G$7:$G$406,$T86)))</f>
        <v/>
      </c>
      <c r="P86" s="1" t="str">
        <f t="shared" si="23"/>
        <v/>
      </c>
      <c r="Q86" s="1">
        <f>0</f>
        <v>0</v>
      </c>
      <c r="R86" s="1">
        <f>IF($N86="",0,INDEX(VIRMAN!$F$7:$F$406,$T86))</f>
        <v>0</v>
      </c>
      <c r="S86" s="1">
        <f t="shared" si="20"/>
        <v>10000000000</v>
      </c>
      <c r="T86" s="1">
        <f>IFERROR(MATCH($C$36&amp;"|13",VIRMAN!$M$7:$M$406,0),0)</f>
        <v>0</v>
      </c>
      <c r="U86" s="1"/>
      <c r="V86" s="1">
        <f t="shared" si="21"/>
        <v>10000000000</v>
      </c>
      <c r="W86" s="1">
        <f t="shared" si="22"/>
        <v>9</v>
      </c>
    </row>
    <row r="87" spans="1:23" ht="19.5" customHeight="1" x14ac:dyDescent="0.3">
      <c r="A87" s="2"/>
      <c r="B87" s="65" t="str">
        <f t="shared" si="13"/>
        <v/>
      </c>
      <c r="C87" s="70" t="str">
        <f t="shared" si="14"/>
        <v/>
      </c>
      <c r="D87" s="201" t="str">
        <f t="shared" si="15"/>
        <v/>
      </c>
      <c r="E87" s="141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IF($T87=0,"",INDEX(VIRMAN!$C$7:$C$406,$T87))</f>
        <v/>
      </c>
      <c r="O87" s="1" t="str">
        <f>IF($N87="","",$C$36&amp;"  –  ORTAK ÇEKİŞ / AVANS  ("&amp;INDEX(VIRMAN!$D$7:$D$406,$T87)&amp;" hesabından)"&amp;IF(INDEX(VIRMAN!$G$7:$G$406,$T87)="",""," – "&amp;INDEX(VIRMAN!$G$7:$G$406,$T87)))</f>
        <v/>
      </c>
      <c r="P87" s="1" t="str">
        <f t="shared" si="23"/>
        <v/>
      </c>
      <c r="Q87" s="1">
        <f>0</f>
        <v>0</v>
      </c>
      <c r="R87" s="1">
        <f>IF($N87="",0,INDEX(VIRMAN!$F$7:$F$406,$T87))</f>
        <v>0</v>
      </c>
      <c r="S87" s="1">
        <f t="shared" si="20"/>
        <v>10000000000</v>
      </c>
      <c r="T87" s="1">
        <f>IFERROR(MATCH($C$36&amp;"|14",VIRMAN!$M$7:$M$406,0),0)</f>
        <v>0</v>
      </c>
      <c r="U87" s="1"/>
      <c r="V87" s="1">
        <f t="shared" si="21"/>
        <v>10000000000</v>
      </c>
      <c r="W87" s="1">
        <f t="shared" si="22"/>
        <v>9</v>
      </c>
    </row>
    <row r="88" spans="1:23" ht="19.5" customHeight="1" x14ac:dyDescent="0.3">
      <c r="A88" s="2"/>
      <c r="B88" s="65" t="str">
        <f t="shared" si="13"/>
        <v/>
      </c>
      <c r="C88" s="70" t="str">
        <f t="shared" si="14"/>
        <v/>
      </c>
      <c r="D88" s="201" t="str">
        <f t="shared" si="15"/>
        <v/>
      </c>
      <c r="E88" s="141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IF($T88=0,"",INDEX(VIRMAN!$C$7:$C$406,$T88))</f>
        <v/>
      </c>
      <c r="O88" s="1" t="str">
        <f>IF($N88="","",$C$36&amp;"  –  ORTAK ÇEKİŞ / AVANS  ("&amp;INDEX(VIRMAN!$D$7:$D$406,$T88)&amp;" hesabından)"&amp;IF(INDEX(VIRMAN!$G$7:$G$406,$T88)="",""," – "&amp;INDEX(VIRMAN!$G$7:$G$406,$T88)))</f>
        <v/>
      </c>
      <c r="P88" s="1" t="str">
        <f t="shared" si="23"/>
        <v/>
      </c>
      <c r="Q88" s="1">
        <f>0</f>
        <v>0</v>
      </c>
      <c r="R88" s="1">
        <f>IF($N88="",0,INDEX(VIRMAN!$F$7:$F$406,$T88))</f>
        <v>0</v>
      </c>
      <c r="S88" s="1">
        <f t="shared" si="20"/>
        <v>10000000000</v>
      </c>
      <c r="T88" s="1">
        <f>IFERROR(MATCH($C$36&amp;"|15",VIRMAN!$M$7:$M$406,0),0)</f>
        <v>0</v>
      </c>
      <c r="U88" s="1"/>
      <c r="V88" s="1">
        <f t="shared" si="21"/>
        <v>10000000000</v>
      </c>
      <c r="W88" s="1">
        <f t="shared" si="22"/>
        <v>9</v>
      </c>
    </row>
    <row r="89" spans="1:23" ht="19.5" customHeight="1" x14ac:dyDescent="0.3">
      <c r="A89" s="2"/>
      <c r="B89" s="65" t="str">
        <f t="shared" si="13"/>
        <v/>
      </c>
      <c r="C89" s="70" t="str">
        <f t="shared" si="14"/>
        <v/>
      </c>
      <c r="D89" s="201" t="str">
        <f t="shared" si="15"/>
        <v/>
      </c>
      <c r="E89" s="141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IF($T89=0,"",INDEX(VIRMAN!$C$7:$C$406,$T89))</f>
        <v/>
      </c>
      <c r="O89" s="1" t="str">
        <f>IF($N89="","",$C$36&amp;"  –  ORTAK ÇEKİŞ / AVANS  ("&amp;INDEX(VIRMAN!$D$7:$D$406,$T89)&amp;" hesabından)"&amp;IF(INDEX(VIRMAN!$G$7:$G$406,$T89)="",""," – "&amp;INDEX(VIRMAN!$G$7:$G$406,$T89)))</f>
        <v/>
      </c>
      <c r="P89" s="1" t="str">
        <f t="shared" si="23"/>
        <v/>
      </c>
      <c r="Q89" s="1">
        <f>0</f>
        <v>0</v>
      </c>
      <c r="R89" s="1">
        <f>IF($N89="",0,INDEX(VIRMAN!$F$7:$F$406,$T89))</f>
        <v>0</v>
      </c>
      <c r="S89" s="1">
        <f t="shared" si="20"/>
        <v>10000000000</v>
      </c>
      <c r="T89" s="1">
        <f>IFERROR(MATCH($C$36&amp;"|16",VIRMAN!$M$7:$M$406,0),0)</f>
        <v>0</v>
      </c>
      <c r="U89" s="1"/>
      <c r="V89" s="1">
        <f t="shared" si="21"/>
        <v>10000000000</v>
      </c>
      <c r="W89" s="1">
        <f t="shared" si="22"/>
        <v>9</v>
      </c>
    </row>
    <row r="90" spans="1:23" ht="19.5" customHeight="1" x14ac:dyDescent="0.3">
      <c r="A90" s="2"/>
      <c r="B90" s="65" t="str">
        <f t="shared" si="13"/>
        <v/>
      </c>
      <c r="C90" s="70" t="str">
        <f t="shared" si="14"/>
        <v/>
      </c>
      <c r="D90" s="201" t="str">
        <f t="shared" si="15"/>
        <v/>
      </c>
      <c r="E90" s="141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IF($T90=0,"",INDEX(VIRMAN!$C$7:$C$406,$T90))</f>
        <v/>
      </c>
      <c r="O90" s="1" t="str">
        <f>IF($N90="","",$C$36&amp;"  –  ORTAK ÇEKİŞ / AVANS  ("&amp;INDEX(VIRMAN!$D$7:$D$406,$T90)&amp;" hesabından)"&amp;IF(INDEX(VIRMAN!$G$7:$G$406,$T90)="",""," – "&amp;INDEX(VIRMAN!$G$7:$G$406,$T90)))</f>
        <v/>
      </c>
      <c r="P90" s="1" t="str">
        <f t="shared" si="23"/>
        <v/>
      </c>
      <c r="Q90" s="1">
        <f>0</f>
        <v>0</v>
      </c>
      <c r="R90" s="1">
        <f>IF($N90="",0,INDEX(VIRMAN!$F$7:$F$406,$T90))</f>
        <v>0</v>
      </c>
      <c r="S90" s="1">
        <f t="shared" si="20"/>
        <v>10000000000</v>
      </c>
      <c r="T90" s="1">
        <f>IFERROR(MATCH($C$36&amp;"|17",VIRMAN!$M$7:$M$406,0),0)</f>
        <v>0</v>
      </c>
      <c r="U90" s="1"/>
      <c r="V90" s="1">
        <f t="shared" si="21"/>
        <v>10000000000</v>
      </c>
      <c r="W90" s="1">
        <f t="shared" si="22"/>
        <v>9</v>
      </c>
    </row>
    <row r="91" spans="1:23" ht="19.5" customHeight="1" x14ac:dyDescent="0.3">
      <c r="A91" s="2"/>
      <c r="B91" s="65" t="str">
        <f t="shared" si="13"/>
        <v/>
      </c>
      <c r="C91" s="70" t="str">
        <f t="shared" si="14"/>
        <v/>
      </c>
      <c r="D91" s="201" t="str">
        <f t="shared" si="15"/>
        <v/>
      </c>
      <c r="E91" s="141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IF($T91=0,"",INDEX(VIRMAN!$C$7:$C$406,$T91))</f>
        <v/>
      </c>
      <c r="O91" s="1" t="str">
        <f>IF($N91="","",$C$36&amp;"  –  ORTAK ÇEKİŞ / AVANS  ("&amp;INDEX(VIRMAN!$D$7:$D$406,$T91)&amp;" hesabından)"&amp;IF(INDEX(VIRMAN!$G$7:$G$406,$T91)="",""," – "&amp;INDEX(VIRMAN!$G$7:$G$406,$T91)))</f>
        <v/>
      </c>
      <c r="P91" s="1" t="str">
        <f t="shared" si="23"/>
        <v/>
      </c>
      <c r="Q91" s="1">
        <f>0</f>
        <v>0</v>
      </c>
      <c r="R91" s="1">
        <f>IF($N91="",0,INDEX(VIRMAN!$F$7:$F$406,$T91))</f>
        <v>0</v>
      </c>
      <c r="S91" s="1">
        <f t="shared" si="20"/>
        <v>10000000000</v>
      </c>
      <c r="T91" s="1">
        <f>IFERROR(MATCH($C$36&amp;"|18",VIRMAN!$M$7:$M$406,0),0)</f>
        <v>0</v>
      </c>
      <c r="U91" s="1"/>
      <c r="V91" s="1">
        <f t="shared" si="21"/>
        <v>10000000000</v>
      </c>
      <c r="W91" s="1">
        <f t="shared" si="22"/>
        <v>9</v>
      </c>
    </row>
    <row r="92" spans="1:23" ht="19.5" customHeight="1" x14ac:dyDescent="0.3">
      <c r="A92" s="2"/>
      <c r="B92" s="65" t="str">
        <f t="shared" si="13"/>
        <v/>
      </c>
      <c r="C92" s="70" t="str">
        <f t="shared" si="14"/>
        <v/>
      </c>
      <c r="D92" s="201" t="str">
        <f t="shared" si="15"/>
        <v/>
      </c>
      <c r="E92" s="141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IF($T92=0,"",INDEX(VIRMAN!$C$7:$C$406,$T92))</f>
        <v/>
      </c>
      <c r="O92" s="1" t="str">
        <f>IF($N92="","",$C$36&amp;"  –  ORTAK ÇEKİŞ / AVANS  ("&amp;INDEX(VIRMAN!$D$7:$D$406,$T92)&amp;" hesabından)"&amp;IF(INDEX(VIRMAN!$G$7:$G$406,$T92)="",""," – "&amp;INDEX(VIRMAN!$G$7:$G$406,$T92)))</f>
        <v/>
      </c>
      <c r="P92" s="1" t="str">
        <f t="shared" si="23"/>
        <v/>
      </c>
      <c r="Q92" s="1">
        <f>0</f>
        <v>0</v>
      </c>
      <c r="R92" s="1">
        <f>IF($N92="",0,INDEX(VIRMAN!$F$7:$F$406,$T92))</f>
        <v>0</v>
      </c>
      <c r="S92" s="1">
        <f t="shared" si="20"/>
        <v>10000000000</v>
      </c>
      <c r="T92" s="1">
        <f>IFERROR(MATCH($C$36&amp;"|19",VIRMAN!$M$7:$M$406,0),0)</f>
        <v>0</v>
      </c>
      <c r="U92" s="1"/>
      <c r="V92" s="1">
        <f t="shared" si="21"/>
        <v>10000000000</v>
      </c>
      <c r="W92" s="1">
        <f t="shared" si="22"/>
        <v>9</v>
      </c>
    </row>
    <row r="93" spans="1:23" ht="19.5" customHeight="1" x14ac:dyDescent="0.3">
      <c r="A93" s="2"/>
      <c r="B93" s="65" t="str">
        <f t="shared" si="13"/>
        <v/>
      </c>
      <c r="C93" s="70" t="str">
        <f t="shared" si="14"/>
        <v/>
      </c>
      <c r="D93" s="201" t="str">
        <f t="shared" si="15"/>
        <v/>
      </c>
      <c r="E93" s="141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IF($T93=0,"",INDEX(VIRMAN!$C$7:$C$406,$T93))</f>
        <v/>
      </c>
      <c r="O93" s="1" t="str">
        <f>IF($N93="","",$C$36&amp;"  –  ORTAK ÇEKİŞ / AVANS  ("&amp;INDEX(VIRMAN!$D$7:$D$406,$T93)&amp;" hesabından)"&amp;IF(INDEX(VIRMAN!$G$7:$G$406,$T93)="",""," – "&amp;INDEX(VIRMAN!$G$7:$G$406,$T93)))</f>
        <v/>
      </c>
      <c r="P93" s="1" t="str">
        <f t="shared" si="23"/>
        <v/>
      </c>
      <c r="Q93" s="1">
        <f>0</f>
        <v>0</v>
      </c>
      <c r="R93" s="1">
        <f>IF($N93="",0,INDEX(VIRMAN!$F$7:$F$406,$T93))</f>
        <v>0</v>
      </c>
      <c r="S93" s="1">
        <f t="shared" si="20"/>
        <v>10000000000</v>
      </c>
      <c r="T93" s="1">
        <f>IFERROR(MATCH($C$36&amp;"|20",VIRMAN!$M$7:$M$406,0),0)</f>
        <v>0</v>
      </c>
      <c r="U93" s="1"/>
      <c r="V93" s="1">
        <f t="shared" si="21"/>
        <v>10000000000</v>
      </c>
      <c r="W93" s="1">
        <f t="shared" si="22"/>
        <v>9</v>
      </c>
    </row>
    <row r="94" spans="1:23" ht="19.5" customHeight="1" x14ac:dyDescent="0.3">
      <c r="A94" s="2"/>
      <c r="B94" s="65" t="str">
        <f t="shared" si="13"/>
        <v/>
      </c>
      <c r="C94" s="70" t="str">
        <f t="shared" si="14"/>
        <v/>
      </c>
      <c r="D94" s="201" t="str">
        <f t="shared" si="15"/>
        <v/>
      </c>
      <c r="E94" s="141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IF($T94=0,"",INDEX(VIRMAN!$C$7:$C$406,$T94))</f>
        <v/>
      </c>
      <c r="O94" s="1" t="str">
        <f>IF($N94="","",$C$36&amp;"  –  ORTAK ÇEKİŞ / AVANS  ("&amp;INDEX(VIRMAN!$D$7:$D$406,$T94)&amp;" hesabından)"&amp;IF(INDEX(VIRMAN!$G$7:$G$406,$T94)="",""," – "&amp;INDEX(VIRMAN!$G$7:$G$406,$T94)))</f>
        <v/>
      </c>
      <c r="P94" s="1" t="str">
        <f t="shared" si="23"/>
        <v/>
      </c>
      <c r="Q94" s="1">
        <f>0</f>
        <v>0</v>
      </c>
      <c r="R94" s="1">
        <f>IF($N94="",0,INDEX(VIRMAN!$F$7:$F$406,$T94))</f>
        <v>0</v>
      </c>
      <c r="S94" s="1">
        <f t="shared" si="20"/>
        <v>10000000000</v>
      </c>
      <c r="T94" s="1">
        <f>IFERROR(MATCH($C$36&amp;"|21",VIRMAN!$M$7:$M$406,0),0)</f>
        <v>0</v>
      </c>
      <c r="U94" s="1"/>
      <c r="V94" s="1">
        <f t="shared" si="21"/>
        <v>10000000000</v>
      </c>
      <c r="W94" s="1">
        <f t="shared" si="22"/>
        <v>9</v>
      </c>
    </row>
    <row r="95" spans="1:23" ht="19.5" customHeight="1" x14ac:dyDescent="0.3">
      <c r="A95" s="2"/>
      <c r="B95" s="65" t="str">
        <f t="shared" si="13"/>
        <v/>
      </c>
      <c r="C95" s="70" t="str">
        <f t="shared" si="14"/>
        <v/>
      </c>
      <c r="D95" s="201" t="str">
        <f t="shared" si="15"/>
        <v/>
      </c>
      <c r="E95" s="141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IF($T95=0,"",INDEX(VIRMAN!$C$7:$C$406,$T95))</f>
        <v/>
      </c>
      <c r="O95" s="1" t="str">
        <f>IF($N95="","",$C$36&amp;"  –  ORTAK ÇEKİŞ / AVANS  ("&amp;INDEX(VIRMAN!$D$7:$D$406,$T95)&amp;" hesabından)"&amp;IF(INDEX(VIRMAN!$G$7:$G$406,$T95)="",""," – "&amp;INDEX(VIRMAN!$G$7:$G$406,$T95)))</f>
        <v/>
      </c>
      <c r="P95" s="1" t="str">
        <f t="shared" si="23"/>
        <v/>
      </c>
      <c r="Q95" s="1">
        <f>0</f>
        <v>0</v>
      </c>
      <c r="R95" s="1">
        <f>IF($N95="",0,INDEX(VIRMAN!$F$7:$F$406,$T95))</f>
        <v>0</v>
      </c>
      <c r="S95" s="1">
        <f t="shared" si="20"/>
        <v>10000000000</v>
      </c>
      <c r="T95" s="1">
        <f>IFERROR(MATCH($C$36&amp;"|22",VIRMAN!$M$7:$M$406,0),0)</f>
        <v>0</v>
      </c>
      <c r="U95" s="1"/>
      <c r="V95" s="1">
        <f t="shared" si="21"/>
        <v>10000000000</v>
      </c>
      <c r="W95" s="1">
        <f t="shared" si="22"/>
        <v>9</v>
      </c>
    </row>
    <row r="96" spans="1:23" ht="19.5" customHeight="1" x14ac:dyDescent="0.3">
      <c r="A96" s="2"/>
      <c r="B96" s="65" t="str">
        <f t="shared" si="13"/>
        <v/>
      </c>
      <c r="C96" s="70" t="str">
        <f t="shared" si="14"/>
        <v/>
      </c>
      <c r="D96" s="201" t="str">
        <f t="shared" si="15"/>
        <v/>
      </c>
      <c r="E96" s="141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IF($T96=0,"",INDEX(VIRMAN!$C$7:$C$406,$T96))</f>
        <v/>
      </c>
      <c r="O96" s="1" t="str">
        <f>IF($N96="","",$C$36&amp;"  –  ORTAK ÇEKİŞ / AVANS  ("&amp;INDEX(VIRMAN!$D$7:$D$406,$T96)&amp;" hesabından)"&amp;IF(INDEX(VIRMAN!$G$7:$G$406,$T96)="",""," – "&amp;INDEX(VIRMAN!$G$7:$G$406,$T96)))</f>
        <v/>
      </c>
      <c r="P96" s="1" t="str">
        <f t="shared" si="23"/>
        <v/>
      </c>
      <c r="Q96" s="1">
        <f>0</f>
        <v>0</v>
      </c>
      <c r="R96" s="1">
        <f>IF($N96="",0,INDEX(VIRMAN!$F$7:$F$406,$T96))</f>
        <v>0</v>
      </c>
      <c r="S96" s="1">
        <f t="shared" si="20"/>
        <v>10000000000</v>
      </c>
      <c r="T96" s="1">
        <f>IFERROR(MATCH($C$36&amp;"|23",VIRMAN!$M$7:$M$406,0),0)</f>
        <v>0</v>
      </c>
      <c r="U96" s="1"/>
      <c r="V96" s="1">
        <f t="shared" si="21"/>
        <v>10000000000</v>
      </c>
      <c r="W96" s="1">
        <f t="shared" si="22"/>
        <v>9</v>
      </c>
    </row>
    <row r="97" spans="1:23" ht="19.5" customHeight="1" x14ac:dyDescent="0.3">
      <c r="A97" s="2"/>
      <c r="B97" s="65" t="str">
        <f t="shared" si="13"/>
        <v/>
      </c>
      <c r="C97" s="70" t="str">
        <f t="shared" si="14"/>
        <v/>
      </c>
      <c r="D97" s="201" t="str">
        <f t="shared" si="15"/>
        <v/>
      </c>
      <c r="E97" s="141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IF($T97=0,"",INDEX(VIRMAN!$C$7:$C$406,$T97))</f>
        <v/>
      </c>
      <c r="O97" s="1" t="str">
        <f>IF($N97="","",$C$36&amp;"  –  ORTAK ÇEKİŞ / AVANS  ("&amp;INDEX(VIRMAN!$D$7:$D$406,$T97)&amp;" hesabından)"&amp;IF(INDEX(VIRMAN!$G$7:$G$406,$T97)="",""," – "&amp;INDEX(VIRMAN!$G$7:$G$406,$T97)))</f>
        <v/>
      </c>
      <c r="P97" s="1" t="str">
        <f t="shared" si="23"/>
        <v/>
      </c>
      <c r="Q97" s="1">
        <f>0</f>
        <v>0</v>
      </c>
      <c r="R97" s="1">
        <f>IF($N97="",0,INDEX(VIRMAN!$F$7:$F$406,$T97))</f>
        <v>0</v>
      </c>
      <c r="S97" s="1">
        <f t="shared" si="20"/>
        <v>10000000000</v>
      </c>
      <c r="T97" s="1">
        <f>IFERROR(MATCH($C$36&amp;"|24",VIRMAN!$M$7:$M$406,0),0)</f>
        <v>0</v>
      </c>
      <c r="U97" s="1"/>
      <c r="V97" s="1">
        <f t="shared" si="21"/>
        <v>10000000000</v>
      </c>
      <c r="W97" s="1">
        <f t="shared" si="22"/>
        <v>9</v>
      </c>
    </row>
    <row r="98" spans="1:23" ht="19.5" customHeight="1" x14ac:dyDescent="0.3">
      <c r="A98" s="2"/>
      <c r="B98" s="65" t="str">
        <f t="shared" si="13"/>
        <v/>
      </c>
      <c r="C98" s="70" t="str">
        <f t="shared" si="14"/>
        <v/>
      </c>
      <c r="D98" s="201" t="str">
        <f t="shared" si="15"/>
        <v/>
      </c>
      <c r="E98" s="141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IF($T98=0,"",INDEX(VIRMAN!$C$7:$C$406,$T98))</f>
        <v/>
      </c>
      <c r="O98" s="1" t="str">
        <f>IF($N98="","",$C$36&amp;"  –  ORTAK ÇEKİŞ / AVANS  ("&amp;INDEX(VIRMAN!$D$7:$D$406,$T98)&amp;" hesabından)"&amp;IF(INDEX(VIRMAN!$G$7:$G$406,$T98)="",""," – "&amp;INDEX(VIRMAN!$G$7:$G$406,$T98)))</f>
        <v/>
      </c>
      <c r="P98" s="1" t="str">
        <f t="shared" si="23"/>
        <v/>
      </c>
      <c r="Q98" s="1">
        <f>0</f>
        <v>0</v>
      </c>
      <c r="R98" s="1">
        <f>IF($N98="",0,INDEX(VIRMAN!$F$7:$F$406,$T98))</f>
        <v>0</v>
      </c>
      <c r="S98" s="1">
        <f t="shared" si="20"/>
        <v>10000000000</v>
      </c>
      <c r="T98" s="1">
        <f>IFERROR(MATCH($C$36&amp;"|25",VIRMAN!$M$7:$M$406,0),0)</f>
        <v>0</v>
      </c>
      <c r="U98" s="1"/>
      <c r="V98" s="1">
        <f t="shared" si="21"/>
        <v>10000000000</v>
      </c>
      <c r="W98" s="1">
        <f t="shared" si="22"/>
        <v>9</v>
      </c>
    </row>
    <row r="99" spans="1:23" ht="19.5" customHeight="1" x14ac:dyDescent="0.3">
      <c r="A99" s="2"/>
      <c r="B99" s="65" t="str">
        <f t="shared" si="13"/>
        <v/>
      </c>
      <c r="C99" s="70" t="str">
        <f t="shared" si="14"/>
        <v/>
      </c>
      <c r="D99" s="201" t="str">
        <f t="shared" si="15"/>
        <v/>
      </c>
      <c r="E99" s="141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IF($T99=0,"",INDEX(VIRMAN!$C$7:$C$406,$T99))</f>
        <v/>
      </c>
      <c r="O99" s="1" t="str">
        <f>IF($N99="","",$C$36&amp;"  –  ORTAK ÇEKİŞ / AVANS  ("&amp;INDEX(VIRMAN!$D$7:$D$406,$T99)&amp;" hesabından)"&amp;IF(INDEX(VIRMAN!$G$7:$G$406,$T99)="",""," – "&amp;INDEX(VIRMAN!$G$7:$G$406,$T99)))</f>
        <v/>
      </c>
      <c r="P99" s="1" t="str">
        <f t="shared" si="23"/>
        <v/>
      </c>
      <c r="Q99" s="1">
        <f>0</f>
        <v>0</v>
      </c>
      <c r="R99" s="1">
        <f>IF($N99="",0,INDEX(VIRMAN!$F$7:$F$406,$T99))</f>
        <v>0</v>
      </c>
      <c r="S99" s="1">
        <f t="shared" si="20"/>
        <v>10000000000</v>
      </c>
      <c r="T99" s="1">
        <f>IFERROR(MATCH($C$36&amp;"|26",VIRMAN!$M$7:$M$406,0),0)</f>
        <v>0</v>
      </c>
      <c r="U99" s="1"/>
      <c r="V99" s="1">
        <f t="shared" si="21"/>
        <v>10000000000</v>
      </c>
      <c r="W99" s="1">
        <f t="shared" si="22"/>
        <v>9</v>
      </c>
    </row>
    <row r="100" spans="1:23" ht="19.5" customHeight="1" x14ac:dyDescent="0.3">
      <c r="A100" s="2"/>
      <c r="B100" s="65" t="str">
        <f t="shared" si="13"/>
        <v/>
      </c>
      <c r="C100" s="70" t="str">
        <f t="shared" si="14"/>
        <v/>
      </c>
      <c r="D100" s="201" t="str">
        <f t="shared" si="15"/>
        <v/>
      </c>
      <c r="E100" s="141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IF($T100=0,"",INDEX(VIRMAN!$C$7:$C$406,$T100))</f>
        <v/>
      </c>
      <c r="O100" s="1" t="str">
        <f>IF($N100="","",$C$36&amp;"  –  ORTAK ÇEKİŞ / AVANS  ("&amp;INDEX(VIRMAN!$D$7:$D$406,$T100)&amp;" hesabından)"&amp;IF(INDEX(VIRMAN!$G$7:$G$406,$T100)="",""," – "&amp;INDEX(VIRMAN!$G$7:$G$406,$T100)))</f>
        <v/>
      </c>
      <c r="P100" s="1" t="str">
        <f t="shared" si="23"/>
        <v/>
      </c>
      <c r="Q100" s="1">
        <f>0</f>
        <v>0</v>
      </c>
      <c r="R100" s="1">
        <f>IF($N100="",0,INDEX(VIRMAN!$F$7:$F$406,$T100))</f>
        <v>0</v>
      </c>
      <c r="S100" s="1">
        <f t="shared" si="20"/>
        <v>10000000000</v>
      </c>
      <c r="T100" s="1">
        <f>IFERROR(MATCH($C$36&amp;"|27",VIRMAN!$M$7:$M$406,0),0)</f>
        <v>0</v>
      </c>
      <c r="U100" s="1"/>
      <c r="V100" s="1">
        <f t="shared" si="21"/>
        <v>10000000000</v>
      </c>
      <c r="W100" s="1">
        <f t="shared" si="22"/>
        <v>9</v>
      </c>
    </row>
    <row r="101" spans="1:23" ht="19.5" customHeight="1" x14ac:dyDescent="0.3">
      <c r="A101" s="2"/>
      <c r="B101" s="65" t="str">
        <f t="shared" si="13"/>
        <v/>
      </c>
      <c r="C101" s="70" t="str">
        <f t="shared" si="14"/>
        <v/>
      </c>
      <c r="D101" s="201" t="str">
        <f t="shared" si="15"/>
        <v/>
      </c>
      <c r="E101" s="141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IF($T101=0,"",INDEX(VIRMAN!$C$7:$C$406,$T101))</f>
        <v/>
      </c>
      <c r="O101" s="1" t="str">
        <f>IF($N101="","",$C$36&amp;"  –  ORTAK ÇEKİŞ / AVANS  ("&amp;INDEX(VIRMAN!$D$7:$D$406,$T101)&amp;" hesabından)"&amp;IF(INDEX(VIRMAN!$G$7:$G$406,$T101)="",""," – "&amp;INDEX(VIRMAN!$G$7:$G$406,$T101)))</f>
        <v/>
      </c>
      <c r="P101" s="1" t="str">
        <f t="shared" si="23"/>
        <v/>
      </c>
      <c r="Q101" s="1">
        <f>0</f>
        <v>0</v>
      </c>
      <c r="R101" s="1">
        <f>IF($N101="",0,INDEX(VIRMAN!$F$7:$F$406,$T101))</f>
        <v>0</v>
      </c>
      <c r="S101" s="1">
        <f t="shared" si="20"/>
        <v>10000000000</v>
      </c>
      <c r="T101" s="1">
        <f>IFERROR(MATCH($C$36&amp;"|28",VIRMAN!$M$7:$M$406,0),0)</f>
        <v>0</v>
      </c>
      <c r="U101" s="1"/>
      <c r="V101" s="1">
        <f t="shared" si="21"/>
        <v>10000000000</v>
      </c>
      <c r="W101" s="1">
        <f t="shared" si="22"/>
        <v>9</v>
      </c>
    </row>
    <row r="102" spans="1:23" ht="19.5" customHeight="1" x14ac:dyDescent="0.3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201" t="str">
        <f t="shared" ref="D102:D133" si="26">IF($C102="","",INDEX($O$38:$O$193,$W102))</f>
        <v/>
      </c>
      <c r="E102" s="141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IF($T102=0,"",INDEX(VIRMAN!$C$7:$C$406,$T102))</f>
        <v/>
      </c>
      <c r="O102" s="1" t="str">
        <f>IF($N102="","",$C$36&amp;"  –  ORTAK ÇEKİŞ / AVANS  ("&amp;INDEX(VIRMAN!$D$7:$D$406,$T102)&amp;" hesabından)"&amp;IF(INDEX(VIRMAN!$G$7:$G$406,$T102)="",""," – "&amp;INDEX(VIRMAN!$G$7:$G$406,$T102)))</f>
        <v/>
      </c>
      <c r="P102" s="1" t="str">
        <f t="shared" si="23"/>
        <v/>
      </c>
      <c r="Q102" s="1">
        <f>0</f>
        <v>0</v>
      </c>
      <c r="R102" s="1">
        <f>IF($N102="",0,INDEX(VIRMAN!$F$7:$F$406,$T102))</f>
        <v>0</v>
      </c>
      <c r="S102" s="1">
        <f t="shared" ref="S102:S133" si="31">IF($N102="",10000000000,$N102*100000+$M102)</f>
        <v>10000000000</v>
      </c>
      <c r="T102" s="1">
        <f>IFERROR(MATCH($C$36&amp;"|29",VIRMAN!$M$7:$M$406,0),0)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9</v>
      </c>
    </row>
    <row r="103" spans="1:23" ht="19.5" customHeight="1" x14ac:dyDescent="0.3">
      <c r="A103" s="2"/>
      <c r="B103" s="65" t="str">
        <f t="shared" si="24"/>
        <v/>
      </c>
      <c r="C103" s="70" t="str">
        <f t="shared" si="25"/>
        <v/>
      </c>
      <c r="D103" s="201" t="str">
        <f t="shared" si="26"/>
        <v/>
      </c>
      <c r="E103" s="141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IF($T103=0,"",INDEX(VIRMAN!$C$7:$C$406,$T103))</f>
        <v/>
      </c>
      <c r="O103" s="1" t="str">
        <f>IF($N103="","",$C$36&amp;"  –  ORTAK ÇEKİŞ / AVANS  ("&amp;INDEX(VIRMAN!$D$7:$D$406,$T103)&amp;" hesabından)"&amp;IF(INDEX(VIRMAN!$G$7:$G$406,$T103)="",""," – "&amp;INDEX(VIRMAN!$G$7:$G$406,$T103)))</f>
        <v/>
      </c>
      <c r="P103" s="1" t="str">
        <f t="shared" si="23"/>
        <v/>
      </c>
      <c r="Q103" s="1">
        <f>0</f>
        <v>0</v>
      </c>
      <c r="R103" s="1">
        <f>IF($N103="",0,INDEX(VIRMAN!$F$7:$F$406,$T103))</f>
        <v>0</v>
      </c>
      <c r="S103" s="1">
        <f t="shared" si="31"/>
        <v>10000000000</v>
      </c>
      <c r="T103" s="1">
        <f>IFERROR(MATCH($C$36&amp;"|30",VIRMAN!$M$7:$M$406,0),0)</f>
        <v>0</v>
      </c>
      <c r="U103" s="1"/>
      <c r="V103" s="1">
        <f t="shared" si="32"/>
        <v>10000000000</v>
      </c>
      <c r="W103" s="1">
        <f t="shared" si="33"/>
        <v>9</v>
      </c>
    </row>
    <row r="104" spans="1:23" ht="19.5" customHeight="1" x14ac:dyDescent="0.3">
      <c r="A104" s="2"/>
      <c r="B104" s="65" t="str">
        <f t="shared" si="24"/>
        <v/>
      </c>
      <c r="C104" s="70" t="str">
        <f t="shared" si="25"/>
        <v/>
      </c>
      <c r="D104" s="201" t="str">
        <f t="shared" si="26"/>
        <v/>
      </c>
      <c r="E104" s="141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IF($T104=0,"",INDEX(VIRMAN!$C$7:$C$406,$T104))</f>
        <v/>
      </c>
      <c r="O104" s="1" t="str">
        <f>IF($N104="","",$C$36&amp;"  –  ORTAK ÇEKİŞ / AVANS  ("&amp;INDEX(VIRMAN!$D$7:$D$406,$T104)&amp;" hesabından)"&amp;IF(INDEX(VIRMAN!$G$7:$G$406,$T104)="",""," – "&amp;INDEX(VIRMAN!$G$7:$G$406,$T104)))</f>
        <v/>
      </c>
      <c r="P104" s="1" t="str">
        <f t="shared" si="23"/>
        <v/>
      </c>
      <c r="Q104" s="1">
        <f>0</f>
        <v>0</v>
      </c>
      <c r="R104" s="1">
        <f>IF($N104="",0,INDEX(VIRMAN!$F$7:$F$406,$T104))</f>
        <v>0</v>
      </c>
      <c r="S104" s="1">
        <f t="shared" si="31"/>
        <v>10000000000</v>
      </c>
      <c r="T104" s="1">
        <f>IFERROR(MATCH($C$36&amp;"|31",VIRMAN!$M$7:$M$406,0),0)</f>
        <v>0</v>
      </c>
      <c r="U104" s="1"/>
      <c r="V104" s="1">
        <f t="shared" si="32"/>
        <v>10000000000</v>
      </c>
      <c r="W104" s="1">
        <f t="shared" si="33"/>
        <v>9</v>
      </c>
    </row>
    <row r="105" spans="1:23" ht="19.5" customHeight="1" x14ac:dyDescent="0.3">
      <c r="A105" s="2"/>
      <c r="B105" s="65" t="str">
        <f t="shared" si="24"/>
        <v/>
      </c>
      <c r="C105" s="70" t="str">
        <f t="shared" si="25"/>
        <v/>
      </c>
      <c r="D105" s="201" t="str">
        <f t="shared" si="26"/>
        <v/>
      </c>
      <c r="E105" s="141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IF($T105=0,"",INDEX(VIRMAN!$C$7:$C$406,$T105))</f>
        <v/>
      </c>
      <c r="O105" s="1" t="str">
        <f>IF($N105="","",$C$36&amp;"  –  ORTAK ÇEKİŞ / AVANS  ("&amp;INDEX(VIRMAN!$D$7:$D$406,$T105)&amp;" hesabından)"&amp;IF(INDEX(VIRMAN!$G$7:$G$406,$T105)="",""," – "&amp;INDEX(VIRMAN!$G$7:$G$406,$T105)))</f>
        <v/>
      </c>
      <c r="P105" s="1" t="str">
        <f t="shared" si="23"/>
        <v/>
      </c>
      <c r="Q105" s="1">
        <f>0</f>
        <v>0</v>
      </c>
      <c r="R105" s="1">
        <f>IF($N105="",0,INDEX(VIRMAN!$F$7:$F$406,$T105))</f>
        <v>0</v>
      </c>
      <c r="S105" s="1">
        <f t="shared" si="31"/>
        <v>10000000000</v>
      </c>
      <c r="T105" s="1">
        <f>IFERROR(MATCH($C$36&amp;"|32",VIRMAN!$M$7:$M$406,0),0)</f>
        <v>0</v>
      </c>
      <c r="U105" s="1"/>
      <c r="V105" s="1">
        <f t="shared" si="32"/>
        <v>10000000000</v>
      </c>
      <c r="W105" s="1">
        <f t="shared" si="33"/>
        <v>9</v>
      </c>
    </row>
    <row r="106" spans="1:23" ht="19.5" customHeight="1" x14ac:dyDescent="0.3">
      <c r="A106" s="2"/>
      <c r="B106" s="65" t="str">
        <f t="shared" si="24"/>
        <v/>
      </c>
      <c r="C106" s="70" t="str">
        <f t="shared" si="25"/>
        <v/>
      </c>
      <c r="D106" s="201" t="str">
        <f t="shared" si="26"/>
        <v/>
      </c>
      <c r="E106" s="141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IF($T106=0,"",INDEX(VIRMAN!$C$7:$C$406,$T106))</f>
        <v/>
      </c>
      <c r="O106" s="1" t="str">
        <f>IF($N106="","",$C$36&amp;"  –  ORTAK ÇEKİŞ / AVANS  ("&amp;INDEX(VIRMAN!$D$7:$D$406,$T106)&amp;" hesabından)"&amp;IF(INDEX(VIRMAN!$G$7:$G$406,$T106)="",""," – "&amp;INDEX(VIRMAN!$G$7:$G$406,$T106)))</f>
        <v/>
      </c>
      <c r="P106" s="1" t="str">
        <f t="shared" ref="P106:P137" si="34">IF($N106="","","ÇEKİŞ / AVANS")</f>
        <v/>
      </c>
      <c r="Q106" s="1">
        <f>0</f>
        <v>0</v>
      </c>
      <c r="R106" s="1">
        <f>IF($N106="",0,INDEX(VIRMAN!$F$7:$F$406,$T106))</f>
        <v>0</v>
      </c>
      <c r="S106" s="1">
        <f t="shared" si="31"/>
        <v>10000000000</v>
      </c>
      <c r="T106" s="1">
        <f>IFERROR(MATCH($C$36&amp;"|33",VIRMAN!$M$7:$M$406,0),0)</f>
        <v>0</v>
      </c>
      <c r="U106" s="1"/>
      <c r="V106" s="1">
        <f t="shared" si="32"/>
        <v>10000000000</v>
      </c>
      <c r="W106" s="1">
        <f t="shared" si="33"/>
        <v>9</v>
      </c>
    </row>
    <row r="107" spans="1:23" ht="19.5" customHeight="1" x14ac:dyDescent="0.3">
      <c r="A107" s="2"/>
      <c r="B107" s="65" t="str">
        <f t="shared" si="24"/>
        <v/>
      </c>
      <c r="C107" s="70" t="str">
        <f t="shared" si="25"/>
        <v/>
      </c>
      <c r="D107" s="201" t="str">
        <f t="shared" si="26"/>
        <v/>
      </c>
      <c r="E107" s="141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IF($T107=0,"",INDEX(VIRMAN!$C$7:$C$406,$T107))</f>
        <v/>
      </c>
      <c r="O107" s="1" t="str">
        <f>IF($N107="","",$C$36&amp;"  –  ORTAK ÇEKİŞ / AVANS  ("&amp;INDEX(VIRMAN!$D$7:$D$406,$T107)&amp;" hesabından)"&amp;IF(INDEX(VIRMAN!$G$7:$G$406,$T107)="",""," – "&amp;INDEX(VIRMAN!$G$7:$G$406,$T107)))</f>
        <v/>
      </c>
      <c r="P107" s="1" t="str">
        <f t="shared" si="34"/>
        <v/>
      </c>
      <c r="Q107" s="1">
        <f>0</f>
        <v>0</v>
      </c>
      <c r="R107" s="1">
        <f>IF($N107="",0,INDEX(VIRMAN!$F$7:$F$406,$T107))</f>
        <v>0</v>
      </c>
      <c r="S107" s="1">
        <f t="shared" si="31"/>
        <v>10000000000</v>
      </c>
      <c r="T107" s="1">
        <f>IFERROR(MATCH($C$36&amp;"|34",VIRMAN!$M$7:$M$406,0),0)</f>
        <v>0</v>
      </c>
      <c r="U107" s="1"/>
      <c r="V107" s="1">
        <f t="shared" si="32"/>
        <v>10000000000</v>
      </c>
      <c r="W107" s="1">
        <f t="shared" si="33"/>
        <v>9</v>
      </c>
    </row>
    <row r="108" spans="1:23" ht="19.5" customHeight="1" x14ac:dyDescent="0.3">
      <c r="A108" s="2"/>
      <c r="B108" s="65" t="str">
        <f t="shared" si="24"/>
        <v/>
      </c>
      <c r="C108" s="70" t="str">
        <f t="shared" si="25"/>
        <v/>
      </c>
      <c r="D108" s="201" t="str">
        <f t="shared" si="26"/>
        <v/>
      </c>
      <c r="E108" s="141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IF($T108=0,"",INDEX(VIRMAN!$C$7:$C$406,$T108))</f>
        <v/>
      </c>
      <c r="O108" s="1" t="str">
        <f>IF($N108="","",$C$36&amp;"  –  ORTAK ÇEKİŞ / AVANS  ("&amp;INDEX(VIRMAN!$D$7:$D$406,$T108)&amp;" hesabından)"&amp;IF(INDEX(VIRMAN!$G$7:$G$406,$T108)="",""," – "&amp;INDEX(VIRMAN!$G$7:$G$406,$T108)))</f>
        <v/>
      </c>
      <c r="P108" s="1" t="str">
        <f t="shared" si="34"/>
        <v/>
      </c>
      <c r="Q108" s="1">
        <f>0</f>
        <v>0</v>
      </c>
      <c r="R108" s="1">
        <f>IF($N108="",0,INDEX(VIRMAN!$F$7:$F$406,$T108))</f>
        <v>0</v>
      </c>
      <c r="S108" s="1">
        <f t="shared" si="31"/>
        <v>10000000000</v>
      </c>
      <c r="T108" s="1">
        <f>IFERROR(MATCH($C$36&amp;"|35",VIRMAN!$M$7:$M$406,0),0)</f>
        <v>0</v>
      </c>
      <c r="U108" s="1"/>
      <c r="V108" s="1">
        <f t="shared" si="32"/>
        <v>10000000000</v>
      </c>
      <c r="W108" s="1">
        <f t="shared" si="33"/>
        <v>9</v>
      </c>
    </row>
    <row r="109" spans="1:23" ht="19.5" customHeight="1" x14ac:dyDescent="0.3">
      <c r="A109" s="2"/>
      <c r="B109" s="65" t="str">
        <f t="shared" si="24"/>
        <v/>
      </c>
      <c r="C109" s="70" t="str">
        <f t="shared" si="25"/>
        <v/>
      </c>
      <c r="D109" s="201" t="str">
        <f t="shared" si="26"/>
        <v/>
      </c>
      <c r="E109" s="141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IF($T109=0,"",INDEX(VIRMAN!$C$7:$C$406,$T109))</f>
        <v/>
      </c>
      <c r="O109" s="1" t="str">
        <f>IF($N109="","",$C$36&amp;"  –  ORTAK ÇEKİŞ / AVANS  ("&amp;INDEX(VIRMAN!$D$7:$D$406,$T109)&amp;" hesabından)"&amp;IF(INDEX(VIRMAN!$G$7:$G$406,$T109)="",""," – "&amp;INDEX(VIRMAN!$G$7:$G$406,$T109)))</f>
        <v/>
      </c>
      <c r="P109" s="1" t="str">
        <f t="shared" si="34"/>
        <v/>
      </c>
      <c r="Q109" s="1">
        <f>0</f>
        <v>0</v>
      </c>
      <c r="R109" s="1">
        <f>IF($N109="",0,INDEX(VIRMAN!$F$7:$F$406,$T109))</f>
        <v>0</v>
      </c>
      <c r="S109" s="1">
        <f t="shared" si="31"/>
        <v>10000000000</v>
      </c>
      <c r="T109" s="1">
        <f>IFERROR(MATCH($C$36&amp;"|36",VIRMAN!$M$7:$M$406,0),0)</f>
        <v>0</v>
      </c>
      <c r="U109" s="1"/>
      <c r="V109" s="1">
        <f t="shared" si="32"/>
        <v>10000000000</v>
      </c>
      <c r="W109" s="1">
        <f t="shared" si="33"/>
        <v>9</v>
      </c>
    </row>
    <row r="110" spans="1:23" ht="19.5" customHeight="1" x14ac:dyDescent="0.3">
      <c r="A110" s="2"/>
      <c r="B110" s="65" t="str">
        <f t="shared" si="24"/>
        <v/>
      </c>
      <c r="C110" s="70" t="str">
        <f t="shared" si="25"/>
        <v/>
      </c>
      <c r="D110" s="201" t="str">
        <f t="shared" si="26"/>
        <v/>
      </c>
      <c r="E110" s="141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IF($T110=0,"",INDEX(VIRMAN!$C$7:$C$406,$T110))</f>
        <v/>
      </c>
      <c r="O110" s="1" t="str">
        <f>IF($N110="","",$C$36&amp;"  –  ORTAK ÇEKİŞ / AVANS  ("&amp;INDEX(VIRMAN!$D$7:$D$406,$T110)&amp;" hesabından)"&amp;IF(INDEX(VIRMAN!$G$7:$G$406,$T110)="",""," – "&amp;INDEX(VIRMAN!$G$7:$G$406,$T110)))</f>
        <v/>
      </c>
      <c r="P110" s="1" t="str">
        <f t="shared" si="34"/>
        <v/>
      </c>
      <c r="Q110" s="1">
        <f>0</f>
        <v>0</v>
      </c>
      <c r="R110" s="1">
        <f>IF($N110="",0,INDEX(VIRMAN!$F$7:$F$406,$T110))</f>
        <v>0</v>
      </c>
      <c r="S110" s="1">
        <f t="shared" si="31"/>
        <v>10000000000</v>
      </c>
      <c r="T110" s="1">
        <f>IFERROR(MATCH($C$36&amp;"|37",VIRMAN!$M$7:$M$406,0),0)</f>
        <v>0</v>
      </c>
      <c r="U110" s="1"/>
      <c r="V110" s="1">
        <f t="shared" si="32"/>
        <v>10000000000</v>
      </c>
      <c r="W110" s="1">
        <f t="shared" si="33"/>
        <v>9</v>
      </c>
    </row>
    <row r="111" spans="1:23" ht="19.5" customHeight="1" x14ac:dyDescent="0.3">
      <c r="A111" s="2"/>
      <c r="B111" s="65" t="str">
        <f t="shared" si="24"/>
        <v/>
      </c>
      <c r="C111" s="70" t="str">
        <f t="shared" si="25"/>
        <v/>
      </c>
      <c r="D111" s="201" t="str">
        <f t="shared" si="26"/>
        <v/>
      </c>
      <c r="E111" s="141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IF($T111=0,"",INDEX(VIRMAN!$C$7:$C$406,$T111))</f>
        <v/>
      </c>
      <c r="O111" s="1" t="str">
        <f>IF($N111="","",$C$36&amp;"  –  ORTAK ÇEKİŞ / AVANS  ("&amp;INDEX(VIRMAN!$D$7:$D$406,$T111)&amp;" hesabından)"&amp;IF(INDEX(VIRMAN!$G$7:$G$406,$T111)="",""," – "&amp;INDEX(VIRMAN!$G$7:$G$406,$T111)))</f>
        <v/>
      </c>
      <c r="P111" s="1" t="str">
        <f t="shared" si="34"/>
        <v/>
      </c>
      <c r="Q111" s="1">
        <f>0</f>
        <v>0</v>
      </c>
      <c r="R111" s="1">
        <f>IF($N111="",0,INDEX(VIRMAN!$F$7:$F$406,$T111))</f>
        <v>0</v>
      </c>
      <c r="S111" s="1">
        <f t="shared" si="31"/>
        <v>10000000000</v>
      </c>
      <c r="T111" s="1">
        <f>IFERROR(MATCH($C$36&amp;"|38",VIRMAN!$M$7:$M$406,0),0)</f>
        <v>0</v>
      </c>
      <c r="U111" s="1"/>
      <c r="V111" s="1">
        <f t="shared" si="32"/>
        <v>10000000000</v>
      </c>
      <c r="W111" s="1">
        <f t="shared" si="33"/>
        <v>9</v>
      </c>
    </row>
    <row r="112" spans="1:23" ht="19.5" customHeight="1" x14ac:dyDescent="0.3">
      <c r="A112" s="2"/>
      <c r="B112" s="65" t="str">
        <f t="shared" si="24"/>
        <v/>
      </c>
      <c r="C112" s="70" t="str">
        <f t="shared" si="25"/>
        <v/>
      </c>
      <c r="D112" s="201" t="str">
        <f t="shared" si="26"/>
        <v/>
      </c>
      <c r="E112" s="141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IF($T112=0,"",INDEX(VIRMAN!$C$7:$C$406,$T112))</f>
        <v/>
      </c>
      <c r="O112" s="1" t="str">
        <f>IF($N112="","",$C$36&amp;"  –  ORTAK ÇEKİŞ / AVANS  ("&amp;INDEX(VIRMAN!$D$7:$D$406,$T112)&amp;" hesabından)"&amp;IF(INDEX(VIRMAN!$G$7:$G$406,$T112)="",""," – "&amp;INDEX(VIRMAN!$G$7:$G$406,$T112)))</f>
        <v/>
      </c>
      <c r="P112" s="1" t="str">
        <f t="shared" si="34"/>
        <v/>
      </c>
      <c r="Q112" s="1">
        <f>0</f>
        <v>0</v>
      </c>
      <c r="R112" s="1">
        <f>IF($N112="",0,INDEX(VIRMAN!$F$7:$F$406,$T112))</f>
        <v>0</v>
      </c>
      <c r="S112" s="1">
        <f t="shared" si="31"/>
        <v>10000000000</v>
      </c>
      <c r="T112" s="1">
        <f>IFERROR(MATCH($C$36&amp;"|39",VIRMAN!$M$7:$M$406,0),0)</f>
        <v>0</v>
      </c>
      <c r="U112" s="1"/>
      <c r="V112" s="1">
        <f t="shared" si="32"/>
        <v>10000000000</v>
      </c>
      <c r="W112" s="1">
        <f t="shared" si="33"/>
        <v>9</v>
      </c>
    </row>
    <row r="113" spans="1:23" ht="19.5" customHeight="1" x14ac:dyDescent="0.3">
      <c r="A113" s="2"/>
      <c r="B113" s="65" t="str">
        <f t="shared" si="24"/>
        <v/>
      </c>
      <c r="C113" s="70" t="str">
        <f t="shared" si="25"/>
        <v/>
      </c>
      <c r="D113" s="201" t="str">
        <f t="shared" si="26"/>
        <v/>
      </c>
      <c r="E113" s="141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IF($T113=0,"",INDEX(VIRMAN!$C$7:$C$406,$T113))</f>
        <v/>
      </c>
      <c r="O113" s="1" t="str">
        <f>IF($N113="","",$C$36&amp;"  –  ORTAK ÇEKİŞ / AVANS  ("&amp;INDEX(VIRMAN!$D$7:$D$406,$T113)&amp;" hesabından)"&amp;IF(INDEX(VIRMAN!$G$7:$G$406,$T113)="",""," – "&amp;INDEX(VIRMAN!$G$7:$G$406,$T113)))</f>
        <v/>
      </c>
      <c r="P113" s="1" t="str">
        <f t="shared" si="34"/>
        <v/>
      </c>
      <c r="Q113" s="1">
        <f>0</f>
        <v>0</v>
      </c>
      <c r="R113" s="1">
        <f>IF($N113="",0,INDEX(VIRMAN!$F$7:$F$406,$T113))</f>
        <v>0</v>
      </c>
      <c r="S113" s="1">
        <f t="shared" si="31"/>
        <v>10000000000</v>
      </c>
      <c r="T113" s="1">
        <f>IFERROR(MATCH($C$36&amp;"|40",VIRMAN!$M$7:$M$406,0),0)</f>
        <v>0</v>
      </c>
      <c r="U113" s="1"/>
      <c r="V113" s="1">
        <f t="shared" si="32"/>
        <v>10000000000</v>
      </c>
      <c r="W113" s="1">
        <f t="shared" si="33"/>
        <v>9</v>
      </c>
    </row>
    <row r="114" spans="1:23" ht="19.5" customHeight="1" x14ac:dyDescent="0.3">
      <c r="A114" s="2"/>
      <c r="B114" s="65" t="str">
        <f t="shared" si="24"/>
        <v/>
      </c>
      <c r="C114" s="70" t="str">
        <f t="shared" si="25"/>
        <v/>
      </c>
      <c r="D114" s="201" t="str">
        <f t="shared" si="26"/>
        <v/>
      </c>
      <c r="E114" s="141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IF($T114=0,"",INDEX(VIRMAN!$C$7:$C$406,$T114))</f>
        <v/>
      </c>
      <c r="O114" s="1" t="str">
        <f>IF($N114="","",$C$36&amp;"  –  ORTAK ÇEKİŞ / AVANS  ("&amp;INDEX(VIRMAN!$D$7:$D$406,$T114)&amp;" hesabından)"&amp;IF(INDEX(VIRMAN!$G$7:$G$406,$T114)="",""," – "&amp;INDEX(VIRMAN!$G$7:$G$406,$T114)))</f>
        <v/>
      </c>
      <c r="P114" s="1" t="str">
        <f t="shared" si="34"/>
        <v/>
      </c>
      <c r="Q114" s="1">
        <f>0</f>
        <v>0</v>
      </c>
      <c r="R114" s="1">
        <f>IF($N114="",0,INDEX(VIRMAN!$F$7:$F$406,$T114))</f>
        <v>0</v>
      </c>
      <c r="S114" s="1">
        <f t="shared" si="31"/>
        <v>10000000000</v>
      </c>
      <c r="T114" s="1">
        <f>IFERROR(MATCH($C$36&amp;"|41",VIRMAN!$M$7:$M$406,0),0)</f>
        <v>0</v>
      </c>
      <c r="U114" s="1"/>
      <c r="V114" s="1">
        <f t="shared" si="32"/>
        <v>10000000000</v>
      </c>
      <c r="W114" s="1">
        <f t="shared" si="33"/>
        <v>9</v>
      </c>
    </row>
    <row r="115" spans="1:23" ht="19.5" customHeight="1" x14ac:dyDescent="0.3">
      <c r="A115" s="2"/>
      <c r="B115" s="65" t="str">
        <f t="shared" si="24"/>
        <v/>
      </c>
      <c r="C115" s="70" t="str">
        <f t="shared" si="25"/>
        <v/>
      </c>
      <c r="D115" s="201" t="str">
        <f t="shared" si="26"/>
        <v/>
      </c>
      <c r="E115" s="141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IF($T115=0,"",INDEX(VIRMAN!$C$7:$C$406,$T115))</f>
        <v/>
      </c>
      <c r="O115" s="1" t="str">
        <f>IF($N115="","",$C$36&amp;"  –  ORTAK ÇEKİŞ / AVANS  ("&amp;INDEX(VIRMAN!$D$7:$D$406,$T115)&amp;" hesabından)"&amp;IF(INDEX(VIRMAN!$G$7:$G$406,$T115)="",""," – "&amp;INDEX(VIRMAN!$G$7:$G$406,$T115)))</f>
        <v/>
      </c>
      <c r="P115" s="1" t="str">
        <f t="shared" si="34"/>
        <v/>
      </c>
      <c r="Q115" s="1">
        <f>0</f>
        <v>0</v>
      </c>
      <c r="R115" s="1">
        <f>IF($N115="",0,INDEX(VIRMAN!$F$7:$F$406,$T115))</f>
        <v>0</v>
      </c>
      <c r="S115" s="1">
        <f t="shared" si="31"/>
        <v>10000000000</v>
      </c>
      <c r="T115" s="1">
        <f>IFERROR(MATCH($C$36&amp;"|42",VIRMAN!$M$7:$M$406,0),0)</f>
        <v>0</v>
      </c>
      <c r="U115" s="1"/>
      <c r="V115" s="1">
        <f t="shared" si="32"/>
        <v>10000000000</v>
      </c>
      <c r="W115" s="1">
        <f t="shared" si="33"/>
        <v>9</v>
      </c>
    </row>
    <row r="116" spans="1:23" ht="19.5" customHeight="1" x14ac:dyDescent="0.3">
      <c r="A116" s="2"/>
      <c r="B116" s="65" t="str">
        <f t="shared" si="24"/>
        <v/>
      </c>
      <c r="C116" s="70" t="str">
        <f t="shared" si="25"/>
        <v/>
      </c>
      <c r="D116" s="201" t="str">
        <f t="shared" si="26"/>
        <v/>
      </c>
      <c r="E116" s="141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IF($T116=0,"",INDEX(VIRMAN!$C$7:$C$406,$T116))</f>
        <v/>
      </c>
      <c r="O116" s="1" t="str">
        <f>IF($N116="","",$C$36&amp;"  –  ORTAK ÇEKİŞ / AVANS  ("&amp;INDEX(VIRMAN!$D$7:$D$406,$T116)&amp;" hesabından)"&amp;IF(INDEX(VIRMAN!$G$7:$G$406,$T116)="",""," – "&amp;INDEX(VIRMAN!$G$7:$G$406,$T116)))</f>
        <v/>
      </c>
      <c r="P116" s="1" t="str">
        <f t="shared" si="34"/>
        <v/>
      </c>
      <c r="Q116" s="1">
        <f>0</f>
        <v>0</v>
      </c>
      <c r="R116" s="1">
        <f>IF($N116="",0,INDEX(VIRMAN!$F$7:$F$406,$T116))</f>
        <v>0</v>
      </c>
      <c r="S116" s="1">
        <f t="shared" si="31"/>
        <v>10000000000</v>
      </c>
      <c r="T116" s="1">
        <f>IFERROR(MATCH($C$36&amp;"|43",VIRMAN!$M$7:$M$406,0),0)</f>
        <v>0</v>
      </c>
      <c r="U116" s="1"/>
      <c r="V116" s="1">
        <f t="shared" si="32"/>
        <v>10000000000</v>
      </c>
      <c r="W116" s="1">
        <f t="shared" si="33"/>
        <v>9</v>
      </c>
    </row>
    <row r="117" spans="1:23" ht="19.5" customHeight="1" x14ac:dyDescent="0.3">
      <c r="A117" s="2"/>
      <c r="B117" s="65" t="str">
        <f t="shared" si="24"/>
        <v/>
      </c>
      <c r="C117" s="70" t="str">
        <f t="shared" si="25"/>
        <v/>
      </c>
      <c r="D117" s="201" t="str">
        <f t="shared" si="26"/>
        <v/>
      </c>
      <c r="E117" s="141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IF($T117=0,"",INDEX(VIRMAN!$C$7:$C$406,$T117))</f>
        <v/>
      </c>
      <c r="O117" s="1" t="str">
        <f>IF($N117="","",$C$36&amp;"  –  ORTAK ÇEKİŞ / AVANS  ("&amp;INDEX(VIRMAN!$D$7:$D$406,$T117)&amp;" hesabından)"&amp;IF(INDEX(VIRMAN!$G$7:$G$406,$T117)="",""," – "&amp;INDEX(VIRMAN!$G$7:$G$406,$T117)))</f>
        <v/>
      </c>
      <c r="P117" s="1" t="str">
        <f t="shared" si="34"/>
        <v/>
      </c>
      <c r="Q117" s="1">
        <f>0</f>
        <v>0</v>
      </c>
      <c r="R117" s="1">
        <f>IF($N117="",0,INDEX(VIRMAN!$F$7:$F$406,$T117))</f>
        <v>0</v>
      </c>
      <c r="S117" s="1">
        <f t="shared" si="31"/>
        <v>10000000000</v>
      </c>
      <c r="T117" s="1">
        <f>IFERROR(MATCH($C$36&amp;"|44",VIRMAN!$M$7:$M$406,0),0)</f>
        <v>0</v>
      </c>
      <c r="U117" s="1"/>
      <c r="V117" s="1">
        <f t="shared" si="32"/>
        <v>10000000000</v>
      </c>
      <c r="W117" s="1">
        <f t="shared" si="33"/>
        <v>9</v>
      </c>
    </row>
    <row r="118" spans="1:23" ht="19.5" customHeight="1" x14ac:dyDescent="0.3">
      <c r="A118" s="2"/>
      <c r="B118" s="65" t="str">
        <f t="shared" si="24"/>
        <v/>
      </c>
      <c r="C118" s="70" t="str">
        <f t="shared" si="25"/>
        <v/>
      </c>
      <c r="D118" s="201" t="str">
        <f t="shared" si="26"/>
        <v/>
      </c>
      <c r="E118" s="141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IF($T118=0,"",INDEX(VIRMAN!$C$7:$C$406,$T118))</f>
        <v/>
      </c>
      <c r="O118" s="1" t="str">
        <f>IF($N118="","",$C$36&amp;"  –  ORTAK ÇEKİŞ / AVANS  ("&amp;INDEX(VIRMAN!$D$7:$D$406,$T118)&amp;" hesabından)"&amp;IF(INDEX(VIRMAN!$G$7:$G$406,$T118)="",""," – "&amp;INDEX(VIRMAN!$G$7:$G$406,$T118)))</f>
        <v/>
      </c>
      <c r="P118" s="1" t="str">
        <f t="shared" si="34"/>
        <v/>
      </c>
      <c r="Q118" s="1">
        <f>0</f>
        <v>0</v>
      </c>
      <c r="R118" s="1">
        <f>IF($N118="",0,INDEX(VIRMAN!$F$7:$F$406,$T118))</f>
        <v>0</v>
      </c>
      <c r="S118" s="1">
        <f t="shared" si="31"/>
        <v>10000000000</v>
      </c>
      <c r="T118" s="1">
        <f>IFERROR(MATCH($C$36&amp;"|45",VIRMAN!$M$7:$M$406,0),0)</f>
        <v>0</v>
      </c>
      <c r="U118" s="1"/>
      <c r="V118" s="1">
        <f t="shared" si="32"/>
        <v>10000000000</v>
      </c>
      <c r="W118" s="1">
        <f t="shared" si="33"/>
        <v>9</v>
      </c>
    </row>
    <row r="119" spans="1:23" ht="19.5" customHeight="1" x14ac:dyDescent="0.3">
      <c r="A119" s="2"/>
      <c r="B119" s="65" t="str">
        <f t="shared" si="24"/>
        <v/>
      </c>
      <c r="C119" s="70" t="str">
        <f t="shared" si="25"/>
        <v/>
      </c>
      <c r="D119" s="201" t="str">
        <f t="shared" si="26"/>
        <v/>
      </c>
      <c r="E119" s="141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IF($T119=0,"",INDEX(VIRMAN!$C$7:$C$406,$T119))</f>
        <v/>
      </c>
      <c r="O119" s="1" t="str">
        <f>IF($N119="","",$C$36&amp;"  –  ORTAK ÇEKİŞ / AVANS  ("&amp;INDEX(VIRMAN!$D$7:$D$406,$T119)&amp;" hesabından)"&amp;IF(INDEX(VIRMAN!$G$7:$G$406,$T119)="",""," – "&amp;INDEX(VIRMAN!$G$7:$G$406,$T119)))</f>
        <v/>
      </c>
      <c r="P119" s="1" t="str">
        <f t="shared" si="34"/>
        <v/>
      </c>
      <c r="Q119" s="1">
        <f>0</f>
        <v>0</v>
      </c>
      <c r="R119" s="1">
        <f>IF($N119="",0,INDEX(VIRMAN!$F$7:$F$406,$T119))</f>
        <v>0</v>
      </c>
      <c r="S119" s="1">
        <f t="shared" si="31"/>
        <v>10000000000</v>
      </c>
      <c r="T119" s="1">
        <f>IFERROR(MATCH($C$36&amp;"|46",VIRMAN!$M$7:$M$406,0),0)</f>
        <v>0</v>
      </c>
      <c r="U119" s="1"/>
      <c r="V119" s="1">
        <f t="shared" si="32"/>
        <v>10000000000</v>
      </c>
      <c r="W119" s="1">
        <f t="shared" si="33"/>
        <v>9</v>
      </c>
    </row>
    <row r="120" spans="1:23" ht="19.5" customHeight="1" x14ac:dyDescent="0.3">
      <c r="A120" s="2"/>
      <c r="B120" s="65" t="str">
        <f t="shared" si="24"/>
        <v/>
      </c>
      <c r="C120" s="70" t="str">
        <f t="shared" si="25"/>
        <v/>
      </c>
      <c r="D120" s="201" t="str">
        <f t="shared" si="26"/>
        <v/>
      </c>
      <c r="E120" s="141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IF($T120=0,"",INDEX(VIRMAN!$C$7:$C$406,$T120))</f>
        <v/>
      </c>
      <c r="O120" s="1" t="str">
        <f>IF($N120="","",$C$36&amp;"  –  ORTAK ÇEKİŞ / AVANS  ("&amp;INDEX(VIRMAN!$D$7:$D$406,$T120)&amp;" hesabından)"&amp;IF(INDEX(VIRMAN!$G$7:$G$406,$T120)="",""," – "&amp;INDEX(VIRMAN!$G$7:$G$406,$T120)))</f>
        <v/>
      </c>
      <c r="P120" s="1" t="str">
        <f t="shared" si="34"/>
        <v/>
      </c>
      <c r="Q120" s="1">
        <f>0</f>
        <v>0</v>
      </c>
      <c r="R120" s="1">
        <f>IF($N120="",0,INDEX(VIRMAN!$F$7:$F$406,$T120))</f>
        <v>0</v>
      </c>
      <c r="S120" s="1">
        <f t="shared" si="31"/>
        <v>10000000000</v>
      </c>
      <c r="T120" s="1">
        <f>IFERROR(MATCH($C$36&amp;"|47",VIRMAN!$M$7:$M$406,0),0)</f>
        <v>0</v>
      </c>
      <c r="U120" s="1"/>
      <c r="V120" s="1">
        <f t="shared" si="32"/>
        <v>10000000000</v>
      </c>
      <c r="W120" s="1">
        <f t="shared" si="33"/>
        <v>9</v>
      </c>
    </row>
    <row r="121" spans="1:23" ht="19.5" customHeight="1" x14ac:dyDescent="0.3">
      <c r="A121" s="2"/>
      <c r="B121" s="65" t="str">
        <f t="shared" si="24"/>
        <v/>
      </c>
      <c r="C121" s="70" t="str">
        <f t="shared" si="25"/>
        <v/>
      </c>
      <c r="D121" s="201" t="str">
        <f t="shared" si="26"/>
        <v/>
      </c>
      <c r="E121" s="141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IF($T121=0,"",INDEX(VIRMAN!$C$7:$C$406,$T121))</f>
        <v/>
      </c>
      <c r="O121" s="1" t="str">
        <f>IF($N121="","",$C$36&amp;"  –  ORTAK ÇEKİŞ / AVANS  ("&amp;INDEX(VIRMAN!$D$7:$D$406,$T121)&amp;" hesabından)"&amp;IF(INDEX(VIRMAN!$G$7:$G$406,$T121)="",""," – "&amp;INDEX(VIRMAN!$G$7:$G$406,$T121)))</f>
        <v/>
      </c>
      <c r="P121" s="1" t="str">
        <f t="shared" si="34"/>
        <v/>
      </c>
      <c r="Q121" s="1">
        <f>0</f>
        <v>0</v>
      </c>
      <c r="R121" s="1">
        <f>IF($N121="",0,INDEX(VIRMAN!$F$7:$F$406,$T121))</f>
        <v>0</v>
      </c>
      <c r="S121" s="1">
        <f t="shared" si="31"/>
        <v>10000000000</v>
      </c>
      <c r="T121" s="1">
        <f>IFERROR(MATCH($C$36&amp;"|48",VIRMAN!$M$7:$M$406,0),0)</f>
        <v>0</v>
      </c>
      <c r="U121" s="1"/>
      <c r="V121" s="1">
        <f t="shared" si="32"/>
        <v>10000000000</v>
      </c>
      <c r="W121" s="1">
        <f t="shared" si="33"/>
        <v>9</v>
      </c>
    </row>
    <row r="122" spans="1:23" ht="19.5" customHeight="1" x14ac:dyDescent="0.3">
      <c r="A122" s="2"/>
      <c r="B122" s="65" t="str">
        <f t="shared" si="24"/>
        <v/>
      </c>
      <c r="C122" s="70" t="str">
        <f t="shared" si="25"/>
        <v/>
      </c>
      <c r="D122" s="201" t="str">
        <f t="shared" si="26"/>
        <v/>
      </c>
      <c r="E122" s="141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IF($T122=0,"",INDEX(VIRMAN!$C$7:$C$406,$T122))</f>
        <v/>
      </c>
      <c r="O122" s="1" t="str">
        <f>IF($N122="","",$C$36&amp;"  –  ORTAK ÇEKİŞ / AVANS  ("&amp;INDEX(VIRMAN!$D$7:$D$406,$T122)&amp;" hesabından)"&amp;IF(INDEX(VIRMAN!$G$7:$G$406,$T122)="",""," – "&amp;INDEX(VIRMAN!$G$7:$G$406,$T122)))</f>
        <v/>
      </c>
      <c r="P122" s="1" t="str">
        <f t="shared" si="34"/>
        <v/>
      </c>
      <c r="Q122" s="1">
        <f>0</f>
        <v>0</v>
      </c>
      <c r="R122" s="1">
        <f>IF($N122="",0,INDEX(VIRMAN!$F$7:$F$406,$T122))</f>
        <v>0</v>
      </c>
      <c r="S122" s="1">
        <f t="shared" si="31"/>
        <v>10000000000</v>
      </c>
      <c r="T122" s="1">
        <f>IFERROR(MATCH($C$36&amp;"|49",VIRMAN!$M$7:$M$406,0),0)</f>
        <v>0</v>
      </c>
      <c r="U122" s="1"/>
      <c r="V122" s="1">
        <f t="shared" si="32"/>
        <v>10000000000</v>
      </c>
      <c r="W122" s="1">
        <f t="shared" si="33"/>
        <v>9</v>
      </c>
    </row>
    <row r="123" spans="1:23" ht="19.5" customHeight="1" x14ac:dyDescent="0.3">
      <c r="A123" s="2"/>
      <c r="B123" s="65" t="str">
        <f t="shared" si="24"/>
        <v/>
      </c>
      <c r="C123" s="70" t="str">
        <f t="shared" si="25"/>
        <v/>
      </c>
      <c r="D123" s="201" t="str">
        <f t="shared" si="26"/>
        <v/>
      </c>
      <c r="E123" s="141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IF($T123=0,"",INDEX(VIRMAN!$C$7:$C$406,$T123))</f>
        <v/>
      </c>
      <c r="O123" s="1" t="str">
        <f>IF($N123="","",$C$36&amp;"  –  ORTAK ÇEKİŞ / AVANS  ("&amp;INDEX(VIRMAN!$D$7:$D$406,$T123)&amp;" hesabından)"&amp;IF(INDEX(VIRMAN!$G$7:$G$406,$T123)="",""," – "&amp;INDEX(VIRMAN!$G$7:$G$406,$T123)))</f>
        <v/>
      </c>
      <c r="P123" s="1" t="str">
        <f t="shared" si="34"/>
        <v/>
      </c>
      <c r="Q123" s="1">
        <f>0</f>
        <v>0</v>
      </c>
      <c r="R123" s="1">
        <f>IF($N123="",0,INDEX(VIRMAN!$F$7:$F$406,$T123))</f>
        <v>0</v>
      </c>
      <c r="S123" s="1">
        <f t="shared" si="31"/>
        <v>10000000000</v>
      </c>
      <c r="T123" s="1">
        <f>IFERROR(MATCH($C$36&amp;"|50",VIRMAN!$M$7:$M$406,0),0)</f>
        <v>0</v>
      </c>
      <c r="U123" s="1"/>
      <c r="V123" s="1">
        <f t="shared" si="32"/>
        <v>10000000000</v>
      </c>
      <c r="W123" s="1">
        <f t="shared" si="33"/>
        <v>9</v>
      </c>
    </row>
    <row r="124" spans="1:23" ht="19.5" customHeight="1" x14ac:dyDescent="0.3">
      <c r="A124" s="2"/>
      <c r="B124" s="65" t="str">
        <f t="shared" si="24"/>
        <v/>
      </c>
      <c r="C124" s="70" t="str">
        <f t="shared" si="25"/>
        <v/>
      </c>
      <c r="D124" s="201" t="str">
        <f t="shared" si="26"/>
        <v/>
      </c>
      <c r="E124" s="141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IF($T124=0,"",INDEX(VIRMAN!$C$7:$C$406,$T124))</f>
        <v/>
      </c>
      <c r="O124" s="1" t="str">
        <f>IF($N124="","",$C$36&amp;"  –  ORTAK ÇEKİŞ / AVANS  ("&amp;INDEX(VIRMAN!$D$7:$D$406,$T124)&amp;" hesabından)"&amp;IF(INDEX(VIRMAN!$G$7:$G$406,$T124)="",""," – "&amp;INDEX(VIRMAN!$G$7:$G$406,$T124)))</f>
        <v/>
      </c>
      <c r="P124" s="1" t="str">
        <f t="shared" si="34"/>
        <v/>
      </c>
      <c r="Q124" s="1">
        <f>0</f>
        <v>0</v>
      </c>
      <c r="R124" s="1">
        <f>IF($N124="",0,INDEX(VIRMAN!$F$7:$F$406,$T124))</f>
        <v>0</v>
      </c>
      <c r="S124" s="1">
        <f t="shared" si="31"/>
        <v>10000000000</v>
      </c>
      <c r="T124" s="1">
        <f>IFERROR(MATCH($C$36&amp;"|51",VIRMAN!$M$7:$M$406,0),0)</f>
        <v>0</v>
      </c>
      <c r="U124" s="1"/>
      <c r="V124" s="1">
        <f t="shared" si="32"/>
        <v>10000000000</v>
      </c>
      <c r="W124" s="1">
        <f t="shared" si="33"/>
        <v>9</v>
      </c>
    </row>
    <row r="125" spans="1:23" ht="19.5" customHeight="1" x14ac:dyDescent="0.3">
      <c r="A125" s="2"/>
      <c r="B125" s="65" t="str">
        <f t="shared" si="24"/>
        <v/>
      </c>
      <c r="C125" s="70" t="str">
        <f t="shared" si="25"/>
        <v/>
      </c>
      <c r="D125" s="201" t="str">
        <f t="shared" si="26"/>
        <v/>
      </c>
      <c r="E125" s="141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IF($T125=0,"",INDEX(VIRMAN!$C$7:$C$406,$T125))</f>
        <v/>
      </c>
      <c r="O125" s="1" t="str">
        <f>IF($N125="","",$C$36&amp;"  –  ORTAK ÇEKİŞ / AVANS  ("&amp;INDEX(VIRMAN!$D$7:$D$406,$T125)&amp;" hesabından)"&amp;IF(INDEX(VIRMAN!$G$7:$G$406,$T125)="",""," – "&amp;INDEX(VIRMAN!$G$7:$G$406,$T125)))</f>
        <v/>
      </c>
      <c r="P125" s="1" t="str">
        <f t="shared" si="34"/>
        <v/>
      </c>
      <c r="Q125" s="1">
        <f>0</f>
        <v>0</v>
      </c>
      <c r="R125" s="1">
        <f>IF($N125="",0,INDEX(VIRMAN!$F$7:$F$406,$T125))</f>
        <v>0</v>
      </c>
      <c r="S125" s="1">
        <f t="shared" si="31"/>
        <v>10000000000</v>
      </c>
      <c r="T125" s="1">
        <f>IFERROR(MATCH($C$36&amp;"|52",VIRMAN!$M$7:$M$406,0),0)</f>
        <v>0</v>
      </c>
      <c r="U125" s="1"/>
      <c r="V125" s="1">
        <f t="shared" si="32"/>
        <v>10000000000</v>
      </c>
      <c r="W125" s="1">
        <f t="shared" si="33"/>
        <v>9</v>
      </c>
    </row>
    <row r="126" spans="1:23" ht="19.5" customHeight="1" x14ac:dyDescent="0.3">
      <c r="A126" s="2"/>
      <c r="B126" s="65" t="str">
        <f t="shared" si="24"/>
        <v/>
      </c>
      <c r="C126" s="70" t="str">
        <f t="shared" si="25"/>
        <v/>
      </c>
      <c r="D126" s="201" t="str">
        <f t="shared" si="26"/>
        <v/>
      </c>
      <c r="E126" s="141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IF($T126=0,"",INDEX(VIRMAN!$C$7:$C$406,$T126))</f>
        <v/>
      </c>
      <c r="O126" s="1" t="str">
        <f>IF($N126="","",$C$36&amp;"  –  ORTAK ÇEKİŞ / AVANS  ("&amp;INDEX(VIRMAN!$D$7:$D$406,$T126)&amp;" hesabından)"&amp;IF(INDEX(VIRMAN!$G$7:$G$406,$T126)="",""," – "&amp;INDEX(VIRMAN!$G$7:$G$406,$T126)))</f>
        <v/>
      </c>
      <c r="P126" s="1" t="str">
        <f t="shared" si="34"/>
        <v/>
      </c>
      <c r="Q126" s="1">
        <f>0</f>
        <v>0</v>
      </c>
      <c r="R126" s="1">
        <f>IF($N126="",0,INDEX(VIRMAN!$F$7:$F$406,$T126))</f>
        <v>0</v>
      </c>
      <c r="S126" s="1">
        <f t="shared" si="31"/>
        <v>10000000000</v>
      </c>
      <c r="T126" s="1">
        <f>IFERROR(MATCH($C$36&amp;"|53",VIRMAN!$M$7:$M$406,0),0)</f>
        <v>0</v>
      </c>
      <c r="U126" s="1"/>
      <c r="V126" s="1">
        <f t="shared" si="32"/>
        <v>10000000000</v>
      </c>
      <c r="W126" s="1">
        <f t="shared" si="33"/>
        <v>9</v>
      </c>
    </row>
    <row r="127" spans="1:23" ht="19.5" customHeight="1" x14ac:dyDescent="0.3">
      <c r="A127" s="2"/>
      <c r="B127" s="65" t="str">
        <f t="shared" si="24"/>
        <v/>
      </c>
      <c r="C127" s="70" t="str">
        <f t="shared" si="25"/>
        <v/>
      </c>
      <c r="D127" s="201" t="str">
        <f t="shared" si="26"/>
        <v/>
      </c>
      <c r="E127" s="141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IF($T127=0,"",INDEX(VIRMAN!$C$7:$C$406,$T127))</f>
        <v/>
      </c>
      <c r="O127" s="1" t="str">
        <f>IF($N127="","",$C$36&amp;"  –  ORTAK ÇEKİŞ / AVANS  ("&amp;INDEX(VIRMAN!$D$7:$D$406,$T127)&amp;" hesabından)"&amp;IF(INDEX(VIRMAN!$G$7:$G$406,$T127)="",""," – "&amp;INDEX(VIRMAN!$G$7:$G$406,$T127)))</f>
        <v/>
      </c>
      <c r="P127" s="1" t="str">
        <f t="shared" si="34"/>
        <v/>
      </c>
      <c r="Q127" s="1">
        <f>0</f>
        <v>0</v>
      </c>
      <c r="R127" s="1">
        <f>IF($N127="",0,INDEX(VIRMAN!$F$7:$F$406,$T127))</f>
        <v>0</v>
      </c>
      <c r="S127" s="1">
        <f t="shared" si="31"/>
        <v>10000000000</v>
      </c>
      <c r="T127" s="1">
        <f>IFERROR(MATCH($C$36&amp;"|54",VIRMAN!$M$7:$M$406,0),0)</f>
        <v>0</v>
      </c>
      <c r="U127" s="1"/>
      <c r="V127" s="1">
        <f t="shared" si="32"/>
        <v>10000000000</v>
      </c>
      <c r="W127" s="1">
        <f t="shared" si="33"/>
        <v>9</v>
      </c>
    </row>
    <row r="128" spans="1:23" ht="19.5" customHeight="1" x14ac:dyDescent="0.3">
      <c r="A128" s="2"/>
      <c r="B128" s="65" t="str">
        <f t="shared" si="24"/>
        <v/>
      </c>
      <c r="C128" s="70" t="str">
        <f t="shared" si="25"/>
        <v/>
      </c>
      <c r="D128" s="201" t="str">
        <f t="shared" si="26"/>
        <v/>
      </c>
      <c r="E128" s="141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IF($T128=0,"",INDEX(VIRMAN!$C$7:$C$406,$T128))</f>
        <v/>
      </c>
      <c r="O128" s="1" t="str">
        <f>IF($N128="","",$C$36&amp;"  –  ORTAK ÇEKİŞ / AVANS  ("&amp;INDEX(VIRMAN!$D$7:$D$406,$T128)&amp;" hesabından)"&amp;IF(INDEX(VIRMAN!$G$7:$G$406,$T128)="",""," – "&amp;INDEX(VIRMAN!$G$7:$G$406,$T128)))</f>
        <v/>
      </c>
      <c r="P128" s="1" t="str">
        <f t="shared" si="34"/>
        <v/>
      </c>
      <c r="Q128" s="1">
        <f>0</f>
        <v>0</v>
      </c>
      <c r="R128" s="1">
        <f>IF($N128="",0,INDEX(VIRMAN!$F$7:$F$406,$T128))</f>
        <v>0</v>
      </c>
      <c r="S128" s="1">
        <f t="shared" si="31"/>
        <v>10000000000</v>
      </c>
      <c r="T128" s="1">
        <f>IFERROR(MATCH($C$36&amp;"|55",VIRMAN!$M$7:$M$406,0),0)</f>
        <v>0</v>
      </c>
      <c r="U128" s="1"/>
      <c r="V128" s="1">
        <f t="shared" si="32"/>
        <v>10000000000</v>
      </c>
      <c r="W128" s="1">
        <f t="shared" si="33"/>
        <v>9</v>
      </c>
    </row>
    <row r="129" spans="1:23" ht="19.5" customHeight="1" x14ac:dyDescent="0.3">
      <c r="A129" s="2"/>
      <c r="B129" s="65" t="str">
        <f t="shared" si="24"/>
        <v/>
      </c>
      <c r="C129" s="70" t="str">
        <f t="shared" si="25"/>
        <v/>
      </c>
      <c r="D129" s="201" t="str">
        <f t="shared" si="26"/>
        <v/>
      </c>
      <c r="E129" s="141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IF($T129=0,"",INDEX(VIRMAN!$C$7:$C$406,$T129))</f>
        <v/>
      </c>
      <c r="O129" s="1" t="str">
        <f>IF($N129="","",$C$36&amp;"  –  ORTAK ÇEKİŞ / AVANS  ("&amp;INDEX(VIRMAN!$D$7:$D$406,$T129)&amp;" hesabından)"&amp;IF(INDEX(VIRMAN!$G$7:$G$406,$T129)="",""," – "&amp;INDEX(VIRMAN!$G$7:$G$406,$T129)))</f>
        <v/>
      </c>
      <c r="P129" s="1" t="str">
        <f t="shared" si="34"/>
        <v/>
      </c>
      <c r="Q129" s="1">
        <f>0</f>
        <v>0</v>
      </c>
      <c r="R129" s="1">
        <f>IF($N129="",0,INDEX(VIRMAN!$F$7:$F$406,$T129))</f>
        <v>0</v>
      </c>
      <c r="S129" s="1">
        <f t="shared" si="31"/>
        <v>10000000000</v>
      </c>
      <c r="T129" s="1">
        <f>IFERROR(MATCH($C$36&amp;"|56",VIRMAN!$M$7:$M$406,0),0)</f>
        <v>0</v>
      </c>
      <c r="U129" s="1"/>
      <c r="V129" s="1">
        <f t="shared" si="32"/>
        <v>10000000000</v>
      </c>
      <c r="W129" s="1">
        <f t="shared" si="33"/>
        <v>9</v>
      </c>
    </row>
    <row r="130" spans="1:23" ht="19.5" customHeight="1" x14ac:dyDescent="0.3">
      <c r="A130" s="2"/>
      <c r="B130" s="65" t="str">
        <f t="shared" si="24"/>
        <v/>
      </c>
      <c r="C130" s="70" t="str">
        <f t="shared" si="25"/>
        <v/>
      </c>
      <c r="D130" s="201" t="str">
        <f t="shared" si="26"/>
        <v/>
      </c>
      <c r="E130" s="141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IF($T130=0,"",INDEX(VIRMAN!$C$7:$C$406,$T130))</f>
        <v/>
      </c>
      <c r="O130" s="1" t="str">
        <f>IF($N130="","",$C$36&amp;"  –  ORTAK ÇEKİŞ / AVANS  ("&amp;INDEX(VIRMAN!$D$7:$D$406,$T130)&amp;" hesabından)"&amp;IF(INDEX(VIRMAN!$G$7:$G$406,$T130)="",""," – "&amp;INDEX(VIRMAN!$G$7:$G$406,$T130)))</f>
        <v/>
      </c>
      <c r="P130" s="1" t="str">
        <f t="shared" si="34"/>
        <v/>
      </c>
      <c r="Q130" s="1">
        <f>0</f>
        <v>0</v>
      </c>
      <c r="R130" s="1">
        <f>IF($N130="",0,INDEX(VIRMAN!$F$7:$F$406,$T130))</f>
        <v>0</v>
      </c>
      <c r="S130" s="1">
        <f t="shared" si="31"/>
        <v>10000000000</v>
      </c>
      <c r="T130" s="1">
        <f>IFERROR(MATCH($C$36&amp;"|57",VIRMAN!$M$7:$M$406,0),0)</f>
        <v>0</v>
      </c>
      <c r="U130" s="1"/>
      <c r="V130" s="1">
        <f t="shared" si="32"/>
        <v>10000000000</v>
      </c>
      <c r="W130" s="1">
        <f t="shared" si="33"/>
        <v>9</v>
      </c>
    </row>
    <row r="131" spans="1:23" ht="19.5" customHeight="1" x14ac:dyDescent="0.3">
      <c r="A131" s="2"/>
      <c r="B131" s="65" t="str">
        <f t="shared" si="24"/>
        <v/>
      </c>
      <c r="C131" s="70" t="str">
        <f t="shared" si="25"/>
        <v/>
      </c>
      <c r="D131" s="201" t="str">
        <f t="shared" si="26"/>
        <v/>
      </c>
      <c r="E131" s="141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IF($T131=0,"",INDEX(VIRMAN!$C$7:$C$406,$T131))</f>
        <v/>
      </c>
      <c r="O131" s="1" t="str">
        <f>IF($N131="","",$C$36&amp;"  –  ORTAK ÇEKİŞ / AVANS  ("&amp;INDEX(VIRMAN!$D$7:$D$406,$T131)&amp;" hesabından)"&amp;IF(INDEX(VIRMAN!$G$7:$G$406,$T131)="",""," – "&amp;INDEX(VIRMAN!$G$7:$G$406,$T131)))</f>
        <v/>
      </c>
      <c r="P131" s="1" t="str">
        <f t="shared" si="34"/>
        <v/>
      </c>
      <c r="Q131" s="1">
        <f>0</f>
        <v>0</v>
      </c>
      <c r="R131" s="1">
        <f>IF($N131="",0,INDEX(VIRMAN!$F$7:$F$406,$T131))</f>
        <v>0</v>
      </c>
      <c r="S131" s="1">
        <f t="shared" si="31"/>
        <v>10000000000</v>
      </c>
      <c r="T131" s="1">
        <f>IFERROR(MATCH($C$36&amp;"|58",VIRMAN!$M$7:$M$406,0),0)</f>
        <v>0</v>
      </c>
      <c r="U131" s="1"/>
      <c r="V131" s="1">
        <f t="shared" si="32"/>
        <v>10000000000</v>
      </c>
      <c r="W131" s="1">
        <f t="shared" si="33"/>
        <v>9</v>
      </c>
    </row>
    <row r="132" spans="1:23" ht="19.5" customHeight="1" x14ac:dyDescent="0.3">
      <c r="A132" s="2"/>
      <c r="B132" s="65" t="str">
        <f t="shared" si="24"/>
        <v/>
      </c>
      <c r="C132" s="70" t="str">
        <f t="shared" si="25"/>
        <v/>
      </c>
      <c r="D132" s="201" t="str">
        <f t="shared" si="26"/>
        <v/>
      </c>
      <c r="E132" s="141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IF($T132=0,"",INDEX(VIRMAN!$C$7:$C$406,$T132))</f>
        <v/>
      </c>
      <c r="O132" s="1" t="str">
        <f>IF($N132="","",$C$36&amp;"  –  ORTAK ÇEKİŞ / AVANS  ("&amp;INDEX(VIRMAN!$D$7:$D$406,$T132)&amp;" hesabından)"&amp;IF(INDEX(VIRMAN!$G$7:$G$406,$T132)="",""," – "&amp;INDEX(VIRMAN!$G$7:$G$406,$T132)))</f>
        <v/>
      </c>
      <c r="P132" s="1" t="str">
        <f t="shared" si="34"/>
        <v/>
      </c>
      <c r="Q132" s="1">
        <f>0</f>
        <v>0</v>
      </c>
      <c r="R132" s="1">
        <f>IF($N132="",0,INDEX(VIRMAN!$F$7:$F$406,$T132))</f>
        <v>0</v>
      </c>
      <c r="S132" s="1">
        <f t="shared" si="31"/>
        <v>10000000000</v>
      </c>
      <c r="T132" s="1">
        <f>IFERROR(MATCH($C$36&amp;"|59",VIRMAN!$M$7:$M$406,0),0)</f>
        <v>0</v>
      </c>
      <c r="U132" s="1"/>
      <c r="V132" s="1">
        <f t="shared" si="32"/>
        <v>10000000000</v>
      </c>
      <c r="W132" s="1">
        <f t="shared" si="33"/>
        <v>9</v>
      </c>
    </row>
    <row r="133" spans="1:23" ht="19.5" customHeight="1" x14ac:dyDescent="0.3">
      <c r="A133" s="2"/>
      <c r="B133" s="65" t="str">
        <f t="shared" si="24"/>
        <v/>
      </c>
      <c r="C133" s="70" t="str">
        <f t="shared" si="25"/>
        <v/>
      </c>
      <c r="D133" s="201" t="str">
        <f t="shared" si="26"/>
        <v/>
      </c>
      <c r="E133" s="141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IF($T133=0,"",INDEX(VIRMAN!$C$7:$C$406,$T133))</f>
        <v/>
      </c>
      <c r="O133" s="1" t="str">
        <f>IF($N133="","",$C$36&amp;"  –  ORTAK ÇEKİŞ / AVANS  ("&amp;INDEX(VIRMAN!$D$7:$D$406,$T133)&amp;" hesabından)"&amp;IF(INDEX(VIRMAN!$G$7:$G$406,$T133)="",""," – "&amp;INDEX(VIRMAN!$G$7:$G$406,$T133)))</f>
        <v/>
      </c>
      <c r="P133" s="1" t="str">
        <f t="shared" si="34"/>
        <v/>
      </c>
      <c r="Q133" s="1">
        <f>0</f>
        <v>0</v>
      </c>
      <c r="R133" s="1">
        <f>IF($N133="",0,INDEX(VIRMAN!$F$7:$F$406,$T133))</f>
        <v>0</v>
      </c>
      <c r="S133" s="1">
        <f t="shared" si="31"/>
        <v>10000000000</v>
      </c>
      <c r="T133" s="1">
        <f>IFERROR(MATCH($C$36&amp;"|60",VIRMAN!$M$7:$M$406,0),0)</f>
        <v>0</v>
      </c>
      <c r="U133" s="1"/>
      <c r="V133" s="1">
        <f t="shared" si="32"/>
        <v>10000000000</v>
      </c>
      <c r="W133" s="1">
        <f t="shared" si="33"/>
        <v>9</v>
      </c>
    </row>
    <row r="134" spans="1:23" ht="19.5" customHeight="1" x14ac:dyDescent="0.3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201" t="str">
        <f t="shared" ref="D134:D165" si="37">IF($C134="","",INDEX($O$38:$O$193,$W134))</f>
        <v/>
      </c>
      <c r="E134" s="141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IF($T134=0,"",INDEX(VIRMAN!$C$7:$C$406,$T134))</f>
        <v/>
      </c>
      <c r="O134" s="1" t="str">
        <f>IF($N134="","",$C$36&amp;"  –  ORTAK ÇEKİŞ / AVANS  ("&amp;INDEX(VIRMAN!$D$7:$D$406,$T134)&amp;" hesabından)"&amp;IF(INDEX(VIRMAN!$G$7:$G$406,$T134)="",""," – "&amp;INDEX(VIRMAN!$G$7:$G$406,$T134)))</f>
        <v/>
      </c>
      <c r="P134" s="1" t="str">
        <f t="shared" si="34"/>
        <v/>
      </c>
      <c r="Q134" s="1">
        <f>0</f>
        <v>0</v>
      </c>
      <c r="R134" s="1">
        <f>IF($N134="",0,INDEX(VIRMAN!$F$7:$F$406,$T134))</f>
        <v>0</v>
      </c>
      <c r="S134" s="1">
        <f t="shared" ref="S134:S165" si="42">IF($N134="",10000000000,$N134*100000+$M134)</f>
        <v>10000000000</v>
      </c>
      <c r="T134" s="1">
        <f>IFERROR(MATCH($C$36&amp;"|61",VIRMAN!$M$7:$M$406,0),0)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9</v>
      </c>
    </row>
    <row r="135" spans="1:23" ht="19.5" customHeight="1" x14ac:dyDescent="0.3">
      <c r="A135" s="2"/>
      <c r="B135" s="65" t="str">
        <f t="shared" si="35"/>
        <v/>
      </c>
      <c r="C135" s="70" t="str">
        <f t="shared" si="36"/>
        <v/>
      </c>
      <c r="D135" s="201" t="str">
        <f t="shared" si="37"/>
        <v/>
      </c>
      <c r="E135" s="141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IF($T135=0,"",INDEX(VIRMAN!$C$7:$C$406,$T135))</f>
        <v/>
      </c>
      <c r="O135" s="1" t="str">
        <f>IF($N135="","",$C$36&amp;"  –  ORTAK ÇEKİŞ / AVANS  ("&amp;INDEX(VIRMAN!$D$7:$D$406,$T135)&amp;" hesabından)"&amp;IF(INDEX(VIRMAN!$G$7:$G$406,$T135)="",""," – "&amp;INDEX(VIRMAN!$G$7:$G$406,$T135)))</f>
        <v/>
      </c>
      <c r="P135" s="1" t="str">
        <f t="shared" si="34"/>
        <v/>
      </c>
      <c r="Q135" s="1">
        <f>0</f>
        <v>0</v>
      </c>
      <c r="R135" s="1">
        <f>IF($N135="",0,INDEX(VIRMAN!$F$7:$F$406,$T135))</f>
        <v>0</v>
      </c>
      <c r="S135" s="1">
        <f t="shared" si="42"/>
        <v>10000000000</v>
      </c>
      <c r="T135" s="1">
        <f>IFERROR(MATCH($C$36&amp;"|62",VIRMAN!$M$7:$M$406,0),0)</f>
        <v>0</v>
      </c>
      <c r="U135" s="1"/>
      <c r="V135" s="1">
        <f t="shared" si="43"/>
        <v>10000000000</v>
      </c>
      <c r="W135" s="1">
        <f t="shared" si="44"/>
        <v>9</v>
      </c>
    </row>
    <row r="136" spans="1:23" ht="19.5" customHeight="1" x14ac:dyDescent="0.3">
      <c r="A136" s="2"/>
      <c r="B136" s="65" t="str">
        <f t="shared" si="35"/>
        <v/>
      </c>
      <c r="C136" s="70" t="str">
        <f t="shared" si="36"/>
        <v/>
      </c>
      <c r="D136" s="201" t="str">
        <f t="shared" si="37"/>
        <v/>
      </c>
      <c r="E136" s="141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IF($T136=0,"",INDEX(VIRMAN!$C$7:$C$406,$T136))</f>
        <v/>
      </c>
      <c r="O136" s="1" t="str">
        <f>IF($N136="","",$C$36&amp;"  –  ORTAK ÇEKİŞ / AVANS  ("&amp;INDEX(VIRMAN!$D$7:$D$406,$T136)&amp;" hesabından)"&amp;IF(INDEX(VIRMAN!$G$7:$G$406,$T136)="",""," – "&amp;INDEX(VIRMAN!$G$7:$G$406,$T136)))</f>
        <v/>
      </c>
      <c r="P136" s="1" t="str">
        <f t="shared" si="34"/>
        <v/>
      </c>
      <c r="Q136" s="1">
        <f>0</f>
        <v>0</v>
      </c>
      <c r="R136" s="1">
        <f>IF($N136="",0,INDEX(VIRMAN!$F$7:$F$406,$T136))</f>
        <v>0</v>
      </c>
      <c r="S136" s="1">
        <f t="shared" si="42"/>
        <v>10000000000</v>
      </c>
      <c r="T136" s="1">
        <f>IFERROR(MATCH($C$36&amp;"|63",VIRMAN!$M$7:$M$406,0),0)</f>
        <v>0</v>
      </c>
      <c r="U136" s="1"/>
      <c r="V136" s="1">
        <f t="shared" si="43"/>
        <v>10000000000</v>
      </c>
      <c r="W136" s="1">
        <f t="shared" si="44"/>
        <v>9</v>
      </c>
    </row>
    <row r="137" spans="1:23" ht="19.5" customHeight="1" x14ac:dyDescent="0.3">
      <c r="A137" s="2"/>
      <c r="B137" s="65" t="str">
        <f t="shared" si="35"/>
        <v/>
      </c>
      <c r="C137" s="70" t="str">
        <f t="shared" si="36"/>
        <v/>
      </c>
      <c r="D137" s="201" t="str">
        <f t="shared" si="37"/>
        <v/>
      </c>
      <c r="E137" s="141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IF($T137=0,"",INDEX(VIRMAN!$C$7:$C$406,$T137))</f>
        <v/>
      </c>
      <c r="O137" s="1" t="str">
        <f>IF($N137="","",$C$36&amp;"  –  ORTAK ÇEKİŞ / AVANS  ("&amp;INDEX(VIRMAN!$D$7:$D$406,$T137)&amp;" hesabından)"&amp;IF(INDEX(VIRMAN!$G$7:$G$406,$T137)="",""," – "&amp;INDEX(VIRMAN!$G$7:$G$406,$T137)))</f>
        <v/>
      </c>
      <c r="P137" s="1" t="str">
        <f t="shared" si="34"/>
        <v/>
      </c>
      <c r="Q137" s="1">
        <f>0</f>
        <v>0</v>
      </c>
      <c r="R137" s="1">
        <f>IF($N137="",0,INDEX(VIRMAN!$F$7:$F$406,$T137))</f>
        <v>0</v>
      </c>
      <c r="S137" s="1">
        <f t="shared" si="42"/>
        <v>10000000000</v>
      </c>
      <c r="T137" s="1">
        <f>IFERROR(MATCH($C$36&amp;"|64",VIRMAN!$M$7:$M$406,0),0)</f>
        <v>0</v>
      </c>
      <c r="U137" s="1"/>
      <c r="V137" s="1">
        <f t="shared" si="43"/>
        <v>10000000000</v>
      </c>
      <c r="W137" s="1">
        <f t="shared" si="44"/>
        <v>9</v>
      </c>
    </row>
    <row r="138" spans="1:23" ht="19.5" customHeight="1" x14ac:dyDescent="0.3">
      <c r="A138" s="2"/>
      <c r="B138" s="65" t="str">
        <f t="shared" si="35"/>
        <v/>
      </c>
      <c r="C138" s="70" t="str">
        <f t="shared" si="36"/>
        <v/>
      </c>
      <c r="D138" s="201" t="str">
        <f t="shared" si="37"/>
        <v/>
      </c>
      <c r="E138" s="141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IF($T138=0,"",INDEX(VIRMAN!$C$7:$C$406,$T138))</f>
        <v/>
      </c>
      <c r="O138" s="1" t="str">
        <f>IF($N138="","",$C$36&amp;"  –  ORTAK ÇEKİŞ / AVANS  ("&amp;INDEX(VIRMAN!$D$7:$D$406,$T138)&amp;" hesabından)"&amp;IF(INDEX(VIRMAN!$G$7:$G$406,$T138)="",""," – "&amp;INDEX(VIRMAN!$G$7:$G$406,$T138)))</f>
        <v/>
      </c>
      <c r="P138" s="1" t="str">
        <f t="shared" ref="P138:P169" si="45">IF($N138="","","ÇEKİŞ / AVANS")</f>
        <v/>
      </c>
      <c r="Q138" s="1">
        <f>0</f>
        <v>0</v>
      </c>
      <c r="R138" s="1">
        <f>IF($N138="",0,INDEX(VIRMAN!$F$7:$F$406,$T138))</f>
        <v>0</v>
      </c>
      <c r="S138" s="1">
        <f t="shared" si="42"/>
        <v>10000000000</v>
      </c>
      <c r="T138" s="1">
        <f>IFERROR(MATCH($C$36&amp;"|65",VIRMAN!$M$7:$M$406,0),0)</f>
        <v>0</v>
      </c>
      <c r="U138" s="1"/>
      <c r="V138" s="1">
        <f t="shared" si="43"/>
        <v>10000000000</v>
      </c>
      <c r="W138" s="1">
        <f t="shared" si="44"/>
        <v>9</v>
      </c>
    </row>
    <row r="139" spans="1:23" ht="19.5" customHeight="1" x14ac:dyDescent="0.3">
      <c r="A139" s="2"/>
      <c r="B139" s="65" t="str">
        <f t="shared" si="35"/>
        <v/>
      </c>
      <c r="C139" s="70" t="str">
        <f t="shared" si="36"/>
        <v/>
      </c>
      <c r="D139" s="201" t="str">
        <f t="shared" si="37"/>
        <v/>
      </c>
      <c r="E139" s="141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IF($T139=0,"",INDEX(VIRMAN!$C$7:$C$406,$T139))</f>
        <v/>
      </c>
      <c r="O139" s="1" t="str">
        <f>IF($N139="","",$C$36&amp;"  –  ORTAK ÇEKİŞ / AVANS  ("&amp;INDEX(VIRMAN!$D$7:$D$406,$T139)&amp;" hesabından)"&amp;IF(INDEX(VIRMAN!$G$7:$G$406,$T139)="",""," – "&amp;INDEX(VIRMAN!$G$7:$G$406,$T139)))</f>
        <v/>
      </c>
      <c r="P139" s="1" t="str">
        <f t="shared" si="45"/>
        <v/>
      </c>
      <c r="Q139" s="1">
        <f>0</f>
        <v>0</v>
      </c>
      <c r="R139" s="1">
        <f>IF($N139="",0,INDEX(VIRMAN!$F$7:$F$406,$T139))</f>
        <v>0</v>
      </c>
      <c r="S139" s="1">
        <f t="shared" si="42"/>
        <v>10000000000</v>
      </c>
      <c r="T139" s="1">
        <f>IFERROR(MATCH($C$36&amp;"|66",VIRMAN!$M$7:$M$406,0),0)</f>
        <v>0</v>
      </c>
      <c r="U139" s="1"/>
      <c r="V139" s="1">
        <f t="shared" si="43"/>
        <v>10000000000</v>
      </c>
      <c r="W139" s="1">
        <f t="shared" si="44"/>
        <v>9</v>
      </c>
    </row>
    <row r="140" spans="1:23" ht="19.5" customHeight="1" x14ac:dyDescent="0.3">
      <c r="A140" s="2"/>
      <c r="B140" s="65" t="str">
        <f t="shared" si="35"/>
        <v/>
      </c>
      <c r="C140" s="70" t="str">
        <f t="shared" si="36"/>
        <v/>
      </c>
      <c r="D140" s="201" t="str">
        <f t="shared" si="37"/>
        <v/>
      </c>
      <c r="E140" s="141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IF($T140=0,"",INDEX(VIRMAN!$C$7:$C$406,$T140))</f>
        <v/>
      </c>
      <c r="O140" s="1" t="str">
        <f>IF($N140="","",$C$36&amp;"  –  ORTAK ÇEKİŞ / AVANS  ("&amp;INDEX(VIRMAN!$D$7:$D$406,$T140)&amp;" hesabından)"&amp;IF(INDEX(VIRMAN!$G$7:$G$406,$T140)="",""," – "&amp;INDEX(VIRMAN!$G$7:$G$406,$T140)))</f>
        <v/>
      </c>
      <c r="P140" s="1" t="str">
        <f t="shared" si="45"/>
        <v/>
      </c>
      <c r="Q140" s="1">
        <f>0</f>
        <v>0</v>
      </c>
      <c r="R140" s="1">
        <f>IF($N140="",0,INDEX(VIRMAN!$F$7:$F$406,$T140))</f>
        <v>0</v>
      </c>
      <c r="S140" s="1">
        <f t="shared" si="42"/>
        <v>10000000000</v>
      </c>
      <c r="T140" s="1">
        <f>IFERROR(MATCH($C$36&amp;"|67",VIRMAN!$M$7:$M$406,0),0)</f>
        <v>0</v>
      </c>
      <c r="U140" s="1"/>
      <c r="V140" s="1">
        <f t="shared" si="43"/>
        <v>10000000000</v>
      </c>
      <c r="W140" s="1">
        <f t="shared" si="44"/>
        <v>9</v>
      </c>
    </row>
    <row r="141" spans="1:23" ht="19.5" customHeight="1" x14ac:dyDescent="0.3">
      <c r="A141" s="2"/>
      <c r="B141" s="65" t="str">
        <f t="shared" si="35"/>
        <v/>
      </c>
      <c r="C141" s="70" t="str">
        <f t="shared" si="36"/>
        <v/>
      </c>
      <c r="D141" s="201" t="str">
        <f t="shared" si="37"/>
        <v/>
      </c>
      <c r="E141" s="141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IF($T141=0,"",INDEX(VIRMAN!$C$7:$C$406,$T141))</f>
        <v/>
      </c>
      <c r="O141" s="1" t="str">
        <f>IF($N141="","",$C$36&amp;"  –  ORTAK ÇEKİŞ / AVANS  ("&amp;INDEX(VIRMAN!$D$7:$D$406,$T141)&amp;" hesabından)"&amp;IF(INDEX(VIRMAN!$G$7:$G$406,$T141)="",""," – "&amp;INDEX(VIRMAN!$G$7:$G$406,$T141)))</f>
        <v/>
      </c>
      <c r="P141" s="1" t="str">
        <f t="shared" si="45"/>
        <v/>
      </c>
      <c r="Q141" s="1">
        <f>0</f>
        <v>0</v>
      </c>
      <c r="R141" s="1">
        <f>IF($N141="",0,INDEX(VIRMAN!$F$7:$F$406,$T141))</f>
        <v>0</v>
      </c>
      <c r="S141" s="1">
        <f t="shared" si="42"/>
        <v>10000000000</v>
      </c>
      <c r="T141" s="1">
        <f>IFERROR(MATCH($C$36&amp;"|68",VIRMAN!$M$7:$M$406,0),0)</f>
        <v>0</v>
      </c>
      <c r="U141" s="1"/>
      <c r="V141" s="1">
        <f t="shared" si="43"/>
        <v>10000000000</v>
      </c>
      <c r="W141" s="1">
        <f t="shared" si="44"/>
        <v>9</v>
      </c>
    </row>
    <row r="142" spans="1:23" ht="19.5" customHeight="1" x14ac:dyDescent="0.3">
      <c r="A142" s="2"/>
      <c r="B142" s="65" t="str">
        <f t="shared" si="35"/>
        <v/>
      </c>
      <c r="C142" s="70" t="str">
        <f t="shared" si="36"/>
        <v/>
      </c>
      <c r="D142" s="201" t="str">
        <f t="shared" si="37"/>
        <v/>
      </c>
      <c r="E142" s="141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IF($T142=0,"",INDEX(VIRMAN!$C$7:$C$406,$T142))</f>
        <v/>
      </c>
      <c r="O142" s="1" t="str">
        <f>IF($N142="","",$C$36&amp;"  –  ORTAK ÇEKİŞ / AVANS  ("&amp;INDEX(VIRMAN!$D$7:$D$406,$T142)&amp;" hesabından)"&amp;IF(INDEX(VIRMAN!$G$7:$G$406,$T142)="",""," – "&amp;INDEX(VIRMAN!$G$7:$G$406,$T142)))</f>
        <v/>
      </c>
      <c r="P142" s="1" t="str">
        <f t="shared" si="45"/>
        <v/>
      </c>
      <c r="Q142" s="1">
        <f>0</f>
        <v>0</v>
      </c>
      <c r="R142" s="1">
        <f>IF($N142="",0,INDEX(VIRMAN!$F$7:$F$406,$T142))</f>
        <v>0</v>
      </c>
      <c r="S142" s="1">
        <f t="shared" si="42"/>
        <v>10000000000</v>
      </c>
      <c r="T142" s="1">
        <f>IFERROR(MATCH($C$36&amp;"|69",VIRMAN!$M$7:$M$406,0),0)</f>
        <v>0</v>
      </c>
      <c r="U142" s="1"/>
      <c r="V142" s="1">
        <f t="shared" si="43"/>
        <v>10000000000</v>
      </c>
      <c r="W142" s="1">
        <f t="shared" si="44"/>
        <v>9</v>
      </c>
    </row>
    <row r="143" spans="1:23" ht="19.5" customHeight="1" x14ac:dyDescent="0.3">
      <c r="A143" s="2"/>
      <c r="B143" s="65" t="str">
        <f t="shared" si="35"/>
        <v/>
      </c>
      <c r="C143" s="70" t="str">
        <f t="shared" si="36"/>
        <v/>
      </c>
      <c r="D143" s="201" t="str">
        <f t="shared" si="37"/>
        <v/>
      </c>
      <c r="E143" s="141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IF($T143=0,"",INDEX(VIRMAN!$C$7:$C$406,$T143))</f>
        <v/>
      </c>
      <c r="O143" s="1" t="str">
        <f>IF($N143="","",$C$36&amp;"  –  ORTAK ÇEKİŞ / AVANS  ("&amp;INDEX(VIRMAN!$D$7:$D$406,$T143)&amp;" hesabından)"&amp;IF(INDEX(VIRMAN!$G$7:$G$406,$T143)="",""," – "&amp;INDEX(VIRMAN!$G$7:$G$406,$T143)))</f>
        <v/>
      </c>
      <c r="P143" s="1" t="str">
        <f t="shared" si="45"/>
        <v/>
      </c>
      <c r="Q143" s="1">
        <f>0</f>
        <v>0</v>
      </c>
      <c r="R143" s="1">
        <f>IF($N143="",0,INDEX(VIRMAN!$F$7:$F$406,$T143))</f>
        <v>0</v>
      </c>
      <c r="S143" s="1">
        <f t="shared" si="42"/>
        <v>10000000000</v>
      </c>
      <c r="T143" s="1">
        <f>IFERROR(MATCH($C$36&amp;"|70",VIRMAN!$M$7:$M$406,0),0)</f>
        <v>0</v>
      </c>
      <c r="U143" s="1"/>
      <c r="V143" s="1">
        <f t="shared" si="43"/>
        <v>10000000000</v>
      </c>
      <c r="W143" s="1">
        <f t="shared" si="44"/>
        <v>9</v>
      </c>
    </row>
    <row r="144" spans="1:23" ht="19.5" customHeight="1" x14ac:dyDescent="0.3">
      <c r="A144" s="2"/>
      <c r="B144" s="65" t="str">
        <f t="shared" si="35"/>
        <v/>
      </c>
      <c r="C144" s="70" t="str">
        <f t="shared" si="36"/>
        <v/>
      </c>
      <c r="D144" s="201" t="str">
        <f t="shared" si="37"/>
        <v/>
      </c>
      <c r="E144" s="141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IF($T144=0,"",INDEX(VIRMAN!$C$7:$C$406,$T144))</f>
        <v/>
      </c>
      <c r="O144" s="1" t="str">
        <f>IF($N144="","",$C$36&amp;"  –  ORTAK ÇEKİŞ / AVANS  ("&amp;INDEX(VIRMAN!$D$7:$D$406,$T144)&amp;" hesabından)"&amp;IF(INDEX(VIRMAN!$G$7:$G$406,$T144)="",""," – "&amp;INDEX(VIRMAN!$G$7:$G$406,$T144)))</f>
        <v/>
      </c>
      <c r="P144" s="1" t="str">
        <f t="shared" si="45"/>
        <v/>
      </c>
      <c r="Q144" s="1">
        <f>0</f>
        <v>0</v>
      </c>
      <c r="R144" s="1">
        <f>IF($N144="",0,INDEX(VIRMAN!$F$7:$F$406,$T144))</f>
        <v>0</v>
      </c>
      <c r="S144" s="1">
        <f t="shared" si="42"/>
        <v>10000000000</v>
      </c>
      <c r="T144" s="1">
        <f>IFERROR(MATCH($C$36&amp;"|71",VIRMAN!$M$7:$M$406,0),0)</f>
        <v>0</v>
      </c>
      <c r="U144" s="1"/>
      <c r="V144" s="1">
        <f t="shared" si="43"/>
        <v>10000000000</v>
      </c>
      <c r="W144" s="1">
        <f t="shared" si="44"/>
        <v>9</v>
      </c>
    </row>
    <row r="145" spans="1:23" ht="19.5" customHeight="1" x14ac:dyDescent="0.3">
      <c r="A145" s="2"/>
      <c r="B145" s="65" t="str">
        <f t="shared" si="35"/>
        <v/>
      </c>
      <c r="C145" s="70" t="str">
        <f t="shared" si="36"/>
        <v/>
      </c>
      <c r="D145" s="201" t="str">
        <f t="shared" si="37"/>
        <v/>
      </c>
      <c r="E145" s="141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IF($T145=0,"",INDEX(VIRMAN!$C$7:$C$406,$T145))</f>
        <v/>
      </c>
      <c r="O145" s="1" t="str">
        <f>IF($N145="","",$C$36&amp;"  –  ORTAK ÇEKİŞ / AVANS  ("&amp;INDEX(VIRMAN!$D$7:$D$406,$T145)&amp;" hesabından)"&amp;IF(INDEX(VIRMAN!$G$7:$G$406,$T145)="",""," – "&amp;INDEX(VIRMAN!$G$7:$G$406,$T145)))</f>
        <v/>
      </c>
      <c r="P145" s="1" t="str">
        <f t="shared" si="45"/>
        <v/>
      </c>
      <c r="Q145" s="1">
        <f>0</f>
        <v>0</v>
      </c>
      <c r="R145" s="1">
        <f>IF($N145="",0,INDEX(VIRMAN!$F$7:$F$406,$T145))</f>
        <v>0</v>
      </c>
      <c r="S145" s="1">
        <f t="shared" si="42"/>
        <v>10000000000</v>
      </c>
      <c r="T145" s="1">
        <f>IFERROR(MATCH($C$36&amp;"|72",VIRMAN!$M$7:$M$406,0),0)</f>
        <v>0</v>
      </c>
      <c r="U145" s="1"/>
      <c r="V145" s="1">
        <f t="shared" si="43"/>
        <v>10000000000</v>
      </c>
      <c r="W145" s="1">
        <f t="shared" si="44"/>
        <v>9</v>
      </c>
    </row>
    <row r="146" spans="1:23" ht="19.5" customHeight="1" x14ac:dyDescent="0.3">
      <c r="A146" s="2"/>
      <c r="B146" s="65" t="str">
        <f t="shared" si="35"/>
        <v/>
      </c>
      <c r="C146" s="70" t="str">
        <f t="shared" si="36"/>
        <v/>
      </c>
      <c r="D146" s="201" t="str">
        <f t="shared" si="37"/>
        <v/>
      </c>
      <c r="E146" s="141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IF($T146=0,"",INDEX(VIRMAN!$C$7:$C$406,$T146))</f>
        <v/>
      </c>
      <c r="O146" s="1" t="str">
        <f>IF($N146="","",$C$36&amp;"  –  ORTAK ÇEKİŞ / AVANS  ("&amp;INDEX(VIRMAN!$D$7:$D$406,$T146)&amp;" hesabından)"&amp;IF(INDEX(VIRMAN!$G$7:$G$406,$T146)="",""," – "&amp;INDEX(VIRMAN!$G$7:$G$406,$T146)))</f>
        <v/>
      </c>
      <c r="P146" s="1" t="str">
        <f t="shared" si="45"/>
        <v/>
      </c>
      <c r="Q146" s="1">
        <f>0</f>
        <v>0</v>
      </c>
      <c r="R146" s="1">
        <f>IF($N146="",0,INDEX(VIRMAN!$F$7:$F$406,$T146))</f>
        <v>0</v>
      </c>
      <c r="S146" s="1">
        <f t="shared" si="42"/>
        <v>10000000000</v>
      </c>
      <c r="T146" s="1">
        <f>IFERROR(MATCH($C$36&amp;"|73",VIRMAN!$M$7:$M$406,0),0)</f>
        <v>0</v>
      </c>
      <c r="U146" s="1"/>
      <c r="V146" s="1">
        <f t="shared" si="43"/>
        <v>10000000000</v>
      </c>
      <c r="W146" s="1">
        <f t="shared" si="44"/>
        <v>9</v>
      </c>
    </row>
    <row r="147" spans="1:23" ht="19.5" customHeight="1" x14ac:dyDescent="0.3">
      <c r="A147" s="2"/>
      <c r="B147" s="65" t="str">
        <f t="shared" si="35"/>
        <v/>
      </c>
      <c r="C147" s="70" t="str">
        <f t="shared" si="36"/>
        <v/>
      </c>
      <c r="D147" s="201" t="str">
        <f t="shared" si="37"/>
        <v/>
      </c>
      <c r="E147" s="141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IF($T147=0,"",INDEX(VIRMAN!$C$7:$C$406,$T147))</f>
        <v/>
      </c>
      <c r="O147" s="1" t="str">
        <f>IF($N147="","",$C$36&amp;"  –  ORTAK ÇEKİŞ / AVANS  ("&amp;INDEX(VIRMAN!$D$7:$D$406,$T147)&amp;" hesabından)"&amp;IF(INDEX(VIRMAN!$G$7:$G$406,$T147)="",""," – "&amp;INDEX(VIRMAN!$G$7:$G$406,$T147)))</f>
        <v/>
      </c>
      <c r="P147" s="1" t="str">
        <f t="shared" si="45"/>
        <v/>
      </c>
      <c r="Q147" s="1">
        <f>0</f>
        <v>0</v>
      </c>
      <c r="R147" s="1">
        <f>IF($N147="",0,INDEX(VIRMAN!$F$7:$F$406,$T147))</f>
        <v>0</v>
      </c>
      <c r="S147" s="1">
        <f t="shared" si="42"/>
        <v>10000000000</v>
      </c>
      <c r="T147" s="1">
        <f>IFERROR(MATCH($C$36&amp;"|74",VIRMAN!$M$7:$M$406,0),0)</f>
        <v>0</v>
      </c>
      <c r="U147" s="1"/>
      <c r="V147" s="1">
        <f t="shared" si="43"/>
        <v>10000000000</v>
      </c>
      <c r="W147" s="1">
        <f t="shared" si="44"/>
        <v>9</v>
      </c>
    </row>
    <row r="148" spans="1:23" ht="19.5" customHeight="1" x14ac:dyDescent="0.3">
      <c r="A148" s="2"/>
      <c r="B148" s="65" t="str">
        <f t="shared" si="35"/>
        <v/>
      </c>
      <c r="C148" s="70" t="str">
        <f t="shared" si="36"/>
        <v/>
      </c>
      <c r="D148" s="201" t="str">
        <f t="shared" si="37"/>
        <v/>
      </c>
      <c r="E148" s="141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IF($T148=0,"",INDEX(VIRMAN!$C$7:$C$406,$T148))</f>
        <v/>
      </c>
      <c r="O148" s="1" t="str">
        <f>IF($N148="","",$C$36&amp;"  –  ORTAK ÇEKİŞ / AVANS  ("&amp;INDEX(VIRMAN!$D$7:$D$406,$T148)&amp;" hesabından)"&amp;IF(INDEX(VIRMAN!$G$7:$G$406,$T148)="",""," – "&amp;INDEX(VIRMAN!$G$7:$G$406,$T148)))</f>
        <v/>
      </c>
      <c r="P148" s="1" t="str">
        <f t="shared" si="45"/>
        <v/>
      </c>
      <c r="Q148" s="1">
        <f>0</f>
        <v>0</v>
      </c>
      <c r="R148" s="1">
        <f>IF($N148="",0,INDEX(VIRMAN!$F$7:$F$406,$T148))</f>
        <v>0</v>
      </c>
      <c r="S148" s="1">
        <f t="shared" si="42"/>
        <v>10000000000</v>
      </c>
      <c r="T148" s="1">
        <f>IFERROR(MATCH($C$36&amp;"|75",VIRMAN!$M$7:$M$406,0),0)</f>
        <v>0</v>
      </c>
      <c r="U148" s="1"/>
      <c r="V148" s="1">
        <f t="shared" si="43"/>
        <v>10000000000</v>
      </c>
      <c r="W148" s="1">
        <f t="shared" si="44"/>
        <v>9</v>
      </c>
    </row>
    <row r="149" spans="1:23" ht="19.5" customHeight="1" x14ac:dyDescent="0.3">
      <c r="A149" s="2"/>
      <c r="B149" s="65" t="str">
        <f t="shared" si="35"/>
        <v/>
      </c>
      <c r="C149" s="70" t="str">
        <f t="shared" si="36"/>
        <v/>
      </c>
      <c r="D149" s="201" t="str">
        <f t="shared" si="37"/>
        <v/>
      </c>
      <c r="E149" s="141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IF($T149=0,"",INDEX(VIRMAN!$C$7:$C$406,$T149))</f>
        <v/>
      </c>
      <c r="O149" s="1" t="str">
        <f>IF($N149="","",$C$36&amp;"  –  ORTAK ÇEKİŞ / AVANS  ("&amp;INDEX(VIRMAN!$D$7:$D$406,$T149)&amp;" hesabından)"&amp;IF(INDEX(VIRMAN!$G$7:$G$406,$T149)="",""," – "&amp;INDEX(VIRMAN!$G$7:$G$406,$T149)))</f>
        <v/>
      </c>
      <c r="P149" s="1" t="str">
        <f t="shared" si="45"/>
        <v/>
      </c>
      <c r="Q149" s="1">
        <f>0</f>
        <v>0</v>
      </c>
      <c r="R149" s="1">
        <f>IF($N149="",0,INDEX(VIRMAN!$F$7:$F$406,$T149))</f>
        <v>0</v>
      </c>
      <c r="S149" s="1">
        <f t="shared" si="42"/>
        <v>10000000000</v>
      </c>
      <c r="T149" s="1">
        <f>IFERROR(MATCH($C$36&amp;"|76",VIRMAN!$M$7:$M$406,0),0)</f>
        <v>0</v>
      </c>
      <c r="U149" s="1"/>
      <c r="V149" s="1">
        <f t="shared" si="43"/>
        <v>10000000000</v>
      </c>
      <c r="W149" s="1">
        <f t="shared" si="44"/>
        <v>9</v>
      </c>
    </row>
    <row r="150" spans="1:23" ht="19.5" customHeight="1" x14ac:dyDescent="0.3">
      <c r="A150" s="2"/>
      <c r="B150" s="65" t="str">
        <f t="shared" si="35"/>
        <v/>
      </c>
      <c r="C150" s="70" t="str">
        <f t="shared" si="36"/>
        <v/>
      </c>
      <c r="D150" s="201" t="str">
        <f t="shared" si="37"/>
        <v/>
      </c>
      <c r="E150" s="141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IF($T150=0,"",INDEX(VIRMAN!$C$7:$C$406,$T150))</f>
        <v/>
      </c>
      <c r="O150" s="1" t="str">
        <f>IF($N150="","",$C$36&amp;"  –  ORTAK ÇEKİŞ / AVANS  ("&amp;INDEX(VIRMAN!$D$7:$D$406,$T150)&amp;" hesabından)"&amp;IF(INDEX(VIRMAN!$G$7:$G$406,$T150)="",""," – "&amp;INDEX(VIRMAN!$G$7:$G$406,$T150)))</f>
        <v/>
      </c>
      <c r="P150" s="1" t="str">
        <f t="shared" si="45"/>
        <v/>
      </c>
      <c r="Q150" s="1">
        <f>0</f>
        <v>0</v>
      </c>
      <c r="R150" s="1">
        <f>IF($N150="",0,INDEX(VIRMAN!$F$7:$F$406,$T150))</f>
        <v>0</v>
      </c>
      <c r="S150" s="1">
        <f t="shared" si="42"/>
        <v>10000000000</v>
      </c>
      <c r="T150" s="1">
        <f>IFERROR(MATCH($C$36&amp;"|77",VIRMAN!$M$7:$M$406,0),0)</f>
        <v>0</v>
      </c>
      <c r="U150" s="1"/>
      <c r="V150" s="1">
        <f t="shared" si="43"/>
        <v>10000000000</v>
      </c>
      <c r="W150" s="1">
        <f t="shared" si="44"/>
        <v>9</v>
      </c>
    </row>
    <row r="151" spans="1:23" ht="19.5" customHeight="1" x14ac:dyDescent="0.3">
      <c r="A151" s="2"/>
      <c r="B151" s="65" t="str">
        <f t="shared" si="35"/>
        <v/>
      </c>
      <c r="C151" s="70" t="str">
        <f t="shared" si="36"/>
        <v/>
      </c>
      <c r="D151" s="201" t="str">
        <f t="shared" si="37"/>
        <v/>
      </c>
      <c r="E151" s="141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IF($T151=0,"",INDEX(VIRMAN!$C$7:$C$406,$T151))</f>
        <v/>
      </c>
      <c r="O151" s="1" t="str">
        <f>IF($N151="","",$C$36&amp;"  –  ORTAK ÇEKİŞ / AVANS  ("&amp;INDEX(VIRMAN!$D$7:$D$406,$T151)&amp;" hesabından)"&amp;IF(INDEX(VIRMAN!$G$7:$G$406,$T151)="",""," – "&amp;INDEX(VIRMAN!$G$7:$G$406,$T151)))</f>
        <v/>
      </c>
      <c r="P151" s="1" t="str">
        <f t="shared" si="45"/>
        <v/>
      </c>
      <c r="Q151" s="1">
        <f>0</f>
        <v>0</v>
      </c>
      <c r="R151" s="1">
        <f>IF($N151="",0,INDEX(VIRMAN!$F$7:$F$406,$T151))</f>
        <v>0</v>
      </c>
      <c r="S151" s="1">
        <f t="shared" si="42"/>
        <v>10000000000</v>
      </c>
      <c r="T151" s="1">
        <f>IFERROR(MATCH($C$36&amp;"|78",VIRMAN!$M$7:$M$406,0),0)</f>
        <v>0</v>
      </c>
      <c r="U151" s="1"/>
      <c r="V151" s="1">
        <f t="shared" si="43"/>
        <v>10000000000</v>
      </c>
      <c r="W151" s="1">
        <f t="shared" si="44"/>
        <v>9</v>
      </c>
    </row>
    <row r="152" spans="1:23" ht="19.5" customHeight="1" x14ac:dyDescent="0.3">
      <c r="A152" s="2"/>
      <c r="B152" s="65" t="str">
        <f t="shared" si="35"/>
        <v/>
      </c>
      <c r="C152" s="70" t="str">
        <f t="shared" si="36"/>
        <v/>
      </c>
      <c r="D152" s="201" t="str">
        <f t="shared" si="37"/>
        <v/>
      </c>
      <c r="E152" s="141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IF($T152=0,"",INDEX(VIRMAN!$C$7:$C$406,$T152))</f>
        <v/>
      </c>
      <c r="O152" s="1" t="str">
        <f>IF($N152="","",$C$36&amp;"  –  ORTAK ÇEKİŞ / AVANS  ("&amp;INDEX(VIRMAN!$D$7:$D$406,$T152)&amp;" hesabından)"&amp;IF(INDEX(VIRMAN!$G$7:$G$406,$T152)="",""," – "&amp;INDEX(VIRMAN!$G$7:$G$406,$T152)))</f>
        <v/>
      </c>
      <c r="P152" s="1" t="str">
        <f t="shared" si="45"/>
        <v/>
      </c>
      <c r="Q152" s="1">
        <f>0</f>
        <v>0</v>
      </c>
      <c r="R152" s="1">
        <f>IF($N152="",0,INDEX(VIRMAN!$F$7:$F$406,$T152))</f>
        <v>0</v>
      </c>
      <c r="S152" s="1">
        <f t="shared" si="42"/>
        <v>10000000000</v>
      </c>
      <c r="T152" s="1">
        <f>IFERROR(MATCH($C$36&amp;"|79",VIRMAN!$M$7:$M$406,0),0)</f>
        <v>0</v>
      </c>
      <c r="U152" s="1"/>
      <c r="V152" s="1">
        <f t="shared" si="43"/>
        <v>10000000000</v>
      </c>
      <c r="W152" s="1">
        <f t="shared" si="44"/>
        <v>9</v>
      </c>
    </row>
    <row r="153" spans="1:23" ht="19.5" customHeight="1" x14ac:dyDescent="0.3">
      <c r="A153" s="2"/>
      <c r="B153" s="65" t="str">
        <f t="shared" si="35"/>
        <v/>
      </c>
      <c r="C153" s="70" t="str">
        <f t="shared" si="36"/>
        <v/>
      </c>
      <c r="D153" s="201" t="str">
        <f t="shared" si="37"/>
        <v/>
      </c>
      <c r="E153" s="141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IF($T153=0,"",INDEX(VIRMAN!$C$7:$C$406,$T153))</f>
        <v/>
      </c>
      <c r="O153" s="1" t="str">
        <f>IF($N153="","",$C$36&amp;"  –  ORTAK ÇEKİŞ / AVANS  ("&amp;INDEX(VIRMAN!$D$7:$D$406,$T153)&amp;" hesabından)"&amp;IF(INDEX(VIRMAN!$G$7:$G$406,$T153)="",""," – "&amp;INDEX(VIRMAN!$G$7:$G$406,$T153)))</f>
        <v/>
      </c>
      <c r="P153" s="1" t="str">
        <f t="shared" si="45"/>
        <v/>
      </c>
      <c r="Q153" s="1">
        <f>0</f>
        <v>0</v>
      </c>
      <c r="R153" s="1">
        <f>IF($N153="",0,INDEX(VIRMAN!$F$7:$F$406,$T153))</f>
        <v>0</v>
      </c>
      <c r="S153" s="1">
        <f t="shared" si="42"/>
        <v>10000000000</v>
      </c>
      <c r="T153" s="1">
        <f>IFERROR(MATCH($C$36&amp;"|80",VIRMAN!$M$7:$M$406,0),0)</f>
        <v>0</v>
      </c>
      <c r="U153" s="1"/>
      <c r="V153" s="1">
        <f t="shared" si="43"/>
        <v>10000000000</v>
      </c>
      <c r="W153" s="1">
        <f t="shared" si="44"/>
        <v>9</v>
      </c>
    </row>
    <row r="154" spans="1:23" ht="19.5" customHeight="1" x14ac:dyDescent="0.3">
      <c r="A154" s="2"/>
      <c r="B154" s="65" t="str">
        <f t="shared" si="35"/>
        <v/>
      </c>
      <c r="C154" s="70" t="str">
        <f t="shared" si="36"/>
        <v/>
      </c>
      <c r="D154" s="201" t="str">
        <f t="shared" si="37"/>
        <v/>
      </c>
      <c r="E154" s="141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IF($T154=0,"",INDEX(VIRMAN!$C$7:$C$406,$T154))</f>
        <v/>
      </c>
      <c r="O154" s="1" t="str">
        <f>IF($N154="","",$C$36&amp;"  –  ORTAK ÇEKİŞ / AVANS  ("&amp;INDEX(VIRMAN!$D$7:$D$406,$T154)&amp;" hesabından)"&amp;IF(INDEX(VIRMAN!$G$7:$G$406,$T154)="",""," – "&amp;INDEX(VIRMAN!$G$7:$G$406,$T154)))</f>
        <v/>
      </c>
      <c r="P154" s="1" t="str">
        <f t="shared" si="45"/>
        <v/>
      </c>
      <c r="Q154" s="1">
        <f>0</f>
        <v>0</v>
      </c>
      <c r="R154" s="1">
        <f>IF($N154="",0,INDEX(VIRMAN!$F$7:$F$406,$T154))</f>
        <v>0</v>
      </c>
      <c r="S154" s="1">
        <f t="shared" si="42"/>
        <v>10000000000</v>
      </c>
      <c r="T154" s="1">
        <f>IFERROR(MATCH($C$36&amp;"|81",VIRMAN!$M$7:$M$406,0),0)</f>
        <v>0</v>
      </c>
      <c r="U154" s="1"/>
      <c r="V154" s="1">
        <f t="shared" si="43"/>
        <v>10000000000</v>
      </c>
      <c r="W154" s="1">
        <f t="shared" si="44"/>
        <v>9</v>
      </c>
    </row>
    <row r="155" spans="1:23" ht="19.5" customHeight="1" x14ac:dyDescent="0.3">
      <c r="A155" s="2"/>
      <c r="B155" s="65" t="str">
        <f t="shared" si="35"/>
        <v/>
      </c>
      <c r="C155" s="70" t="str">
        <f t="shared" si="36"/>
        <v/>
      </c>
      <c r="D155" s="201" t="str">
        <f t="shared" si="37"/>
        <v/>
      </c>
      <c r="E155" s="141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IF($T155=0,"",INDEX(VIRMAN!$C$7:$C$406,$T155))</f>
        <v/>
      </c>
      <c r="O155" s="1" t="str">
        <f>IF($N155="","",$C$36&amp;"  –  ORTAK ÇEKİŞ / AVANS  ("&amp;INDEX(VIRMAN!$D$7:$D$406,$T155)&amp;" hesabından)"&amp;IF(INDEX(VIRMAN!$G$7:$G$406,$T155)="",""," – "&amp;INDEX(VIRMAN!$G$7:$G$406,$T155)))</f>
        <v/>
      </c>
      <c r="P155" s="1" t="str">
        <f t="shared" si="45"/>
        <v/>
      </c>
      <c r="Q155" s="1">
        <f>0</f>
        <v>0</v>
      </c>
      <c r="R155" s="1">
        <f>IF($N155="",0,INDEX(VIRMAN!$F$7:$F$406,$T155))</f>
        <v>0</v>
      </c>
      <c r="S155" s="1">
        <f t="shared" si="42"/>
        <v>10000000000</v>
      </c>
      <c r="T155" s="1">
        <f>IFERROR(MATCH($C$36&amp;"|82",VIRMAN!$M$7:$M$406,0),0)</f>
        <v>0</v>
      </c>
      <c r="U155" s="1"/>
      <c r="V155" s="1">
        <f t="shared" si="43"/>
        <v>10000000000</v>
      </c>
      <c r="W155" s="1">
        <f t="shared" si="44"/>
        <v>9</v>
      </c>
    </row>
    <row r="156" spans="1:23" ht="19.5" customHeight="1" x14ac:dyDescent="0.3">
      <c r="A156" s="2"/>
      <c r="B156" s="65" t="str">
        <f t="shared" si="35"/>
        <v/>
      </c>
      <c r="C156" s="70" t="str">
        <f t="shared" si="36"/>
        <v/>
      </c>
      <c r="D156" s="201" t="str">
        <f t="shared" si="37"/>
        <v/>
      </c>
      <c r="E156" s="141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IF($T156=0,"",INDEX(VIRMAN!$C$7:$C$406,$T156))</f>
        <v/>
      </c>
      <c r="O156" s="1" t="str">
        <f>IF($N156="","",$C$36&amp;"  –  ORTAK ÇEKİŞ / AVANS  ("&amp;INDEX(VIRMAN!$D$7:$D$406,$T156)&amp;" hesabından)"&amp;IF(INDEX(VIRMAN!$G$7:$G$406,$T156)="",""," – "&amp;INDEX(VIRMAN!$G$7:$G$406,$T156)))</f>
        <v/>
      </c>
      <c r="P156" s="1" t="str">
        <f t="shared" si="45"/>
        <v/>
      </c>
      <c r="Q156" s="1">
        <f>0</f>
        <v>0</v>
      </c>
      <c r="R156" s="1">
        <f>IF($N156="",0,INDEX(VIRMAN!$F$7:$F$406,$T156))</f>
        <v>0</v>
      </c>
      <c r="S156" s="1">
        <f t="shared" si="42"/>
        <v>10000000000</v>
      </c>
      <c r="T156" s="1">
        <f>IFERROR(MATCH($C$36&amp;"|83",VIRMAN!$M$7:$M$406,0),0)</f>
        <v>0</v>
      </c>
      <c r="U156" s="1"/>
      <c r="V156" s="1">
        <f t="shared" si="43"/>
        <v>10000000000</v>
      </c>
      <c r="W156" s="1">
        <f t="shared" si="44"/>
        <v>9</v>
      </c>
    </row>
    <row r="157" spans="1:23" ht="19.5" customHeight="1" x14ac:dyDescent="0.3">
      <c r="A157" s="2"/>
      <c r="B157" s="65" t="str">
        <f t="shared" si="35"/>
        <v/>
      </c>
      <c r="C157" s="70" t="str">
        <f t="shared" si="36"/>
        <v/>
      </c>
      <c r="D157" s="201" t="str">
        <f t="shared" si="37"/>
        <v/>
      </c>
      <c r="E157" s="141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IF($T157=0,"",INDEX(VIRMAN!$C$7:$C$406,$T157))</f>
        <v/>
      </c>
      <c r="O157" s="1" t="str">
        <f>IF($N157="","",$C$36&amp;"  –  ORTAK ÇEKİŞ / AVANS  ("&amp;INDEX(VIRMAN!$D$7:$D$406,$T157)&amp;" hesabından)"&amp;IF(INDEX(VIRMAN!$G$7:$G$406,$T157)="",""," – "&amp;INDEX(VIRMAN!$G$7:$G$406,$T157)))</f>
        <v/>
      </c>
      <c r="P157" s="1" t="str">
        <f t="shared" si="45"/>
        <v/>
      </c>
      <c r="Q157" s="1">
        <f>0</f>
        <v>0</v>
      </c>
      <c r="R157" s="1">
        <f>IF($N157="",0,INDEX(VIRMAN!$F$7:$F$406,$T157))</f>
        <v>0</v>
      </c>
      <c r="S157" s="1">
        <f t="shared" si="42"/>
        <v>10000000000</v>
      </c>
      <c r="T157" s="1">
        <f>IFERROR(MATCH($C$36&amp;"|84",VIRMAN!$M$7:$M$406,0),0)</f>
        <v>0</v>
      </c>
      <c r="U157" s="1"/>
      <c r="V157" s="1">
        <f t="shared" si="43"/>
        <v>10000000000</v>
      </c>
      <c r="W157" s="1">
        <f t="shared" si="44"/>
        <v>9</v>
      </c>
    </row>
    <row r="158" spans="1:23" ht="19.5" customHeight="1" x14ac:dyDescent="0.3">
      <c r="A158" s="2"/>
      <c r="B158" s="65" t="str">
        <f t="shared" si="35"/>
        <v/>
      </c>
      <c r="C158" s="70" t="str">
        <f t="shared" si="36"/>
        <v/>
      </c>
      <c r="D158" s="201" t="str">
        <f t="shared" si="37"/>
        <v/>
      </c>
      <c r="E158" s="141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IF($T158=0,"",INDEX(VIRMAN!$C$7:$C$406,$T158))</f>
        <v/>
      </c>
      <c r="O158" s="1" t="str">
        <f>IF($N158="","",$C$36&amp;"  –  ORTAK ÇEKİŞ / AVANS  ("&amp;INDEX(VIRMAN!$D$7:$D$406,$T158)&amp;" hesabından)"&amp;IF(INDEX(VIRMAN!$G$7:$G$406,$T158)="",""," – "&amp;INDEX(VIRMAN!$G$7:$G$406,$T158)))</f>
        <v/>
      </c>
      <c r="P158" s="1" t="str">
        <f t="shared" si="45"/>
        <v/>
      </c>
      <c r="Q158" s="1">
        <f>0</f>
        <v>0</v>
      </c>
      <c r="R158" s="1">
        <f>IF($N158="",0,INDEX(VIRMAN!$F$7:$F$406,$T158))</f>
        <v>0</v>
      </c>
      <c r="S158" s="1">
        <f t="shared" si="42"/>
        <v>10000000000</v>
      </c>
      <c r="T158" s="1">
        <f>IFERROR(MATCH($C$36&amp;"|85",VIRMAN!$M$7:$M$406,0),0)</f>
        <v>0</v>
      </c>
      <c r="U158" s="1"/>
      <c r="V158" s="1">
        <f t="shared" si="43"/>
        <v>10000000000</v>
      </c>
      <c r="W158" s="1">
        <f t="shared" si="44"/>
        <v>9</v>
      </c>
    </row>
    <row r="159" spans="1:23" ht="19.5" customHeight="1" x14ac:dyDescent="0.3">
      <c r="A159" s="2"/>
      <c r="B159" s="65" t="str">
        <f t="shared" si="35"/>
        <v/>
      </c>
      <c r="C159" s="70" t="str">
        <f t="shared" si="36"/>
        <v/>
      </c>
      <c r="D159" s="201" t="str">
        <f t="shared" si="37"/>
        <v/>
      </c>
      <c r="E159" s="141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IF($T159=0,"",INDEX(VIRMAN!$C$7:$C$406,$T159))</f>
        <v/>
      </c>
      <c r="O159" s="1" t="str">
        <f>IF($N159="","",$C$36&amp;"  –  ORTAK ÇEKİŞ / AVANS  ("&amp;INDEX(VIRMAN!$D$7:$D$406,$T159)&amp;" hesabından)"&amp;IF(INDEX(VIRMAN!$G$7:$G$406,$T159)="",""," – "&amp;INDEX(VIRMAN!$G$7:$G$406,$T159)))</f>
        <v/>
      </c>
      <c r="P159" s="1" t="str">
        <f t="shared" si="45"/>
        <v/>
      </c>
      <c r="Q159" s="1">
        <f>0</f>
        <v>0</v>
      </c>
      <c r="R159" s="1">
        <f>IF($N159="",0,INDEX(VIRMAN!$F$7:$F$406,$T159))</f>
        <v>0</v>
      </c>
      <c r="S159" s="1">
        <f t="shared" si="42"/>
        <v>10000000000</v>
      </c>
      <c r="T159" s="1">
        <f>IFERROR(MATCH($C$36&amp;"|86",VIRMAN!$M$7:$M$406,0),0)</f>
        <v>0</v>
      </c>
      <c r="U159" s="1"/>
      <c r="V159" s="1">
        <f t="shared" si="43"/>
        <v>10000000000</v>
      </c>
      <c r="W159" s="1">
        <f t="shared" si="44"/>
        <v>9</v>
      </c>
    </row>
    <row r="160" spans="1:23" ht="19.5" customHeight="1" x14ac:dyDescent="0.3">
      <c r="A160" s="2"/>
      <c r="B160" s="65" t="str">
        <f t="shared" si="35"/>
        <v/>
      </c>
      <c r="C160" s="70" t="str">
        <f t="shared" si="36"/>
        <v/>
      </c>
      <c r="D160" s="201" t="str">
        <f t="shared" si="37"/>
        <v/>
      </c>
      <c r="E160" s="141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IF($T160=0,"",INDEX(VIRMAN!$C$7:$C$406,$T160))</f>
        <v/>
      </c>
      <c r="O160" s="1" t="str">
        <f>IF($N160="","",$C$36&amp;"  –  ORTAK ÇEKİŞ / AVANS  ("&amp;INDEX(VIRMAN!$D$7:$D$406,$T160)&amp;" hesabından)"&amp;IF(INDEX(VIRMAN!$G$7:$G$406,$T160)="",""," – "&amp;INDEX(VIRMAN!$G$7:$G$406,$T160)))</f>
        <v/>
      </c>
      <c r="P160" s="1" t="str">
        <f t="shared" si="45"/>
        <v/>
      </c>
      <c r="Q160" s="1">
        <f>0</f>
        <v>0</v>
      </c>
      <c r="R160" s="1">
        <f>IF($N160="",0,INDEX(VIRMAN!$F$7:$F$406,$T160))</f>
        <v>0</v>
      </c>
      <c r="S160" s="1">
        <f t="shared" si="42"/>
        <v>10000000000</v>
      </c>
      <c r="T160" s="1">
        <f>IFERROR(MATCH($C$36&amp;"|87",VIRMAN!$M$7:$M$406,0),0)</f>
        <v>0</v>
      </c>
      <c r="U160" s="1"/>
      <c r="V160" s="1">
        <f t="shared" si="43"/>
        <v>10000000000</v>
      </c>
      <c r="W160" s="1">
        <f t="shared" si="44"/>
        <v>9</v>
      </c>
    </row>
    <row r="161" spans="1:23" ht="19.5" customHeight="1" x14ac:dyDescent="0.3">
      <c r="A161" s="2"/>
      <c r="B161" s="65" t="str">
        <f t="shared" si="35"/>
        <v/>
      </c>
      <c r="C161" s="70" t="str">
        <f t="shared" si="36"/>
        <v/>
      </c>
      <c r="D161" s="201" t="str">
        <f t="shared" si="37"/>
        <v/>
      </c>
      <c r="E161" s="141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IF($T161=0,"",INDEX(VIRMAN!$C$7:$C$406,$T161))</f>
        <v/>
      </c>
      <c r="O161" s="1" t="str">
        <f>IF($N161="","",$C$36&amp;"  –  ORTAK ÇEKİŞ / AVANS  ("&amp;INDEX(VIRMAN!$D$7:$D$406,$T161)&amp;" hesabından)"&amp;IF(INDEX(VIRMAN!$G$7:$G$406,$T161)="",""," – "&amp;INDEX(VIRMAN!$G$7:$G$406,$T161)))</f>
        <v/>
      </c>
      <c r="P161" s="1" t="str">
        <f t="shared" si="45"/>
        <v/>
      </c>
      <c r="Q161" s="1">
        <f>0</f>
        <v>0</v>
      </c>
      <c r="R161" s="1">
        <f>IF($N161="",0,INDEX(VIRMAN!$F$7:$F$406,$T161))</f>
        <v>0</v>
      </c>
      <c r="S161" s="1">
        <f t="shared" si="42"/>
        <v>10000000000</v>
      </c>
      <c r="T161" s="1">
        <f>IFERROR(MATCH($C$36&amp;"|88",VIRMAN!$M$7:$M$406,0),0)</f>
        <v>0</v>
      </c>
      <c r="U161" s="1"/>
      <c r="V161" s="1">
        <f t="shared" si="43"/>
        <v>10000000000</v>
      </c>
      <c r="W161" s="1">
        <f t="shared" si="44"/>
        <v>9</v>
      </c>
    </row>
    <row r="162" spans="1:23" ht="19.5" customHeight="1" x14ac:dyDescent="0.3">
      <c r="A162" s="2"/>
      <c r="B162" s="65" t="str">
        <f t="shared" si="35"/>
        <v/>
      </c>
      <c r="C162" s="70" t="str">
        <f t="shared" si="36"/>
        <v/>
      </c>
      <c r="D162" s="201" t="str">
        <f t="shared" si="37"/>
        <v/>
      </c>
      <c r="E162" s="141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IF($T162=0,"",INDEX(VIRMAN!$C$7:$C$406,$T162))</f>
        <v/>
      </c>
      <c r="O162" s="1" t="str">
        <f>IF($N162="","",$C$36&amp;"  –  ORTAK ÇEKİŞ / AVANS  ("&amp;INDEX(VIRMAN!$D$7:$D$406,$T162)&amp;" hesabından)"&amp;IF(INDEX(VIRMAN!$G$7:$G$406,$T162)="",""," – "&amp;INDEX(VIRMAN!$G$7:$G$406,$T162)))</f>
        <v/>
      </c>
      <c r="P162" s="1" t="str">
        <f t="shared" si="45"/>
        <v/>
      </c>
      <c r="Q162" s="1">
        <f>0</f>
        <v>0</v>
      </c>
      <c r="R162" s="1">
        <f>IF($N162="",0,INDEX(VIRMAN!$F$7:$F$406,$T162))</f>
        <v>0</v>
      </c>
      <c r="S162" s="1">
        <f t="shared" si="42"/>
        <v>10000000000</v>
      </c>
      <c r="T162" s="1">
        <f>IFERROR(MATCH($C$36&amp;"|89",VIRMAN!$M$7:$M$406,0),0)</f>
        <v>0</v>
      </c>
      <c r="U162" s="1"/>
      <c r="V162" s="1">
        <f t="shared" si="43"/>
        <v>10000000000</v>
      </c>
      <c r="W162" s="1">
        <f t="shared" si="44"/>
        <v>9</v>
      </c>
    </row>
    <row r="163" spans="1:23" ht="19.5" customHeight="1" x14ac:dyDescent="0.3">
      <c r="A163" s="2"/>
      <c r="B163" s="65" t="str">
        <f t="shared" si="35"/>
        <v/>
      </c>
      <c r="C163" s="70" t="str">
        <f t="shared" si="36"/>
        <v/>
      </c>
      <c r="D163" s="201" t="str">
        <f t="shared" si="37"/>
        <v/>
      </c>
      <c r="E163" s="141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IF($T163=0,"",INDEX(VIRMAN!$C$7:$C$406,$T163))</f>
        <v/>
      </c>
      <c r="O163" s="1" t="str">
        <f>IF($N163="","",$C$36&amp;"  –  ORTAK ÇEKİŞ / AVANS  ("&amp;INDEX(VIRMAN!$D$7:$D$406,$T163)&amp;" hesabından)"&amp;IF(INDEX(VIRMAN!$G$7:$G$406,$T163)="",""," – "&amp;INDEX(VIRMAN!$G$7:$G$406,$T163)))</f>
        <v/>
      </c>
      <c r="P163" s="1" t="str">
        <f t="shared" si="45"/>
        <v/>
      </c>
      <c r="Q163" s="1">
        <f>0</f>
        <v>0</v>
      </c>
      <c r="R163" s="1">
        <f>IF($N163="",0,INDEX(VIRMAN!$F$7:$F$406,$T163))</f>
        <v>0</v>
      </c>
      <c r="S163" s="1">
        <f t="shared" si="42"/>
        <v>10000000000</v>
      </c>
      <c r="T163" s="1">
        <f>IFERROR(MATCH($C$36&amp;"|90",VIRMAN!$M$7:$M$406,0),0)</f>
        <v>0</v>
      </c>
      <c r="U163" s="1"/>
      <c r="V163" s="1">
        <f t="shared" si="43"/>
        <v>10000000000</v>
      </c>
      <c r="W163" s="1">
        <f t="shared" si="44"/>
        <v>9</v>
      </c>
    </row>
    <row r="164" spans="1:23" ht="19.5" customHeight="1" x14ac:dyDescent="0.3">
      <c r="A164" s="2"/>
      <c r="B164" s="65" t="str">
        <f t="shared" si="35"/>
        <v/>
      </c>
      <c r="C164" s="70" t="str">
        <f t="shared" si="36"/>
        <v/>
      </c>
      <c r="D164" s="201" t="str">
        <f t="shared" si="37"/>
        <v/>
      </c>
      <c r="E164" s="141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IF($T164=0,"",INDEX(VIRMAN!$C$7:$C$406,$T164))</f>
        <v/>
      </c>
      <c r="O164" s="1" t="str">
        <f>IF($N164="","",$C$36&amp;"  –  ORTAK ÇEKİŞ / AVANS  ("&amp;INDEX(VIRMAN!$D$7:$D$406,$T164)&amp;" hesabından)"&amp;IF(INDEX(VIRMAN!$G$7:$G$406,$T164)="",""," – "&amp;INDEX(VIRMAN!$G$7:$G$406,$T164)))</f>
        <v/>
      </c>
      <c r="P164" s="1" t="str">
        <f t="shared" si="45"/>
        <v/>
      </c>
      <c r="Q164" s="1">
        <f>0</f>
        <v>0</v>
      </c>
      <c r="R164" s="1">
        <f>IF($N164="",0,INDEX(VIRMAN!$F$7:$F$406,$T164))</f>
        <v>0</v>
      </c>
      <c r="S164" s="1">
        <f t="shared" si="42"/>
        <v>10000000000</v>
      </c>
      <c r="T164" s="1">
        <f>IFERROR(MATCH($C$36&amp;"|91",VIRMAN!$M$7:$M$406,0),0)</f>
        <v>0</v>
      </c>
      <c r="U164" s="1"/>
      <c r="V164" s="1">
        <f t="shared" si="43"/>
        <v>10000000000</v>
      </c>
      <c r="W164" s="1">
        <f t="shared" si="44"/>
        <v>9</v>
      </c>
    </row>
    <row r="165" spans="1:23" ht="19.5" customHeight="1" x14ac:dyDescent="0.3">
      <c r="A165" s="2"/>
      <c r="B165" s="65" t="str">
        <f t="shared" si="35"/>
        <v/>
      </c>
      <c r="C165" s="70" t="str">
        <f t="shared" si="36"/>
        <v/>
      </c>
      <c r="D165" s="201" t="str">
        <f t="shared" si="37"/>
        <v/>
      </c>
      <c r="E165" s="141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IF($T165=0,"",INDEX(VIRMAN!$C$7:$C$406,$T165))</f>
        <v/>
      </c>
      <c r="O165" s="1" t="str">
        <f>IF($N165="","",$C$36&amp;"  –  ORTAK ÇEKİŞ / AVANS  ("&amp;INDEX(VIRMAN!$D$7:$D$406,$T165)&amp;" hesabından)"&amp;IF(INDEX(VIRMAN!$G$7:$G$406,$T165)="",""," – "&amp;INDEX(VIRMAN!$G$7:$G$406,$T165)))</f>
        <v/>
      </c>
      <c r="P165" s="1" t="str">
        <f t="shared" si="45"/>
        <v/>
      </c>
      <c r="Q165" s="1">
        <f>0</f>
        <v>0</v>
      </c>
      <c r="R165" s="1">
        <f>IF($N165="",0,INDEX(VIRMAN!$F$7:$F$406,$T165))</f>
        <v>0</v>
      </c>
      <c r="S165" s="1">
        <f t="shared" si="42"/>
        <v>10000000000</v>
      </c>
      <c r="T165" s="1">
        <f>IFERROR(MATCH($C$36&amp;"|92",VIRMAN!$M$7:$M$406,0),0)</f>
        <v>0</v>
      </c>
      <c r="U165" s="1"/>
      <c r="V165" s="1">
        <f t="shared" si="43"/>
        <v>10000000000</v>
      </c>
      <c r="W165" s="1">
        <f t="shared" si="44"/>
        <v>9</v>
      </c>
    </row>
    <row r="166" spans="1:23" ht="19.5" customHeight="1" x14ac:dyDescent="0.3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201" t="str">
        <f t="shared" ref="D166:D187" si="48">IF($C166="","",INDEX($O$38:$O$193,$W166))</f>
        <v/>
      </c>
      <c r="E166" s="141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IF($T166=0,"",INDEX(VIRMAN!$C$7:$C$406,$T166))</f>
        <v/>
      </c>
      <c r="O166" s="1" t="str">
        <f>IF($N166="","",$C$36&amp;"  –  ORTAK ÇEKİŞ / AVANS  ("&amp;INDEX(VIRMAN!$D$7:$D$406,$T166)&amp;" hesabından)"&amp;IF(INDEX(VIRMAN!$G$7:$G$406,$T166)="",""," – "&amp;INDEX(VIRMAN!$G$7:$G$406,$T166)))</f>
        <v/>
      </c>
      <c r="P166" s="1" t="str">
        <f t="shared" si="45"/>
        <v/>
      </c>
      <c r="Q166" s="1">
        <f>0</f>
        <v>0</v>
      </c>
      <c r="R166" s="1">
        <f>IF($N166="",0,INDEX(VIRMAN!$F$7:$F$406,$T166))</f>
        <v>0</v>
      </c>
      <c r="S166" s="1">
        <f t="shared" ref="S166:S193" si="53">IF($N166="",10000000000,$N166*100000+$M166)</f>
        <v>10000000000</v>
      </c>
      <c r="T166" s="1">
        <f>IFERROR(MATCH($C$36&amp;"|93",VIRMAN!$M$7:$M$406,0),0)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9</v>
      </c>
    </row>
    <row r="167" spans="1:23" ht="19.5" customHeight="1" x14ac:dyDescent="0.3">
      <c r="A167" s="2"/>
      <c r="B167" s="65" t="str">
        <f t="shared" si="46"/>
        <v/>
      </c>
      <c r="C167" s="70" t="str">
        <f t="shared" si="47"/>
        <v/>
      </c>
      <c r="D167" s="201" t="str">
        <f t="shared" si="48"/>
        <v/>
      </c>
      <c r="E167" s="141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IF($T167=0,"",INDEX(VIRMAN!$C$7:$C$406,$T167))</f>
        <v/>
      </c>
      <c r="O167" s="1" t="str">
        <f>IF($N167="","",$C$36&amp;"  –  ORTAK ÇEKİŞ / AVANS  ("&amp;INDEX(VIRMAN!$D$7:$D$406,$T167)&amp;" hesabından)"&amp;IF(INDEX(VIRMAN!$G$7:$G$406,$T167)="",""," – "&amp;INDEX(VIRMAN!$G$7:$G$406,$T167)))</f>
        <v/>
      </c>
      <c r="P167" s="1" t="str">
        <f t="shared" si="45"/>
        <v/>
      </c>
      <c r="Q167" s="1">
        <f>0</f>
        <v>0</v>
      </c>
      <c r="R167" s="1">
        <f>IF($N167="",0,INDEX(VIRMAN!$F$7:$F$406,$T167))</f>
        <v>0</v>
      </c>
      <c r="S167" s="1">
        <f t="shared" si="53"/>
        <v>10000000000</v>
      </c>
      <c r="T167" s="1">
        <f>IFERROR(MATCH($C$36&amp;"|94",VIRMAN!$M$7:$M$406,0),0)</f>
        <v>0</v>
      </c>
      <c r="U167" s="1"/>
      <c r="V167" s="1">
        <f t="shared" si="54"/>
        <v>10000000000</v>
      </c>
      <c r="W167" s="1">
        <f t="shared" si="55"/>
        <v>9</v>
      </c>
    </row>
    <row r="168" spans="1:23" ht="19.5" customHeight="1" x14ac:dyDescent="0.3">
      <c r="A168" s="2"/>
      <c r="B168" s="65" t="str">
        <f t="shared" si="46"/>
        <v/>
      </c>
      <c r="C168" s="70" t="str">
        <f t="shared" si="47"/>
        <v/>
      </c>
      <c r="D168" s="201" t="str">
        <f t="shared" si="48"/>
        <v/>
      </c>
      <c r="E168" s="141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IF($T168=0,"",INDEX(VIRMAN!$C$7:$C$406,$T168))</f>
        <v/>
      </c>
      <c r="O168" s="1" t="str">
        <f>IF($N168="","",$C$36&amp;"  –  ORTAK ÇEKİŞ / AVANS  ("&amp;INDEX(VIRMAN!$D$7:$D$406,$T168)&amp;" hesabından)"&amp;IF(INDEX(VIRMAN!$G$7:$G$406,$T168)="",""," – "&amp;INDEX(VIRMAN!$G$7:$G$406,$T168)))</f>
        <v/>
      </c>
      <c r="P168" s="1" t="str">
        <f t="shared" si="45"/>
        <v/>
      </c>
      <c r="Q168" s="1">
        <f>0</f>
        <v>0</v>
      </c>
      <c r="R168" s="1">
        <f>IF($N168="",0,INDEX(VIRMAN!$F$7:$F$406,$T168))</f>
        <v>0</v>
      </c>
      <c r="S168" s="1">
        <f t="shared" si="53"/>
        <v>10000000000</v>
      </c>
      <c r="T168" s="1">
        <f>IFERROR(MATCH($C$36&amp;"|95",VIRMAN!$M$7:$M$406,0),0)</f>
        <v>0</v>
      </c>
      <c r="U168" s="1"/>
      <c r="V168" s="1">
        <f t="shared" si="54"/>
        <v>10000000000</v>
      </c>
      <c r="W168" s="1">
        <f t="shared" si="55"/>
        <v>9</v>
      </c>
    </row>
    <row r="169" spans="1:23" ht="19.5" customHeight="1" x14ac:dyDescent="0.3">
      <c r="A169" s="2"/>
      <c r="B169" s="65" t="str">
        <f t="shared" si="46"/>
        <v/>
      </c>
      <c r="C169" s="70" t="str">
        <f t="shared" si="47"/>
        <v/>
      </c>
      <c r="D169" s="201" t="str">
        <f t="shared" si="48"/>
        <v/>
      </c>
      <c r="E169" s="141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IF($T169=0,"",INDEX(VIRMAN!$C$7:$C$406,$T169))</f>
        <v/>
      </c>
      <c r="O169" s="1" t="str">
        <f>IF($N169="","",$C$36&amp;"  –  ORTAK ÇEKİŞ / AVANS  ("&amp;INDEX(VIRMAN!$D$7:$D$406,$T169)&amp;" hesabından)"&amp;IF(INDEX(VIRMAN!$G$7:$G$406,$T169)="",""," – "&amp;INDEX(VIRMAN!$G$7:$G$406,$T169)))</f>
        <v/>
      </c>
      <c r="P169" s="1" t="str">
        <f t="shared" si="45"/>
        <v/>
      </c>
      <c r="Q169" s="1">
        <f>0</f>
        <v>0</v>
      </c>
      <c r="R169" s="1">
        <f>IF($N169="",0,INDEX(VIRMAN!$F$7:$F$406,$T169))</f>
        <v>0</v>
      </c>
      <c r="S169" s="1">
        <f t="shared" si="53"/>
        <v>10000000000</v>
      </c>
      <c r="T169" s="1">
        <f>IFERROR(MATCH($C$36&amp;"|96",VIRMAN!$M$7:$M$406,0),0)</f>
        <v>0</v>
      </c>
      <c r="U169" s="1"/>
      <c r="V169" s="1">
        <f t="shared" si="54"/>
        <v>10000000000</v>
      </c>
      <c r="W169" s="1">
        <f t="shared" si="55"/>
        <v>9</v>
      </c>
    </row>
    <row r="170" spans="1:23" ht="19.5" customHeight="1" x14ac:dyDescent="0.3">
      <c r="A170" s="2"/>
      <c r="B170" s="65" t="str">
        <f t="shared" si="46"/>
        <v/>
      </c>
      <c r="C170" s="70" t="str">
        <f t="shared" si="47"/>
        <v/>
      </c>
      <c r="D170" s="201" t="str">
        <f t="shared" si="48"/>
        <v/>
      </c>
      <c r="E170" s="141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IF($T170=0,"",INDEX(VIRMAN!$C$7:$C$406,$T170))</f>
        <v/>
      </c>
      <c r="O170" s="1" t="str">
        <f>IF($N170="","",$C$36&amp;"  –  ORTAK ÇEKİŞ / AVANS  ("&amp;INDEX(VIRMAN!$D$7:$D$406,$T170)&amp;" hesabından)"&amp;IF(INDEX(VIRMAN!$G$7:$G$406,$T170)="",""," – "&amp;INDEX(VIRMAN!$G$7:$G$406,$T170)))</f>
        <v/>
      </c>
      <c r="P170" s="1" t="str">
        <f t="shared" ref="P170:P193" si="56">IF($N170="","","ÇEKİŞ / AVANS")</f>
        <v/>
      </c>
      <c r="Q170" s="1">
        <f>0</f>
        <v>0</v>
      </c>
      <c r="R170" s="1">
        <f>IF($N170="",0,INDEX(VIRMAN!$F$7:$F$406,$T170))</f>
        <v>0</v>
      </c>
      <c r="S170" s="1">
        <f t="shared" si="53"/>
        <v>10000000000</v>
      </c>
      <c r="T170" s="1">
        <f>IFERROR(MATCH($C$36&amp;"|97",VIRMAN!$M$7:$M$406,0),0)</f>
        <v>0</v>
      </c>
      <c r="U170" s="1"/>
      <c r="V170" s="1">
        <f t="shared" si="54"/>
        <v>10000000000</v>
      </c>
      <c r="W170" s="1">
        <f t="shared" si="55"/>
        <v>9</v>
      </c>
    </row>
    <row r="171" spans="1:23" ht="19.5" customHeight="1" x14ac:dyDescent="0.3">
      <c r="A171" s="2"/>
      <c r="B171" s="65" t="str">
        <f t="shared" si="46"/>
        <v/>
      </c>
      <c r="C171" s="70" t="str">
        <f t="shared" si="47"/>
        <v/>
      </c>
      <c r="D171" s="201" t="str">
        <f t="shared" si="48"/>
        <v/>
      </c>
      <c r="E171" s="141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IF($T171=0,"",INDEX(VIRMAN!$C$7:$C$406,$T171))</f>
        <v/>
      </c>
      <c r="O171" s="1" t="str">
        <f>IF($N171="","",$C$36&amp;"  –  ORTAK ÇEKİŞ / AVANS  ("&amp;INDEX(VIRMAN!$D$7:$D$406,$T171)&amp;" hesabından)"&amp;IF(INDEX(VIRMAN!$G$7:$G$406,$T171)="",""," – "&amp;INDEX(VIRMAN!$G$7:$G$406,$T171)))</f>
        <v/>
      </c>
      <c r="P171" s="1" t="str">
        <f t="shared" si="56"/>
        <v/>
      </c>
      <c r="Q171" s="1">
        <f>0</f>
        <v>0</v>
      </c>
      <c r="R171" s="1">
        <f>IF($N171="",0,INDEX(VIRMAN!$F$7:$F$406,$T171))</f>
        <v>0</v>
      </c>
      <c r="S171" s="1">
        <f t="shared" si="53"/>
        <v>10000000000</v>
      </c>
      <c r="T171" s="1">
        <f>IFERROR(MATCH($C$36&amp;"|98",VIRMAN!$M$7:$M$406,0),0)</f>
        <v>0</v>
      </c>
      <c r="U171" s="1"/>
      <c r="V171" s="1">
        <f t="shared" si="54"/>
        <v>10000000000</v>
      </c>
      <c r="W171" s="1">
        <f t="shared" si="55"/>
        <v>9</v>
      </c>
    </row>
    <row r="172" spans="1:23" ht="19.5" customHeight="1" x14ac:dyDescent="0.3">
      <c r="A172" s="2"/>
      <c r="B172" s="65" t="str">
        <f t="shared" si="46"/>
        <v/>
      </c>
      <c r="C172" s="70" t="str">
        <f t="shared" si="47"/>
        <v/>
      </c>
      <c r="D172" s="201" t="str">
        <f t="shared" si="48"/>
        <v/>
      </c>
      <c r="E172" s="141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IF($T172=0,"",INDEX(VIRMAN!$C$7:$C$406,$T172))</f>
        <v/>
      </c>
      <c r="O172" s="1" t="str">
        <f>IF($N172="","",$C$36&amp;"  –  ORTAK ÇEKİŞ / AVANS  ("&amp;INDEX(VIRMAN!$D$7:$D$406,$T172)&amp;" hesabından)"&amp;IF(INDEX(VIRMAN!$G$7:$G$406,$T172)="",""," – "&amp;INDEX(VIRMAN!$G$7:$G$406,$T172)))</f>
        <v/>
      </c>
      <c r="P172" s="1" t="str">
        <f t="shared" si="56"/>
        <v/>
      </c>
      <c r="Q172" s="1">
        <f>0</f>
        <v>0</v>
      </c>
      <c r="R172" s="1">
        <f>IF($N172="",0,INDEX(VIRMAN!$F$7:$F$406,$T172))</f>
        <v>0</v>
      </c>
      <c r="S172" s="1">
        <f t="shared" si="53"/>
        <v>10000000000</v>
      </c>
      <c r="T172" s="1">
        <f>IFERROR(MATCH($C$36&amp;"|99",VIRMAN!$M$7:$M$406,0),0)</f>
        <v>0</v>
      </c>
      <c r="U172" s="1"/>
      <c r="V172" s="1">
        <f t="shared" si="54"/>
        <v>10000000000</v>
      </c>
      <c r="W172" s="1">
        <f t="shared" si="55"/>
        <v>9</v>
      </c>
    </row>
    <row r="173" spans="1:23" ht="19.5" customHeight="1" x14ac:dyDescent="0.3">
      <c r="A173" s="2"/>
      <c r="B173" s="65" t="str">
        <f t="shared" si="46"/>
        <v/>
      </c>
      <c r="C173" s="70" t="str">
        <f t="shared" si="47"/>
        <v/>
      </c>
      <c r="D173" s="201" t="str">
        <f t="shared" si="48"/>
        <v/>
      </c>
      <c r="E173" s="141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IF($T173=0,"",INDEX(VIRMAN!$C$7:$C$406,$T173))</f>
        <v/>
      </c>
      <c r="O173" s="1" t="str">
        <f>IF($N173="","",$C$36&amp;"  –  ORTAK ÇEKİŞ / AVANS  ("&amp;INDEX(VIRMAN!$D$7:$D$406,$T173)&amp;" hesabından)"&amp;IF(INDEX(VIRMAN!$G$7:$G$406,$T173)="",""," – "&amp;INDEX(VIRMAN!$G$7:$G$406,$T173)))</f>
        <v/>
      </c>
      <c r="P173" s="1" t="str">
        <f t="shared" si="56"/>
        <v/>
      </c>
      <c r="Q173" s="1">
        <f>0</f>
        <v>0</v>
      </c>
      <c r="R173" s="1">
        <f>IF($N173="",0,INDEX(VIRMAN!$F$7:$F$406,$T173))</f>
        <v>0</v>
      </c>
      <c r="S173" s="1">
        <f t="shared" si="53"/>
        <v>10000000000</v>
      </c>
      <c r="T173" s="1">
        <f>IFERROR(MATCH($C$36&amp;"|100",VIRMAN!$M$7:$M$406,0),0)</f>
        <v>0</v>
      </c>
      <c r="U173" s="1"/>
      <c r="V173" s="1">
        <f t="shared" si="54"/>
        <v>10000000000</v>
      </c>
      <c r="W173" s="1">
        <f t="shared" si="55"/>
        <v>9</v>
      </c>
    </row>
    <row r="174" spans="1:23" ht="19.5" customHeight="1" x14ac:dyDescent="0.3">
      <c r="A174" s="2"/>
      <c r="B174" s="65" t="str">
        <f t="shared" si="46"/>
        <v/>
      </c>
      <c r="C174" s="70" t="str">
        <f t="shared" si="47"/>
        <v/>
      </c>
      <c r="D174" s="201" t="str">
        <f t="shared" si="48"/>
        <v/>
      </c>
      <c r="E174" s="141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IF($T174=0,"",INDEX(VIRMAN!$C$7:$C$406,$T174))</f>
        <v/>
      </c>
      <c r="O174" s="1" t="str">
        <f>IF($N174="","",$C$36&amp;"  –  ORTAK ÇEKİŞ / AVANS  ("&amp;INDEX(VIRMAN!$D$7:$D$406,$T174)&amp;" hesabından)"&amp;IF(INDEX(VIRMAN!$G$7:$G$406,$T174)="",""," – "&amp;INDEX(VIRMAN!$G$7:$G$406,$T174)))</f>
        <v/>
      </c>
      <c r="P174" s="1" t="str">
        <f t="shared" si="56"/>
        <v/>
      </c>
      <c r="Q174" s="1">
        <f>0</f>
        <v>0</v>
      </c>
      <c r="R174" s="1">
        <f>IF($N174="",0,INDEX(VIRMAN!$F$7:$F$406,$T174))</f>
        <v>0</v>
      </c>
      <c r="S174" s="1">
        <f t="shared" si="53"/>
        <v>10000000000</v>
      </c>
      <c r="T174" s="1">
        <f>IFERROR(MATCH($C$36&amp;"|101",VIRMAN!$M$7:$M$406,0),0)</f>
        <v>0</v>
      </c>
      <c r="U174" s="1"/>
      <c r="V174" s="1">
        <f t="shared" si="54"/>
        <v>10000000000</v>
      </c>
      <c r="W174" s="1">
        <f t="shared" si="55"/>
        <v>9</v>
      </c>
    </row>
    <row r="175" spans="1:23" ht="19.5" customHeight="1" x14ac:dyDescent="0.3">
      <c r="A175" s="2"/>
      <c r="B175" s="65" t="str">
        <f t="shared" si="46"/>
        <v/>
      </c>
      <c r="C175" s="70" t="str">
        <f t="shared" si="47"/>
        <v/>
      </c>
      <c r="D175" s="201" t="str">
        <f t="shared" si="48"/>
        <v/>
      </c>
      <c r="E175" s="141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IF($T175=0,"",INDEX(VIRMAN!$C$7:$C$406,$T175))</f>
        <v/>
      </c>
      <c r="O175" s="1" t="str">
        <f>IF($N175="","",$C$36&amp;"  –  ORTAK ÇEKİŞ / AVANS  ("&amp;INDEX(VIRMAN!$D$7:$D$406,$T175)&amp;" hesabından)"&amp;IF(INDEX(VIRMAN!$G$7:$G$406,$T175)="",""," – "&amp;INDEX(VIRMAN!$G$7:$G$406,$T175)))</f>
        <v/>
      </c>
      <c r="P175" s="1" t="str">
        <f t="shared" si="56"/>
        <v/>
      </c>
      <c r="Q175" s="1">
        <f>0</f>
        <v>0</v>
      </c>
      <c r="R175" s="1">
        <f>IF($N175="",0,INDEX(VIRMAN!$F$7:$F$406,$T175))</f>
        <v>0</v>
      </c>
      <c r="S175" s="1">
        <f t="shared" si="53"/>
        <v>10000000000</v>
      </c>
      <c r="T175" s="1">
        <f>IFERROR(MATCH($C$36&amp;"|102",VIRMAN!$M$7:$M$406,0),0)</f>
        <v>0</v>
      </c>
      <c r="U175" s="1"/>
      <c r="V175" s="1">
        <f t="shared" si="54"/>
        <v>10000000000</v>
      </c>
      <c r="W175" s="1">
        <f t="shared" si="55"/>
        <v>9</v>
      </c>
    </row>
    <row r="176" spans="1:23" ht="19.5" customHeight="1" x14ac:dyDescent="0.3">
      <c r="A176" s="2"/>
      <c r="B176" s="65" t="str">
        <f t="shared" si="46"/>
        <v/>
      </c>
      <c r="C176" s="70" t="str">
        <f t="shared" si="47"/>
        <v/>
      </c>
      <c r="D176" s="201" t="str">
        <f t="shared" si="48"/>
        <v/>
      </c>
      <c r="E176" s="141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IF($T176=0,"",INDEX(VIRMAN!$C$7:$C$406,$T176))</f>
        <v/>
      </c>
      <c r="O176" s="1" t="str">
        <f>IF($N176="","",$C$36&amp;"  –  ORTAK ÇEKİŞ / AVANS  ("&amp;INDEX(VIRMAN!$D$7:$D$406,$T176)&amp;" hesabından)"&amp;IF(INDEX(VIRMAN!$G$7:$G$406,$T176)="",""," – "&amp;INDEX(VIRMAN!$G$7:$G$406,$T176)))</f>
        <v/>
      </c>
      <c r="P176" s="1" t="str">
        <f t="shared" si="56"/>
        <v/>
      </c>
      <c r="Q176" s="1">
        <f>0</f>
        <v>0</v>
      </c>
      <c r="R176" s="1">
        <f>IF($N176="",0,INDEX(VIRMAN!$F$7:$F$406,$T176))</f>
        <v>0</v>
      </c>
      <c r="S176" s="1">
        <f t="shared" si="53"/>
        <v>10000000000</v>
      </c>
      <c r="T176" s="1">
        <f>IFERROR(MATCH($C$36&amp;"|103",VIRMAN!$M$7:$M$406,0),0)</f>
        <v>0</v>
      </c>
      <c r="U176" s="1"/>
      <c r="V176" s="1">
        <f t="shared" si="54"/>
        <v>10000000000</v>
      </c>
      <c r="W176" s="1">
        <f t="shared" si="55"/>
        <v>9</v>
      </c>
    </row>
    <row r="177" spans="1:23" ht="19.5" customHeight="1" x14ac:dyDescent="0.3">
      <c r="A177" s="2"/>
      <c r="B177" s="65" t="str">
        <f t="shared" si="46"/>
        <v/>
      </c>
      <c r="C177" s="70" t="str">
        <f t="shared" si="47"/>
        <v/>
      </c>
      <c r="D177" s="201" t="str">
        <f t="shared" si="48"/>
        <v/>
      </c>
      <c r="E177" s="141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IF($T177=0,"",INDEX(VIRMAN!$C$7:$C$406,$T177))</f>
        <v/>
      </c>
      <c r="O177" s="1" t="str">
        <f>IF($N177="","",$C$36&amp;"  –  ORTAK ÇEKİŞ / AVANS  ("&amp;INDEX(VIRMAN!$D$7:$D$406,$T177)&amp;" hesabından)"&amp;IF(INDEX(VIRMAN!$G$7:$G$406,$T177)="",""," – "&amp;INDEX(VIRMAN!$G$7:$G$406,$T177)))</f>
        <v/>
      </c>
      <c r="P177" s="1" t="str">
        <f t="shared" si="56"/>
        <v/>
      </c>
      <c r="Q177" s="1">
        <f>0</f>
        <v>0</v>
      </c>
      <c r="R177" s="1">
        <f>IF($N177="",0,INDEX(VIRMAN!$F$7:$F$406,$T177))</f>
        <v>0</v>
      </c>
      <c r="S177" s="1">
        <f t="shared" si="53"/>
        <v>10000000000</v>
      </c>
      <c r="T177" s="1">
        <f>IFERROR(MATCH($C$36&amp;"|104",VIRMAN!$M$7:$M$406,0),0)</f>
        <v>0</v>
      </c>
      <c r="U177" s="1"/>
      <c r="V177" s="1">
        <f t="shared" si="54"/>
        <v>10000000000</v>
      </c>
      <c r="W177" s="1">
        <f t="shared" si="55"/>
        <v>9</v>
      </c>
    </row>
    <row r="178" spans="1:23" ht="19.5" customHeight="1" x14ac:dyDescent="0.3">
      <c r="A178" s="2"/>
      <c r="B178" s="65" t="str">
        <f t="shared" si="46"/>
        <v/>
      </c>
      <c r="C178" s="70" t="str">
        <f t="shared" si="47"/>
        <v/>
      </c>
      <c r="D178" s="201" t="str">
        <f t="shared" si="48"/>
        <v/>
      </c>
      <c r="E178" s="141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IF($T178=0,"",INDEX(VIRMAN!$C$7:$C$406,$T178))</f>
        <v/>
      </c>
      <c r="O178" s="1" t="str">
        <f>IF($N178="","",$C$36&amp;"  –  ORTAK ÇEKİŞ / AVANS  ("&amp;INDEX(VIRMAN!$D$7:$D$406,$T178)&amp;" hesabından)"&amp;IF(INDEX(VIRMAN!$G$7:$G$406,$T178)="",""," – "&amp;INDEX(VIRMAN!$G$7:$G$406,$T178)))</f>
        <v/>
      </c>
      <c r="P178" s="1" t="str">
        <f t="shared" si="56"/>
        <v/>
      </c>
      <c r="Q178" s="1">
        <f>0</f>
        <v>0</v>
      </c>
      <c r="R178" s="1">
        <f>IF($N178="",0,INDEX(VIRMAN!$F$7:$F$406,$T178))</f>
        <v>0</v>
      </c>
      <c r="S178" s="1">
        <f t="shared" si="53"/>
        <v>10000000000</v>
      </c>
      <c r="T178" s="1">
        <f>IFERROR(MATCH($C$36&amp;"|105",VIRMAN!$M$7:$M$406,0),0)</f>
        <v>0</v>
      </c>
      <c r="U178" s="1"/>
      <c r="V178" s="1">
        <f t="shared" si="54"/>
        <v>10000000000</v>
      </c>
      <c r="W178" s="1">
        <f t="shared" si="55"/>
        <v>9</v>
      </c>
    </row>
    <row r="179" spans="1:23" ht="19.5" customHeight="1" x14ac:dyDescent="0.3">
      <c r="A179" s="2"/>
      <c r="B179" s="65" t="str">
        <f t="shared" si="46"/>
        <v/>
      </c>
      <c r="C179" s="70" t="str">
        <f t="shared" si="47"/>
        <v/>
      </c>
      <c r="D179" s="201" t="str">
        <f t="shared" si="48"/>
        <v/>
      </c>
      <c r="E179" s="141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IF($T179=0,"",INDEX(VIRMAN!$C$7:$C$406,$T179))</f>
        <v/>
      </c>
      <c r="O179" s="1" t="str">
        <f>IF($N179="","",$C$36&amp;"  –  ORTAK ÇEKİŞ / AVANS  ("&amp;INDEX(VIRMAN!$D$7:$D$406,$T179)&amp;" hesabından)"&amp;IF(INDEX(VIRMAN!$G$7:$G$406,$T179)="",""," – "&amp;INDEX(VIRMAN!$G$7:$G$406,$T179)))</f>
        <v/>
      </c>
      <c r="P179" s="1" t="str">
        <f t="shared" si="56"/>
        <v/>
      </c>
      <c r="Q179" s="1">
        <f>0</f>
        <v>0</v>
      </c>
      <c r="R179" s="1">
        <f>IF($N179="",0,INDEX(VIRMAN!$F$7:$F$406,$T179))</f>
        <v>0</v>
      </c>
      <c r="S179" s="1">
        <f t="shared" si="53"/>
        <v>10000000000</v>
      </c>
      <c r="T179" s="1">
        <f>IFERROR(MATCH($C$36&amp;"|106",VIRMAN!$M$7:$M$406,0),0)</f>
        <v>0</v>
      </c>
      <c r="U179" s="1"/>
      <c r="V179" s="1">
        <f t="shared" si="54"/>
        <v>10000000000</v>
      </c>
      <c r="W179" s="1">
        <f t="shared" si="55"/>
        <v>9</v>
      </c>
    </row>
    <row r="180" spans="1:23" ht="19.5" customHeight="1" x14ac:dyDescent="0.3">
      <c r="A180" s="2"/>
      <c r="B180" s="65" t="str">
        <f t="shared" si="46"/>
        <v/>
      </c>
      <c r="C180" s="70" t="str">
        <f t="shared" si="47"/>
        <v/>
      </c>
      <c r="D180" s="201" t="str">
        <f t="shared" si="48"/>
        <v/>
      </c>
      <c r="E180" s="141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IF($T180=0,"",INDEX(VIRMAN!$C$7:$C$406,$T180))</f>
        <v/>
      </c>
      <c r="O180" s="1" t="str">
        <f>IF($N180="","",$C$36&amp;"  –  ORTAK ÇEKİŞ / AVANS  ("&amp;INDEX(VIRMAN!$D$7:$D$406,$T180)&amp;" hesabından)"&amp;IF(INDEX(VIRMAN!$G$7:$G$406,$T180)="",""," – "&amp;INDEX(VIRMAN!$G$7:$G$406,$T180)))</f>
        <v/>
      </c>
      <c r="P180" s="1" t="str">
        <f t="shared" si="56"/>
        <v/>
      </c>
      <c r="Q180" s="1">
        <f>0</f>
        <v>0</v>
      </c>
      <c r="R180" s="1">
        <f>IF($N180="",0,INDEX(VIRMAN!$F$7:$F$406,$T180))</f>
        <v>0</v>
      </c>
      <c r="S180" s="1">
        <f t="shared" si="53"/>
        <v>10000000000</v>
      </c>
      <c r="T180" s="1">
        <f>IFERROR(MATCH($C$36&amp;"|107",VIRMAN!$M$7:$M$406,0),0)</f>
        <v>0</v>
      </c>
      <c r="U180" s="1"/>
      <c r="V180" s="1">
        <f t="shared" si="54"/>
        <v>10000000000</v>
      </c>
      <c r="W180" s="1">
        <f t="shared" si="55"/>
        <v>9</v>
      </c>
    </row>
    <row r="181" spans="1:23" ht="19.5" customHeight="1" x14ac:dyDescent="0.3">
      <c r="A181" s="2"/>
      <c r="B181" s="65" t="str">
        <f t="shared" si="46"/>
        <v/>
      </c>
      <c r="C181" s="70" t="str">
        <f t="shared" si="47"/>
        <v/>
      </c>
      <c r="D181" s="201" t="str">
        <f t="shared" si="48"/>
        <v/>
      </c>
      <c r="E181" s="141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IF($T181=0,"",INDEX(VIRMAN!$C$7:$C$406,$T181))</f>
        <v/>
      </c>
      <c r="O181" s="1" t="str">
        <f>IF($N181="","",$C$36&amp;"  –  ORTAK ÇEKİŞ / AVANS  ("&amp;INDEX(VIRMAN!$D$7:$D$406,$T181)&amp;" hesabından)"&amp;IF(INDEX(VIRMAN!$G$7:$G$406,$T181)="",""," – "&amp;INDEX(VIRMAN!$G$7:$G$406,$T181)))</f>
        <v/>
      </c>
      <c r="P181" s="1" t="str">
        <f t="shared" si="56"/>
        <v/>
      </c>
      <c r="Q181" s="1">
        <f>0</f>
        <v>0</v>
      </c>
      <c r="R181" s="1">
        <f>IF($N181="",0,INDEX(VIRMAN!$F$7:$F$406,$T181))</f>
        <v>0</v>
      </c>
      <c r="S181" s="1">
        <f t="shared" si="53"/>
        <v>10000000000</v>
      </c>
      <c r="T181" s="1">
        <f>IFERROR(MATCH($C$36&amp;"|108",VIRMAN!$M$7:$M$406,0),0)</f>
        <v>0</v>
      </c>
      <c r="U181" s="1"/>
      <c r="V181" s="1">
        <f t="shared" si="54"/>
        <v>10000000000</v>
      </c>
      <c r="W181" s="1">
        <f t="shared" si="55"/>
        <v>9</v>
      </c>
    </row>
    <row r="182" spans="1:23" ht="19.5" customHeight="1" x14ac:dyDescent="0.3">
      <c r="A182" s="2"/>
      <c r="B182" s="65" t="str">
        <f t="shared" si="46"/>
        <v/>
      </c>
      <c r="C182" s="70" t="str">
        <f t="shared" si="47"/>
        <v/>
      </c>
      <c r="D182" s="201" t="str">
        <f t="shared" si="48"/>
        <v/>
      </c>
      <c r="E182" s="141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IF($T182=0,"",INDEX(VIRMAN!$C$7:$C$406,$T182))</f>
        <v/>
      </c>
      <c r="O182" s="1" t="str">
        <f>IF($N182="","",$C$36&amp;"  –  ORTAK ÇEKİŞ / AVANS  ("&amp;INDEX(VIRMAN!$D$7:$D$406,$T182)&amp;" hesabından)"&amp;IF(INDEX(VIRMAN!$G$7:$G$406,$T182)="",""," – "&amp;INDEX(VIRMAN!$G$7:$G$406,$T182)))</f>
        <v/>
      </c>
      <c r="P182" s="1" t="str">
        <f t="shared" si="56"/>
        <v/>
      </c>
      <c r="Q182" s="1">
        <f>0</f>
        <v>0</v>
      </c>
      <c r="R182" s="1">
        <f>IF($N182="",0,INDEX(VIRMAN!$F$7:$F$406,$T182))</f>
        <v>0</v>
      </c>
      <c r="S182" s="1">
        <f t="shared" si="53"/>
        <v>10000000000</v>
      </c>
      <c r="T182" s="1">
        <f>IFERROR(MATCH($C$36&amp;"|109",VIRMAN!$M$7:$M$406,0),0)</f>
        <v>0</v>
      </c>
      <c r="U182" s="1"/>
      <c r="V182" s="1">
        <f t="shared" si="54"/>
        <v>10000000000</v>
      </c>
      <c r="W182" s="1">
        <f t="shared" si="55"/>
        <v>9</v>
      </c>
    </row>
    <row r="183" spans="1:23" ht="19.5" customHeight="1" x14ac:dyDescent="0.3">
      <c r="A183" s="2"/>
      <c r="B183" s="65" t="str">
        <f t="shared" si="46"/>
        <v/>
      </c>
      <c r="C183" s="70" t="str">
        <f t="shared" si="47"/>
        <v/>
      </c>
      <c r="D183" s="201" t="str">
        <f t="shared" si="48"/>
        <v/>
      </c>
      <c r="E183" s="141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IF($T183=0,"",INDEX(VIRMAN!$C$7:$C$406,$T183))</f>
        <v/>
      </c>
      <c r="O183" s="1" t="str">
        <f>IF($N183="","",$C$36&amp;"  –  ORTAK ÇEKİŞ / AVANS  ("&amp;INDEX(VIRMAN!$D$7:$D$406,$T183)&amp;" hesabından)"&amp;IF(INDEX(VIRMAN!$G$7:$G$406,$T183)="",""," – "&amp;INDEX(VIRMAN!$G$7:$G$406,$T183)))</f>
        <v/>
      </c>
      <c r="P183" s="1" t="str">
        <f t="shared" si="56"/>
        <v/>
      </c>
      <c r="Q183" s="1">
        <f>0</f>
        <v>0</v>
      </c>
      <c r="R183" s="1">
        <f>IF($N183="",0,INDEX(VIRMAN!$F$7:$F$406,$T183))</f>
        <v>0</v>
      </c>
      <c r="S183" s="1">
        <f t="shared" si="53"/>
        <v>10000000000</v>
      </c>
      <c r="T183" s="1">
        <f>IFERROR(MATCH($C$36&amp;"|110",VIRMAN!$M$7:$M$406,0),0)</f>
        <v>0</v>
      </c>
      <c r="U183" s="1"/>
      <c r="V183" s="1">
        <f t="shared" si="54"/>
        <v>10000000000</v>
      </c>
      <c r="W183" s="1">
        <f t="shared" si="55"/>
        <v>9</v>
      </c>
    </row>
    <row r="184" spans="1:23" ht="19.5" customHeight="1" x14ac:dyDescent="0.3">
      <c r="A184" s="2"/>
      <c r="B184" s="65" t="str">
        <f t="shared" si="46"/>
        <v/>
      </c>
      <c r="C184" s="70" t="str">
        <f t="shared" si="47"/>
        <v/>
      </c>
      <c r="D184" s="201" t="str">
        <f t="shared" si="48"/>
        <v/>
      </c>
      <c r="E184" s="141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IF($T184=0,"",INDEX(VIRMAN!$C$7:$C$406,$T184))</f>
        <v/>
      </c>
      <c r="O184" s="1" t="str">
        <f>IF($N184="","",$C$36&amp;"  –  ORTAK ÇEKİŞ / AVANS  ("&amp;INDEX(VIRMAN!$D$7:$D$406,$T184)&amp;" hesabından)"&amp;IF(INDEX(VIRMAN!$G$7:$G$406,$T184)="",""," – "&amp;INDEX(VIRMAN!$G$7:$G$406,$T184)))</f>
        <v/>
      </c>
      <c r="P184" s="1" t="str">
        <f t="shared" si="56"/>
        <v/>
      </c>
      <c r="Q184" s="1">
        <f>0</f>
        <v>0</v>
      </c>
      <c r="R184" s="1">
        <f>IF($N184="",0,INDEX(VIRMAN!$F$7:$F$406,$T184))</f>
        <v>0</v>
      </c>
      <c r="S184" s="1">
        <f t="shared" si="53"/>
        <v>10000000000</v>
      </c>
      <c r="T184" s="1">
        <f>IFERROR(MATCH($C$36&amp;"|111",VIRMAN!$M$7:$M$406,0),0)</f>
        <v>0</v>
      </c>
      <c r="U184" s="1"/>
      <c r="V184" s="1">
        <f t="shared" si="54"/>
        <v>10000000000</v>
      </c>
      <c r="W184" s="1">
        <f t="shared" si="55"/>
        <v>9</v>
      </c>
    </row>
    <row r="185" spans="1:23" ht="19.5" customHeight="1" x14ac:dyDescent="0.3">
      <c r="A185" s="2"/>
      <c r="B185" s="65" t="str">
        <f t="shared" si="46"/>
        <v/>
      </c>
      <c r="C185" s="70" t="str">
        <f t="shared" si="47"/>
        <v/>
      </c>
      <c r="D185" s="201" t="str">
        <f t="shared" si="48"/>
        <v/>
      </c>
      <c r="E185" s="141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IF($T185=0,"",INDEX(VIRMAN!$C$7:$C$406,$T185))</f>
        <v/>
      </c>
      <c r="O185" s="1" t="str">
        <f>IF($N185="","",$C$36&amp;"  –  ORTAK ÇEKİŞ / AVANS  ("&amp;INDEX(VIRMAN!$D$7:$D$406,$T185)&amp;" hesabından)"&amp;IF(INDEX(VIRMAN!$G$7:$G$406,$T185)="",""," – "&amp;INDEX(VIRMAN!$G$7:$G$406,$T185)))</f>
        <v/>
      </c>
      <c r="P185" s="1" t="str">
        <f t="shared" si="56"/>
        <v/>
      </c>
      <c r="Q185" s="1">
        <f>0</f>
        <v>0</v>
      </c>
      <c r="R185" s="1">
        <f>IF($N185="",0,INDEX(VIRMAN!$F$7:$F$406,$T185))</f>
        <v>0</v>
      </c>
      <c r="S185" s="1">
        <f t="shared" si="53"/>
        <v>10000000000</v>
      </c>
      <c r="T185" s="1">
        <f>IFERROR(MATCH($C$36&amp;"|112",VIRMAN!$M$7:$M$406,0),0)</f>
        <v>0</v>
      </c>
      <c r="U185" s="1"/>
      <c r="V185" s="1">
        <f t="shared" si="54"/>
        <v>10000000000</v>
      </c>
      <c r="W185" s="1">
        <f t="shared" si="55"/>
        <v>9</v>
      </c>
    </row>
    <row r="186" spans="1:23" ht="19.5" customHeight="1" x14ac:dyDescent="0.3">
      <c r="A186" s="2"/>
      <c r="B186" s="65" t="str">
        <f t="shared" si="46"/>
        <v/>
      </c>
      <c r="C186" s="70" t="str">
        <f t="shared" si="47"/>
        <v/>
      </c>
      <c r="D186" s="201" t="str">
        <f t="shared" si="48"/>
        <v/>
      </c>
      <c r="E186" s="141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IF($T186=0,"",INDEX(VIRMAN!$C$7:$C$406,$T186))</f>
        <v/>
      </c>
      <c r="O186" s="1" t="str">
        <f>IF($N186="","",$C$36&amp;"  –  ORTAK ÇEKİŞ / AVANS  ("&amp;INDEX(VIRMAN!$D$7:$D$406,$T186)&amp;" hesabından)"&amp;IF(INDEX(VIRMAN!$G$7:$G$406,$T186)="",""," – "&amp;INDEX(VIRMAN!$G$7:$G$406,$T186)))</f>
        <v/>
      </c>
      <c r="P186" s="1" t="str">
        <f t="shared" si="56"/>
        <v/>
      </c>
      <c r="Q186" s="1">
        <f>0</f>
        <v>0</v>
      </c>
      <c r="R186" s="1">
        <f>IF($N186="",0,INDEX(VIRMAN!$F$7:$F$406,$T186))</f>
        <v>0</v>
      </c>
      <c r="S186" s="1">
        <f t="shared" si="53"/>
        <v>10000000000</v>
      </c>
      <c r="T186" s="1">
        <f>IFERROR(MATCH($C$36&amp;"|113",VIRMAN!$M$7:$M$406,0),0)</f>
        <v>0</v>
      </c>
      <c r="U186" s="1"/>
      <c r="V186" s="1">
        <f t="shared" si="54"/>
        <v>10000000000</v>
      </c>
      <c r="W186" s="1">
        <f t="shared" si="55"/>
        <v>9</v>
      </c>
    </row>
    <row r="187" spans="1:23" ht="19.5" customHeight="1" x14ac:dyDescent="0.3">
      <c r="A187" s="2"/>
      <c r="B187" s="65" t="str">
        <f t="shared" si="46"/>
        <v/>
      </c>
      <c r="C187" s="70" t="str">
        <f t="shared" si="47"/>
        <v/>
      </c>
      <c r="D187" s="201" t="str">
        <f t="shared" si="48"/>
        <v/>
      </c>
      <c r="E187" s="141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IF($T187=0,"",INDEX(VIRMAN!$C$7:$C$406,$T187))</f>
        <v/>
      </c>
      <c r="O187" s="1" t="str">
        <f>IF($N187="","",$C$36&amp;"  –  ORTAK ÇEKİŞ / AVANS  ("&amp;INDEX(VIRMAN!$D$7:$D$406,$T187)&amp;" hesabından)"&amp;IF(INDEX(VIRMAN!$G$7:$G$406,$T187)="",""," – "&amp;INDEX(VIRMAN!$G$7:$G$406,$T187)))</f>
        <v/>
      </c>
      <c r="P187" s="1" t="str">
        <f t="shared" si="56"/>
        <v/>
      </c>
      <c r="Q187" s="1">
        <f>0</f>
        <v>0</v>
      </c>
      <c r="R187" s="1">
        <f>IF($N187="",0,INDEX(VIRMAN!$F$7:$F$406,$T187))</f>
        <v>0</v>
      </c>
      <c r="S187" s="1">
        <f t="shared" si="53"/>
        <v>10000000000</v>
      </c>
      <c r="T187" s="1">
        <f>IFERROR(MATCH($C$36&amp;"|114",VIRMAN!$M$7:$M$406,0),0)</f>
        <v>0</v>
      </c>
      <c r="U187" s="1"/>
      <c r="V187" s="1">
        <f t="shared" si="54"/>
        <v>10000000000</v>
      </c>
      <c r="W187" s="1">
        <f t="shared" si="55"/>
        <v>9</v>
      </c>
    </row>
    <row r="188" spans="1:23" ht="19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IF($T188=0,"",INDEX(VIRMAN!$C$7:$C$406,$T188))</f>
        <v/>
      </c>
      <c r="O188" s="1" t="str">
        <f>IF($N188="","",$C$36&amp;"  –  ORTAK ÇEKİŞ / AVANS  ("&amp;INDEX(VIRMAN!$D$7:$D$406,$T188)&amp;" hesabından)"&amp;IF(INDEX(VIRMAN!$G$7:$G$406,$T188)="",""," – "&amp;INDEX(VIRMAN!$G$7:$G$406,$T188)))</f>
        <v/>
      </c>
      <c r="P188" s="1" t="str">
        <f t="shared" si="56"/>
        <v/>
      </c>
      <c r="Q188" s="1">
        <f>0</f>
        <v>0</v>
      </c>
      <c r="R188" s="1">
        <f>IF($N188="",0,INDEX(VIRMAN!$F$7:$F$406,$T188))</f>
        <v>0</v>
      </c>
      <c r="S188" s="1">
        <f t="shared" si="53"/>
        <v>10000000000</v>
      </c>
      <c r="T188" s="1">
        <f>IFERROR(MATCH($C$36&amp;"|115",VIRMAN!$M$7:$M$406,0),0)</f>
        <v>0</v>
      </c>
      <c r="U188" s="1"/>
      <c r="V188" s="1"/>
      <c r="W188" s="1"/>
    </row>
    <row r="189" spans="1:23" ht="19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IF($T189=0,"",INDEX(VIRMAN!$C$7:$C$406,$T189))</f>
        <v/>
      </c>
      <c r="O189" s="1" t="str">
        <f>IF($N189="","",$C$36&amp;"  –  ORTAK ÇEKİŞ / AVANS  ("&amp;INDEX(VIRMAN!$D$7:$D$406,$T189)&amp;" hesabından)"&amp;IF(INDEX(VIRMAN!$G$7:$G$406,$T189)="",""," – "&amp;INDEX(VIRMAN!$G$7:$G$406,$T189)))</f>
        <v/>
      </c>
      <c r="P189" s="1" t="str">
        <f t="shared" si="56"/>
        <v/>
      </c>
      <c r="Q189" s="1">
        <f>0</f>
        <v>0</v>
      </c>
      <c r="R189" s="1">
        <f>IF($N189="",0,INDEX(VIRMAN!$F$7:$F$406,$T189))</f>
        <v>0</v>
      </c>
      <c r="S189" s="1">
        <f t="shared" si="53"/>
        <v>10000000000</v>
      </c>
      <c r="T189" s="1">
        <f>IFERROR(MATCH($C$36&amp;"|116",VIRMAN!$M$7:$M$406,0),0)</f>
        <v>0</v>
      </c>
      <c r="U189" s="1"/>
      <c r="V189" s="1"/>
      <c r="W189" s="1"/>
    </row>
    <row r="190" spans="1:23" ht="19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IF($T190=0,"",INDEX(VIRMAN!$C$7:$C$406,$T190))</f>
        <v/>
      </c>
      <c r="O190" s="1" t="str">
        <f>IF($N190="","",$C$36&amp;"  –  ORTAK ÇEKİŞ / AVANS  ("&amp;INDEX(VIRMAN!$D$7:$D$406,$T190)&amp;" hesabından)"&amp;IF(INDEX(VIRMAN!$G$7:$G$406,$T190)="",""," – "&amp;INDEX(VIRMAN!$G$7:$G$406,$T190)))</f>
        <v/>
      </c>
      <c r="P190" s="1" t="str">
        <f t="shared" si="56"/>
        <v/>
      </c>
      <c r="Q190" s="1">
        <f>0</f>
        <v>0</v>
      </c>
      <c r="R190" s="1">
        <f>IF($N190="",0,INDEX(VIRMAN!$F$7:$F$406,$T190))</f>
        <v>0</v>
      </c>
      <c r="S190" s="1">
        <f t="shared" si="53"/>
        <v>10000000000</v>
      </c>
      <c r="T190" s="1">
        <f>IFERROR(MATCH($C$36&amp;"|117",VIRMAN!$M$7:$M$406,0),0)</f>
        <v>0</v>
      </c>
      <c r="U190" s="1"/>
      <c r="V190" s="1"/>
      <c r="W190" s="1"/>
    </row>
    <row r="191" spans="1:23" ht="19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IF($T191=0,"",INDEX(VIRMAN!$C$7:$C$406,$T191))</f>
        <v/>
      </c>
      <c r="O191" s="1" t="str">
        <f>IF($N191="","",$C$36&amp;"  –  ORTAK ÇEKİŞ / AVANS  ("&amp;INDEX(VIRMAN!$D$7:$D$406,$T191)&amp;" hesabından)"&amp;IF(INDEX(VIRMAN!$G$7:$G$406,$T191)="",""," – "&amp;INDEX(VIRMAN!$G$7:$G$406,$T191)))</f>
        <v/>
      </c>
      <c r="P191" s="1" t="str">
        <f t="shared" si="56"/>
        <v/>
      </c>
      <c r="Q191" s="1">
        <f>0</f>
        <v>0</v>
      </c>
      <c r="R191" s="1">
        <f>IF($N191="",0,INDEX(VIRMAN!$F$7:$F$406,$T191))</f>
        <v>0</v>
      </c>
      <c r="S191" s="1">
        <f t="shared" si="53"/>
        <v>10000000000</v>
      </c>
      <c r="T191" s="1">
        <f>IFERROR(MATCH($C$36&amp;"|118",VIRMAN!$M$7:$M$406,0),0)</f>
        <v>0</v>
      </c>
      <c r="U191" s="1"/>
      <c r="V191" s="1"/>
      <c r="W191" s="1"/>
    </row>
    <row r="192" spans="1:23" ht="19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IF($T192=0,"",INDEX(VIRMAN!$C$7:$C$406,$T192))</f>
        <v/>
      </c>
      <c r="O192" s="1" t="str">
        <f>IF($N192="","",$C$36&amp;"  –  ORTAK ÇEKİŞ / AVANS  ("&amp;INDEX(VIRMAN!$D$7:$D$406,$T192)&amp;" hesabından)"&amp;IF(INDEX(VIRMAN!$G$7:$G$406,$T192)="",""," – "&amp;INDEX(VIRMAN!$G$7:$G$406,$T192)))</f>
        <v/>
      </c>
      <c r="P192" s="1" t="str">
        <f t="shared" si="56"/>
        <v/>
      </c>
      <c r="Q192" s="1">
        <f>0</f>
        <v>0</v>
      </c>
      <c r="R192" s="1">
        <f>IF($N192="",0,INDEX(VIRMAN!$F$7:$F$406,$T192))</f>
        <v>0</v>
      </c>
      <c r="S192" s="1">
        <f t="shared" si="53"/>
        <v>10000000000</v>
      </c>
      <c r="T192" s="1">
        <f>IFERROR(MATCH($C$36&amp;"|119",VIRMAN!$M$7:$M$406,0),0)</f>
        <v>0</v>
      </c>
      <c r="U192" s="1"/>
      <c r="V192" s="1"/>
      <c r="W192" s="1"/>
    </row>
    <row r="193" spans="1:23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IF($T193=0,"",INDEX(VIRMAN!$C$7:$C$406,$T193))</f>
        <v/>
      </c>
      <c r="O193" s="1" t="str">
        <f>IF($N193="","",$C$36&amp;"  –  ORTAK ÇEKİŞ / AVANS  ("&amp;INDEX(VIRMAN!$D$7:$D$406,$T193)&amp;" hesabından)"&amp;IF(INDEX(VIRMAN!$G$7:$G$406,$T193)="",""," – "&amp;INDEX(VIRMAN!$G$7:$G$406,$T193)))</f>
        <v/>
      </c>
      <c r="P193" s="1" t="str">
        <f t="shared" si="56"/>
        <v/>
      </c>
      <c r="Q193" s="1">
        <f>0</f>
        <v>0</v>
      </c>
      <c r="R193" s="1">
        <f>IF($N193="",0,INDEX(VIRMAN!$F$7:$F$406,$T193))</f>
        <v>0</v>
      </c>
      <c r="S193" s="1">
        <f t="shared" si="53"/>
        <v>10000000000</v>
      </c>
      <c r="T193" s="1">
        <f>IFERROR(MATCH($C$36&amp;"|120",VIRMAN!$M$7:$M$406,0),0)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61:E61"/>
    <mergeCell ref="D141:E141"/>
    <mergeCell ref="D70:E70"/>
    <mergeCell ref="D135:E135"/>
    <mergeCell ref="D48:E48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D160:E160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143:E143"/>
    <mergeCell ref="D117:E117"/>
    <mergeCell ref="D92:E92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01717"/>
    <pageSetUpPr fitToPage="1"/>
  </sheetPr>
  <dimension ref="A1:O91"/>
  <sheetViews>
    <sheetView showGridLines="0" zoomScaleNormal="100" workbookViewId="0">
      <pane ySplit="6" topLeftCell="A7" activePane="bottomLeft" state="frozen"/>
      <selection pane="bottomLeft" activeCell="A25" sqref="A25"/>
    </sheetView>
  </sheetViews>
  <sheetFormatPr defaultColWidth="8" defaultRowHeight="14.25" customHeight="1" x14ac:dyDescent="0.25"/>
  <cols>
    <col min="1" max="1" width="2.28515625" customWidth="1"/>
    <col min="2" max="2" width="27.85546875" customWidth="1"/>
    <col min="3" max="3" width="22.42578125" customWidth="1"/>
    <col min="4" max="5" width="13.85546875" customWidth="1"/>
    <col min="6" max="6" width="12" customWidth="1"/>
    <col min="7" max="7" width="37" customWidth="1"/>
    <col min="8" max="8" width="14.85546875" customWidth="1"/>
    <col min="9" max="9" width="42.5703125" customWidth="1"/>
    <col min="11" max="11" width="31.5703125" customWidth="1"/>
    <col min="12" max="12" width="11.140625" customWidth="1"/>
    <col min="13" max="13" width="3.7109375" customWidth="1"/>
    <col min="14" max="15" width="2.28515625" customWidth="1"/>
  </cols>
  <sheetData>
    <row r="1" spans="1:15" ht="37.5" customHeight="1" x14ac:dyDescent="0.3">
      <c r="A1" s="218" t="s">
        <v>1054</v>
      </c>
      <c r="B1" s="171"/>
      <c r="C1" s="171"/>
      <c r="D1" s="171"/>
      <c r="E1" s="171"/>
      <c r="F1" s="208" t="s">
        <v>1086</v>
      </c>
      <c r="G1" s="171"/>
      <c r="H1" s="171"/>
      <c r="I1" s="171"/>
      <c r="J1" s="171"/>
      <c r="K1" s="171"/>
      <c r="L1" s="171"/>
      <c r="M1" s="1"/>
      <c r="N1" s="13"/>
      <c r="O1" s="13"/>
    </row>
    <row r="2" spans="1:15" ht="21.75" customHeight="1" x14ac:dyDescent="0.3">
      <c r="A2" s="219" t="s">
        <v>1087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"/>
      <c r="N2" s="14"/>
      <c r="O2" s="14"/>
    </row>
    <row r="3" spans="1:15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3">
      <c r="A6" s="2"/>
      <c r="B6" s="211" t="s">
        <v>1088</v>
      </c>
      <c r="C6" s="139"/>
      <c r="D6" s="139"/>
      <c r="E6" s="139"/>
      <c r="F6" s="139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3">
      <c r="A7" s="2"/>
      <c r="B7" s="74" t="s">
        <v>1089</v>
      </c>
      <c r="C7" s="60" t="s">
        <v>1090</v>
      </c>
      <c r="D7" s="74" t="s">
        <v>1091</v>
      </c>
      <c r="E7" s="74" t="s">
        <v>1092</v>
      </c>
      <c r="F7" s="1"/>
      <c r="G7" s="1"/>
      <c r="H7" s="1"/>
      <c r="I7" s="1"/>
      <c r="J7" s="1"/>
      <c r="K7" s="211" t="s">
        <v>1093</v>
      </c>
      <c r="L7" s="139"/>
      <c r="M7" s="139"/>
      <c r="N7" s="2"/>
      <c r="O7" s="2"/>
    </row>
    <row r="8" spans="1:15" ht="24" customHeight="1" x14ac:dyDescent="0.3">
      <c r="A8" s="2"/>
      <c r="B8" s="74" t="s">
        <v>1094</v>
      </c>
      <c r="C8" s="60" t="s">
        <v>1095</v>
      </c>
      <c r="D8" s="74" t="s">
        <v>1096</v>
      </c>
      <c r="E8" s="74" t="s">
        <v>1097</v>
      </c>
      <c r="F8" s="96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805</v>
      </c>
      <c r="L8" s="60" t="s">
        <v>571</v>
      </c>
      <c r="M8" s="75"/>
      <c r="N8" s="2"/>
      <c r="O8" s="2"/>
    </row>
    <row r="9" spans="1:15" ht="24" customHeight="1" x14ac:dyDescent="0.3">
      <c r="A9" s="2"/>
      <c r="B9" s="74" t="s">
        <v>1098</v>
      </c>
      <c r="C9" s="60" t="s">
        <v>972</v>
      </c>
      <c r="D9" s="74" t="s">
        <v>1099</v>
      </c>
      <c r="E9" s="74" t="s">
        <v>1092</v>
      </c>
      <c r="F9" s="1"/>
      <c r="G9" s="1"/>
      <c r="H9" s="1"/>
      <c r="I9" s="1"/>
      <c r="J9" s="1"/>
      <c r="K9" s="61" t="s">
        <v>798</v>
      </c>
      <c r="L9" s="60" t="s">
        <v>571</v>
      </c>
      <c r="M9" s="1"/>
      <c r="N9" s="2"/>
      <c r="O9" s="2"/>
    </row>
    <row r="10" spans="1:15" ht="24" customHeight="1" x14ac:dyDescent="0.3">
      <c r="A10" s="2"/>
      <c r="B10" s="74" t="s">
        <v>1100</v>
      </c>
      <c r="C10" s="60" t="s">
        <v>723</v>
      </c>
      <c r="D10" s="74" t="s">
        <v>1101</v>
      </c>
      <c r="E10" s="74" t="s">
        <v>1092</v>
      </c>
      <c r="F10" s="1"/>
      <c r="G10" s="1"/>
      <c r="H10" s="1"/>
      <c r="I10" s="1"/>
      <c r="J10" s="1"/>
      <c r="K10" s="61" t="s">
        <v>784</v>
      </c>
      <c r="L10" s="60" t="s">
        <v>571</v>
      </c>
      <c r="M10" s="1"/>
      <c r="N10" s="2"/>
      <c r="O10" s="2"/>
    </row>
    <row r="11" spans="1:15" ht="24" customHeight="1" x14ac:dyDescent="0.3">
      <c r="A11" s="2"/>
      <c r="B11" s="74" t="s">
        <v>1102</v>
      </c>
      <c r="C11" s="82">
        <v>0.5</v>
      </c>
      <c r="D11" s="74" t="s">
        <v>1103</v>
      </c>
      <c r="E11" s="74" t="s">
        <v>1104</v>
      </c>
      <c r="F11" s="1"/>
      <c r="G11" s="1"/>
      <c r="H11" s="1"/>
      <c r="I11" s="1"/>
      <c r="J11" s="1"/>
      <c r="K11" s="61" t="s">
        <v>781</v>
      </c>
      <c r="L11" s="60" t="s">
        <v>571</v>
      </c>
      <c r="M11" s="1"/>
      <c r="N11" s="2"/>
      <c r="O11" s="2"/>
    </row>
    <row r="12" spans="1:15" ht="24" customHeight="1" x14ac:dyDescent="0.3">
      <c r="A12" s="2"/>
      <c r="B12" s="74" t="s">
        <v>1105</v>
      </c>
      <c r="C12" s="82">
        <v>0.5</v>
      </c>
      <c r="D12" s="74" t="s">
        <v>1103</v>
      </c>
      <c r="E12" s="74" t="s">
        <v>1104</v>
      </c>
      <c r="F12" s="1"/>
      <c r="G12" s="1"/>
      <c r="H12" s="1"/>
      <c r="I12" s="1"/>
      <c r="J12" s="1"/>
      <c r="K12" s="61" t="s">
        <v>779</v>
      </c>
      <c r="L12" s="60" t="s">
        <v>571</v>
      </c>
      <c r="M12" s="1"/>
      <c r="N12" s="2"/>
      <c r="O12" s="2"/>
    </row>
    <row r="13" spans="1:15" ht="24" customHeight="1" x14ac:dyDescent="0.3">
      <c r="A13" s="2"/>
      <c r="B13" s="74" t="s">
        <v>1066</v>
      </c>
      <c r="C13" s="63">
        <v>0</v>
      </c>
      <c r="D13" s="74" t="s">
        <v>1106</v>
      </c>
      <c r="E13" s="74" t="s">
        <v>1107</v>
      </c>
      <c r="F13" s="1"/>
      <c r="G13" s="1"/>
      <c r="H13" s="1"/>
      <c r="I13" s="1"/>
      <c r="J13" s="1"/>
      <c r="K13" s="61" t="s">
        <v>801</v>
      </c>
      <c r="L13" s="60" t="s">
        <v>571</v>
      </c>
      <c r="M13" s="1"/>
      <c r="N13" s="2"/>
      <c r="O13" s="2"/>
    </row>
    <row r="14" spans="1:15" ht="24" customHeight="1" x14ac:dyDescent="0.3">
      <c r="A14" s="2"/>
      <c r="B14" s="74" t="s">
        <v>1108</v>
      </c>
      <c r="C14" s="60" t="s">
        <v>572</v>
      </c>
      <c r="D14" s="74" t="s">
        <v>1109</v>
      </c>
      <c r="E14" s="74" t="s">
        <v>1110</v>
      </c>
      <c r="F14" s="1"/>
      <c r="G14" s="1"/>
      <c r="H14" s="1"/>
      <c r="I14" s="1"/>
      <c r="J14" s="1"/>
      <c r="K14" s="61" t="s">
        <v>860</v>
      </c>
      <c r="L14" s="60" t="s">
        <v>571</v>
      </c>
      <c r="M14" s="1"/>
      <c r="N14" s="2"/>
      <c r="O14" s="2"/>
    </row>
    <row r="15" spans="1:15" ht="24" customHeight="1" x14ac:dyDescent="0.3">
      <c r="A15" s="2"/>
      <c r="B15" s="74" t="s">
        <v>1111</v>
      </c>
      <c r="C15" s="60" t="s">
        <v>1112</v>
      </c>
      <c r="D15" s="74" t="s">
        <v>1113</v>
      </c>
      <c r="E15" s="74" t="s">
        <v>1114</v>
      </c>
      <c r="F15" s="1"/>
      <c r="G15" s="1"/>
      <c r="H15" s="1"/>
      <c r="I15" s="1"/>
      <c r="J15" s="1"/>
      <c r="K15" s="61" t="s">
        <v>788</v>
      </c>
      <c r="L15" s="60" t="s">
        <v>571</v>
      </c>
      <c r="M15" s="1"/>
      <c r="N15" s="2"/>
      <c r="O15" s="2"/>
    </row>
    <row r="16" spans="1:15" ht="24" customHeight="1" x14ac:dyDescent="0.3">
      <c r="A16" s="2"/>
      <c r="B16" s="74" t="s">
        <v>1115</v>
      </c>
      <c r="C16" s="60" t="s">
        <v>1107</v>
      </c>
      <c r="D16" s="74" t="s">
        <v>1116</v>
      </c>
      <c r="E16" s="74" t="s">
        <v>1110</v>
      </c>
      <c r="F16" s="1"/>
      <c r="G16" s="1"/>
      <c r="H16" s="1"/>
      <c r="I16" s="1"/>
      <c r="J16" s="1"/>
      <c r="K16" s="61" t="s">
        <v>790</v>
      </c>
      <c r="L16" s="60" t="s">
        <v>571</v>
      </c>
      <c r="M16" s="1"/>
      <c r="N16" s="2"/>
      <c r="O16" s="2"/>
    </row>
    <row r="17" spans="1:15" ht="24" customHeight="1" x14ac:dyDescent="0.3">
      <c r="A17" s="2"/>
      <c r="B17" s="74" t="s">
        <v>1117</v>
      </c>
      <c r="C17" s="97">
        <f ca="1">TODAY()</f>
        <v>46260</v>
      </c>
      <c r="D17" s="74" t="s">
        <v>1118</v>
      </c>
      <c r="E17" s="74" t="s">
        <v>1114</v>
      </c>
      <c r="F17" s="1"/>
      <c r="G17" s="1"/>
      <c r="H17" s="1"/>
      <c r="I17" s="1"/>
      <c r="J17" s="1"/>
      <c r="K17" s="61" t="s">
        <v>849</v>
      </c>
      <c r="L17" s="60" t="s">
        <v>571</v>
      </c>
      <c r="M17" s="1"/>
      <c r="N17" s="2"/>
      <c r="O17" s="2"/>
    </row>
    <row r="18" spans="1:15" ht="18" customHeigh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770</v>
      </c>
      <c r="L18" s="60" t="s">
        <v>571</v>
      </c>
      <c r="M18" s="1"/>
      <c r="N18" s="2"/>
      <c r="O18" s="2"/>
    </row>
    <row r="19" spans="1:15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793</v>
      </c>
      <c r="L19" s="60" t="s">
        <v>571</v>
      </c>
      <c r="M19" s="1"/>
      <c r="N19" s="2"/>
      <c r="O19" s="2"/>
    </row>
    <row r="20" spans="1:15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61"/>
      <c r="L20" s="60"/>
      <c r="M20" s="1"/>
      <c r="N20" s="2"/>
      <c r="O20" s="2"/>
    </row>
    <row r="21" spans="1:15" ht="24" customHeight="1" x14ac:dyDescent="0.3">
      <c r="A21" s="2"/>
      <c r="B21" s="211" t="s">
        <v>1119</v>
      </c>
      <c r="C21" s="139"/>
      <c r="D21" s="139"/>
      <c r="E21" s="139"/>
      <c r="F21" s="139"/>
      <c r="G21" s="139"/>
      <c r="H21" s="139"/>
      <c r="I21" s="139"/>
      <c r="J21" s="139"/>
      <c r="K21" s="61"/>
      <c r="L21" s="60" t="s">
        <v>571</v>
      </c>
      <c r="M21" s="1"/>
      <c r="N21" s="2"/>
      <c r="O21" s="2"/>
    </row>
    <row r="22" spans="1:15" ht="27.75" customHeight="1" x14ac:dyDescent="0.3">
      <c r="A22" s="2"/>
      <c r="B22" s="75" t="s">
        <v>164</v>
      </c>
      <c r="C22" s="75" t="s">
        <v>1120</v>
      </c>
      <c r="D22" s="75" t="s">
        <v>1121</v>
      </c>
      <c r="E22" s="75" t="s">
        <v>1122</v>
      </c>
      <c r="F22" s="75" t="s">
        <v>1123</v>
      </c>
      <c r="G22" s="75" t="s">
        <v>54</v>
      </c>
      <c r="H22" s="75" t="s">
        <v>1124</v>
      </c>
      <c r="I22" s="75" t="s">
        <v>1125</v>
      </c>
      <c r="J22" s="1"/>
      <c r="K22" s="61"/>
      <c r="L22" s="60"/>
      <c r="M22" s="1"/>
      <c r="N22" s="2"/>
      <c r="O22" s="2"/>
    </row>
    <row r="23" spans="1:15" ht="22.5" customHeight="1" x14ac:dyDescent="0.3">
      <c r="A23" s="2"/>
      <c r="B23" s="74" t="s">
        <v>1126</v>
      </c>
      <c r="C23" s="65" t="s">
        <v>1127</v>
      </c>
      <c r="D23" s="65" t="s">
        <v>1128</v>
      </c>
      <c r="E23" s="92">
        <f>SISTEM!$C$11+SISTEM!$C$12</f>
        <v>1</v>
      </c>
      <c r="F23" s="65" t="str">
        <f>IF(ABS($E23-1)&lt;0.000001,"GEÇTİ","KALDI")</f>
        <v>GEÇTİ</v>
      </c>
      <c r="G23" s="74" t="s">
        <v>1129</v>
      </c>
      <c r="H23" s="98" t="str">
        <f>HYPERLINK("#SISTEM!A1","SISTEM")</f>
        <v>SISTEM</v>
      </c>
      <c r="I23" s="74" t="str">
        <f>IF($F23="KALDI","SISTEM C11/C12 — ortak paylarını toplam %100 yapın","—")</f>
        <v>—</v>
      </c>
      <c r="J23" s="1"/>
      <c r="K23" s="61"/>
      <c r="L23" s="60"/>
      <c r="M23" s="1"/>
      <c r="N23" s="2"/>
      <c r="O23" s="2"/>
    </row>
    <row r="24" spans="1:15" ht="22.5" customHeight="1" x14ac:dyDescent="0.3">
      <c r="A24" s="2"/>
      <c r="B24" s="74" t="s">
        <v>1130</v>
      </c>
      <c r="C24" s="65" t="s">
        <v>1127</v>
      </c>
      <c r="D24" s="65" t="s">
        <v>1131</v>
      </c>
      <c r="E24" s="93">
        <f>COUNTIFS(UCRETLER!$H$7:$H$606,"Aktif",UCRETLER!$N$7:$N$606,"&lt;&gt;UYGUN")</f>
        <v>0</v>
      </c>
      <c r="F24" s="65" t="str">
        <f t="shared" ref="F24:F38" si="0">IF($E24=0,"GEÇTİ","KALDI")</f>
        <v>GEÇTİ</v>
      </c>
      <c r="G24" s="74" t="s">
        <v>1132</v>
      </c>
      <c r="H24" s="98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—</v>
      </c>
      <c r="J24" s="1"/>
      <c r="K24" s="61"/>
      <c r="L24" s="60"/>
      <c r="M24" s="1"/>
      <c r="N24" s="2"/>
      <c r="O24" s="2"/>
    </row>
    <row r="25" spans="1:15" ht="22.5" customHeight="1" x14ac:dyDescent="0.3">
      <c r="A25" s="2"/>
      <c r="B25" s="74" t="s">
        <v>1133</v>
      </c>
      <c r="C25" s="65" t="s">
        <v>1127</v>
      </c>
      <c r="D25" s="65" t="s">
        <v>1131</v>
      </c>
      <c r="E25" s="93">
        <f>COUNTIFS(MUSTERILER!$D$7:$D$156,"Aktif",MUSTERILER!$O$7:$O$156,"HAYIR")</f>
        <v>0</v>
      </c>
      <c r="F25" s="65" t="str">
        <f t="shared" si="0"/>
        <v>GEÇTİ</v>
      </c>
      <c r="G25" s="74" t="s">
        <v>1134</v>
      </c>
      <c r="H25" s="98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—</v>
      </c>
      <c r="J25" s="1"/>
      <c r="K25" s="61"/>
      <c r="L25" s="60"/>
      <c r="M25" s="1"/>
      <c r="N25" s="2"/>
      <c r="O25" s="2"/>
    </row>
    <row r="26" spans="1:15" ht="22.5" customHeight="1" x14ac:dyDescent="0.3">
      <c r="A26" s="2"/>
      <c r="B26" s="74" t="s">
        <v>1135</v>
      </c>
      <c r="C26" s="65" t="s">
        <v>1127</v>
      </c>
      <c r="D26" s="65" t="s">
        <v>1131</v>
      </c>
      <c r="E26" s="93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1136</v>
      </c>
      <c r="H26" s="98" t="str">
        <f>HYPERLINK("#MUSTERILER!A1","MUSTERILER")</f>
        <v>MUSTERILER</v>
      </c>
      <c r="I26" s="74" t="str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>—</v>
      </c>
      <c r="J26" s="1"/>
      <c r="K26" s="61"/>
      <c r="L26" s="60"/>
      <c r="M26" s="1"/>
      <c r="N26" s="2"/>
      <c r="O26" s="2"/>
    </row>
    <row r="27" spans="1:15" ht="22.5" customHeight="1" x14ac:dyDescent="0.3">
      <c r="A27" s="2"/>
      <c r="B27" s="74" t="s">
        <v>1137</v>
      </c>
      <c r="C27" s="65" t="s">
        <v>1138</v>
      </c>
      <c r="D27" s="65" t="s">
        <v>1131</v>
      </c>
      <c r="E27" s="93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1139</v>
      </c>
      <c r="H27" s="98" t="str">
        <f>HYPERLINK("#MUSTERILER!A1","MUSTERILER")</f>
        <v>MUSTERILER</v>
      </c>
      <c r="I27" s="74" t="str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>—</v>
      </c>
      <c r="J27" s="1"/>
      <c r="K27" s="61"/>
      <c r="L27" s="60"/>
      <c r="M27" s="1"/>
      <c r="N27" s="2"/>
      <c r="O27" s="2"/>
    </row>
    <row r="28" spans="1:15" ht="22.5" customHeight="1" x14ac:dyDescent="0.3">
      <c r="A28" s="2"/>
      <c r="B28" s="74" t="s">
        <v>1140</v>
      </c>
      <c r="C28" s="65" t="s">
        <v>1138</v>
      </c>
      <c r="D28" s="65" t="s">
        <v>1131</v>
      </c>
      <c r="E28" s="93">
        <f>COUNTIFS(MUSTERILER!$J$7:$J$156,"&gt;0",MUSTERILER!$K$7:$K$156,"")</f>
        <v>0</v>
      </c>
      <c r="F28" s="65" t="str">
        <f t="shared" si="0"/>
        <v>GEÇTİ</v>
      </c>
      <c r="G28" s="74" t="s">
        <v>1141</v>
      </c>
      <c r="H28" s="98" t="str">
        <f>HYPERLINK("#MUSTERILER!A1","MUSTERILER")</f>
        <v>MUSTERILER</v>
      </c>
      <c r="I28" s="74" t="str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>—</v>
      </c>
      <c r="J28" s="1"/>
      <c r="K28" s="61"/>
      <c r="L28" s="60"/>
      <c r="M28" s="1"/>
      <c r="N28" s="2"/>
      <c r="O28" s="2"/>
    </row>
    <row r="29" spans="1:15" ht="22.5" customHeight="1" x14ac:dyDescent="0.3">
      <c r="A29" s="2"/>
      <c r="B29" s="74" t="s">
        <v>1142</v>
      </c>
      <c r="C29" s="65" t="s">
        <v>1143</v>
      </c>
      <c r="D29" s="65" t="s">
        <v>1131</v>
      </c>
      <c r="E29" s="93">
        <f>SUMPRODUCT((MUSTERILER!$P$7:$P$156&lt;&gt;"")*(MUSTERILER!$P$7:$P$156&lt;&gt;"UYGUN"))</f>
        <v>0</v>
      </c>
      <c r="F29" s="65" t="str">
        <f t="shared" si="0"/>
        <v>GEÇTİ</v>
      </c>
      <c r="G29" s="74" t="s">
        <v>1144</v>
      </c>
      <c r="H29" s="98" t="str">
        <f>HYPERLINK("#MUSTERILER!A1","MUSTERILER")</f>
        <v>MUSTERILER</v>
      </c>
      <c r="I29" s="74" t="str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>—</v>
      </c>
      <c r="J29" s="1"/>
      <c r="K29" s="61"/>
      <c r="L29" s="60"/>
      <c r="M29" s="1"/>
      <c r="N29" s="2"/>
      <c r="O29" s="2"/>
    </row>
    <row r="30" spans="1:15" ht="22.5" customHeight="1" x14ac:dyDescent="0.3">
      <c r="A30" s="2"/>
      <c r="B30" s="74" t="s">
        <v>32</v>
      </c>
      <c r="C30" s="65" t="s">
        <v>1138</v>
      </c>
      <c r="D30" s="65" t="s">
        <v>1131</v>
      </c>
      <c r="E30" s="93">
        <f ca="1">COUNTIF(TAHSILAT!$M$7:$M$2503,"EKSİK")</f>
        <v>0</v>
      </c>
      <c r="F30" s="65" t="str">
        <f t="shared" ca="1" si="0"/>
        <v>GEÇTİ</v>
      </c>
      <c r="G30" s="74" t="s">
        <v>1145</v>
      </c>
      <c r="H30" s="98" t="str">
        <f>HYPERLINK("#TAHSILAT!A1","TAHSILAT")</f>
        <v>TAHSILAT</v>
      </c>
      <c r="I30" s="74" t="str">
        <f ca="1">IFERROR("satır "&amp;(MATCH("EKSİK",TAHSILAT!$M$7:$M$2503,0)+7-1)&amp;"  –  "&amp;INDEX(TAHSILAT!$D$7:$D$2503,MATCH("EKSİK",TAHSILAT!$M$7:$M$2503,0)),"—")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3">
      <c r="A31" s="2"/>
      <c r="B31" s="74" t="s">
        <v>1146</v>
      </c>
      <c r="C31" s="65" t="s">
        <v>1127</v>
      </c>
      <c r="D31" s="65" t="s">
        <v>1131</v>
      </c>
      <c r="E31" s="93">
        <f ca="1">COUNTIF(TAHSILAT!$M$7:$M$2503,"HATA")</f>
        <v>0</v>
      </c>
      <c r="F31" s="65" t="str">
        <f t="shared" ca="1" si="0"/>
        <v>GEÇTİ</v>
      </c>
      <c r="G31" s="74" t="s">
        <v>1147</v>
      </c>
      <c r="H31" s="98" t="str">
        <f>HYPERLINK("#TAHSILAT!A1","TAHSILAT")</f>
        <v>TAHSILAT</v>
      </c>
      <c r="I31" s="74" t="str">
        <f ca="1">IFERROR("satır "&amp;(MATCH("HATA",TAHSILAT!$M$7:$M$2503,0)+7-1)&amp;"  –  "&amp;INDEX(TAHSILAT!$D$7:$D$2503,MATCH("HATA",TAHSILAT!$M$7:$M$2503,0)),"—")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3">
      <c r="A32" s="2"/>
      <c r="B32" s="74" t="s">
        <v>1148</v>
      </c>
      <c r="C32" s="65" t="s">
        <v>1138</v>
      </c>
      <c r="D32" s="65" t="s">
        <v>1131</v>
      </c>
      <c r="E32" s="93">
        <f ca="1">COUNTIF(TAHSILAT!$M$7:$M$2503,"İLERİ TARİH")</f>
        <v>0</v>
      </c>
      <c r="F32" s="65" t="str">
        <f t="shared" ca="1" si="0"/>
        <v>GEÇTİ</v>
      </c>
      <c r="G32" s="74" t="s">
        <v>1149</v>
      </c>
      <c r="H32" s="98" t="str">
        <f>HYPERLINK("#TAHSILAT!A1","TAHSILAT")</f>
        <v>TAHSILAT</v>
      </c>
      <c r="I32" s="74" t="str">
        <f ca="1">IF($E32=0,"—",IFERROR("satır "&amp;(MATCH("İLERİ TARİH",TAHSILAT!$M$7:$M$2503,0)+6)&amp;"  –  "&amp;INDEX(TAHSILAT!$D$7:$D$2503,MATCH("İLERİ TARİH",TAHSILAT!$M$7:$M$2503,0)),"—"))</f>
        <v>—</v>
      </c>
      <c r="J32" s="1"/>
      <c r="K32" s="61"/>
      <c r="L32" s="60"/>
      <c r="M32" s="1"/>
      <c r="N32" s="2"/>
      <c r="O32" s="2"/>
    </row>
    <row r="33" spans="1:15" ht="22.5" customHeight="1" x14ac:dyDescent="0.3">
      <c r="A33" s="2"/>
      <c r="B33" s="74" t="s">
        <v>1150</v>
      </c>
      <c r="C33" s="65" t="s">
        <v>1127</v>
      </c>
      <c r="D33" s="65" t="s">
        <v>1131</v>
      </c>
      <c r="E33" s="93">
        <f>COUNTIFS(TAHSILAT!$D$7:$D$2503,"&lt;&gt;",TAHSILAT!$F$7:$F$2503,"&lt;=0")</f>
        <v>0</v>
      </c>
      <c r="F33" s="65" t="str">
        <f t="shared" si="0"/>
        <v>GEÇTİ</v>
      </c>
      <c r="G33" s="74" t="s">
        <v>1151</v>
      </c>
      <c r="H33" s="98" t="str">
        <f>HYPERLINK("#TAHSILAT!A1","TAHSILAT")</f>
        <v>TAHSILAT</v>
      </c>
      <c r="I33" s="74" t="str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>—</v>
      </c>
      <c r="J33" s="1"/>
      <c r="K33" s="1"/>
      <c r="L33" s="1"/>
      <c r="M33" s="1"/>
      <c r="N33" s="2"/>
      <c r="O33" s="2"/>
    </row>
    <row r="34" spans="1:15" ht="22.5" customHeight="1" x14ac:dyDescent="0.3">
      <c r="A34" s="2"/>
      <c r="B34" s="74" t="s">
        <v>1152</v>
      </c>
      <c r="C34" s="65" t="s">
        <v>1127</v>
      </c>
      <c r="D34" s="65" t="s">
        <v>1131</v>
      </c>
      <c r="E34" s="93">
        <f>SUMPRODUCT((TAHSILAT!$G$7:$G$2503&lt;&gt;"")*(COUNTIF(HESAPLAR!$B$7:$B$16,TAHSILAT!$G$7:$G$2503&amp;"")=0))</f>
        <v>0</v>
      </c>
      <c r="F34" s="65" t="str">
        <f t="shared" si="0"/>
        <v>GEÇTİ</v>
      </c>
      <c r="G34" s="74" t="s">
        <v>1153</v>
      </c>
      <c r="H34" s="98" t="str">
        <f>HYPERLINK("#HESAPLAR!A1","HESAPLAR")</f>
        <v>HESAPLAR</v>
      </c>
      <c r="I34" s="74" t="str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>—</v>
      </c>
      <c r="J34" s="1"/>
      <c r="K34" s="1"/>
      <c r="L34" s="1"/>
      <c r="M34" s="1"/>
      <c r="N34" s="2"/>
      <c r="O34" s="2"/>
    </row>
    <row r="35" spans="1:15" ht="24" customHeight="1" x14ac:dyDescent="0.3">
      <c r="A35" s="2"/>
      <c r="B35" s="74" t="s">
        <v>34</v>
      </c>
      <c r="C35" s="65" t="s">
        <v>1138</v>
      </c>
      <c r="D35" s="65" t="s">
        <v>1131</v>
      </c>
      <c r="E35" s="93">
        <f ca="1">COUNTIF(GELIR_GIDER!$P$7:$P$3001,"EKSİK")</f>
        <v>0</v>
      </c>
      <c r="F35" s="65" t="str">
        <f t="shared" ca="1" si="0"/>
        <v>GEÇTİ</v>
      </c>
      <c r="G35" s="74" t="s">
        <v>1154</v>
      </c>
      <c r="H35" s="98" t="str">
        <f>HYPERLINK("#GELIR_GIDER!A1","GELIR_GIDER")</f>
        <v>GELIR_GIDER</v>
      </c>
      <c r="I35" s="74" t="str">
        <f ca="1">IFERROR("satır "&amp;(MATCH("EKSİK",GELIR_GIDER!$P$7:$P$3001,0)+7-1)&amp;"  –  "&amp;INDEX(GELIR_GIDER!$E$7:$E$3001,MATCH("EKSİK",GELIR_GIDER!$P$7:$P$3001,0)),"—")</f>
        <v>—</v>
      </c>
      <c r="J35" s="1"/>
      <c r="K35" s="211" t="s">
        <v>1155</v>
      </c>
      <c r="L35" s="139"/>
      <c r="M35" s="139"/>
      <c r="N35" s="2"/>
      <c r="O35" s="2"/>
    </row>
    <row r="36" spans="1:15" ht="22.5" customHeight="1" x14ac:dyDescent="0.3">
      <c r="A36" s="2"/>
      <c r="B36" s="74" t="s">
        <v>1156</v>
      </c>
      <c r="C36" s="65" t="s">
        <v>1138</v>
      </c>
      <c r="D36" s="65" t="s">
        <v>1131</v>
      </c>
      <c r="E36" s="93">
        <f>COUNTIFS(GELIR_GIDER!$D$7:$D$3001,"&lt;&gt;",GELIR_GIDER!$G$7:$G$3001,"&lt;=0")</f>
        <v>0</v>
      </c>
      <c r="F36" s="65" t="str">
        <f t="shared" si="0"/>
        <v>GEÇTİ</v>
      </c>
      <c r="G36" s="74" t="s">
        <v>1157</v>
      </c>
      <c r="H36" s="98" t="str">
        <f>HYPERLINK("#GELIR_GIDER!A1","GELIR_GIDER")</f>
        <v>GELIR_GIDER</v>
      </c>
      <c r="I36" s="74" t="str">
        <f>IF($E36=0,"—",IFERROR("satır "&amp;(MATCH(1,INDEX((GELIR_GIDER!$D$7:$D$3001&lt;&gt;"")*(GELIR_GIDER!$G$7:$G$3001&lt;=0),0),0)+6)&amp;"  –  "&amp;INDEX(GELIR_GIDER!$F$7:$F$3001,MATCH(1,INDEX((GELIR_GIDER!$D$7:$D$3001&lt;&gt;"")*(GELIR_GIDER!$G$7:$G$3001&lt;=0),0),0)),"—"))</f>
        <v>—</v>
      </c>
      <c r="J36" s="1"/>
      <c r="K36" s="61" t="s">
        <v>843</v>
      </c>
      <c r="L36" s="60" t="s">
        <v>571</v>
      </c>
      <c r="M36" s="75"/>
      <c r="N36" s="2"/>
      <c r="O36" s="2"/>
    </row>
    <row r="37" spans="1:15" ht="22.5" customHeight="1" x14ac:dyDescent="0.3">
      <c r="A37" s="2"/>
      <c r="B37" s="74" t="s">
        <v>1158</v>
      </c>
      <c r="C37" s="65" t="s">
        <v>1127</v>
      </c>
      <c r="D37" s="65" t="s">
        <v>1131</v>
      </c>
      <c r="E37" s="93">
        <f>COUNTIF(VIRMAN!$J$7:$J$406,"HATA")</f>
        <v>0</v>
      </c>
      <c r="F37" s="65" t="str">
        <f t="shared" si="0"/>
        <v>GEÇTİ</v>
      </c>
      <c r="G37" s="74" t="s">
        <v>1159</v>
      </c>
      <c r="H37" s="98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1160</v>
      </c>
      <c r="L37" s="60" t="s">
        <v>571</v>
      </c>
      <c r="M37" s="1"/>
      <c r="N37" s="2"/>
      <c r="O37" s="2"/>
    </row>
    <row r="38" spans="1:15" ht="22.5" customHeight="1" x14ac:dyDescent="0.3">
      <c r="A38" s="2"/>
      <c r="B38" s="74" t="s">
        <v>1161</v>
      </c>
      <c r="C38" s="65" t="s">
        <v>1127</v>
      </c>
      <c r="D38" s="65" t="s">
        <v>1131</v>
      </c>
      <c r="E38" s="93">
        <f ca="1">COUNTIF(MUSTERI_360!$W$7:$W$156,"İNCELE")</f>
        <v>0</v>
      </c>
      <c r="F38" s="65" t="str">
        <f t="shared" ca="1" si="0"/>
        <v>GEÇTİ</v>
      </c>
      <c r="G38" s="74" t="s">
        <v>1162</v>
      </c>
      <c r="H38" s="98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1163</v>
      </c>
      <c r="L38" s="60" t="s">
        <v>571</v>
      </c>
      <c r="M38" s="1"/>
      <c r="N38" s="2"/>
      <c r="O38" s="2"/>
    </row>
    <row r="39" spans="1:15" ht="22.5" customHeight="1" x14ac:dyDescent="0.3">
      <c r="A39" s="2"/>
      <c r="B39" s="74" t="s">
        <v>1164</v>
      </c>
      <c r="C39" s="65" t="s">
        <v>1127</v>
      </c>
      <c r="D39" s="65" t="s">
        <v>1165</v>
      </c>
      <c r="E39" s="99">
        <f ca="1">ABS(SUM(TAHSILAT!$F$7:$F$2503)-SUM(MUSTERI_360!$I$7:$I$156))</f>
        <v>0</v>
      </c>
      <c r="F39" s="65" t="str">
        <f ca="1">IF($E39&lt;0.01,"GEÇTİ","KALDI")</f>
        <v>GEÇTİ</v>
      </c>
      <c r="G39" s="74" t="s">
        <v>1166</v>
      </c>
      <c r="H39" s="98" t="str">
        <f>HYPERLINK("#TAHSILAT!A1","TAHSILAT")</f>
        <v>TAHSILAT</v>
      </c>
      <c r="I39" s="74" t="str">
        <f ca="1">IF($F39="KALDI","TAHSILAT toplamı ↔ MUSTERI_360 tahsilat toplamı — fark: "&amp;ROUND($E39,2)&amp;" TL","—")</f>
        <v>—</v>
      </c>
      <c r="J39" s="1"/>
      <c r="K39" s="61" t="s">
        <v>1167</v>
      </c>
      <c r="L39" s="60" t="s">
        <v>571</v>
      </c>
      <c r="M39" s="1"/>
      <c r="N39" s="2"/>
      <c r="O39" s="2"/>
    </row>
    <row r="40" spans="1:15" ht="22.5" customHeight="1" x14ac:dyDescent="0.3">
      <c r="A40" s="2"/>
      <c r="B40" s="74" t="s">
        <v>1168</v>
      </c>
      <c r="C40" s="65" t="s">
        <v>1127</v>
      </c>
      <c r="D40" s="65" t="s">
        <v>1165</v>
      </c>
      <c r="E40" s="99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1169</v>
      </c>
      <c r="H40" s="98" t="str">
        <f>HYPERLINK("#MUSTERI_360!A1","MUSTERI_360")</f>
        <v>MUSTERI_360</v>
      </c>
      <c r="I40" s="74" t="str">
        <f ca="1">IF($F40="KALDI","MUSTERI_360 cari ↔ yaşlandırma kovaları — fark: "&amp;ROUND($E40,2)&amp;" TL","—")</f>
        <v>—</v>
      </c>
      <c r="J40" s="1"/>
      <c r="K40" s="61" t="s">
        <v>1170</v>
      </c>
      <c r="L40" s="60" t="s">
        <v>571</v>
      </c>
      <c r="M40" s="1"/>
      <c r="N40" s="2"/>
      <c r="O40" s="2"/>
    </row>
    <row r="41" spans="1:15" ht="22.5" customHeight="1" x14ac:dyDescent="0.3">
      <c r="A41" s="2"/>
      <c r="B41" s="74" t="s">
        <v>1171</v>
      </c>
      <c r="C41" s="65" t="s">
        <v>1127</v>
      </c>
      <c r="D41" s="65" t="s">
        <v>1165</v>
      </c>
      <c r="E41" s="99">
        <f>ABS((SUMIFS(HESAPLAR!$K$7:$K$16,HESAPLAR!$C$7:$C$16,"Kasa")+SUMIFS(HESAPLAR!$K$7:$K$16,HESAPLAR!$C$7:$C$16,"Banka"))-HESAPLAR!$K$18)</f>
        <v>0</v>
      </c>
      <c r="F41" s="65" t="str">
        <f>IF($E41&lt;0.01,"GEÇTİ","KALDI")</f>
        <v>GEÇTİ</v>
      </c>
      <c r="G41" s="74" t="s">
        <v>1315</v>
      </c>
      <c r="H41" s="98" t="str">
        <f>HYPERLINK("#HESAPLAR!A1","HESAPLAR")</f>
        <v>HESAPLAR</v>
      </c>
      <c r="I41" s="74" t="str">
        <f>IF($F41="KALDI","HESAPLAR K18 ↔ yalnız Tür=Kasa/Banka — fark: "&amp;ROUND($E41,2)&amp;" TL","—")</f>
        <v>—</v>
      </c>
      <c r="J41" s="1"/>
      <c r="K41" s="61" t="s">
        <v>871</v>
      </c>
      <c r="L41" s="60" t="s">
        <v>571</v>
      </c>
      <c r="M41" s="1"/>
      <c r="N41" s="2"/>
      <c r="O41" s="2"/>
    </row>
    <row r="42" spans="1:15" ht="22.5" customHeight="1" x14ac:dyDescent="0.3">
      <c r="A42" s="2"/>
      <c r="B42" s="74" t="s">
        <v>1172</v>
      </c>
      <c r="C42" s="65" t="s">
        <v>1173</v>
      </c>
      <c r="D42" s="65" t="s">
        <v>1174</v>
      </c>
      <c r="E42" s="93">
        <f>SUMPRODUCT((((HESAPLAR!$C$7:$C$16="Kasa")+(HESAPLAR!$C$7:$C$16="Banka"))&gt;0)*(HESAPLAR!$K$7:$K$16&lt;0))</f>
        <v>1</v>
      </c>
      <c r="F42" s="65" t="str">
        <f>"BİLGİ"</f>
        <v>BİLGİ</v>
      </c>
      <c r="G42" s="74" t="s">
        <v>1316</v>
      </c>
      <c r="H42" s="98" t="str">
        <f>HYPERLINK("#HESAPLAR!A1","HESAPLAR")</f>
        <v>HESAPLAR</v>
      </c>
      <c r="I42" s="74" t="str">
        <f>IF($E42=0,"—",IFERROR(INDEX(HESAPLAR!$B$7:$B$16,MATCH(1,INDEX(((((HESAPLAR!$C$7:$C$16="Kasa")+(HESAPLAR!$C$7:$C$16="Banka"))&gt;0)*(HESAPLAR!$K$7:$K$16&lt;0))*1,0),0))&amp;" — bakiye "&amp;ROUND(INDEX(HESAPLAR!$K$7:$K$16,MATCH(1,INDEX(((((HESAPLAR!$C$7:$C$16="Kasa")+(HESAPLAR!$C$7:$C$16="Banka"))&gt;0)*(HESAPLAR!$K$7:$K$16&lt;0))*1,0),0)),0)&amp;" TL","—"))</f>
        <v>MERKEZ KASA — bakiye -533100 TL</v>
      </c>
      <c r="J42" s="1"/>
      <c r="K42" s="61" t="s">
        <v>812</v>
      </c>
      <c r="L42" s="60" t="s">
        <v>571</v>
      </c>
      <c r="M42" s="1"/>
      <c r="N42" s="2"/>
      <c r="O42" s="2"/>
    </row>
    <row r="43" spans="1:15" ht="22.5" customHeight="1" x14ac:dyDescent="0.3">
      <c r="A43" s="2"/>
      <c r="B43" s="74" t="s">
        <v>1175</v>
      </c>
      <c r="C43" s="65" t="s">
        <v>1127</v>
      </c>
      <c r="D43" s="65" t="s">
        <v>1131</v>
      </c>
      <c r="E43" s="93">
        <f>SUMPRODUCT(((AY_SONU!$Y$7:$Y$42-AY_SONU!$M$7:$M$42-AY_SONU!$N$7:$N$42&gt;0.01)+(AY_SONU!$Y$7:$Y$42-AY_SONU!$M$7:$M$42-AY_SONU!$N$7:$N$42&lt;-0.01))*1)</f>
        <v>0</v>
      </c>
      <c r="F43" s="65" t="str">
        <f>IF($E43=0,"GEÇTİ","KALDI")</f>
        <v>GEÇTİ</v>
      </c>
      <c r="G43" s="74" t="s">
        <v>1176</v>
      </c>
      <c r="H43" s="98" t="str">
        <f>HYPERLINK("#AY_SONU!A1","AY_SONU")</f>
        <v>AY_SONU</v>
      </c>
      <c r="I43" s="74" t="str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>—</v>
      </c>
      <c r="J43" s="1"/>
      <c r="K43" s="61" t="s">
        <v>911</v>
      </c>
      <c r="L43" s="60" t="s">
        <v>571</v>
      </c>
      <c r="M43" s="1"/>
      <c r="N43" s="2"/>
      <c r="O43" s="2"/>
    </row>
    <row r="44" spans="1:15" ht="22.5" customHeight="1" x14ac:dyDescent="0.3">
      <c r="A44" s="2"/>
      <c r="B44" s="74" t="s">
        <v>1177</v>
      </c>
      <c r="C44" s="65" t="s">
        <v>1173</v>
      </c>
      <c r="D44" s="65" t="s">
        <v>1178</v>
      </c>
      <c r="E44" s="93">
        <f>0</f>
        <v>0</v>
      </c>
      <c r="F44" s="65" t="str">
        <f>"BİLGİ"</f>
        <v>BİLGİ</v>
      </c>
      <c r="G44" s="74" t="s">
        <v>1179</v>
      </c>
      <c r="H44" s="98" t="str">
        <f>HYPERLINK("#VIRMAN!A1","VIRMAN")</f>
        <v>VIRMAN</v>
      </c>
      <c r="I44" s="74" t="s">
        <v>1180</v>
      </c>
      <c r="J44" s="1"/>
      <c r="K44" s="61" t="s">
        <v>825</v>
      </c>
      <c r="L44" s="60" t="s">
        <v>571</v>
      </c>
      <c r="M44" s="1"/>
      <c r="N44" s="2"/>
      <c r="O44" s="2"/>
    </row>
    <row r="45" spans="1:15" ht="22.5" customHeight="1" x14ac:dyDescent="0.3">
      <c r="A45" s="2"/>
      <c r="B45" s="74" t="s">
        <v>1181</v>
      </c>
      <c r="C45" s="65" t="s">
        <v>1173</v>
      </c>
      <c r="D45" s="65" t="s">
        <v>1178</v>
      </c>
      <c r="E45" s="93">
        <f>0</f>
        <v>0</v>
      </c>
      <c r="F45" s="65" t="str">
        <f>"BİLGİ"</f>
        <v>BİLGİ</v>
      </c>
      <c r="G45" s="74" t="s">
        <v>1179</v>
      </c>
      <c r="H45" s="98" t="str">
        <f>HYPERLINK("#VIRMAN!A1","VIRMAN")</f>
        <v>VIRMAN</v>
      </c>
      <c r="I45" s="74" t="s">
        <v>1180</v>
      </c>
      <c r="J45" s="1"/>
      <c r="K45" s="61" t="s">
        <v>796</v>
      </c>
      <c r="L45" s="60" t="s">
        <v>571</v>
      </c>
      <c r="M45" s="1"/>
      <c r="N45" s="2"/>
      <c r="O45" s="2"/>
    </row>
    <row r="46" spans="1:15" ht="22.5" customHeight="1" x14ac:dyDescent="0.3">
      <c r="A46" s="2"/>
      <c r="B46" s="74" t="s">
        <v>1182</v>
      </c>
      <c r="C46" s="65" t="s">
        <v>1138</v>
      </c>
      <c r="D46" s="65" t="s">
        <v>1131</v>
      </c>
      <c r="E46" s="93">
        <f>SUMPRODUCT((ORTAKLAR!$B$14:$B$33&lt;&gt;"")*(ORTAKLAR!$I$14:$I$33&lt;&gt;"UYGUN"))</f>
        <v>0</v>
      </c>
      <c r="F46" s="65" t="str">
        <f>IF($E46=0,"GEÇTİ","KALDI")</f>
        <v>GEÇTİ</v>
      </c>
      <c r="G46" s="74" t="s">
        <v>1183</v>
      </c>
      <c r="H46" s="98" t="str">
        <f>HYPERLINK("#ORTAK_EKSTRE!A1","ORTAK_EKSTRE")</f>
        <v>ORTAK_EKSTRE</v>
      </c>
      <c r="I46" s="74" t="str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>—</v>
      </c>
      <c r="J46" s="1"/>
      <c r="K46" s="61" t="s">
        <v>1184</v>
      </c>
      <c r="L46" s="60" t="s">
        <v>571</v>
      </c>
      <c r="M46" s="1"/>
      <c r="N46" s="2"/>
      <c r="O46" s="2"/>
    </row>
    <row r="47" spans="1:15" ht="22.5" customHeight="1" x14ac:dyDescent="0.3">
      <c r="A47" s="2"/>
      <c r="B47" s="74" t="s">
        <v>1185</v>
      </c>
      <c r="C47" s="65" t="s">
        <v>1173</v>
      </c>
      <c r="D47" s="65" t="s">
        <v>1174</v>
      </c>
      <c r="E47" s="93">
        <f>SUMIFS(ORTAKLAR!$I$7:$I$10,ORTAKLAR!$I$7:$I$10,"&gt;0")</f>
        <v>595850.01</v>
      </c>
      <c r="F47" s="65" t="str">
        <f>"BİLGİ"</f>
        <v>BİLGİ</v>
      </c>
      <c r="G47" s="74" t="s">
        <v>1186</v>
      </c>
      <c r="H47" s="98" t="str">
        <f>HYPERLINK("#ORTAK_EKSTRE!A1","ORTAK_EKSTRE")</f>
        <v>ORTAK_EKSTRE</v>
      </c>
      <c r="I47" s="74" t="str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>ORTAKLAR satır 8 — ÖMER KARTAL — 595850,01 TL ofise borçlu</v>
      </c>
      <c r="J47" s="1"/>
      <c r="K47" s="61" t="s">
        <v>1187</v>
      </c>
      <c r="L47" s="60" t="s">
        <v>571</v>
      </c>
      <c r="M47" s="1"/>
      <c r="N47" s="2"/>
      <c r="O47" s="2"/>
    </row>
    <row r="48" spans="1:15" ht="22.5" customHeight="1" x14ac:dyDescent="0.3">
      <c r="A48" s="2"/>
      <c r="B48" s="74" t="s">
        <v>1188</v>
      </c>
      <c r="C48" s="65" t="s">
        <v>1173</v>
      </c>
      <c r="D48" s="65" t="s">
        <v>1174</v>
      </c>
      <c r="E48" s="93">
        <f>-SUMIFS(ORTAKLAR!$I$7:$I$10,ORTAKLAR!$I$7:$I$10,"&lt;0")</f>
        <v>138799.99</v>
      </c>
      <c r="F48" s="65" t="str">
        <f>"BİLGİ"</f>
        <v>BİLGİ</v>
      </c>
      <c r="G48" s="74" t="s">
        <v>1189</v>
      </c>
      <c r="H48" s="98" t="str">
        <f>HYPERLINK("#ORTAK_EKSTRE!A1","ORTAK_EKSTRE")</f>
        <v>ORTAK_EKSTRE</v>
      </c>
      <c r="I48" s="74" t="str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>ORTAKLAR satır 7 — ALİ KILIÇ — 138799,99 TL alacaklı</v>
      </c>
      <c r="J48" s="1"/>
      <c r="K48" s="61" t="s">
        <v>1190</v>
      </c>
      <c r="L48" s="60" t="s">
        <v>571</v>
      </c>
      <c r="M48" s="1"/>
      <c r="N48" s="2"/>
      <c r="O48" s="2"/>
    </row>
    <row r="49" spans="1:15" ht="22.5" customHeight="1" x14ac:dyDescent="0.3">
      <c r="A49" s="2"/>
      <c r="B49" s="74" t="s">
        <v>1191</v>
      </c>
      <c r="C49" s="65" t="s">
        <v>1173</v>
      </c>
      <c r="D49" s="65" t="s">
        <v>1174</v>
      </c>
      <c r="E49" s="93">
        <f ca="1">COUNTIF(MUSTERI_360!$Q$7:$Q$156,"KRİTİK")</f>
        <v>27</v>
      </c>
      <c r="F49" s="65" t="str">
        <f>"BİLGİ"</f>
        <v>BİLGİ</v>
      </c>
      <c r="G49" s="74" t="s">
        <v>1192</v>
      </c>
      <c r="H49" s="98" t="str">
        <f>HYPERLINK("#MUSTERI_360!A1","MUSTERI_360")</f>
        <v>MUSTERI_360</v>
      </c>
      <c r="I49" s="74" t="str">
        <f ca="1">IF($E49=0,"—",IFERROR("MUSTERI_360 satır "&amp;(MATCH("KRİTİK",MUSTERI_360!$Q$7:$Q$156,0)+6)&amp;"  –  "&amp;INDEX(MUSTERI_360!$C$7:$C$156,MATCH("KRİTİK",MUSTERI_360!$Q$7:$Q$156,0)),"—"))</f>
        <v>MUSTERI_360 satır 7  –  TANAK LTD.ŞTİ.</v>
      </c>
      <c r="J49" s="1"/>
      <c r="K49" s="61" t="s">
        <v>1044</v>
      </c>
      <c r="L49" s="60" t="s">
        <v>571</v>
      </c>
      <c r="M49" s="1"/>
      <c r="N49" s="2"/>
      <c r="O49" s="2"/>
    </row>
    <row r="50" spans="1:15" ht="22.5" customHeight="1" x14ac:dyDescent="0.3">
      <c r="A50" s="2"/>
      <c r="B50" s="74" t="s">
        <v>1193</v>
      </c>
      <c r="C50" s="65" t="s">
        <v>1127</v>
      </c>
      <c r="D50" s="65" t="s">
        <v>1165</v>
      </c>
      <c r="E50" s="99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1194</v>
      </c>
      <c r="H50" s="98" t="str">
        <f>HYPERLINK("#CARI_EKSTRE!A1","CARI_EKSTRE")</f>
        <v>CARI_EKSTRE</v>
      </c>
      <c r="I50" s="74" t="str">
        <f ca="1">IF($F50="KALDI","CARI_EKSTRE F9 ↔ MUSTERI_360 cari — fark: "&amp;ROUND($E50,2)&amp;" TL","—")</f>
        <v>—</v>
      </c>
      <c r="J50" s="1"/>
      <c r="K50" s="61"/>
      <c r="L50" s="60"/>
      <c r="M50" s="1"/>
      <c r="N50" s="2"/>
      <c r="O50" s="2"/>
    </row>
    <row r="51" spans="1:15" ht="22.5" customHeight="1" x14ac:dyDescent="0.3">
      <c r="A51" s="2"/>
      <c r="B51" s="74" t="s">
        <v>1195</v>
      </c>
      <c r="C51" s="65" t="s">
        <v>1143</v>
      </c>
      <c r="D51" s="65" t="s">
        <v>1131</v>
      </c>
      <c r="E51" s="93">
        <f ca="1">COUNTIF(TAHSILAT!$M$7:$M$2503,"MÜKERRER?")</f>
        <v>0</v>
      </c>
      <c r="F51" s="65" t="str">
        <f ca="1">IF($E51=0,"GEÇTİ","KALDI")</f>
        <v>GEÇTİ</v>
      </c>
      <c r="G51" s="74" t="s">
        <v>1196</v>
      </c>
      <c r="H51" s="98" t="str">
        <f>HYPERLINK("#TAHSILAT!A1","TAHSILAT")</f>
        <v>TAHSILAT</v>
      </c>
      <c r="I51" s="74" t="str">
        <f ca="1">IFERROR("satır "&amp;(MATCH("MÜKERRER?",TAHSILAT!$M$7:$M$2503,0)+7-1)&amp;"  –  "&amp;INDEX(TAHSILAT!$D$7:$D$2503,MATCH("MÜKERRER?",TAHSILAT!$M$7:$M$2503,0)),"—")</f>
        <v>—</v>
      </c>
      <c r="J51" s="1"/>
      <c r="K51" s="61"/>
      <c r="L51" s="60"/>
      <c r="M51" s="1"/>
      <c r="N51" s="2"/>
      <c r="O51" s="2"/>
    </row>
    <row r="52" spans="1:15" ht="22.5" customHeight="1" x14ac:dyDescent="0.3">
      <c r="A52" s="2"/>
      <c r="B52" s="74" t="s">
        <v>1197</v>
      </c>
      <c r="C52" s="65" t="s">
        <v>1143</v>
      </c>
      <c r="D52" s="65" t="s">
        <v>1131</v>
      </c>
      <c r="E52" s="93">
        <f ca="1">COUNTIF(GELIR_GIDER!$P$7:$P$3001,"MÜKERRER?")</f>
        <v>0</v>
      </c>
      <c r="F52" s="65" t="str">
        <f ca="1">IF($E52=0,"GEÇTİ","KALDI")</f>
        <v>GEÇTİ</v>
      </c>
      <c r="G52" s="74" t="s">
        <v>1198</v>
      </c>
      <c r="H52" s="98" t="str">
        <f>HYPERLINK("#GELIR_GIDER!A1","GELIR_GIDER")</f>
        <v>GELIR_GIDER</v>
      </c>
      <c r="I52" s="74" t="str">
        <f ca="1">IFERROR("satır "&amp;(MATCH("MÜKERRER?",GELIR_GIDER!$P$7:$P$3001,0)+7-1)&amp;"  –  "&amp;INDEX(GELIR_GIDER!$E$7:$E$3001,MATCH("MÜKERRER?",GELIR_GIDER!$P$7:$P$3001,0)),"—")</f>
        <v>—</v>
      </c>
      <c r="J52" s="1"/>
      <c r="K52" s="61"/>
      <c r="L52" s="60"/>
      <c r="M52" s="1"/>
      <c r="N52" s="2"/>
      <c r="O52" s="2"/>
    </row>
    <row r="53" spans="1:15" ht="22.5" customHeight="1" x14ac:dyDescent="0.3">
      <c r="A53" s="1"/>
      <c r="B53" s="74" t="s">
        <v>1199</v>
      </c>
      <c r="C53" s="65" t="s">
        <v>1138</v>
      </c>
      <c r="D53" s="65" t="s">
        <v>1131</v>
      </c>
      <c r="E53" s="93">
        <f ca="1">COUNTIF(TAHSILAT!$M$7:$M$2503,"KAPALI DÖNEM")+COUNTIF(GELIR_GIDER!$P$7:$P$3001,"KAPALI DÖNEM")</f>
        <v>0</v>
      </c>
      <c r="F53" s="65" t="str">
        <f ca="1">IF($E53=0,"GEÇTİ","KALDI")</f>
        <v>GEÇTİ</v>
      </c>
      <c r="G53" s="74" t="s">
        <v>1200</v>
      </c>
      <c r="H53" s="98" t="str">
        <f>HYPERLINK("#AY_SONU!A1","AY_SONU")</f>
        <v>AY_SONU</v>
      </c>
      <c r="I53" s="74" t="str">
        <f ca="1">IF($E53=0,"—",IFERROR("TAHSILAT satır "&amp;(MATCH("KAPALI DÖNEM",TAHSILAT!$M$7:$M$2503,0)+6),IFERROR("GELIR_GIDER satır "&amp;(MATCH("KAPALI DÖNEM",GELIR_GIDER!$P$7:$P$3001,0)+6),"—")))</f>
        <v>—</v>
      </c>
      <c r="J53" s="1"/>
      <c r="K53" s="61"/>
      <c r="L53" s="60"/>
      <c r="M53" s="1"/>
      <c r="N53" s="1"/>
      <c r="O53" s="1"/>
    </row>
    <row r="54" spans="1:15" ht="22.5" customHeight="1" x14ac:dyDescent="0.3">
      <c r="A54" s="1"/>
      <c r="B54" s="74" t="s">
        <v>1201</v>
      </c>
      <c r="C54" s="65" t="s">
        <v>1173</v>
      </c>
      <c r="D54" s="65" t="s">
        <v>1174</v>
      </c>
      <c r="E54" s="93">
        <f ca="1">SUM(MUSTERI_360!$V$7:$V$156)</f>
        <v>107000</v>
      </c>
      <c r="F54" s="65" t="str">
        <f>"BİLGİ"</f>
        <v>BİLGİ</v>
      </c>
      <c r="G54" s="74" t="s">
        <v>1202</v>
      </c>
      <c r="H54" s="98" t="str">
        <f>HYPERLINK("#MUSTERI_360!A1","MUSTERI_360")</f>
        <v>MUSTERI_360</v>
      </c>
      <c r="I54" s="74" t="str">
        <f ca="1">IF($E54=0,"—",IFERROR(INDEX(MUSTERI_360!$C$7:$C$156,MATCH(1,INDEX((MUSTERI_360!$V$7:$V$156&gt;0)*1,0),0))&amp;" — avans "&amp;ROUND(INDEX(MUSTERI_360!$V$7:$V$156,MATCH(1,INDEX((MUSTERI_360!$V$7:$V$156&gt;0)*1,0),0)),0)&amp;" TL","—"))</f>
        <v>ALTINEL LTD.ŞTİ. — avans 84000 TL</v>
      </c>
      <c r="J54" s="1"/>
      <c r="K54" s="61"/>
      <c r="L54" s="60"/>
      <c r="M54" s="1"/>
      <c r="N54" s="1"/>
      <c r="O54" s="1"/>
    </row>
    <row r="55" spans="1:15" ht="22.5" customHeight="1" x14ac:dyDescent="0.3">
      <c r="A55" s="1"/>
      <c r="B55" s="74" t="s">
        <v>1203</v>
      </c>
      <c r="C55" s="65" t="s">
        <v>1173</v>
      </c>
      <c r="D55" s="65" t="s">
        <v>1174</v>
      </c>
      <c r="E55" s="93">
        <f>SUMIFS(GELIR_GIDER!$G$7:$G$3001,GELIR_GIDER!$D$7:$D$3001,"Gider",GELIR_GIDER!$I$7:$I$3001,"Hayır")</f>
        <v>0</v>
      </c>
      <c r="F55" s="65" t="str">
        <f>"BİLGİ"</f>
        <v>BİLGİ</v>
      </c>
      <c r="G55" s="74" t="s">
        <v>1204</v>
      </c>
      <c r="H55" s="98" t="str">
        <f>HYPERLINK("#GELIR_GIDER!A1","GELIR_GIDER")</f>
        <v>GELIR_GIDER</v>
      </c>
      <c r="I55" s="74" t="str">
        <f>IF($E55=0,"—",IFERROR("GELIR_GIDER satır "&amp;(MATCH(1,INDEX((GELIR_GIDER!$D$7:$D$3001="Gider")*(GELIR_GIDER!$I$7:$I$3001="Hayır")*(GELIR_GIDER!$G$7:$G$3001&gt;0),0),0)+6)&amp;"  –  "&amp;INDEX(GELIR_GIDER!$F$7:$F$3001,MATCH(1,INDEX((GELIR_GIDER!$D$7:$D$3001="Gider")*(GELIR_GIDER!$I$7:$I$3001="Hayır")*(GELIR_GIDER!$G$7:$G$3001&gt;0),0),0)),"—"))</f>
        <v>—</v>
      </c>
      <c r="J55" s="1"/>
      <c r="K55" s="61"/>
      <c r="L55" s="60"/>
      <c r="M55" s="1"/>
      <c r="N55" s="1"/>
      <c r="O55" s="1"/>
    </row>
    <row r="56" spans="1:15" ht="22.5" customHeight="1" x14ac:dyDescent="0.3">
      <c r="A56" s="1"/>
      <c r="B56" s="74" t="s">
        <v>1205</v>
      </c>
      <c r="C56" s="65" t="s">
        <v>1173</v>
      </c>
      <c r="D56" s="65" t="s">
        <v>1174</v>
      </c>
      <c r="E56" s="93">
        <f>SUMIFS(TAHSILAT!$F$7:$F$2503,TAHSILAT!$H$7:$H$2503,"Mahsup")</f>
        <v>0</v>
      </c>
      <c r="F56" s="65" t="str">
        <f>"BİLGİ"</f>
        <v>BİLGİ</v>
      </c>
      <c r="G56" s="74" t="s">
        <v>1206</v>
      </c>
      <c r="H56" s="98" t="str">
        <f>HYPERLINK("#TAHSILAT!A1","TAHSILAT")</f>
        <v>TAHSILAT</v>
      </c>
      <c r="I56" s="74" t="str">
        <f>IF($E56=0,"—",IFERROR("TAHSILAT satır "&amp;(MATCH("Mahsup",TAHSILAT!$H$7:$H$2503,0)+6)&amp;"  –  "&amp;INDEX(TAHSILAT!$D$7:$D$2503,MATCH("Mahsup",TAHSILAT!$H$7:$H$2503,0)),"—"))</f>
        <v>—</v>
      </c>
      <c r="J56" s="1"/>
      <c r="K56" s="61"/>
      <c r="L56" s="60"/>
      <c r="M56" s="1"/>
      <c r="N56" s="1"/>
      <c r="O56" s="1"/>
    </row>
    <row r="57" spans="1:15" ht="22.5" customHeight="1" x14ac:dyDescent="0.3">
      <c r="A57" s="1"/>
      <c r="B57" s="74" t="s">
        <v>1207</v>
      </c>
      <c r="C57" s="65" t="s">
        <v>1173</v>
      </c>
      <c r="D57" s="65" t="s">
        <v>1174</v>
      </c>
      <c r="E57" s="93">
        <f>MAX(0,SUM(AY_SONU!$I$7:$I$42)-SISTEM!$C$13-SUM(AY_SONU!$P$7:$P$42)-SUM(AY_SONU!$Q$7:$Q$42))</f>
        <v>277599.98</v>
      </c>
      <c r="F57" s="65" t="str">
        <f>"BİLGİ"</f>
        <v>BİLGİ</v>
      </c>
      <c r="G57" s="74" t="s">
        <v>1208</v>
      </c>
      <c r="H57" s="98" t="str">
        <f>HYPERLINK("#AY_SONU!A1","AY_SONU")</f>
        <v>AY_SONU</v>
      </c>
      <c r="I57" s="74" t="str">
        <f>IF($E57=0,"—","AY_SONU / SISTEM C13 — dağıtılmamış birikimli kâr: "&amp;ROUND($E57,2)&amp;" TL")</f>
        <v>AY_SONU / SISTEM C13 — dağıtılmamış birikimli kâr: 277599,98 TL</v>
      </c>
      <c r="J57" s="1"/>
      <c r="K57" s="61"/>
      <c r="L57" s="60"/>
      <c r="M57" s="1"/>
      <c r="N57" s="1"/>
      <c r="O57" s="1"/>
    </row>
    <row r="58" spans="1:15" ht="22.5" customHeight="1" x14ac:dyDescent="0.3">
      <c r="A58" s="1"/>
      <c r="B58" s="74" t="s">
        <v>1209</v>
      </c>
      <c r="C58" s="65" t="s">
        <v>1127</v>
      </c>
      <c r="D58" s="65" t="s">
        <v>1210</v>
      </c>
      <c r="E58" s="93">
        <f>SUMPRODUCT((AY_SONU!$Z$7:$Z$42+AY_SONU!$AA$7:$AA$42&lt;&gt;1)*1)</f>
        <v>0</v>
      </c>
      <c r="F58" s="65" t="str">
        <f>IF($E58=0,"GEÇTİ","KALDI")</f>
        <v>GEÇTİ</v>
      </c>
      <c r="G58" s="74" t="s">
        <v>1211</v>
      </c>
      <c r="H58" s="98" t="str">
        <f>HYPERLINK("#ORTAKLAR!A1","ORTAKLAR")</f>
        <v>ORTAKLAR</v>
      </c>
      <c r="I58" s="74" t="str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>—</v>
      </c>
      <c r="J58" s="1"/>
      <c r="K58" s="61"/>
      <c r="L58" s="60"/>
      <c r="M58" s="1"/>
      <c r="N58" s="1"/>
      <c r="O58" s="1"/>
    </row>
    <row r="59" spans="1:15" ht="22.5" customHeight="1" x14ac:dyDescent="0.3">
      <c r="A59" s="1"/>
      <c r="B59" s="74" t="s">
        <v>1212</v>
      </c>
      <c r="C59" s="65" t="s">
        <v>1173</v>
      </c>
      <c r="D59" s="65" t="s">
        <v>1178</v>
      </c>
      <c r="E59" s="93">
        <f>0</f>
        <v>0</v>
      </c>
      <c r="F59" s="65" t="str">
        <f>"BİLGİ"</f>
        <v>BİLGİ</v>
      </c>
      <c r="G59" s="74" t="s">
        <v>1179</v>
      </c>
      <c r="H59" s="98" t="str">
        <f>HYPERLINK("#VIRMAN!A1","VIRMAN")</f>
        <v>VIRMAN</v>
      </c>
      <c r="I59" s="74" t="s">
        <v>1180</v>
      </c>
      <c r="J59" s="1"/>
      <c r="K59" s="61"/>
      <c r="L59" s="60"/>
      <c r="M59" s="1"/>
      <c r="N59" s="1"/>
      <c r="O59" s="1"/>
    </row>
    <row r="60" spans="1:15" ht="22.5" customHeight="1" x14ac:dyDescent="0.3">
      <c r="A60" s="1"/>
      <c r="B60" s="74" t="s">
        <v>1213</v>
      </c>
      <c r="C60" s="65" t="s">
        <v>1127</v>
      </c>
      <c r="D60" s="65" t="s">
        <v>1131</v>
      </c>
      <c r="E60" s="93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1214</v>
      </c>
      <c r="H60" s="98" t="str">
        <f>HYPERLINK("#ORTAKLAR!A1","ORTAKLAR")</f>
        <v>ORTAKLAR</v>
      </c>
      <c r="I60" s="74" t="str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>—</v>
      </c>
      <c r="J60" s="1"/>
      <c r="K60" s="61"/>
      <c r="L60" s="60"/>
      <c r="M60" s="1"/>
      <c r="N60" s="1"/>
      <c r="O60" s="1"/>
    </row>
    <row r="61" spans="1:15" ht="22.5" customHeight="1" x14ac:dyDescent="0.3">
      <c r="A61" s="1"/>
      <c r="B61" s="74" t="s">
        <v>1215</v>
      </c>
      <c r="C61" s="65" t="s">
        <v>1173</v>
      </c>
      <c r="D61" s="65" t="s">
        <v>1174</v>
      </c>
      <c r="E61" s="93">
        <f>SUM(ORTAKLAR!$I$7:$I$10)</f>
        <v>457050.02</v>
      </c>
      <c r="F61" s="65" t="str">
        <f>"BİLGİ"</f>
        <v>BİLGİ</v>
      </c>
      <c r="G61" s="74" t="s">
        <v>1216</v>
      </c>
      <c r="H61" s="98" t="str">
        <f>HYPERLINK("#ORTAKLAR!A1","ORTAKLAR")</f>
        <v>ORTAKLAR</v>
      </c>
      <c r="I61" s="74" t="str">
        <f>IF(ABS($E61)&lt;0.01,"—","ORTAKLAR I7:I10 net cari toplamı: "&amp;ROUND($E61,2)&amp;" TL")</f>
        <v>ORTAKLAR I7:I10 net cari toplamı: 457050,02 TL</v>
      </c>
      <c r="J61" s="1"/>
      <c r="K61" s="1"/>
      <c r="L61" s="1"/>
      <c r="M61" s="1"/>
      <c r="N61" s="1"/>
      <c r="O61" s="1"/>
    </row>
    <row r="62" spans="1:15" ht="22.5" customHeight="1" x14ac:dyDescent="0.3">
      <c r="A62" s="1"/>
      <c r="B62" s="74" t="s">
        <v>1217</v>
      </c>
      <c r="C62" s="65" t="s">
        <v>1173</v>
      </c>
      <c r="D62" s="65" t="s">
        <v>1174</v>
      </c>
      <c r="E62" s="93">
        <f>COUNTIF(ORTAKLAR!$I$7:$I$10,"&lt;-0.01")</f>
        <v>2</v>
      </c>
      <c r="F62" s="65" t="str">
        <f>"BİLGİ"</f>
        <v>BİLGİ</v>
      </c>
      <c r="G62" s="74" t="s">
        <v>1218</v>
      </c>
      <c r="H62" s="98" t="str">
        <f>HYPERLINK("#ORTAK_EKSTRE!A1","ORTAK_EKSTRE")</f>
        <v>ORTAK_EKSTRE</v>
      </c>
      <c r="I62" s="74" t="str">
        <f>IFERROR(INDEX(ORTAKLAR!$B$7:$B$10,MATCH(1,INDEX((ORTAKLAR!$I$7:$I$10&lt;0)*1,0),0))&amp;" — "&amp;ROUND(ABS(INDEX(ORTAKLAR!$I$7:$I$10,MATCH(1,INDEX((ORTAKLAR!$I$7:$I$10&lt;0)*1,0),0))),0)&amp;" TL alacaklı","—")</f>
        <v>ALİ KILIÇ — 138800 TL alacaklı</v>
      </c>
      <c r="J62" s="1"/>
      <c r="K62" s="1"/>
      <c r="L62" s="1"/>
      <c r="M62" s="1"/>
      <c r="N62" s="1"/>
      <c r="O62" s="1"/>
    </row>
    <row r="63" spans="1:15" ht="22.5" customHeight="1" x14ac:dyDescent="0.3">
      <c r="A63" s="1"/>
      <c r="B63" s="74" t="s">
        <v>1219</v>
      </c>
      <c r="C63" s="65" t="s">
        <v>1127</v>
      </c>
      <c r="D63" s="65" t="s">
        <v>1165</v>
      </c>
      <c r="E63" s="99">
        <f>ABS(SUM(AY_SONU!$C$7:$C$42)-AY_SONU!$X$42)</f>
        <v>0</v>
      </c>
      <c r="F63" s="65" t="str">
        <f>IF($E63&lt;0.01,"GEÇTİ","KALDI")</f>
        <v>GEÇTİ</v>
      </c>
      <c r="G63" s="74" t="s">
        <v>1220</v>
      </c>
      <c r="H63" s="98" t="str">
        <f>HYPERLINK("#AY_SONU!A1","AY_SONU")</f>
        <v>AY_SONU</v>
      </c>
      <c r="I63" s="74" t="str">
        <f>IF($F63="KALDI","AY_SONU C7:C42 ↔ X42 — fark: "&amp;ROUND($E63,2)&amp;" TL","—")</f>
        <v>—</v>
      </c>
      <c r="J63" s="1"/>
      <c r="K63" s="1"/>
      <c r="L63" s="1"/>
      <c r="M63" s="1"/>
      <c r="N63" s="1"/>
      <c r="O63" s="1"/>
    </row>
    <row r="64" spans="1:15" ht="22.5" customHeight="1" x14ac:dyDescent="0.3">
      <c r="A64" s="1"/>
      <c r="B64" s="74" t="s">
        <v>1221</v>
      </c>
      <c r="C64" s="65" t="s">
        <v>1127</v>
      </c>
      <c r="D64" s="65" t="s">
        <v>1131</v>
      </c>
      <c r="E64" s="93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1222</v>
      </c>
      <c r="H64" s="98" t="str">
        <f>HYPERLINK("#AY_SONU!A1","AY_SONU")</f>
        <v>AY_SONU</v>
      </c>
      <c r="I64" s="74" t="str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>—</v>
      </c>
      <c r="J64" s="1"/>
      <c r="K64" s="1"/>
      <c r="L64" s="1"/>
      <c r="M64" s="1"/>
      <c r="N64" s="1"/>
      <c r="O64" s="1"/>
    </row>
    <row r="65" spans="1:15" ht="22.5" customHeight="1" x14ac:dyDescent="0.3">
      <c r="A65" s="1"/>
      <c r="B65" s="74" t="s">
        <v>1223</v>
      </c>
      <c r="C65" s="65" t="s">
        <v>1138</v>
      </c>
      <c r="D65" s="65" t="s">
        <v>1131</v>
      </c>
      <c r="E65" s="92">
        <f>SUMPRODUCT((AY_SONU!$X$8:$X$42&lt;AY_SONU!$X$7:$X$41)*1)</f>
        <v>0</v>
      </c>
      <c r="F65" s="65" t="str">
        <f>IF($E65=0,"GEÇTİ","KALDI")</f>
        <v>GEÇTİ</v>
      </c>
      <c r="G65" s="74" t="s">
        <v>1224</v>
      </c>
      <c r="H65" s="98" t="str">
        <f>HYPERLINK("#AY_SONU!A1","AY_SONU")</f>
        <v>AY_SONU</v>
      </c>
      <c r="I65" s="74" t="str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>—</v>
      </c>
      <c r="J65" s="1"/>
      <c r="K65" s="1"/>
      <c r="L65" s="1"/>
      <c r="M65" s="1"/>
      <c r="N65" s="1"/>
      <c r="O65" s="1"/>
    </row>
    <row r="66" spans="1:15" ht="22.5" customHeight="1" x14ac:dyDescent="0.3">
      <c r="A66" s="1"/>
      <c r="B66" s="74" t="s">
        <v>1225</v>
      </c>
      <c r="C66" s="65" t="s">
        <v>1127</v>
      </c>
      <c r="D66" s="65" t="s">
        <v>1131</v>
      </c>
      <c r="E66" s="93">
        <f>COUNTIF(UCRETLER!$N$7:$N$606,"MODEL SEÇİN")</f>
        <v>0</v>
      </c>
      <c r="F66" s="65" t="str">
        <f>IF($E66=0,"GEÇTİ","KALDI")</f>
        <v>GEÇTİ</v>
      </c>
      <c r="G66" s="74" t="s">
        <v>1226</v>
      </c>
      <c r="H66" s="98" t="str">
        <f>HYPERLINK("#UCRETLER!A1","UCRETLER")</f>
        <v>UCRETLER</v>
      </c>
      <c r="I66" s="74" t="str">
        <f>IFERROR("satır "&amp;(MATCH("MODEL SEÇİN",UCRETLER!$N$7:$N$606,0)+6)&amp;" – "&amp;INDEX(UCRETLER!$C$7:$C$606,MATCH("MODEL SEÇİN",UCRETLER!$N$7:$N$606,0)),"—")</f>
        <v>—</v>
      </c>
      <c r="J66" s="1"/>
      <c r="K66" s="1"/>
      <c r="L66" s="1"/>
      <c r="M66" s="1"/>
      <c r="N66" s="1"/>
      <c r="O66" s="1"/>
    </row>
    <row r="67" spans="1:15" ht="22.5" customHeight="1" x14ac:dyDescent="0.3">
      <c r="A67" s="1"/>
      <c r="B67" s="74" t="s">
        <v>1227</v>
      </c>
      <c r="C67" s="65" t="s">
        <v>1127</v>
      </c>
      <c r="D67" s="65" t="s">
        <v>1131</v>
      </c>
      <c r="E67" s="93">
        <f>COUNTIF(UCRETLER!$AA$7:$AA$606,"&gt;1")</f>
        <v>0</v>
      </c>
      <c r="F67" s="65" t="str">
        <f>IF($E67=0,"GEÇTİ","KALDI")</f>
        <v>GEÇTİ</v>
      </c>
      <c r="G67" s="74" t="s">
        <v>1228</v>
      </c>
      <c r="H67" s="98" t="str">
        <f>HYPERLINK("#UCRETLER!A1","UCRETLER")</f>
        <v>UCRETLER</v>
      </c>
      <c r="I67" s="74" t="str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>—</v>
      </c>
      <c r="J67" s="1"/>
      <c r="K67" s="1"/>
      <c r="L67" s="1"/>
      <c r="M67" s="1"/>
      <c r="N67" s="1"/>
      <c r="O67" s="1"/>
    </row>
    <row r="68" spans="1:15" ht="22.5" customHeight="1" x14ac:dyDescent="0.3">
      <c r="A68" s="1"/>
      <c r="B68" s="74" t="s">
        <v>1229</v>
      </c>
      <c r="C68" s="65" t="s">
        <v>1173</v>
      </c>
      <c r="D68" s="65" t="s">
        <v>1174</v>
      </c>
      <c r="E68" s="93">
        <f ca="1">COUNTIF(MUSTERI_360!$E$7:$E$156,"&gt;0")</f>
        <v>29</v>
      </c>
      <c r="F68" s="65" t="str">
        <f>"BİLGİ"</f>
        <v>BİLGİ</v>
      </c>
      <c r="G68" s="74" t="s">
        <v>1230</v>
      </c>
      <c r="H68" s="98" t="str">
        <f>HYPERLINK("#MUSTERI_360!A1","MUSTERI_360")</f>
        <v>MUSTERI_360</v>
      </c>
      <c r="I68" s="74" t="str">
        <f ca="1">IF($E68=0,"—",IFERROR(INDEX(MUSTERI_360!$C$7:$C$156,MATCH(1,INDEX((MUSTERI_360!$E$7:$E$156&gt;0)*1,0),0))&amp;" — aylık ücretli","—"))</f>
        <v>DERVİŞHAN LTD.ŞTİ. — aylık ücretli</v>
      </c>
      <c r="J68" s="1"/>
      <c r="K68" s="1"/>
      <c r="L68" s="1"/>
      <c r="M68" s="1"/>
      <c r="N68" s="1"/>
      <c r="O68" s="1"/>
    </row>
    <row r="69" spans="1:15" ht="22.5" customHeight="1" x14ac:dyDescent="0.3">
      <c r="A69" s="1"/>
      <c r="B69" s="74" t="s">
        <v>1231</v>
      </c>
      <c r="C69" s="65" t="s">
        <v>1173</v>
      </c>
      <c r="D69" s="65" t="s">
        <v>1174</v>
      </c>
      <c r="E69" s="93">
        <f ca="1">COUNTIF(GELIR_GIDER!$P$7:$P$3001,"TAHAKKUK")</f>
        <v>0</v>
      </c>
      <c r="F69" s="65" t="str">
        <f>"BİLGİ"</f>
        <v>BİLGİ</v>
      </c>
      <c r="G69" s="74" t="s">
        <v>1232</v>
      </c>
      <c r="H69" s="98" t="str">
        <f>HYPERLINK("#GELIR_GIDER!A1","GELIR_GIDER")</f>
        <v>GELIR_GIDER</v>
      </c>
      <c r="I69" s="74" t="str">
        <f ca="1">IF($E69=0,"—",IFERROR("GELIR_GIDER satır "&amp;(MATCH("TAHAKKUK",GELIR_GIDER!$P$7:$P$3001,0)+6)&amp;"  –  "&amp;INDEX(GELIR_GIDER!$F$7:$F$3001,MATCH("TAHAKKUK",GELIR_GIDER!$P$7:$P$3001,0)),"—"))</f>
        <v>—</v>
      </c>
      <c r="J69" s="1"/>
      <c r="K69" s="1"/>
      <c r="L69" s="1"/>
      <c r="M69" s="1"/>
      <c r="N69" s="1"/>
      <c r="O69" s="1"/>
    </row>
    <row r="70" spans="1:15" ht="22.5" customHeight="1" x14ac:dyDescent="0.3">
      <c r="A70" s="1"/>
      <c r="B70" s="74" t="s">
        <v>1233</v>
      </c>
      <c r="C70" s="65" t="s">
        <v>1127</v>
      </c>
      <c r="D70" s="65" t="s">
        <v>1131</v>
      </c>
      <c r="E70" s="93">
        <f ca="1">COUNTIF(GELIR_GIDER!$P$7:$P$3001,"TAHAKKUK NAKİT OLAMAZ")</f>
        <v>0</v>
      </c>
      <c r="F70" s="65" t="str">
        <f ca="1">IF($E70=0,"GEÇTİ","KALDI")</f>
        <v>GEÇTİ</v>
      </c>
      <c r="G70" s="74" t="s">
        <v>1234</v>
      </c>
      <c r="H70" s="98" t="str">
        <f>HYPERLINK("#GELIR_GIDER!A1","GELIR_GIDER")</f>
        <v>GELIR_GIDER</v>
      </c>
      <c r="I70" s="74" t="str">
        <f ca="1">IFERROR("satır "&amp;(MATCH("TAHAKKUK NAKİT OLAMAZ",GELIR_GIDER!$P$7:$P$3001,0)+7-1)&amp;"  –  "&amp;INDEX(GELIR_GIDER!$E$7:$E$3001,MATCH("TAHAKKUK NAKİT OLAMAZ",GELIR_GIDER!$P$7:$P$3001,0)),"—")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3">
      <c r="A71" s="1"/>
      <c r="B71" s="74" t="s">
        <v>1235</v>
      </c>
      <c r="C71" s="65" t="s">
        <v>1127</v>
      </c>
      <c r="D71" s="65" t="s">
        <v>1131</v>
      </c>
      <c r="E71" s="93">
        <f ca="1">COUNTIF(GELIR_GIDER!$P$7:$P$3001,"TANIMSIZ BORÇLU")</f>
        <v>0</v>
      </c>
      <c r="F71" s="65" t="str">
        <f ca="1">IF($E71=0,"GEÇTİ","KALDI")</f>
        <v>GEÇTİ</v>
      </c>
      <c r="G71" s="74" t="s">
        <v>1236</v>
      </c>
      <c r="H71" s="98" t="str">
        <f>HYPERLINK("#GELIR_GIDER!A1","GELIR_GIDER")</f>
        <v>GELIR_GIDER</v>
      </c>
      <c r="I71" s="74" t="str">
        <f ca="1">IFERROR("satır "&amp;(MATCH("TANIMSIZ BORÇLU",GELIR_GIDER!$P$7:$P$3001,0)+7-1)&amp;"  –  "&amp;INDEX(GELIR_GIDER!$E$7:$E$3001,MATCH("TANIMSIZ BORÇLU",GELIR_GIDER!$P$7:$P$3001,0)),"—")</f>
        <v>—</v>
      </c>
      <c r="J71" s="1"/>
      <c r="K71" s="1"/>
      <c r="L71" s="1"/>
      <c r="M71" s="1"/>
      <c r="N71" s="1"/>
      <c r="O71" s="1"/>
    </row>
    <row r="72" spans="1:15" ht="22.5" customHeight="1" x14ac:dyDescent="0.3">
      <c r="A72" s="1"/>
      <c r="B72" s="74" t="s">
        <v>1237</v>
      </c>
      <c r="C72" s="65" t="s">
        <v>1173</v>
      </c>
      <c r="D72" s="65" t="s">
        <v>1174</v>
      </c>
      <c r="E72" s="93">
        <f>SUM(MUSTERILER!$J$7:$J$156)</f>
        <v>0</v>
      </c>
      <c r="F72" s="65" t="str">
        <f>"BİLGİ"</f>
        <v>BİLGİ</v>
      </c>
      <c r="G72" s="74" t="s">
        <v>1238</v>
      </c>
      <c r="H72" s="98" t="str">
        <f>HYPERLINK("#MUSTERILER!A1","MUSTERILER")</f>
        <v>MUSTERILER</v>
      </c>
      <c r="I72" s="74" t="str">
        <f>IF($E72=0,"—",IFERROR(INDEX(MUSTERILER!$C$7:$C$156,MATCH(1,INDEX((MUSTERILER!$J$7:$J$156&gt;0)*1,0),0))&amp;" — devir "&amp;ROUND(INDEX(MUSTERILER!$J$7:$J$156,MATCH(1,INDEX((MUSTERILER!$J$7:$J$156&gt;0)*1,0),0)),0)&amp;" TL","—"))</f>
        <v>—</v>
      </c>
      <c r="J72" s="1"/>
      <c r="K72" s="1"/>
      <c r="L72" s="1"/>
      <c r="M72" s="1"/>
      <c r="N72" s="1"/>
      <c r="O72" s="1"/>
    </row>
    <row r="73" spans="1:15" ht="22.5" customHeight="1" x14ac:dyDescent="0.3">
      <c r="B73" s="74" t="s">
        <v>1239</v>
      </c>
      <c r="C73" s="65" t="s">
        <v>1127</v>
      </c>
      <c r="D73" s="74" t="s">
        <v>1131</v>
      </c>
      <c r="E73" s="93">
        <f>SUMPRODUCT((ORTAKLAR!$B$7:$B$10&lt;&gt;"")*(ORTAKLAR!$D$7:$D$10="Aktif")*(ORTAKLAR!$B$7:$B$10&lt;&gt;SISTEM!$C$9)*(ORTAKLAR!$B$7:$B$10&lt;&gt;SISTEM!$C$10))</f>
        <v>0</v>
      </c>
      <c r="F73" s="65" t="str">
        <f>IF($E73=0,"GEÇTİ","KALDI")</f>
        <v>GEÇTİ</v>
      </c>
      <c r="G73" s="74" t="s">
        <v>1240</v>
      </c>
      <c r="H73" s="98" t="str">
        <f>HYPERLINK("#ORTAK_EKSTRE!A1","ORTAK_EKSTRE")</f>
        <v>ORTAK_EKSTRE</v>
      </c>
      <c r="I73" s="74" t="str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>—</v>
      </c>
      <c r="J73" s="1"/>
      <c r="K73" s="1"/>
      <c r="L73" s="1"/>
      <c r="M73" s="1"/>
      <c r="N73" s="1"/>
      <c r="O73" s="1"/>
    </row>
    <row r="74" spans="1:15" ht="22.5" customHeight="1" x14ac:dyDescent="0.3">
      <c r="B74" s="74" t="s">
        <v>1241</v>
      </c>
      <c r="C74" s="65" t="s">
        <v>1127</v>
      </c>
      <c r="D74" s="74" t="s">
        <v>1131</v>
      </c>
      <c r="E74" s="93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>0</v>
      </c>
      <c r="F74" s="65" t="str">
        <f>IF($E74=0,"GEÇTİ","KALDI")</f>
        <v>GEÇTİ</v>
      </c>
      <c r="G74" s="74" t="s">
        <v>1242</v>
      </c>
      <c r="H74" s="98" t="str">
        <f>HYPERLINK("#ORTAK_EKSTRE!A1","ORTAK_EKSTRE")</f>
        <v>ORTAK_EKSTRE</v>
      </c>
      <c r="I74" s="74" t="str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>—</v>
      </c>
      <c r="J74" s="1"/>
      <c r="K74" s="1"/>
      <c r="L74" s="1"/>
      <c r="M74" s="1"/>
      <c r="N74" s="1"/>
      <c r="O74" s="1"/>
    </row>
    <row r="75" spans="1:15" ht="22.5" customHeight="1" x14ac:dyDescent="0.3">
      <c r="B75" s="74" t="s">
        <v>1243</v>
      </c>
      <c r="C75" s="65" t="s">
        <v>1127</v>
      </c>
      <c r="D75" s="74" t="s">
        <v>1131</v>
      </c>
      <c r="E75" s="93">
        <f>IF(ORTAKLAR!$B$7="",0,IF(ABS(N(ORTAKLAR!$I$7)-(N(ORTAKLAR!$E$7)+N(ORTAKLAR!$F$7)-N(ORTAKLAR!$G$7)-N(ORTAKLAR!$H$7)))&gt;0.01,1,0))+IF(ORTAKLAR!$B$8="",0,IF(ABS(N(ORTAKLAR!$I$8)-(N(ORTAKLAR!$E$8)+N(ORTAKLAR!$F$8)-N(ORTAKLAR!$G$8)-N(ORTAKLAR!$H$8)))&gt;0.01,1,0))+IF(ORTAKLAR!$B$9="",0,IF(ABS(N(ORTAKLAR!$I$9)-(N(ORTAKLAR!$E$9)+N(ORTAKLAR!$F$9)-N(ORTAKLAR!$G$9)-N(ORTAKLAR!$H$9)))&gt;0.01,1,0))+IF(ORTAKLAR!$B$10="",0,IF(ABS(N(ORTAKLAR!$I$10)-(N(ORTAKLAR!$E$10)+N(ORTAKLAR!$F$10)-N(ORTAKLAR!$G$10)-N(ORTAKLAR!$H$10)))&gt;0.01,1,0))</f>
        <v>0</v>
      </c>
      <c r="F75" s="65" t="str">
        <f>IF($E75=0,"GEÇTİ","KALDI")</f>
        <v>GEÇTİ</v>
      </c>
      <c r="G75" s="74" t="s">
        <v>1244</v>
      </c>
      <c r="H75" s="98" t="str">
        <f>HYPERLINK("#ORTAK_EKSTRE!A1","ORTAK_EKSTRE")</f>
        <v>ORTAK_EKSTRE</v>
      </c>
      <c r="I75" s="74" t="str">
        <f>IF($E75=0,"—",IF(AND(ORTAKLAR!$B$7&lt;&gt;"",ABS(N(ORTAKLAR!$I$7)-(N(ORTAKLAR!$E$7)+N(ORTAKLAR!$F$7)-N(ORTAKLAR!$G$7)-N(ORTAKLAR!$H$7)))&gt;0.01),"ORTAKLAR satır 7 — "&amp;ORTAKLAR!$B$7,IF(AND(ORTAKLAR!$B$8&lt;&gt;"",ABS(N(ORTAKLAR!$I$8)-(N(ORTAKLAR!$E$8)+N(ORTAKLAR!$F$8)-N(ORTAKLAR!$G$8)-N(ORTAKLAR!$H$8)))&gt;0.01),"ORTAKLAR satır 8 — "&amp;ORTAKLAR!$B$8,IF(AND(ORTAKLAR!$B$9&lt;&gt;"",ABS(N(ORTAKLAR!$I$9)-(N(ORTAKLAR!$E$9)+N(ORTAKLAR!$F$9)-N(ORTAKLAR!$G$9)-N(ORTAKLAR!$H$9)))&gt;0.01),"ORTAKLAR satır 9 — "&amp;ORTAKLAR!$B$9,IF(AND(ORTAKLAR!$B$10&lt;&gt;"",ABS(N(ORTAKLAR!$I$10)-(N(ORTAKLAR!$E$10)+N(ORTAKLAR!$F$10)-N(ORTAKLAR!$G$10)-N(ORTAKLAR!$H$10)))&gt;0.01),"ORTAKLAR satır 10 — "&amp;ORTAKLAR!$B$10,"ORTAKLAR B7:I10")))))</f>
        <v>—</v>
      </c>
      <c r="J75" s="1"/>
      <c r="K75" s="1"/>
      <c r="L75" s="1"/>
      <c r="M75" s="1"/>
      <c r="N75" s="1"/>
      <c r="O75" s="1"/>
    </row>
    <row r="76" spans="1:15" ht="22.5" customHeight="1" x14ac:dyDescent="0.3">
      <c r="B76" s="74" t="s">
        <v>1245</v>
      </c>
      <c r="C76" s="65" t="s">
        <v>1127</v>
      </c>
      <c r="D76" s="74" t="s">
        <v>1165</v>
      </c>
      <c r="E76" s="93">
        <f>IF(ORTAK_EKSTRE!$C$36="",0,IFERROR(ABS(IFERROR(LOOKUP(2,1/(ORTAK_EKSTRE!$C$38:$C$953&lt;&gt;""),ORTAK_EKSTRE!$I$38:$I$953),0)-INDEX(ORTAKLAR!$I$7:$I$10,MATCH(ORTAK_EKSTRE!$C$36,ORTAKLAR!$B$7:$B$10,0))),999999))</f>
        <v>0</v>
      </c>
      <c r="F76" s="65" t="str">
        <f>IF($E76&lt;0.01,"GEÇTİ","KALDI")</f>
        <v>GEÇTİ</v>
      </c>
      <c r="G76" s="74" t="s">
        <v>1246</v>
      </c>
      <c r="H76" s="98" t="str">
        <f>HYPERLINK("#ORTAK_EKSTRE!A1","ORTAK_EKSTRE")</f>
        <v>ORTAK_EKSTRE</v>
      </c>
      <c r="I76" s="74" t="str">
        <f>IF($E76&lt;0.01,"—","ORTAK_EKSTRE C36 – seçili ortak: "&amp;ORTAK_EKSTRE!$C$36&amp;" – detay/net farkı: "&amp;ROUND($E76,2)&amp;" TL")</f>
        <v>—</v>
      </c>
      <c r="J76" s="1"/>
      <c r="K76" s="1"/>
      <c r="L76" s="1"/>
      <c r="M76" s="1"/>
      <c r="N76" s="1"/>
      <c r="O76" s="1"/>
    </row>
    <row r="77" spans="1:15" ht="16.5" x14ac:dyDescent="0.25">
      <c r="B77" s="74" t="s">
        <v>1247</v>
      </c>
      <c r="C77" s="65" t="s">
        <v>1127</v>
      </c>
      <c r="D77" s="74" t="s">
        <v>1165</v>
      </c>
      <c r="E77" s="92">
        <f>ABS(KAR!$C$36-(SUM(TAHSILAT!$F$7:$F$3003)+SUMIFS(GELIR_GIDER!$G$7:$G$3001,GELIR_GIDER!$D$7:$D$3001,"Gelir",GELIR_GIDER!$I$7:$I$3001,"Evet")))+ABS(KAR!$G$36-SUMIFS(GELIR_GIDER!$G$7:$G$3001,GELIR_GIDER!$D$7:$D$3001,"Gider",GELIR_GIDER!$I$7:$I$3001,"Evet"))</f>
        <v>0</v>
      </c>
      <c r="F77" s="65" t="str">
        <f>IF($E77&lt;0.01,"GEÇTİ","KALDI")</f>
        <v>GEÇTİ</v>
      </c>
      <c r="G77" s="74" t="s">
        <v>1248</v>
      </c>
      <c r="H77" s="98" t="str">
        <f t="shared" ref="H77:H82" si="1">HYPERLINK("#KAR!A1","KAR")</f>
        <v>KAR</v>
      </c>
      <c r="I77" s="74" t="str">
        <f>IF($F77="KALDI","KAR C36/G36 ↔ TAHSILAT F7:F3003 + GELIR_GIDER G7:G3003 — fark: "&amp;ROUND($E77,2)&amp;" TL — eksik kategori veya toplam kopması var","—")</f>
        <v>—</v>
      </c>
    </row>
    <row r="78" spans="1:15" ht="20.100000000000001" customHeight="1" x14ac:dyDescent="0.25">
      <c r="B78" s="74" t="s">
        <v>1249</v>
      </c>
      <c r="C78" s="65" t="s">
        <v>1127</v>
      </c>
      <c r="D78" s="74" t="s">
        <v>1128</v>
      </c>
      <c r="E78" s="92">
        <f>IF(KAR!$C$36=0,0,SUM(KAR!$D$8:$D$35))</f>
        <v>1</v>
      </c>
      <c r="F78" s="65" t="str">
        <f>IF(OR(AND(KAR!$C$36=0,$E78=0),AND(KAR!$C$36&lt;&gt;0,ABS($E78-1)&lt;0.0001)),"GEÇTİ","KALDI")</f>
        <v>GEÇTİ</v>
      </c>
      <c r="G78" s="74" t="s">
        <v>1250</v>
      </c>
      <c r="H78" s="98" t="str">
        <f t="shared" si="1"/>
        <v>KAR</v>
      </c>
      <c r="I78" s="74" t="str">
        <f>IF($F78="KALDI","KAR D8:D35 — pay toplamı: "&amp;ROUND($E78*100,2)&amp;"% — her dolu satır Cn/C36 olmalı","—")</f>
        <v>—</v>
      </c>
    </row>
    <row r="79" spans="1:15" ht="20.100000000000001" customHeight="1" x14ac:dyDescent="0.25">
      <c r="B79" s="74" t="s">
        <v>1251</v>
      </c>
      <c r="C79" s="65" t="s">
        <v>1127</v>
      </c>
      <c r="D79" s="74" t="s">
        <v>1128</v>
      </c>
      <c r="E79" s="92">
        <f>IF(KAR!$G$36=0,0,SUM(KAR!$H$8:$H$34))</f>
        <v>1</v>
      </c>
      <c r="F79" s="65" t="str">
        <f>IF(OR(AND(KAR!$G$36=0,$E79=0),AND(KAR!$G$36&lt;&gt;0,ABS($E79-1)&lt;0.0001)),"GEÇTİ","KALDI")</f>
        <v>GEÇTİ</v>
      </c>
      <c r="G79" s="74" t="s">
        <v>1252</v>
      </c>
      <c r="H79" s="98" t="str">
        <f t="shared" si="1"/>
        <v>KAR</v>
      </c>
      <c r="I79" s="74" t="str">
        <f>IF($F79="KALDI","KAR H8:H34 — pay toplamı: "&amp;ROUND($E79*100,2)&amp;"% — her dolu satır Gn/G36 olmalı","—")</f>
        <v>—</v>
      </c>
    </row>
    <row r="80" spans="1:15" ht="20.100000000000001" customHeight="1" x14ac:dyDescent="0.25">
      <c r="B80" s="74" t="s">
        <v>1253</v>
      </c>
      <c r="C80" s="65" t="s">
        <v>1127</v>
      </c>
      <c r="D80" s="74" t="s">
        <v>1165</v>
      </c>
      <c r="E80" s="92">
        <f>ABS(KAR!$C$38-(KAR!$C$36-KAR!$G$36))</f>
        <v>0</v>
      </c>
      <c r="F80" s="65" t="str">
        <f>IF($E80&lt;0.01,"GEÇTİ","KALDI")</f>
        <v>GEÇTİ</v>
      </c>
      <c r="G80" s="74" t="s">
        <v>1254</v>
      </c>
      <c r="H80" s="98" t="str">
        <f t="shared" si="1"/>
        <v>KAR</v>
      </c>
      <c r="I80" s="74" t="str">
        <f>IF($F80="KALDI","KAR C38 ↔ C36-G36 — fark: "&amp;ROUND($E80,2)&amp;" TL","—")</f>
        <v>—</v>
      </c>
    </row>
    <row r="81" spans="2:9" ht="20.100000000000001" customHeight="1" x14ac:dyDescent="0.25">
      <c r="B81" s="74" t="s">
        <v>1255</v>
      </c>
      <c r="C81" s="65" t="s">
        <v>1127</v>
      </c>
      <c r="D81" s="74" t="s">
        <v>1165</v>
      </c>
      <c r="E81" s="92">
        <f>ABS(KAR!$C$8-SUM(TAHSILAT!$F$7:$F$3003))</f>
        <v>0</v>
      </c>
      <c r="F81" s="65" t="str">
        <f>IF($E81&lt;0.01,"GEÇTİ","KALDI")</f>
        <v>GEÇTİ</v>
      </c>
      <c r="G81" s="74" t="s">
        <v>1256</v>
      </c>
      <c r="H81" s="98" t="str">
        <f t="shared" si="1"/>
        <v>KAR</v>
      </c>
      <c r="I81" s="74" t="str">
        <f>IF($F81="KALDI","KAR C8 ↔ TAHSILAT F7:F3003 — fark: "&amp;ROUND($E81,2)&amp;" TL","—")</f>
        <v>—</v>
      </c>
    </row>
    <row r="82" spans="2:9" ht="20.100000000000001" customHeight="1" x14ac:dyDescent="0.25">
      <c r="B82" s="74" t="s">
        <v>1257</v>
      </c>
      <c r="C82" s="65" t="s">
        <v>1127</v>
      </c>
      <c r="D82" s="74" t="s">
        <v>1165</v>
      </c>
      <c r="E82" s="92">
        <f>ABS(KAR!$G$36-SUMIFS(GELIR_GIDER!$G$7:$G$3001,GELIR_GIDER!$D$7:$D$3001,"Gider",GELIR_GIDER!$I$7:$I$3001,"Evet"))</f>
        <v>0</v>
      </c>
      <c r="F82" s="65" t="str">
        <f>IF($E82&lt;0.01,"GEÇTİ","KALDI")</f>
        <v>GEÇTİ</v>
      </c>
      <c r="G82" s="74" t="s">
        <v>1258</v>
      </c>
      <c r="H82" s="98" t="str">
        <f t="shared" si="1"/>
        <v>KAR</v>
      </c>
      <c r="I82" s="74" t="str">
        <f>IF($F82="KALDI","KAR G36 ↔ GELIR_GIDER G7:G3003 (Tür=Gider) — fark: "&amp;ROUND($E82,2)&amp;" TL","—")</f>
        <v>—</v>
      </c>
    </row>
    <row r="83" spans="2:9" ht="20.100000000000001" customHeight="1" x14ac:dyDescent="0.25">
      <c r="B83" s="74" t="s">
        <v>1259</v>
      </c>
      <c r="C83" s="65" t="s">
        <v>1138</v>
      </c>
      <c r="D83" s="74" t="s">
        <v>1165</v>
      </c>
      <c r="E83" s="92">
        <f>ABS(KAR!$C$39-SUMIFS(VIRMAN!$F$7:$F$406,VIRMAN!$G$7:$G$406,"KÂR PAYI / AVANS*"))</f>
        <v>0</v>
      </c>
      <c r="F83" s="65" t="str">
        <f>IF($E83&lt;0.01,"GEÇTİ","KALDI")</f>
        <v>GEÇTİ</v>
      </c>
      <c r="G83" s="74" t="s">
        <v>1260</v>
      </c>
      <c r="H83" s="98" t="str">
        <f>HYPERLINK("#VIRMAN!A1","VIRMAN")</f>
        <v>VIRMAN</v>
      </c>
      <c r="I83" s="74" t="str">
        <f>IF($F83="KALDI","KAR C39 ↔ VIRMAN G=KÂR PAYI / AVANS* — fark: "&amp;ROUND($E83,2)&amp;" TL","—")</f>
        <v>—</v>
      </c>
    </row>
    <row r="84" spans="2:9" ht="20.100000000000001" customHeight="1" x14ac:dyDescent="0.25">
      <c r="B84" s="74" t="s">
        <v>1261</v>
      </c>
      <c r="C84" s="65" t="s">
        <v>1127</v>
      </c>
      <c r="D84" s="74" t="s">
        <v>1262</v>
      </c>
      <c r="E84" s="92">
        <f>IF(KAR!$G$40="GEÇTİ",0,1)</f>
        <v>0</v>
      </c>
      <c r="F84" s="65" t="str">
        <f>IF($E84=0,"GEÇTİ","KALDI")</f>
        <v>GEÇTİ</v>
      </c>
      <c r="G84" s="74" t="s">
        <v>1263</v>
      </c>
      <c r="H84" s="98" t="str">
        <f>HYPERLINK("#KAR!A1","KAR")</f>
        <v>KAR</v>
      </c>
      <c r="I84" s="74" t="str">
        <f>IF($F84="KALDI","KAR G40 — kategori/toplam mutabakatı KALDI","—")</f>
        <v>—</v>
      </c>
    </row>
    <row r="85" spans="2:9" ht="20.100000000000001" customHeight="1" x14ac:dyDescent="0.25">
      <c r="B85" s="74" t="s">
        <v>1317</v>
      </c>
      <c r="C85" s="65" t="s">
        <v>1127</v>
      </c>
      <c r="D85" s="74" t="s">
        <v>1131</v>
      </c>
      <c r="E85" s="92">
        <f>SUMPRODUCT((KAR!$F$8:$F$34&lt;&gt;"")*(KAR!$G$8:$G$34&gt;0)*(KAR!$H$8:$H$34=0))</f>
        <v>0</v>
      </c>
      <c r="F85" s="65" t="str">
        <f>IF($E85=0,"GEÇTİ","KALDI")</f>
        <v>GEÇTİ</v>
      </c>
      <c r="G85" s="74" t="s">
        <v>1318</v>
      </c>
      <c r="H85" s="98" t="str">
        <f>HYPERLINK("#KAR!A1","KAR")</f>
        <v>KAR</v>
      </c>
      <c r="I85" s="74" t="str">
        <f>IF($F85="KALDI",IFERROR("KAR satır "&amp;(MATCH(1,INDEX((KAR!$F$8:$F$34&lt;&gt;"")*(KAR!$G$8:$G$34&gt;0)*(KAR!$H$8:$H$34=0),0),0)+7)&amp;" — Gider: "&amp;INDEX(KAR!$F$8:$F$34,MATCH(1,INDEX((KAR!$F$8:$F$34&lt;&gt;"")*(KAR!$G$8:$G$34&gt;0)*(KAR!$H$8:$H$34=0),0),0))&amp;" — H sütunu 0/boş","KAR H8:H34 — yalnız dolu gider kategorilerinin paylarını kontrol edin"),"—")</f>
        <v>—</v>
      </c>
    </row>
    <row r="86" spans="2:9" ht="20.100000000000001" customHeight="1" x14ac:dyDescent="0.25">
      <c r="B86" s="74" t="s">
        <v>1319</v>
      </c>
      <c r="C86" s="65" t="s">
        <v>1127</v>
      </c>
      <c r="D86" s="74" t="s">
        <v>1131</v>
      </c>
      <c r="E86" s="92">
        <f>SUMPRODUCT((KAR!$B$8:$B$35&lt;&gt;"")*(KAR!$C$8:$C$35&gt;0)*(KAR!$D$8:$D$35=0))</f>
        <v>0</v>
      </c>
      <c r="F86" s="65" t="str">
        <f>IF($E86=0,"GEÇTİ","KALDI")</f>
        <v>GEÇTİ</v>
      </c>
      <c r="G86" s="74" t="s">
        <v>1320</v>
      </c>
      <c r="H86" s="98" t="str">
        <f>HYPERLINK("#KAR!A1","KAR")</f>
        <v>KAR</v>
      </c>
      <c r="I86" s="74" t="str">
        <f>IF($F86="KALDI",IFERROR("KAR satır "&amp;(MATCH(1,INDEX((KAR!$B$8:$B$35&lt;&gt;"")*(KAR!$C$8:$C$35&gt;0)*(KAR!$D$8:$D$35=0),0),0)+7)&amp;" — Gelir: "&amp;INDEX(KAR!$B$8:$B$35,MATCH(1,INDEX((KAR!$B$8:$B$35&lt;&gt;"")*(KAR!$C$8:$C$35&gt;0)*(KAR!$D$8:$D$35=0),0),0))&amp;" — D sütunu 0/boş","KAR D8:D35 — yalnız dolu gelir kategorilerinin paylarını kontrol edin"),"—")</f>
        <v>—</v>
      </c>
    </row>
    <row r="87" spans="2:9" ht="20.100000000000001" customHeight="1" x14ac:dyDescent="0.25">
      <c r="B87" s="74" t="s">
        <v>1264</v>
      </c>
      <c r="C87" s="65" t="s">
        <v>1127</v>
      </c>
      <c r="D87" s="74" t="s">
        <v>1131</v>
      </c>
      <c r="E87" s="92">
        <f>COUNTIF(GELIR_GIDER!$E$7:$E$3001,"Kâr Payı*")</f>
        <v>0</v>
      </c>
      <c r="F87" s="65" t="str">
        <f>IF($E87=0,"GEÇTİ","KALDI")</f>
        <v>GEÇTİ</v>
      </c>
      <c r="G87" s="74" t="s">
        <v>1265</v>
      </c>
      <c r="H87" s="98" t="str">
        <f>HYPERLINK("#GELIR_GIDER!A1","GELIR_GIDER")</f>
        <v>GELIR_GIDER</v>
      </c>
      <c r="I87" s="74" t="str">
        <f>IF($E87=0,"—",IFERROR("GELIR_GIDER satır "&amp;(MATCH("Kâr Payı*",GELIR_GIDER!$E$7:$E$3001,0)+6)&amp;" – kategori: "&amp;INDEX(GELIR_GIDER!$E$7:$E$3001,MATCH("Kâr Payı*",GELIR_GIDER!$E$7:$E$3001,0)),"GELIR_GIDER E7:E3003 – Kâr Payı kategorisini kaldırın"))</f>
        <v>—</v>
      </c>
    </row>
    <row r="88" spans="2:9" ht="20.100000000000001" customHeight="1" x14ac:dyDescent="0.25">
      <c r="B88" s="74" t="s">
        <v>1266</v>
      </c>
      <c r="C88" s="65" t="s">
        <v>1127</v>
      </c>
      <c r="D88" s="74" t="s">
        <v>1131</v>
      </c>
      <c r="E88" s="92">
        <f>COUNTIF(SISTEM!$K$8:$K$32,"Kâr Payı*")</f>
        <v>0</v>
      </c>
      <c r="F88" s="65" t="str">
        <f>IF($E88=0,"GEÇTİ","KALDI")</f>
        <v>GEÇTİ</v>
      </c>
      <c r="G88" s="74" t="s">
        <v>1267</v>
      </c>
      <c r="H88" s="98" t="str">
        <f>HYPERLINK("#SISTEM!A1","SISTEM")</f>
        <v>SISTEM</v>
      </c>
      <c r="I88" s="74" t="str">
        <f>IF($E88=0,"—",IFERROR("SISTEM K"&amp;(MATCH("Kâr Payı*",SISTEM!$K$8:$K$32,0)+7)&amp;" – eski kâr payı gider kategorisini temizleyin","SISTEM K8:K32"))</f>
        <v>—</v>
      </c>
    </row>
    <row r="89" spans="2:9" ht="20.100000000000001" customHeight="1" x14ac:dyDescent="0.25">
      <c r="B89" s="74" t="s">
        <v>1268</v>
      </c>
      <c r="C89" s="65" t="s">
        <v>1127</v>
      </c>
      <c r="D89" s="74" t="s">
        <v>1165</v>
      </c>
      <c r="E89" s="92">
        <f>IF(ORTAKLAR!$B$7="",0,ABS(N(ORTAKLAR!$J$7)-(N(ORTAKLAR!$H$7)-SUMIFS(VIRMAN!$F$7:$F$406,VIRMAN!$E$7:$E$406,ORTAKLAR!$B$7,VIRMAN!$G$7:$G$406,"KÂR PAYI / AVANS*"))))+IF(ORTAKLAR!$B$8="",0,ABS(N(ORTAKLAR!$J$8)-(N(ORTAKLAR!$H$8)-SUMIFS(VIRMAN!$F$7:$F$406,VIRMAN!$E$7:$E$406,ORTAKLAR!$B$8,VIRMAN!$G$7:$G$406,"KÂR PAYI / AVANS*"))))+IF(ORTAKLAR!$B$9="",0,ABS(N(ORTAKLAR!$J$9)-(N(ORTAKLAR!$H$9)-SUMIFS(VIRMAN!$F$7:$F$406,VIRMAN!$E$7:$E$406,ORTAKLAR!$B$9,VIRMAN!$G$7:$G$406,"KÂR PAYI / AVANS*"))))+IF(ORTAKLAR!$B$10="",0,ABS(N(ORTAKLAR!$J$10)-(N(ORTAKLAR!$H$10)-SUMIFS(VIRMAN!$F$7:$F$406,VIRMAN!$E$7:$E$406,ORTAKLAR!$B$10,VIRMAN!$G$7:$G$406,"KÂR PAYI / AVANS*"))))</f>
        <v>0</v>
      </c>
      <c r="F89" s="65" t="str">
        <f>IF($E89&lt;0.01,"GEÇTİ","KALDI")</f>
        <v>GEÇTİ</v>
      </c>
      <c r="G89" s="74" t="s">
        <v>1269</v>
      </c>
      <c r="H89" s="98" t="str">
        <f>HYPERLINK("#ORTAKLAR!A1","ORTAKLAR")</f>
        <v>ORTAKLAR</v>
      </c>
      <c r="I89" s="74" t="str">
        <f>IF($F89="KALDI","ORTAKLAR J7:J10 ↔ H7:H10 − VIRMAN KÂR PAYI / AVANS* — fark: "&amp;ROUND($E89,2)&amp;" TL","—")</f>
        <v>—</v>
      </c>
    </row>
    <row r="90" spans="2:9" ht="20.100000000000001" customHeight="1" x14ac:dyDescent="0.25">
      <c r="B90" s="74" t="s">
        <v>1321</v>
      </c>
      <c r="C90" s="65" t="s">
        <v>1127</v>
      </c>
      <c r="D90" s="74" t="s">
        <v>1165</v>
      </c>
      <c r="E90" s="92">
        <f>ABS(PANO!$M$6-(SUMIFS(HESAPLAR!$K$7:$K$16,HESAPLAR!$C$7:$C$16,"Kasa")+SUMIFS(HESAPLAR!$K$7:$K$16,HESAPLAR!$C$7:$C$16,"Banka")))</f>
        <v>0</v>
      </c>
      <c r="F90" s="65" t="str">
        <f>IF($E90&lt;0.01,"GEÇTİ","KALDI")</f>
        <v>GEÇTİ</v>
      </c>
      <c r="G90" s="74" t="s">
        <v>1322</v>
      </c>
      <c r="H90" s="98" t="str">
        <f>HYPERLINK("#PANO!A1","PANO")</f>
        <v>PANO</v>
      </c>
      <c r="I90" s="74" t="str">
        <f>IF($F90="KALDI","PANO M6 ↔ HESAPLAR K18 — ortak cari hariç Kasa/Banka farkı: "&amp;ROUND($E90,2)&amp;" TL","—")</f>
        <v>—</v>
      </c>
    </row>
    <row r="91" spans="2:9" ht="20.100000000000001" customHeight="1" x14ac:dyDescent="0.25">
      <c r="B91" s="74" t="inlineStr">
        <is>
          <t>Nakitsiz ortak tahakkuku yanlış VIRMAN’da</t>
        </is>
      </c>
      <c r="C91" s="65" t="inlineStr">
        <is>
          <t>KRİTİK</t>
        </is>
      </c>
      <c r="D91" s="74" t="inlineStr">
        <is>
          <t>0</t>
        </is>
      </c>
      <c r="E91" s="92">
        <f>COUNTIFS(VIRMAN!$D$7:$D$406,"MERKEZ KASA",VIRMAN!$E$7:$E$406,SISTEM!$C$10,VIRMAN!$G$7:$G$406,"*MUHASEBE ÜCRETİ*")+COUNTIFS(VIRMAN!$D$7:$D$406,"MERKEZ KASA",VIRMAN!$E$7:$E$406,SISTEM!$C$10,VIRMAN!$G$7:$G$406,"*SGK*")</f>
        <v>0</v>
      </c>
      <c r="F91" s="65" t="str">
        <f>IF($E91=0,"GEÇTİ","KALDI")</f>
        <v>GEÇTİ</v>
      </c>
      <c r="G91" s="74" t="inlineStr">
        <is>
          <t>Ömer borcuna yazılan MUHASEBE ÜCRETİ / SGK hizmetleri kasadan çıkmış gibi VIRMAN’da tutulamaz. GELIR_GIDER: Gelir + Borçlu Taraf=ÖMER + Gerçekleşti=Hayır olmalı.</t>
        </is>
      </c>
      <c r="H91" s="98" t="str">
        <f>HYPERLINK("#GELIR_GIDER!A1","GELIR_GIDER")</f>
        <v>GELIR_GIDER</v>
      </c>
      <c r="I91" s="74" t="str">
        <f>IF($E91=0,"—",IFERROR("VIRMAN satır "&amp;(MATCH("*MUHASEBE ÜCRETİ*",VIRMAN!$G$7:$G$406,0)+6),IFERROR("VIRMAN satır "&amp;(MATCH("*SGK*",VIRMAN!$G$7:$G$406,0)+6),"VIRMAN G7:G406")))</f>
        <v>—</v>
      </c>
    </row>
  </sheetData>
  <sheetProtection password="CC3D" sheet="1" formatCells="0" formatColumns="0" formatRows="0" sort="0" autoFilter="0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6A15B"/>
  </sheetPr>
  <dimension ref="A1:J48"/>
  <sheetViews>
    <sheetView showGridLines="0" workbookViewId="0">
      <pane xSplit="1" ySplit="6" topLeftCell="B30" activePane="bottomRight" state="frozen"/>
      <selection pane="topRight"/>
      <selection pane="bottomLeft"/>
      <selection pane="bottomRight" activeCell="C37" sqref="C37"/>
    </sheetView>
  </sheetViews>
  <sheetFormatPr defaultRowHeight="14.25" x14ac:dyDescent="0.25"/>
  <cols>
    <col min="1" max="1" width="4" customWidth="1"/>
    <col min="2" max="2" width="38" customWidth="1"/>
    <col min="3" max="3" width="16" customWidth="1"/>
    <col min="4" max="4" width="11" customWidth="1"/>
    <col min="5" max="5" width="4" customWidth="1"/>
    <col min="6" max="6" width="38" customWidth="1"/>
    <col min="7" max="7" width="16" customWidth="1"/>
    <col min="8" max="8" width="11" customWidth="1"/>
    <col min="9" max="10" width="18" customWidth="1"/>
  </cols>
  <sheetData>
    <row r="1" spans="1:10" ht="27.95" customHeight="1" x14ac:dyDescent="0.25">
      <c r="A1" s="252" t="str">
        <f>HYPERLINK("#PANO!A1","☰  MENÜ")</f>
        <v>☰  MENÜ</v>
      </c>
      <c r="B1" s="247"/>
      <c r="C1" s="246" t="s">
        <v>1270</v>
      </c>
      <c r="D1" s="171"/>
      <c r="E1" s="171"/>
      <c r="F1" s="171"/>
      <c r="G1" s="171"/>
      <c r="H1" s="171"/>
      <c r="I1" s="247"/>
      <c r="J1" s="247"/>
    </row>
    <row r="2" spans="1:10" ht="21.95" customHeight="1" x14ac:dyDescent="0.25">
      <c r="A2" s="248" t="s">
        <v>0</v>
      </c>
      <c r="B2" s="139"/>
      <c r="C2" s="139"/>
      <c r="D2" s="139"/>
      <c r="E2" s="139"/>
      <c r="F2" s="139"/>
      <c r="G2" s="139"/>
      <c r="H2" s="139"/>
      <c r="I2" s="249"/>
      <c r="J2" s="249"/>
    </row>
    <row r="3" spans="1:10" ht="39.950000000000003" customHeight="1" x14ac:dyDescent="0.25">
      <c r="A3" s="250" t="s">
        <v>1271</v>
      </c>
      <c r="B3" s="141"/>
      <c r="C3" s="141"/>
      <c r="D3" s="141"/>
      <c r="E3" s="141"/>
      <c r="F3" s="141"/>
      <c r="G3" s="141"/>
      <c r="H3" s="141"/>
      <c r="I3" s="251"/>
      <c r="J3" s="251"/>
    </row>
    <row r="4" spans="1:10" ht="20.100000000000001" customHeight="1" x14ac:dyDescent="0.25">
      <c r="B4" s="244" t="str">
        <f>HYPERLINK("#PANO!A1","← PANO")</f>
        <v>← PANO</v>
      </c>
      <c r="C4" s="141"/>
    </row>
    <row r="6" spans="1:10" ht="21.95" customHeight="1" x14ac:dyDescent="0.25">
      <c r="B6" s="243" t="s">
        <v>1272</v>
      </c>
      <c r="C6" s="243"/>
      <c r="D6" s="243"/>
      <c r="E6" s="100" t="s">
        <v>1273</v>
      </c>
      <c r="F6" s="245" t="s">
        <v>1274</v>
      </c>
      <c r="G6" s="245"/>
      <c r="H6" s="245"/>
    </row>
    <row r="7" spans="1:10" ht="21.95" customHeight="1" x14ac:dyDescent="0.25">
      <c r="B7" s="101" t="s">
        <v>1275</v>
      </c>
      <c r="C7" s="101" t="s">
        <v>1276</v>
      </c>
      <c r="D7" s="101" t="s">
        <v>1277</v>
      </c>
      <c r="E7" s="100" t="s">
        <v>1273</v>
      </c>
      <c r="F7" s="102" t="s">
        <v>1278</v>
      </c>
      <c r="G7" s="102" t="s">
        <v>1276</v>
      </c>
      <c r="H7" s="102" t="s">
        <v>1277</v>
      </c>
    </row>
    <row r="8" spans="1:10" ht="16.5" x14ac:dyDescent="0.25">
      <c r="B8" s="103" t="s">
        <v>1279</v>
      </c>
      <c r="C8" s="104">
        <f>SUM(TAHSILAT!$F$7:$F$3003)</f>
        <v>2299500</v>
      </c>
      <c r="D8" s="105">
        <f t="shared" ref="D8:D35" si="0">IFERROR($C8/$C$36,0)</f>
        <v>0.82634084987871714</v>
      </c>
      <c r="E8" s="100" t="s">
        <v>1273</v>
      </c>
      <c r="F8" s="106" t="str">
        <f>IF(SISTEM!$K$8="","",SISTEM!$K$8)</f>
        <v>Ofis Kirası</v>
      </c>
      <c r="G8" s="107">
        <f>IF($F8="","",SUMIFS(GELIR_GIDER!$G$7:$G$3001,GELIR_GIDER!$D$7:$D$3001,"Gider",GELIR_GIDER!$E$7:$E$3001,$F8,GELIR_GIDER!$I$7:$I$3001,"Evet"))</f>
        <v>130000</v>
      </c>
      <c r="H8" s="105">
        <f t="shared" ref="H8:H34" si="1">IFERROR($G8/$G$36,0)</f>
        <v>0.10520455171863045</v>
      </c>
    </row>
    <row r="9" spans="1:10" ht="16.5" x14ac:dyDescent="0.25">
      <c r="B9" s="103" t="str">
        <f>IF(SISTEM!$K$36="","",SISTEM!$K$36)</f>
        <v>Defter Tasdik Geliri</v>
      </c>
      <c r="C9" s="104">
        <f>IF($B9="","",SUMIFS(GELIR_GIDER!$G$7:$G$3001,GELIR_GIDER!$D$7:$D$3001,"Gelir",GELIR_GIDER!$E$7:$E$3001,$B9,GELIR_GIDER!$I$7:$I$3001,"Evet"))</f>
        <v>20000</v>
      </c>
      <c r="D9" s="105">
        <f t="shared" si="0"/>
        <v>7.1871350282993445E-3</v>
      </c>
      <c r="E9" s="100" t="s">
        <v>1273</v>
      </c>
      <c r="F9" s="106" t="str">
        <f>IF(SISTEM!$K$9="","",SISTEM!$K$9)</f>
        <v>Personel</v>
      </c>
      <c r="G9" s="107">
        <f>IF($F9="","",SUMIFS(GELIR_GIDER!$G$7:$G$3001,GELIR_GIDER!$D$7:$D$3001,"Gider",GELIR_GIDER!$E$7:$E$3001,$F9,GELIR_GIDER!$I$7:$I$3001,"Evet"))</f>
        <v>429700</v>
      </c>
      <c r="H9" s="105">
        <f t="shared" si="1"/>
        <v>0.34774150671919624</v>
      </c>
    </row>
    <row r="10" spans="1:10" ht="16.5" x14ac:dyDescent="0.25">
      <c r="B10" s="103" t="str">
        <f>IF(SISTEM!$K$37="","",SISTEM!$K$37)</f>
        <v>Kontör Ücreti Geliri</v>
      </c>
      <c r="C10" s="104">
        <f>IF($B10="","",SUMIFS(GELIR_GIDER!$G$7:$G$3001,GELIR_GIDER!$D$7:$D$3001,"Gelir",GELIR_GIDER!$E$7:$E$3001,$B10,GELIR_GIDER!$I$7:$I$3001,"Evet"))</f>
        <v>0</v>
      </c>
      <c r="D10" s="105">
        <f t="shared" si="0"/>
        <v>0</v>
      </c>
      <c r="E10" s="100" t="s">
        <v>1273</v>
      </c>
      <c r="F10" s="106" t="str">
        <f>IF(SISTEM!$K$10="","",SISTEM!$K$10)</f>
        <v>Elektrik / Su / Doğalgaz</v>
      </c>
      <c r="G10" s="107">
        <f>IF($F10="","",SUMIFS(GELIR_GIDER!$G$7:$G$3001,GELIR_GIDER!$D$7:$D$3001,"Gider",GELIR_GIDER!$E$7:$E$3001,$F10,GELIR_GIDER!$I$7:$I$3001,"Evet"))</f>
        <v>5071.82</v>
      </c>
      <c r="H10" s="105">
        <f t="shared" si="1"/>
        <v>4.1044503807506488E-3</v>
      </c>
    </row>
    <row r="11" spans="1:10" ht="16.5" x14ac:dyDescent="0.25">
      <c r="B11" s="103" t="str">
        <f>IF(SISTEM!$K$38="","",SISTEM!$K$38)</f>
        <v>Geçici Vergi / Damga Geliri</v>
      </c>
      <c r="C11" s="104">
        <f>IF($B11="","",SUMIFS(GELIR_GIDER!$G$7:$G$3001,GELIR_GIDER!$D$7:$D$3001,"Gelir",GELIR_GIDER!$E$7:$E$3001,$B11,GELIR_GIDER!$I$7:$I$3001,"Evet"))</f>
        <v>0</v>
      </c>
      <c r="D11" s="105">
        <f t="shared" si="0"/>
        <v>0</v>
      </c>
      <c r="E11" s="100" t="s">
        <v>1273</v>
      </c>
      <c r="F11" s="106" t="str">
        <f>IF(SISTEM!$K$11="","",SISTEM!$K$11)</f>
        <v>Telefon / İnternet</v>
      </c>
      <c r="G11" s="107">
        <f>IF($F11="","",SUMIFS(GELIR_GIDER!$G$7:$G$3001,GELIR_GIDER!$D$7:$D$3001,"Gider",GELIR_GIDER!$E$7:$E$3001,$F11,GELIR_GIDER!$I$7:$I$3001,"Evet"))</f>
        <v>12680</v>
      </c>
      <c r="H11" s="105">
        <f t="shared" si="1"/>
        <v>1.0261490121478724E-2</v>
      </c>
    </row>
    <row r="12" spans="1:10" ht="16.5" x14ac:dyDescent="0.25">
      <c r="B12" s="103" t="str">
        <f>IF(SISTEM!$K$39="","",SISTEM!$K$39)</f>
        <v>Danışmanlık Hizmet Geliri</v>
      </c>
      <c r="C12" s="104">
        <f>IF($B12="","",SUMIFS(GELIR_GIDER!$G$7:$G$3001,GELIR_GIDER!$D$7:$D$3001,"Gelir",GELIR_GIDER!$E$7:$E$3001,$B12,GELIR_GIDER!$I$7:$I$3001,"Evet"))</f>
        <v>0</v>
      </c>
      <c r="D12" s="105">
        <f t="shared" si="0"/>
        <v>0</v>
      </c>
      <c r="E12" s="100" t="s">
        <v>1273</v>
      </c>
      <c r="F12" s="106" t="str">
        <f>IF(SISTEM!$K$12="","",SISTEM!$K$12)</f>
        <v>Kırtasiye</v>
      </c>
      <c r="G12" s="107">
        <f>IF($F12="","",SUMIFS(GELIR_GIDER!$G$7:$G$3001,GELIR_GIDER!$D$7:$D$3001,"Gider",GELIR_GIDER!$E$7:$E$3001,$F12,GELIR_GIDER!$I$7:$I$3001,"Evet"))</f>
        <v>9940</v>
      </c>
      <c r="H12" s="105">
        <f t="shared" si="1"/>
        <v>8.0441018775629751E-3</v>
      </c>
    </row>
    <row r="13" spans="1:10" ht="16.5" x14ac:dyDescent="0.25">
      <c r="B13" s="103" t="str">
        <f>IF(SISTEM!$K$40="","",SISTEM!$K$40)</f>
        <v>Muhasebe Hizmet Geliri</v>
      </c>
      <c r="C13" s="104">
        <f>IF($B13="","",SUMIFS(GELIR_GIDER!$G$7:$G$3001,GELIR_GIDER!$D$7:$D$3001,"Gelir",GELIR_GIDER!$E$7:$E$3001,$B13,GELIR_GIDER!$I$7:$I$3001,"Evet"))</f>
        <v>0</v>
      </c>
      <c r="D13" s="105">
        <f t="shared" si="0"/>
        <v>0</v>
      </c>
      <c r="E13" s="100" t="s">
        <v>1273</v>
      </c>
      <c r="F13" s="106" t="str">
        <f>IF(SISTEM!$K$13="","",SISTEM!$K$13)</f>
        <v>Vergi / Harç</v>
      </c>
      <c r="G13" s="107">
        <f>IF($F13="","",SUMIFS(GELIR_GIDER!$G$7:$G$3001,GELIR_GIDER!$D$7:$D$3001,"Gider",GELIR_GIDER!$E$7:$E$3001,$F13,GELIR_GIDER!$I$7:$I$3001,"Evet"))</f>
        <v>257772.86</v>
      </c>
      <c r="H13" s="105">
        <f t="shared" si="1"/>
        <v>0.20860675524253297</v>
      </c>
    </row>
    <row r="14" spans="1:10" ht="16.5" x14ac:dyDescent="0.25">
      <c r="B14" s="103" t="str">
        <f>IF(SISTEM!$K$41="","",SISTEM!$K$41)</f>
        <v>Kurumlar Vergisi Damga</v>
      </c>
      <c r="C14" s="104">
        <f>IF($B14="","",SUMIFS(GELIR_GIDER!$G$7:$G$3001,GELIR_GIDER!$D$7:$D$3001,"Gelir",GELIR_GIDER!$E$7:$E$3001,$B14,GELIR_GIDER!$I$7:$I$3001,"Evet"))</f>
        <v>62550</v>
      </c>
      <c r="D14" s="105">
        <f t="shared" si="0"/>
        <v>2.24777648010062E-2</v>
      </c>
      <c r="E14" s="100" t="s">
        <v>1273</v>
      </c>
      <c r="F14" s="106" t="str">
        <f>IF(SISTEM!$K$14="","",SISTEM!$K$14)</f>
        <v>Yazılım / Abonelik</v>
      </c>
      <c r="G14" s="107">
        <f>IF($F14="","",SUMIFS(GELIR_GIDER!$G$7:$G$3001,GELIR_GIDER!$D$7:$D$3001,"Gider",GELIR_GIDER!$E$7:$E$3001,$F14,GELIR_GIDER!$I$7:$I$3001,"Evet"))</f>
        <v>11900</v>
      </c>
      <c r="H14" s="105">
        <f t="shared" si="1"/>
        <v>9.6302628111669415E-3</v>
      </c>
    </row>
    <row r="15" spans="1:10" ht="16.5" x14ac:dyDescent="0.25">
      <c r="B15" s="103" t="str">
        <f>IF(SISTEM!$K$42="","",SISTEM!$K$42)</f>
        <v>Geçici Vergi Damga</v>
      </c>
      <c r="C15" s="104">
        <f>IF($B15="","",SUMIFS(GELIR_GIDER!$G$7:$G$3001,GELIR_GIDER!$D$7:$D$3001,"Gelir",GELIR_GIDER!$E$7:$E$3001,$B15,GELIR_GIDER!$I$7:$I$3001,"Evet"))</f>
        <v>131000</v>
      </c>
      <c r="D15" s="105">
        <f t="shared" si="0"/>
        <v>4.7075734435360707E-2</v>
      </c>
      <c r="E15" s="100" t="s">
        <v>1273</v>
      </c>
      <c r="F15" s="106" t="str">
        <f>IF(SISTEM!$K$15="","",SISTEM!$K$15)</f>
        <v>Ulaşım</v>
      </c>
      <c r="G15" s="107">
        <f>IF($F15="","",SUMIFS(GELIR_GIDER!$G$7:$G$3001,GELIR_GIDER!$D$7:$D$3001,"Gider",GELIR_GIDER!$E$7:$E$3001,$F15,GELIR_GIDER!$I$7:$I$3001,"Evet"))</f>
        <v>57050</v>
      </c>
      <c r="H15" s="105">
        <f t="shared" si="1"/>
        <v>4.6168612888829751E-2</v>
      </c>
    </row>
    <row r="16" spans="1:10" ht="16.5" x14ac:dyDescent="0.25">
      <c r="B16" s="103" t="str">
        <f>IF(SISTEM!$K$43="","",SISTEM!$K$43)</f>
        <v>Luca Kontör</v>
      </c>
      <c r="C16" s="104">
        <f>IF($B16="","",SUMIFS(GELIR_GIDER!$G$7:$G$3001,GELIR_GIDER!$D$7:$D$3001,"Gelir",GELIR_GIDER!$E$7:$E$3001,$B16,GELIR_GIDER!$I$7:$I$3001,"Evet"))</f>
        <v>42300</v>
      </c>
      <c r="D16" s="105">
        <f t="shared" si="0"/>
        <v>1.5200790584853113E-2</v>
      </c>
      <c r="E16" s="100" t="s">
        <v>1273</v>
      </c>
      <c r="F16" s="106" t="str">
        <f>IF(SISTEM!$K$16="","",SISTEM!$K$16)</f>
        <v>Temsil / Ağırlama</v>
      </c>
      <c r="G16" s="107">
        <f>IF($F16="","",SUMIFS(GELIR_GIDER!$G$7:$G$3001,GELIR_GIDER!$D$7:$D$3001,"Gider",GELIR_GIDER!$E$7:$E$3001,$F16,GELIR_GIDER!$I$7:$I$3001,"Evet"))</f>
        <v>15323.3</v>
      </c>
      <c r="H16" s="105">
        <f t="shared" si="1"/>
        <v>1.2400622364231463E-2</v>
      </c>
    </row>
    <row r="17" spans="2:8" ht="16.5" x14ac:dyDescent="0.25">
      <c r="B17" s="103" t="str">
        <f>IF(SISTEM!$K$44="","",SISTEM!$K$44)</f>
        <v>Kuruluş Ücreti</v>
      </c>
      <c r="C17" s="104">
        <f>IF($B17="","",SUMIFS(GELIR_GIDER!$G$7:$G$3001,GELIR_GIDER!$D$7:$D$3001,"Gelir",GELIR_GIDER!$E$7:$E$3001,$B17,GELIR_GIDER!$I$7:$I$3001,"Evet"))</f>
        <v>37500</v>
      </c>
      <c r="D17" s="105">
        <f t="shared" si="0"/>
        <v>1.3475878178061271E-2</v>
      </c>
      <c r="E17" s="100" t="s">
        <v>1273</v>
      </c>
      <c r="F17" s="106" t="str">
        <f>IF(SISTEM!$K$17="","",SISTEM!$K$17)</f>
        <v>Demirbaş</v>
      </c>
      <c r="G17" s="107">
        <f>IF($F17="","",SUMIFS(GELIR_GIDER!$G$7:$G$3001,GELIR_GIDER!$D$7:$D$3001,"Gider",GELIR_GIDER!$E$7:$E$3001,$F17,GELIR_GIDER!$I$7:$I$3001,"Evet"))</f>
        <v>34000</v>
      </c>
      <c r="H17" s="105">
        <f t="shared" si="1"/>
        <v>2.7515036603334122E-2</v>
      </c>
    </row>
    <row r="18" spans="2:8" ht="16.5" x14ac:dyDescent="0.25">
      <c r="B18" s="103" t="str">
        <f>IF(SISTEM!$K$45="","",SISTEM!$K$45)</f>
        <v>Diğer Gelirler</v>
      </c>
      <c r="C18" s="104">
        <f>IF($B18="","",SUMIFS(GELIR_GIDER!$G$7:$G$3001,GELIR_GIDER!$D$7:$D$3001,"Gelir",GELIR_GIDER!$E$7:$E$3001,$B18,GELIR_GIDER!$I$7:$I$3001,"Evet"))</f>
        <v>189900</v>
      </c>
      <c r="D18" s="105">
        <f t="shared" si="0"/>
        <v>6.8241847093702276E-2</v>
      </c>
      <c r="E18" s="100" t="s">
        <v>1273</v>
      </c>
      <c r="F18" s="106" t="str">
        <f>IF(SISTEM!$K$18="","",SISTEM!$K$18)</f>
        <v>Diğer Gider</v>
      </c>
      <c r="G18" s="107">
        <f>IF($F18="","",SUMIFS(GELIR_GIDER!$G$7:$G$3001,GELIR_GIDER!$D$7:$D$3001,"Gider",GELIR_GIDER!$E$7:$E$3001,$F18,GELIR_GIDER!$I$7:$I$3001,"Evet"))</f>
        <v>122250</v>
      </c>
      <c r="H18" s="105">
        <f t="shared" si="1"/>
        <v>9.8932741904635177E-2</v>
      </c>
    </row>
    <row r="19" spans="2:8" ht="16.5" x14ac:dyDescent="0.25">
      <c r="B19" s="103" t="str">
        <f>IF(SISTEM!$K$46="","",SISTEM!$K$46)</f>
        <v>Muhasebe Hizmet Geliri (sözleşme dışı)</v>
      </c>
      <c r="C19" s="104">
        <f>IF($B19="","",SUMIFS(GELIR_GIDER!$G$7:$G$3001,GELIR_GIDER!$D$7:$D$3001,"Gelir",GELIR_GIDER!$E$7:$E$3001,$B19,GELIR_GIDER!$I$7:$I$3001,"Evet"))</f>
        <v>0</v>
      </c>
      <c r="D19" s="105">
        <f t="shared" si="0"/>
        <v>0</v>
      </c>
      <c r="E19" s="100" t="s">
        <v>1273</v>
      </c>
      <c r="F19" s="106" t="str">
        <f>IF(SISTEM!$K$19="","",SISTEM!$K$19)</f>
        <v>Mehmet Ali Kartal</v>
      </c>
      <c r="G19" s="107">
        <f>IF($F19="","",SUMIFS(GELIR_GIDER!$G$7:$G$3001,GELIR_GIDER!$D$7:$D$3001,"Gider",GELIR_GIDER!$E$7:$E$3001,$F19,GELIR_GIDER!$I$7:$I$3001,"Evet"))</f>
        <v>150000</v>
      </c>
      <c r="H19" s="105">
        <f t="shared" si="1"/>
        <v>0.12138986736765053</v>
      </c>
    </row>
    <row r="20" spans="2:8" ht="16.5" x14ac:dyDescent="0.25">
      <c r="B20" s="103" t="str">
        <f>IF(SISTEM!$K$47="","",SISTEM!$K$47)</f>
        <v>Beyanname / Bildirim Ücreti</v>
      </c>
      <c r="C20" s="104">
        <f>IF($B20="","",SUMIFS(GELIR_GIDER!$G$7:$G$3001,GELIR_GIDER!$D$7:$D$3001,"Gelir",GELIR_GIDER!$E$7:$E$3001,$B20,GELIR_GIDER!$I$7:$I$3001,"Evet"))</f>
        <v>0</v>
      </c>
      <c r="D20" s="105">
        <f t="shared" si="0"/>
        <v>0</v>
      </c>
      <c r="E20" s="100" t="s">
        <v>1273</v>
      </c>
      <c r="F20" s="106" t="str">
        <f>IF(SISTEM!$K$20="","",SISTEM!$K$20)</f>
        <v/>
      </c>
      <c r="G20" s="107" t="str">
        <f>IF($F20="","",SUMIFS(GELIR_GIDER!$G$7:$G$3001,GELIR_GIDER!$D$7:$D$3001,"Gider",GELIR_GIDER!$E$7:$E$3001,$F20,GELIR_GIDER!$I$7:$I$3001,"Evet"))</f>
        <v/>
      </c>
      <c r="H20" s="105">
        <f t="shared" si="1"/>
        <v>0</v>
      </c>
    </row>
    <row r="21" spans="2:8" ht="16.5" x14ac:dyDescent="0.25">
      <c r="B21" s="103" t="str">
        <f>IF(SISTEM!$K$48="","",SISTEM!$K$48)</f>
        <v>Diğer Hizmet Geliri</v>
      </c>
      <c r="C21" s="104">
        <f>IF($B21="","",SUMIFS(GELIR_GIDER!$G$7:$G$3001,GELIR_GIDER!$D$7:$D$3001,"Gelir",GELIR_GIDER!$E$7:$E$3001,$B21,GELIR_GIDER!$I$7:$I$3001,"Evet"))</f>
        <v>0</v>
      </c>
      <c r="D21" s="105">
        <f t="shared" si="0"/>
        <v>0</v>
      </c>
      <c r="E21" s="100" t="s">
        <v>1273</v>
      </c>
      <c r="F21" s="106" t="str">
        <f>IF(SISTEM!$K$21="","",SISTEM!$K$21)</f>
        <v/>
      </c>
      <c r="G21" s="107" t="str">
        <f>IF($F21="","",SUMIFS(GELIR_GIDER!$G$7:$G$3001,GELIR_GIDER!$D$7:$D$3001,"Gider",GELIR_GIDER!$E$7:$E$3001,$F21,GELIR_GIDER!$I$7:$I$3001,"Evet"))</f>
        <v/>
      </c>
      <c r="H21" s="105">
        <f t="shared" si="1"/>
        <v>0</v>
      </c>
    </row>
    <row r="22" spans="2:8" ht="16.5" x14ac:dyDescent="0.25">
      <c r="B22" s="103" t="str">
        <f>IF(SISTEM!$K$49="","",SISTEM!$K$49)</f>
        <v>Diğer Gelir</v>
      </c>
      <c r="C22" s="104">
        <f>IF($B22="","",SUMIFS(GELIR_GIDER!$G$7:$G$3001,GELIR_GIDER!$D$7:$D$3001,"Gelir",GELIR_GIDER!$E$7:$E$3001,$B22,GELIR_GIDER!$I$7:$I$3001,"Evet"))</f>
        <v>0</v>
      </c>
      <c r="D22" s="105">
        <f t="shared" si="0"/>
        <v>0</v>
      </c>
      <c r="E22" s="100" t="s">
        <v>1273</v>
      </c>
      <c r="F22" s="106" t="str">
        <f>IF(SISTEM!$K$22="","",SISTEM!$K$22)</f>
        <v/>
      </c>
      <c r="G22" s="107" t="str">
        <f>IF($F22="","",SUMIFS(GELIR_GIDER!$G$7:$G$3001,GELIR_GIDER!$D$7:$D$3001,"Gider",GELIR_GIDER!$E$7:$E$3001,$F22,GELIR_GIDER!$I$7:$I$3001,"Evet"))</f>
        <v/>
      </c>
      <c r="H22" s="105">
        <f t="shared" si="1"/>
        <v>0</v>
      </c>
    </row>
    <row r="23" spans="2:8" ht="16.5" x14ac:dyDescent="0.25">
      <c r="B23" s="103" t="str">
        <f>IF(SISTEM!$K$50="","",SISTEM!$K$50)</f>
        <v/>
      </c>
      <c r="C23" s="104" t="str">
        <f>IF($B23="","",SUMIFS(GELIR_GIDER!$G$7:$G$3001,GELIR_GIDER!$D$7:$D$3001,"Gelir",GELIR_GIDER!$E$7:$E$3001,$B23,GELIR_GIDER!$I$7:$I$3001,"Evet"))</f>
        <v/>
      </c>
      <c r="D23" s="105">
        <f t="shared" si="0"/>
        <v>0</v>
      </c>
      <c r="E23" s="100" t="s">
        <v>1273</v>
      </c>
      <c r="F23" s="106" t="str">
        <f>IF(SISTEM!$K$23="","",SISTEM!$K$23)</f>
        <v/>
      </c>
      <c r="G23" s="107" t="str">
        <f>IF($F23="","",SUMIFS(GELIR_GIDER!$G$7:$G$3001,GELIR_GIDER!$D$7:$D$3001,"Gider",GELIR_GIDER!$E$7:$E$3001,$F23,GELIR_GIDER!$I$7:$I$3001,"Evet"))</f>
        <v/>
      </c>
      <c r="H23" s="105">
        <f t="shared" si="1"/>
        <v>0</v>
      </c>
    </row>
    <row r="24" spans="2:8" ht="16.5" x14ac:dyDescent="0.25">
      <c r="B24" s="103" t="str">
        <f>IF(SISTEM!$K$51="","",SISTEM!$K$51)</f>
        <v/>
      </c>
      <c r="C24" s="104" t="str">
        <f>IF($B24="","",SUMIFS(GELIR_GIDER!$G$7:$G$3001,GELIR_GIDER!$D$7:$D$3001,"Gelir",GELIR_GIDER!$E$7:$E$3001,$B24,GELIR_GIDER!$I$7:$I$3001,"Evet"))</f>
        <v/>
      </c>
      <c r="D24" s="105">
        <f t="shared" si="0"/>
        <v>0</v>
      </c>
      <c r="E24" s="100" t="s">
        <v>1273</v>
      </c>
      <c r="F24" s="106" t="str">
        <f>IF(SISTEM!$K$24="","",SISTEM!$K$24)</f>
        <v/>
      </c>
      <c r="G24" s="107" t="str">
        <f>IF($F24="","",SUMIFS(GELIR_GIDER!$G$7:$G$3001,GELIR_GIDER!$D$7:$D$3001,"Gider",GELIR_GIDER!$E$7:$E$3001,$F24,GELIR_GIDER!$I$7:$I$3001,"Evet"))</f>
        <v/>
      </c>
      <c r="H24" s="105">
        <f t="shared" si="1"/>
        <v>0</v>
      </c>
    </row>
    <row r="25" spans="2:8" ht="16.5" x14ac:dyDescent="0.25">
      <c r="B25" s="103" t="str">
        <f>IF(SISTEM!$K$52="","",SISTEM!$K$52)</f>
        <v/>
      </c>
      <c r="C25" s="104" t="str">
        <f>IF($B25="","",SUMIFS(GELIR_GIDER!$G$7:$G$3001,GELIR_GIDER!$D$7:$D$3001,"Gelir",GELIR_GIDER!$E$7:$E$3001,$B25,GELIR_GIDER!$I$7:$I$3001,"Evet"))</f>
        <v/>
      </c>
      <c r="D25" s="105">
        <f t="shared" si="0"/>
        <v>0</v>
      </c>
      <c r="E25" s="100" t="s">
        <v>1273</v>
      </c>
      <c r="F25" s="106" t="str">
        <f>IF(SISTEM!$K$25="","",SISTEM!$K$25)</f>
        <v/>
      </c>
      <c r="G25" s="107" t="str">
        <f>IF($F25="","",SUMIFS(GELIR_GIDER!$G$7:$G$3001,GELIR_GIDER!$D$7:$D$3001,"Gider",GELIR_GIDER!$E$7:$E$3001,$F25,GELIR_GIDER!$I$7:$I$3001,"Evet"))</f>
        <v/>
      </c>
      <c r="H25" s="105">
        <f t="shared" si="1"/>
        <v>0</v>
      </c>
    </row>
    <row r="26" spans="2:8" ht="16.5" x14ac:dyDescent="0.25">
      <c r="B26" s="103" t="str">
        <f>IF(SISTEM!$K$53="","",SISTEM!$K$53)</f>
        <v/>
      </c>
      <c r="C26" s="104" t="str">
        <f>IF($B26="","",SUMIFS(GELIR_GIDER!$G$7:$G$3001,GELIR_GIDER!$D$7:$D$3001,"Gelir",GELIR_GIDER!$E$7:$E$3001,$B26,GELIR_GIDER!$I$7:$I$3001,"Evet"))</f>
        <v/>
      </c>
      <c r="D26" s="105">
        <f t="shared" si="0"/>
        <v>0</v>
      </c>
      <c r="E26" s="100" t="s">
        <v>1273</v>
      </c>
      <c r="F26" s="106" t="str">
        <f>IF(SISTEM!$K$26="","",SISTEM!$K$26)</f>
        <v/>
      </c>
      <c r="G26" s="107" t="str">
        <f>IF($F26="","",SUMIFS(GELIR_GIDER!$G$7:$G$3001,GELIR_GIDER!$D$7:$D$3001,"Gider",GELIR_GIDER!$E$7:$E$3001,$F26,GELIR_GIDER!$I$7:$I$3001,"Evet"))</f>
        <v/>
      </c>
      <c r="H26" s="105">
        <f t="shared" si="1"/>
        <v>0</v>
      </c>
    </row>
    <row r="27" spans="2:8" ht="16.5" x14ac:dyDescent="0.25">
      <c r="B27" s="103" t="str">
        <f>IF(SISTEM!$K$54="","",SISTEM!$K$54)</f>
        <v/>
      </c>
      <c r="C27" s="104" t="str">
        <f>IF($B27="","",SUMIFS(GELIR_GIDER!$G$7:$G$3001,GELIR_GIDER!$D$7:$D$3001,"Gelir",GELIR_GIDER!$E$7:$E$3001,$B27,GELIR_GIDER!$I$7:$I$3001,"Evet"))</f>
        <v/>
      </c>
      <c r="D27" s="105">
        <f t="shared" si="0"/>
        <v>0</v>
      </c>
      <c r="E27" s="100" t="s">
        <v>1273</v>
      </c>
      <c r="F27" s="106" t="str">
        <f>IF(SISTEM!$K$27="","",SISTEM!$K$27)</f>
        <v/>
      </c>
      <c r="G27" s="107" t="str">
        <f>IF($F27="","",SUMIFS(GELIR_GIDER!$G$7:$G$3001,GELIR_GIDER!$D$7:$D$3001,"Gider",GELIR_GIDER!$E$7:$E$3001,$F27,GELIR_GIDER!$I$7:$I$3001,"Evet"))</f>
        <v/>
      </c>
      <c r="H27" s="105">
        <f t="shared" si="1"/>
        <v>0</v>
      </c>
    </row>
    <row r="28" spans="2:8" ht="16.5" x14ac:dyDescent="0.25">
      <c r="B28" s="103" t="str">
        <f>IF(SISTEM!$K$55="","",SISTEM!$K$55)</f>
        <v/>
      </c>
      <c r="C28" s="104" t="str">
        <f>IF($B28="","",SUMIFS(GELIR_GIDER!$G$7:$G$3001,GELIR_GIDER!$D$7:$D$3001,"Gelir",GELIR_GIDER!$E$7:$E$3001,$B28,GELIR_GIDER!$I$7:$I$3001,"Evet"))</f>
        <v/>
      </c>
      <c r="D28" s="105">
        <f t="shared" si="0"/>
        <v>0</v>
      </c>
      <c r="E28" s="100" t="s">
        <v>1273</v>
      </c>
      <c r="F28" s="106" t="str">
        <f>IF(SISTEM!$K$28="","",SISTEM!$K$28)</f>
        <v/>
      </c>
      <c r="G28" s="107" t="str">
        <f>IF($F28="","",SUMIFS(GELIR_GIDER!$G$7:$G$3001,GELIR_GIDER!$D$7:$D$3001,"Gider",GELIR_GIDER!$E$7:$E$3001,$F28,GELIR_GIDER!$I$7:$I$3001,"Evet"))</f>
        <v/>
      </c>
      <c r="H28" s="105">
        <f t="shared" si="1"/>
        <v>0</v>
      </c>
    </row>
    <row r="29" spans="2:8" ht="16.5" x14ac:dyDescent="0.25">
      <c r="B29" s="103" t="str">
        <f>IF(SISTEM!$K$56="","",SISTEM!$K$56)</f>
        <v/>
      </c>
      <c r="C29" s="104" t="str">
        <f>IF($B29="","",SUMIFS(GELIR_GIDER!$G$7:$G$3001,GELIR_GIDER!$D$7:$D$3001,"Gelir",GELIR_GIDER!$E$7:$E$3001,$B29,GELIR_GIDER!$I$7:$I$3001,"Evet"))</f>
        <v/>
      </c>
      <c r="D29" s="105">
        <f t="shared" si="0"/>
        <v>0</v>
      </c>
      <c r="E29" s="100" t="s">
        <v>1273</v>
      </c>
      <c r="F29" s="106" t="str">
        <f>IF(SISTEM!$K$29="","",SISTEM!$K$29)</f>
        <v/>
      </c>
      <c r="G29" s="107" t="str">
        <f>IF($F29="","",SUMIFS(GELIR_GIDER!$G$7:$G$3001,GELIR_GIDER!$D$7:$D$3001,"Gider",GELIR_GIDER!$E$7:$E$3001,$F29,GELIR_GIDER!$I$7:$I$3001,"Evet"))</f>
        <v/>
      </c>
      <c r="H29" s="105">
        <f t="shared" si="1"/>
        <v>0</v>
      </c>
    </row>
    <row r="30" spans="2:8" ht="16.5" x14ac:dyDescent="0.25">
      <c r="B30" s="103" t="str">
        <f>IF(SISTEM!$K$57="","",SISTEM!$K$57)</f>
        <v/>
      </c>
      <c r="C30" s="104" t="str">
        <f>IF($B30="","",SUMIFS(GELIR_GIDER!$G$7:$G$3001,GELIR_GIDER!$D$7:$D$3001,"Gelir",GELIR_GIDER!$E$7:$E$3001,$B30,GELIR_GIDER!$I$7:$I$3001,"Evet"))</f>
        <v/>
      </c>
      <c r="D30" s="105">
        <f t="shared" si="0"/>
        <v>0</v>
      </c>
      <c r="E30" s="100" t="s">
        <v>1273</v>
      </c>
      <c r="F30" s="106" t="str">
        <f>IF(SISTEM!$K$30="","",SISTEM!$K$30)</f>
        <v/>
      </c>
      <c r="G30" s="107" t="str">
        <f>IF($F30="","",SUMIFS(GELIR_GIDER!$G$7:$G$3001,GELIR_GIDER!$D$7:$D$3001,"Gider",GELIR_GIDER!$E$7:$E$3001,$F30,GELIR_GIDER!$I$7:$I$3001,"Evet"))</f>
        <v/>
      </c>
      <c r="H30" s="105">
        <f t="shared" si="1"/>
        <v>0</v>
      </c>
    </row>
    <row r="31" spans="2:8" ht="16.5" x14ac:dyDescent="0.25">
      <c r="B31" s="103" t="str">
        <f>IF(SISTEM!$K$58="","",SISTEM!$K$58)</f>
        <v/>
      </c>
      <c r="C31" s="104" t="str">
        <f>IF($B31="","",SUMIFS(GELIR_GIDER!$G$7:$G$3001,GELIR_GIDER!$D$7:$D$3001,"Gelir",GELIR_GIDER!$E$7:$E$3001,$B31,GELIR_GIDER!$I$7:$I$3001,"Evet"))</f>
        <v/>
      </c>
      <c r="D31" s="105">
        <f t="shared" si="0"/>
        <v>0</v>
      </c>
      <c r="E31" s="100" t="s">
        <v>1273</v>
      </c>
      <c r="F31" s="106" t="str">
        <f>IF(SISTEM!$K$31="","",SISTEM!$K$31)</f>
        <v/>
      </c>
      <c r="G31" s="107" t="str">
        <f>IF($F31="","",SUMIFS(GELIR_GIDER!$G$7:$G$3001,GELIR_GIDER!$D$7:$D$3001,"Gider",GELIR_GIDER!$E$7:$E$3001,$F31,GELIR_GIDER!$I$7:$I$3001,"Evet"))</f>
        <v/>
      </c>
      <c r="H31" s="105">
        <f t="shared" si="1"/>
        <v>0</v>
      </c>
    </row>
    <row r="32" spans="2:8" ht="16.5" x14ac:dyDescent="0.25">
      <c r="B32" s="103" t="str">
        <f>IF(SISTEM!$K$59="","",SISTEM!$K$59)</f>
        <v/>
      </c>
      <c r="C32" s="104" t="str">
        <f>IF($B32="","",SUMIFS(GELIR_GIDER!$G$7:$G$3001,GELIR_GIDER!$D$7:$D$3001,"Gelir",GELIR_GIDER!$E$7:$E$3001,$B32,GELIR_GIDER!$I$7:$I$3001,"Evet"))</f>
        <v/>
      </c>
      <c r="D32" s="105">
        <f t="shared" si="0"/>
        <v>0</v>
      </c>
      <c r="E32" s="100" t="s">
        <v>1273</v>
      </c>
      <c r="F32" s="106" t="str">
        <f>IF(SISTEM!$K$32="","",SISTEM!$K$32)</f>
        <v/>
      </c>
      <c r="G32" s="107" t="str">
        <f>IF($F32="","",SUMIFS(GELIR_GIDER!$G$7:$G$3001,GELIR_GIDER!$D$7:$D$3001,"Gider",GELIR_GIDER!$E$7:$E$3001,$F32,GELIR_GIDER!$I$7:$I$3001,"Evet"))</f>
        <v/>
      </c>
      <c r="H32" s="105">
        <f t="shared" si="1"/>
        <v>0</v>
      </c>
    </row>
    <row r="33" spans="2:8" ht="16.5" x14ac:dyDescent="0.25">
      <c r="B33" s="103" t="str">
        <f>IF(SISTEM!$K$60="","",SISTEM!$K$60)</f>
        <v/>
      </c>
      <c r="C33" s="104" t="str">
        <f>IF($B33="","",SUMIFS(GELIR_GIDER!$G$7:$G$3001,GELIR_GIDER!$D$7:$D$3001,"Gelir",GELIR_GIDER!$E$7:$E$3001,$B33,GELIR_GIDER!$I$7:$I$3001,"Evet"))</f>
        <v/>
      </c>
      <c r="D33" s="105">
        <f t="shared" si="0"/>
        <v>0</v>
      </c>
      <c r="E33" s="100" t="s">
        <v>1273</v>
      </c>
      <c r="F33" s="106" t="str">
        <f>IF(SISTEM!$K$33="","",SISTEM!$K$33)</f>
        <v/>
      </c>
      <c r="G33" s="107" t="str">
        <f>IF($F33="","",SUMIFS(GELIR_GIDER!$G$7:$G$3001,GELIR_GIDER!$D$7:$D$3001,"Gider",GELIR_GIDER!$E$7:$E$3001,$F33,GELIR_GIDER!$I$7:$I$3001,"Evet"))</f>
        <v/>
      </c>
      <c r="H33" s="105">
        <f t="shared" si="1"/>
        <v>0</v>
      </c>
    </row>
    <row r="34" spans="2:8" ht="16.5" x14ac:dyDescent="0.25">
      <c r="B34" s="103" t="str">
        <f>IF(SISTEM!$K$61="","",SISTEM!$K$61)</f>
        <v/>
      </c>
      <c r="C34" s="104" t="str">
        <f>IF($B34="","",SUMIFS(GELIR_GIDER!$G$7:$G$3001,GELIR_GIDER!$D$7:$D$3001,"Gelir",GELIR_GIDER!$E$7:$E$3001,$B34,GELIR_GIDER!$I$7:$I$3001,"Evet"))</f>
        <v/>
      </c>
      <c r="D34" s="105">
        <f t="shared" si="0"/>
        <v>0</v>
      </c>
      <c r="E34" s="100" t="s">
        <v>1273</v>
      </c>
      <c r="F34" s="106" t="str">
        <f>IF(SISTEM!$K$34="","",SISTEM!$K$34)</f>
        <v/>
      </c>
      <c r="G34" s="107" t="str">
        <f>IF($F34="","",SUMIFS(GELIR_GIDER!$G$7:$G$3001,GELIR_GIDER!$D$7:$D$3001,"Gider",GELIR_GIDER!$E$7:$E$3001,$F34,GELIR_GIDER!$I$7:$I$3001,"Evet"))</f>
        <v/>
      </c>
      <c r="H34" s="105">
        <f t="shared" si="1"/>
        <v>0</v>
      </c>
    </row>
    <row r="35" spans="2:8" ht="16.5" x14ac:dyDescent="0.25">
      <c r="B35" s="103" t="str">
        <f>IF(SISTEM!$K$62="","",SISTEM!$K$62)</f>
        <v/>
      </c>
      <c r="C35" s="104" t="str">
        <f>IF($B35="","",SUMIFS(GELIR_GIDER!$G$7:$G$3001,GELIR_GIDER!$D$7:$D$3001,"Gelir",GELIR_GIDER!$E$7:$E$3001,$B35,GELIR_GIDER!$I$7:$I$3001,"Evet"))</f>
        <v/>
      </c>
      <c r="D35" s="105">
        <f t="shared" si="0"/>
        <v>0</v>
      </c>
      <c r="E35" s="100" t="s">
        <v>1273</v>
      </c>
      <c r="F35" s="108"/>
      <c r="G35" s="109"/>
      <c r="H35" s="110"/>
    </row>
    <row r="36" spans="2:8" ht="21.95" customHeight="1" x14ac:dyDescent="0.25">
      <c r="B36" s="111" t="s">
        <v>1280</v>
      </c>
      <c r="C36" s="112">
        <f>SUM(C8:C35)</f>
        <v>2782750</v>
      </c>
      <c r="D36" s="113"/>
      <c r="E36" s="100" t="s">
        <v>1273</v>
      </c>
      <c r="F36" s="114" t="s">
        <v>1281</v>
      </c>
      <c r="G36" s="112">
        <f>SUM(G8:G34)</f>
        <v>1235687.98</v>
      </c>
      <c r="H36" s="115"/>
    </row>
    <row r="37" spans="2:8" ht="21.95" customHeight="1" x14ac:dyDescent="0.25">
      <c r="B37" s="116" t="s">
        <v>1282</v>
      </c>
      <c r="C37" s="117">
        <f>C36-G36</f>
        <v>1547062.02</v>
      </c>
      <c r="D37" s="113"/>
      <c r="E37" s="100" t="s">
        <v>1273</v>
      </c>
      <c r="F37" s="114" t="s">
        <v>1283</v>
      </c>
      <c r="G37" s="118">
        <f>COUNTIF(GELIR_GIDER!$D$7:$D$3001,"Gelir")</f>
        <v>61</v>
      </c>
      <c r="H37" s="115"/>
    </row>
    <row r="38" spans="2:8" ht="21.95" customHeight="1" x14ac:dyDescent="0.25">
      <c r="B38" s="119" t="s">
        <v>1284</v>
      </c>
      <c r="C38" s="120">
        <f>C36-G36</f>
        <v>1547062.02</v>
      </c>
      <c r="D38" s="113"/>
      <c r="E38" s="100" t="s">
        <v>1273</v>
      </c>
      <c r="F38" s="114" t="s">
        <v>1285</v>
      </c>
      <c r="G38" s="118">
        <f>COUNTIF(TAHSILAT!$F$7:$F$3003,"&gt;0")</f>
        <v>551</v>
      </c>
      <c r="H38" s="115"/>
    </row>
    <row r="39" spans="2:8" ht="21.95" customHeight="1" x14ac:dyDescent="0.25">
      <c r="B39" s="121" t="s">
        <v>1286</v>
      </c>
      <c r="C39" s="122">
        <f>SUMIFS(VIRMAN!$F$7:$F$406,VIRMAN!$G$7:$G$406,"KÂR PAYI / AVANS*")</f>
        <v>1269462.04</v>
      </c>
      <c r="D39" s="123"/>
      <c r="E39" s="100" t="s">
        <v>1273</v>
      </c>
      <c r="F39" s="114" t="s">
        <v>1287</v>
      </c>
      <c r="G39" s="118">
        <f>COUNTIF(GELIR_GIDER!$D$7:$D$3001,"Gider")</f>
        <v>142</v>
      </c>
      <c r="H39" s="115"/>
    </row>
    <row r="40" spans="2:8" ht="21.95" customHeight="1" x14ac:dyDescent="0.25">
      <c r="B40" s="119" t="s">
        <v>1288</v>
      </c>
      <c r="C40" s="124">
        <f>IFERROR(C37/C36,0)</f>
        <v>0.55594718174467705</v>
      </c>
      <c r="D40" s="113"/>
      <c r="E40" s="100" t="s">
        <v>1273</v>
      </c>
      <c r="F40" s="125" t="s">
        <v>1289</v>
      </c>
      <c r="G40" s="126" t="str">
        <f>IF(ABS(C36-(SUM(TAHSILAT!$F$7:$F$3003)+SUMIFS(GELIR_GIDER!$G$7:$G$3001,GELIR_GIDER!$D$7:$D$3001,"Gelir",GELIR_GIDER!$I$7:$I$3001,"Evet")))+ABS(G36-SUMIFS(GELIR_GIDER!$G$7:$G$3001,GELIR_GIDER!$D$7:$D$3001,"Gider"))&lt;0.01,"GEÇTİ","KALDI")</f>
        <v>GEÇTİ</v>
      </c>
      <c r="H40" s="126"/>
    </row>
    <row r="41" spans="2:8" ht="16.5" x14ac:dyDescent="0.25">
      <c r="B41" s="127" t="s">
        <v>1290</v>
      </c>
      <c r="C41" s="128" t="str">
        <f>IF(AND(IF($C$36=0,SUM($D$8:$D$35)=0,ABS(SUM($D$8:$D$35)-1)&lt;0.0001),IF($G$36=0,SUM($H$8:$H$34)=0,ABS(SUM($H$8:$H$34)-1)&lt;0.0001)),"GEÇTİ","KALDI")</f>
        <v>GEÇTİ</v>
      </c>
      <c r="D41" s="128"/>
      <c r="E41" s="129"/>
      <c r="F41" s="127" t="s">
        <v>1291</v>
      </c>
      <c r="G41" s="105">
        <f>IF($G$36=0,0,SUM($H$8:$H$34))</f>
        <v>1</v>
      </c>
      <c r="H41" s="128"/>
    </row>
    <row r="42" spans="2:8" ht="24" customHeight="1" x14ac:dyDescent="0.25">
      <c r="B42" s="238" t="s">
        <v>1292</v>
      </c>
      <c r="C42" s="139"/>
      <c r="D42" s="139"/>
      <c r="E42" s="239"/>
      <c r="F42" s="139"/>
      <c r="G42" s="139"/>
      <c r="H42" s="139"/>
    </row>
    <row r="43" spans="2:8" ht="21.95" customHeight="1" x14ac:dyDescent="0.25">
      <c r="B43" s="130" t="s">
        <v>1293</v>
      </c>
      <c r="C43" s="131">
        <f>SUM(TAHSILAT!$F$7:$F$3003)</f>
        <v>2299500</v>
      </c>
      <c r="D43" s="128"/>
      <c r="E43" s="132"/>
      <c r="F43" s="130" t="s">
        <v>1294</v>
      </c>
      <c r="G43" s="131">
        <f>SUMIFS(GELIR_GIDER!$G$7:$G$3001,GELIR_GIDER!$D$7:$D$3001,"Gelir",GELIR_GIDER!$I$7:$I$3001,"Evet")</f>
        <v>483250</v>
      </c>
      <c r="H43" s="128"/>
    </row>
    <row r="44" spans="2:8" ht="21.95" customHeight="1" x14ac:dyDescent="0.25">
      <c r="B44" s="130" t="s">
        <v>1061</v>
      </c>
      <c r="C44" s="131">
        <f>C36</f>
        <v>2782750</v>
      </c>
      <c r="D44" s="128"/>
      <c r="E44" s="132"/>
      <c r="F44" s="130" t="s">
        <v>1295</v>
      </c>
      <c r="G44" s="133">
        <f>IFERROR(G36/C36,0)</f>
        <v>0.44405281825532295</v>
      </c>
      <c r="H44" s="128"/>
    </row>
    <row r="45" spans="2:8" ht="21.95" customHeight="1" x14ac:dyDescent="0.25">
      <c r="B45" s="130" t="s">
        <v>1296</v>
      </c>
      <c r="C45" s="134">
        <f>C37</f>
        <v>1547062.02</v>
      </c>
      <c r="D45" s="128"/>
      <c r="E45" s="132"/>
      <c r="F45" s="130" t="s">
        <v>1297</v>
      </c>
      <c r="G45" s="133">
        <f>IFERROR(C37/C36,0)</f>
        <v>0.55594718174467705</v>
      </c>
      <c r="H45" s="128"/>
    </row>
    <row r="46" spans="2:8" ht="21.95" customHeight="1" x14ac:dyDescent="0.25">
      <c r="B46" s="130" t="s">
        <v>1298</v>
      </c>
      <c r="C46" s="134">
        <f>C38</f>
        <v>1547062.02</v>
      </c>
      <c r="D46" s="128"/>
      <c r="E46" s="132"/>
      <c r="F46" s="130" t="s">
        <v>1299</v>
      </c>
      <c r="G46" s="134">
        <f>C39</f>
        <v>1269462.04</v>
      </c>
      <c r="H46" s="128"/>
    </row>
    <row r="47" spans="2:8" ht="21.95" customHeight="1" x14ac:dyDescent="0.25">
      <c r="B47" s="111" t="s">
        <v>1300</v>
      </c>
      <c r="C47" s="135" t="str">
        <f>G40</f>
        <v>GEÇTİ</v>
      </c>
      <c r="D47" s="128"/>
      <c r="E47" s="132"/>
      <c r="F47" s="111" t="s">
        <v>1301</v>
      </c>
      <c r="G47" s="136" t="s">
        <v>1302</v>
      </c>
      <c r="H47" s="128"/>
    </row>
    <row r="48" spans="2:8" ht="24" customHeight="1" x14ac:dyDescent="0.25">
      <c r="B48" s="137" t="s">
        <v>1303</v>
      </c>
      <c r="C48" s="240" t="s">
        <v>1304</v>
      </c>
      <c r="D48" s="241"/>
      <c r="E48" s="239"/>
      <c r="F48" s="241"/>
      <c r="G48" s="241"/>
      <c r="H48" s="242"/>
    </row>
  </sheetData>
  <sheetProtection password="CC3D" sheet="1" formatCells="0" formatColumns="0" formatRows="0" sort="0" autoFilter="0"/>
  <mergeCells count="9">
    <mergeCell ref="C1:J1"/>
    <mergeCell ref="A2:J2"/>
    <mergeCell ref="A3:J3"/>
    <mergeCell ref="A1:B1"/>
    <mergeCell ref="B42:H42"/>
    <mergeCell ref="C48:H48"/>
    <mergeCell ref="B6:D6"/>
    <mergeCell ref="B4:C4"/>
    <mergeCell ref="F6:H6"/>
  </mergeCells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39</vt:i4>
      </vt:variant>
    </vt:vector>
  </HeadingPairs>
  <TitlesOfParts>
    <vt:vector size="54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ORTAK_EKSTRE</vt:lpstr>
      <vt:lpstr>CARI_EKSTRE</vt:lpstr>
      <vt:lpstr>MUSTERI_360</vt:lpstr>
      <vt:lpstr>HESAPLAR</vt:lpstr>
      <vt:lpstr>AY_SONU</vt:lpstr>
      <vt:lpstr>ORTAKLAR</vt:lpstr>
      <vt:lpstr>SISTEM</vt:lpstr>
      <vt:lpstr>KAR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KAR!Yazdırma_Alanı</vt:lpstr>
      <vt:lpstr>MUSTERI_360!Yazdırma_Alanı</vt:lpstr>
      <vt:lpstr>MUSTERILER!Yazdırma_Alanı</vt:lpstr>
      <vt:lpstr>ORTAK_EKSTRE!Yazdırma_Alanı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KAR!Yazdırma_Başlıkları</vt:lpstr>
      <vt:lpstr>MUSTERI_360!Yazdırma_Başlıkları</vt:lpstr>
      <vt:lpstr>MUSTERILER!Yazdırma_Başlıkları</vt:lpstr>
      <vt:lpstr>ORTAK_EKSTRE!Yazdırma_Başlıkları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KILIÇ</dc:creator>
  <cp:lastModifiedBy>User</cp:lastModifiedBy>
  <cp:revision>0</cp:revision>
  <dcterms:created xsi:type="dcterms:W3CDTF">2026-08-25T12:53:58Z</dcterms:created>
  <dcterms:modified xsi:type="dcterms:W3CDTF">2026-08-26T12:40:35Z</dcterms:modified>
  <dc:language>en-US</dc:language>
</cp:coreProperties>
</file>